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5496FA08-DE8F-49AB-836A-D044C8A85638}" xr6:coauthVersionLast="45" xr6:coauthVersionMax="45" xr10:uidLastSave="{00000000-0000-0000-0000-000000000000}"/>
  <bookViews>
    <workbookView xWindow="28680" yWindow="-120" windowWidth="29040" windowHeight="18240" activeTab="10" xr2:uid="{D33987B2-318A-4576-9804-224796ED48E2}"/>
  </bookViews>
  <sheets>
    <sheet name="FX-IR" sheetId="1" r:id="rId1"/>
    <sheet name="Base" sheetId="2" r:id="rId2"/>
    <sheet name="Energy" sheetId="3" r:id="rId3"/>
    <sheet name="Correlations" sheetId="7" r:id="rId4"/>
    <sheet name="AsianSwap" sheetId="11" r:id="rId5"/>
    <sheet name="CustomSwap" sheetId="12" r:id="rId6"/>
    <sheet name="EuroOption" sheetId="5" r:id="rId7"/>
    <sheet name="AsianOption" sheetId="9" r:id="rId8"/>
    <sheet name="PortfolioBuilder" sheetId="6" r:id="rId9"/>
    <sheet name="Risk" sheetId="8" r:id="rId10"/>
    <sheet name="C&amp;C" sheetId="13" r:id="rId11"/>
    <sheet name="Static" sheetId="10" r:id="rId12"/>
  </sheets>
  <externalReferences>
    <externalReference r:id="rId13"/>
  </externalReferences>
  <definedNames>
    <definedName name="AModel">'FX-IR'!$B$7</definedName>
    <definedName name="AsianOptionObjects">AsianOption!$Q:$Q</definedName>
    <definedName name="AsianOptionTags">AsianOption!$A:$A</definedName>
    <definedName name="AsianSwapObjects" localSheetId="5">CustomSwap!$N:$N</definedName>
    <definedName name="AsianSwapObjects">AsianSwap!$O:$O</definedName>
    <definedName name="AsianSwapTags" localSheetId="5">CustomSwap!$A:$A</definedName>
    <definedName name="AsianSwapTags">AsianSwap!$A:$A</definedName>
    <definedName name="AssetStatic">Static!$B$2:$M$27</definedName>
    <definedName name="BidMidASK">Energy!$D$1</definedName>
    <definedName name="CCFs">Static!$I$31:$J$36</definedName>
    <definedName name="CorrelMatrix">Correlations!$B$5</definedName>
    <definedName name="CurvesBase">Base!$14:$14</definedName>
    <definedName name="CurvesEnergyBasis">Energy!$A$70:$AD$70</definedName>
    <definedName name="CurvesEnergyFlat">Energy!$A$10:$AL$10</definedName>
    <definedName name="EuroOptionObjects">EuroOption!$O:$O</definedName>
    <definedName name="EuroOptionTags">EuroOption!$A:$A</definedName>
    <definedName name="FixingsBase">Base!$C$117:$C$122</definedName>
    <definedName name="FixingsEnergy">Energy!$C$105:$C$108</definedName>
    <definedName name="FundingModel">'FX-IR'!$B$6</definedName>
    <definedName name="LiborSpot">'FX-IR'!$C$62</definedName>
    <definedName name="m3Date">Base!$B$1</definedName>
    <definedName name="MetalSpotDate">'FX-IR'!$B$2</definedName>
    <definedName name="Portfolio">PortfolioBuilder!$B$3</definedName>
    <definedName name="RatingTable">Static!$B$31:$G$56</definedName>
    <definedName name="Tag">PortfolioBuilder!$B$1</definedName>
    <definedName name="valDate">'FX-IR'!$B$1</definedName>
    <definedName name="VolsBase">Base!$67:$67</definedName>
    <definedName name="VolsEnergy">Energy!$A$111:$X$111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13" l="1"/>
  <c r="F21" i="13" a="1"/>
  <c r="F21" i="13"/>
  <c r="G21" i="13"/>
  <c r="H21" i="13"/>
  <c r="F22" i="13"/>
  <c r="G22" i="13"/>
  <c r="H22" i="13"/>
  <c r="F23" i="13"/>
  <c r="G23" i="13"/>
  <c r="H23" i="13"/>
  <c r="F24" i="13"/>
  <c r="G24" i="13"/>
  <c r="H24" i="13"/>
  <c r="F25" i="13"/>
  <c r="G25" i="13"/>
  <c r="H25" i="13"/>
  <c r="F26" i="13"/>
  <c r="G26" i="13"/>
  <c r="H26" i="13"/>
  <c r="F27" i="13"/>
  <c r="G27" i="13"/>
  <c r="H27" i="13"/>
  <c r="F28" i="13"/>
  <c r="G28" i="13"/>
  <c r="H28" i="13"/>
  <c r="F29" i="13"/>
  <c r="G29" i="13"/>
  <c r="H29" i="13"/>
  <c r="F30" i="13"/>
  <c r="G30" i="13"/>
  <c r="H30" i="13"/>
  <c r="F31" i="13"/>
  <c r="G31" i="13"/>
  <c r="H31" i="13"/>
  <c r="F32" i="13"/>
  <c r="G32" i="13"/>
  <c r="H32" i="13"/>
  <c r="F33" i="13"/>
  <c r="G33" i="13"/>
  <c r="H33" i="13"/>
  <c r="F34" i="13"/>
  <c r="G34" i="13"/>
  <c r="H34" i="13"/>
  <c r="F35" i="13"/>
  <c r="G35" i="13"/>
  <c r="H35" i="13"/>
  <c r="F36" i="13"/>
  <c r="G36" i="13"/>
  <c r="H36" i="13"/>
  <c r="F37" i="13"/>
  <c r="G37" i="13"/>
  <c r="H37" i="13"/>
  <c r="F38" i="13"/>
  <c r="G38" i="13"/>
  <c r="H38" i="13"/>
  <c r="F39" i="13"/>
  <c r="G39" i="13"/>
  <c r="H39" i="13"/>
  <c r="F40" i="13"/>
  <c r="G40" i="13"/>
  <c r="H40" i="13"/>
  <c r="F41" i="13"/>
  <c r="G41" i="13"/>
  <c r="H41" i="13"/>
  <c r="F42" i="13"/>
  <c r="G42" i="13"/>
  <c r="H42" i="13"/>
  <c r="F43" i="13"/>
  <c r="G43" i="13"/>
  <c r="H43" i="13"/>
  <c r="F44" i="13"/>
  <c r="G44" i="13"/>
  <c r="H44" i="13"/>
  <c r="F45" i="13"/>
  <c r="G45" i="13"/>
  <c r="H45" i="13"/>
  <c r="F46" i="13"/>
  <c r="G46" i="13"/>
  <c r="H46" i="13"/>
  <c r="F47" i="13"/>
  <c r="G47" i="13"/>
  <c r="H47" i="13"/>
  <c r="F48" i="13"/>
  <c r="G48" i="13"/>
  <c r="H48" i="13"/>
  <c r="F49" i="13"/>
  <c r="G49" i="13"/>
  <c r="H49" i="13"/>
  <c r="F50" i="13"/>
  <c r="G50" i="13"/>
  <c r="H50" i="13"/>
  <c r="F51" i="13"/>
  <c r="G51" i="13"/>
  <c r="H51" i="13"/>
  <c r="F52" i="13"/>
  <c r="G52" i="13"/>
  <c r="H52" i="13"/>
  <c r="F53" i="13"/>
  <c r="G53" i="13"/>
  <c r="H53" i="13"/>
  <c r="F54" i="13"/>
  <c r="G54" i="13"/>
  <c r="H54" i="13"/>
  <c r="F55" i="13"/>
  <c r="G55" i="13"/>
  <c r="H55" i="13"/>
  <c r="F56" i="13"/>
  <c r="G56" i="13"/>
  <c r="H56" i="13"/>
  <c r="F57" i="13"/>
  <c r="G57" i="13"/>
  <c r="H57" i="13"/>
  <c r="F58" i="13"/>
  <c r="G58" i="13"/>
  <c r="H58" i="13"/>
  <c r="F59" i="13"/>
  <c r="G59" i="13"/>
  <c r="H59" i="13"/>
  <c r="F60" i="13"/>
  <c r="G60" i="13"/>
  <c r="H60" i="13"/>
  <c r="F61" i="13"/>
  <c r="G61" i="13"/>
  <c r="H61" i="13"/>
  <c r="F62" i="13"/>
  <c r="G62" i="13"/>
  <c r="H62" i="13"/>
  <c r="G18" i="13" a="1"/>
  <c r="G18" i="13"/>
  <c r="L8" i="13"/>
  <c r="L6" i="13"/>
  <c r="L5" i="13"/>
  <c r="L3" i="13"/>
  <c r="L1" i="13"/>
  <c r="L2" i="13"/>
  <c r="G16" i="13" a="1"/>
  <c r="G16" i="13"/>
  <c r="G1" i="13"/>
  <c r="C28" i="13"/>
  <c r="C27" i="13"/>
  <c r="C26" i="13"/>
  <c r="C7" i="13"/>
  <c r="J3" i="12"/>
  <c r="J4" i="12" s="1"/>
  <c r="J5" i="12" s="1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G3" i="12"/>
  <c r="G4" i="12" s="1"/>
  <c r="G5" i="12" s="1"/>
  <c r="B3" i="12"/>
  <c r="B4" i="12" s="1"/>
  <c r="C3" i="12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I2" i="12"/>
  <c r="I3" i="12" s="1"/>
  <c r="I4" i="12" s="1"/>
  <c r="I5" i="12" s="1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H2" i="12"/>
  <c r="H3" i="12" s="1"/>
  <c r="H4" i="12" s="1"/>
  <c r="H5" i="12" s="1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L7" i="11"/>
  <c r="J7" i="11"/>
  <c r="I7" i="11"/>
  <c r="L6" i="11"/>
  <c r="J6" i="11"/>
  <c r="I6" i="11"/>
  <c r="L5" i="11"/>
  <c r="J5" i="11"/>
  <c r="I5" i="11"/>
  <c r="L4" i="11"/>
  <c r="J4" i="11"/>
  <c r="I4" i="11"/>
  <c r="L3" i="11"/>
  <c r="J3" i="11"/>
  <c r="I3" i="11"/>
  <c r="D3" i="11"/>
  <c r="L2" i="11"/>
  <c r="J2" i="11"/>
  <c r="I2" i="11"/>
  <c r="J7" i="9"/>
  <c r="K7" i="9"/>
  <c r="M7" i="9"/>
  <c r="J5" i="9"/>
  <c r="K5" i="9"/>
  <c r="M5" i="9"/>
  <c r="J6" i="9"/>
  <c r="K6" i="9"/>
  <c r="M6" i="9"/>
  <c r="D3" i="9"/>
  <c r="K6" i="5"/>
  <c r="I7" i="5"/>
  <c r="K7" i="5"/>
  <c r="K5" i="5"/>
  <c r="I5" i="5"/>
  <c r="M3" i="9"/>
  <c r="M4" i="9"/>
  <c r="M2" i="9"/>
  <c r="K3" i="9"/>
  <c r="K4" i="9"/>
  <c r="K2" i="9"/>
  <c r="I3" i="5"/>
  <c r="K3" i="5"/>
  <c r="K4" i="5"/>
  <c r="K2" i="5"/>
  <c r="J4" i="9"/>
  <c r="J3" i="9"/>
  <c r="J2" i="9"/>
  <c r="D3" i="12" a="1"/>
  <c r="M5" i="11" a="1"/>
  <c r="M6" i="11" a="1"/>
  <c r="E3" i="11" a="1"/>
  <c r="M7" i="11" a="1"/>
  <c r="M4" i="11" a="1"/>
  <c r="M2" i="11" a="1"/>
  <c r="N7" i="9" a="1"/>
  <c r="N6" i="9" a="1"/>
  <c r="N5" i="9" a="1"/>
  <c r="N4" i="9" a="1"/>
  <c r="N2" i="9" a="1"/>
  <c r="E3" i="9" a="1"/>
  <c r="D6" i="5" a="1"/>
  <c r="D5" i="5" a="1"/>
  <c r="D7" i="5" a="1"/>
  <c r="B5" i="12" l="1"/>
  <c r="D3" i="12"/>
  <c r="G6" i="12"/>
  <c r="M2" i="11"/>
  <c r="M4" i="11"/>
  <c r="M7" i="11"/>
  <c r="E3" i="11"/>
  <c r="M6" i="11"/>
  <c r="M5" i="11"/>
  <c r="N7" i="9"/>
  <c r="N5" i="9"/>
  <c r="N6" i="9"/>
  <c r="N2" i="9"/>
  <c r="N4" i="9"/>
  <c r="E3" i="9"/>
  <c r="D7" i="5"/>
  <c r="D5" i="5"/>
  <c r="D6" i="5"/>
  <c r="L3" i="12" a="1"/>
  <c r="M3" i="11" a="1"/>
  <c r="N3" i="9" a="1"/>
  <c r="L5" i="5" a="1"/>
  <c r="L7" i="5" a="1"/>
  <c r="L3" i="12" l="1"/>
  <c r="B6" i="12"/>
  <c r="G7" i="12"/>
  <c r="C4" i="12"/>
  <c r="M3" i="11"/>
  <c r="N3" i="9"/>
  <c r="L7" i="5"/>
  <c r="L5" i="5"/>
  <c r="D4" i="12" a="1"/>
  <c r="B7" i="12" l="1"/>
  <c r="D4" i="12"/>
  <c r="G8" i="12"/>
  <c r="L4" i="12" a="1"/>
  <c r="L4" i="12" l="1"/>
  <c r="G9" i="12"/>
  <c r="B8" i="12"/>
  <c r="C5" i="12"/>
  <c r="D5" i="12" a="1"/>
  <c r="B9" i="12" l="1"/>
  <c r="G10" i="12"/>
  <c r="D5" i="12"/>
  <c r="L5" i="12" a="1"/>
  <c r="L5" i="12" l="1"/>
  <c r="G11" i="12"/>
  <c r="B10" i="12"/>
  <c r="C6" i="12"/>
  <c r="D6" i="12" a="1"/>
  <c r="G12" i="12" l="1"/>
  <c r="B11" i="12"/>
  <c r="D6" i="12"/>
  <c r="L6" i="12" a="1"/>
  <c r="L6" i="12" l="1"/>
  <c r="B12" i="12"/>
  <c r="G13" i="12"/>
  <c r="C7" i="12"/>
  <c r="D7" i="12" a="1"/>
  <c r="G14" i="12" l="1"/>
  <c r="B13" i="12"/>
  <c r="D7" i="12"/>
  <c r="L7" i="12" a="1"/>
  <c r="L7" i="12" l="1"/>
  <c r="B14" i="12"/>
  <c r="G15" i="12"/>
  <c r="C8" i="12"/>
  <c r="D8" i="12" a="1"/>
  <c r="G16" i="12" l="1"/>
  <c r="B15" i="12"/>
  <c r="D8" i="12"/>
  <c r="L8" i="12" a="1"/>
  <c r="L8" i="12" l="1"/>
  <c r="C9" i="12"/>
  <c r="G17" i="12"/>
  <c r="B16" i="12"/>
  <c r="D9" i="12" a="1"/>
  <c r="D9" i="12" l="1"/>
  <c r="B17" i="12"/>
  <c r="L9" i="12" a="1"/>
  <c r="L9" i="12" l="1"/>
  <c r="C10" i="12"/>
  <c r="D10" i="12" a="1"/>
  <c r="D10" i="12" l="1"/>
  <c r="L10" i="12" a="1"/>
  <c r="L10" i="12" l="1"/>
  <c r="C11" i="12"/>
  <c r="D11" i="12" a="1"/>
  <c r="D11" i="12" l="1"/>
  <c r="L11" i="12" a="1"/>
  <c r="L11" i="12" l="1"/>
  <c r="C12" i="12"/>
  <c r="D12" i="12" a="1"/>
  <c r="D12" i="12" l="1"/>
  <c r="L12" i="12" a="1"/>
  <c r="L12" i="12" l="1"/>
  <c r="C13" i="12"/>
  <c r="D13" i="12" a="1"/>
  <c r="D13" i="12" l="1"/>
  <c r="L13" i="12" a="1"/>
  <c r="L13" i="12" l="1"/>
  <c r="C14" i="12"/>
  <c r="D14" i="12" a="1"/>
  <c r="D14" i="12" l="1"/>
  <c r="L14" i="12" a="1"/>
  <c r="L14" i="12" l="1"/>
  <c r="C15" i="12"/>
  <c r="D15" i="12" a="1"/>
  <c r="D15" i="12" l="1"/>
  <c r="L15" i="12" a="1"/>
  <c r="L15" i="12" l="1"/>
  <c r="C16" i="12"/>
  <c r="D16" i="12" a="1"/>
  <c r="D16" i="12" l="1"/>
  <c r="L16" i="12" a="1"/>
  <c r="L16" i="12" l="1"/>
  <c r="C17" i="12"/>
  <c r="D17" i="12" a="1"/>
  <c r="D17" i="12" l="1"/>
  <c r="L17" i="12" a="1"/>
  <c r="L2" i="12" a="1"/>
  <c r="L17" i="12" l="1"/>
  <c r="L2" i="12"/>
  <c r="B27" i="7" l="1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26" i="7"/>
  <c r="B3" i="7" a="1"/>
  <c r="D4" i="5" a="1"/>
  <c r="D3" i="5" a="1"/>
  <c r="B3" i="7" l="1"/>
  <c r="C25" i="7" a="1"/>
  <c r="R33" i="7" s="1"/>
  <c r="D3" i="5"/>
  <c r="D4" i="5"/>
  <c r="L3" i="5" a="1"/>
  <c r="L32" i="7" l="1"/>
  <c r="G34" i="7"/>
  <c r="K29" i="7"/>
  <c r="K37" i="7"/>
  <c r="D28" i="7"/>
  <c r="D32" i="7"/>
  <c r="D36" i="7"/>
  <c r="D40" i="7"/>
  <c r="R41" i="7"/>
  <c r="M30" i="7"/>
  <c r="M34" i="7"/>
  <c r="M38" i="7"/>
  <c r="M26" i="7"/>
  <c r="N29" i="7"/>
  <c r="N33" i="7"/>
  <c r="N37" i="7"/>
  <c r="N41" i="7"/>
  <c r="O29" i="7"/>
  <c r="O33" i="7"/>
  <c r="O37" i="7"/>
  <c r="O41" i="7"/>
  <c r="H28" i="7"/>
  <c r="H32" i="7"/>
  <c r="H36" i="7"/>
  <c r="H40" i="7"/>
  <c r="I28" i="7"/>
  <c r="I32" i="7"/>
  <c r="I36" i="7"/>
  <c r="I40" i="7"/>
  <c r="L28" i="7"/>
  <c r="E31" i="7"/>
  <c r="F34" i="7"/>
  <c r="G38" i="7"/>
  <c r="P40" i="7"/>
  <c r="Q36" i="7"/>
  <c r="K39" i="7"/>
  <c r="D29" i="7"/>
  <c r="D33" i="7"/>
  <c r="D37" i="7"/>
  <c r="D41" i="7"/>
  <c r="M27" i="7"/>
  <c r="M31" i="7"/>
  <c r="M35" i="7"/>
  <c r="M39" i="7"/>
  <c r="J41" i="7"/>
  <c r="N30" i="7"/>
  <c r="N34" i="7"/>
  <c r="N38" i="7"/>
  <c r="N26" i="7"/>
  <c r="O30" i="7"/>
  <c r="O34" i="7"/>
  <c r="O38" i="7"/>
  <c r="O26" i="7"/>
  <c r="H29" i="7"/>
  <c r="H33" i="7"/>
  <c r="H37" i="7"/>
  <c r="H41" i="7"/>
  <c r="I29" i="7"/>
  <c r="I33" i="7"/>
  <c r="I37" i="7"/>
  <c r="I41" i="7"/>
  <c r="L40" i="7"/>
  <c r="E39" i="7"/>
  <c r="F26" i="7"/>
  <c r="P36" i="7"/>
  <c r="L29" i="7"/>
  <c r="L33" i="7"/>
  <c r="L37" i="7"/>
  <c r="L41" i="7"/>
  <c r="E28" i="7"/>
  <c r="E32" i="7"/>
  <c r="E36" i="7"/>
  <c r="E40" i="7"/>
  <c r="F27" i="7"/>
  <c r="F31" i="7"/>
  <c r="F35" i="7"/>
  <c r="F39" i="7"/>
  <c r="G27" i="7"/>
  <c r="G31" i="7"/>
  <c r="G35" i="7"/>
  <c r="G39" i="7"/>
  <c r="J28" i="7"/>
  <c r="P29" i="7"/>
  <c r="P33" i="7"/>
  <c r="P37" i="7"/>
  <c r="P41" i="7"/>
  <c r="Q29" i="7"/>
  <c r="Q33" i="7"/>
  <c r="Q37" i="7"/>
  <c r="Q41" i="7"/>
  <c r="K30" i="7"/>
  <c r="E27" i="7"/>
  <c r="R32" i="7"/>
  <c r="G30" i="7"/>
  <c r="P32" i="7"/>
  <c r="Q28" i="7"/>
  <c r="Q32" i="7"/>
  <c r="K31" i="7"/>
  <c r="K33" i="7"/>
  <c r="D34" i="7"/>
  <c r="D26" i="7"/>
  <c r="M28" i="7"/>
  <c r="M32" i="7"/>
  <c r="M36" i="7"/>
  <c r="M40" i="7"/>
  <c r="N27" i="7"/>
  <c r="N31" i="7"/>
  <c r="N35" i="7"/>
  <c r="N39" i="7"/>
  <c r="O27" i="7"/>
  <c r="O31" i="7"/>
  <c r="O35" i="7"/>
  <c r="O39" i="7"/>
  <c r="J33" i="7"/>
  <c r="H30" i="7"/>
  <c r="H34" i="7"/>
  <c r="H38" i="7"/>
  <c r="H26" i="7"/>
  <c r="I30" i="7"/>
  <c r="I34" i="7"/>
  <c r="I38" i="7"/>
  <c r="I26" i="7"/>
  <c r="K38" i="7"/>
  <c r="E35" i="7"/>
  <c r="F38" i="7"/>
  <c r="P28" i="7"/>
  <c r="R26" i="7"/>
  <c r="K32" i="7"/>
  <c r="K41" i="7"/>
  <c r="D38" i="7"/>
  <c r="L30" i="7"/>
  <c r="L26" i="7"/>
  <c r="E29" i="7"/>
  <c r="E33" i="7"/>
  <c r="E37" i="7"/>
  <c r="E41" i="7"/>
  <c r="F28" i="7"/>
  <c r="F32" i="7"/>
  <c r="F36" i="7"/>
  <c r="F40" i="7"/>
  <c r="G28" i="7"/>
  <c r="G32" i="7"/>
  <c r="G36" i="7"/>
  <c r="G40" i="7"/>
  <c r="R40" i="7"/>
  <c r="P30" i="7"/>
  <c r="P34" i="7"/>
  <c r="P38" i="7"/>
  <c r="P26" i="7"/>
  <c r="Q30" i="7"/>
  <c r="Q34" i="7"/>
  <c r="Q38" i="7"/>
  <c r="Q26" i="7"/>
  <c r="L36" i="7"/>
  <c r="F30" i="7"/>
  <c r="G26" i="7"/>
  <c r="Q40" i="7"/>
  <c r="K40" i="7"/>
  <c r="D30" i="7"/>
  <c r="K34" i="7"/>
  <c r="L34" i="7"/>
  <c r="K35" i="7"/>
  <c r="D31" i="7"/>
  <c r="D39" i="7"/>
  <c r="R28" i="7"/>
  <c r="M29" i="7"/>
  <c r="M33" i="7"/>
  <c r="M37" i="7"/>
  <c r="M41" i="7"/>
  <c r="N28" i="7"/>
  <c r="N32" i="7"/>
  <c r="N36" i="7"/>
  <c r="N40" i="7"/>
  <c r="O28" i="7"/>
  <c r="O32" i="7"/>
  <c r="O36" i="7"/>
  <c r="O40" i="7"/>
  <c r="H27" i="7"/>
  <c r="H31" i="7"/>
  <c r="H35" i="7"/>
  <c r="H39" i="7"/>
  <c r="I27" i="7"/>
  <c r="I31" i="7"/>
  <c r="I35" i="7"/>
  <c r="I39" i="7"/>
  <c r="K26" i="7"/>
  <c r="C25" i="7"/>
  <c r="R34" i="7"/>
  <c r="J38" i="7"/>
  <c r="J29" i="7"/>
  <c r="J30" i="7"/>
  <c r="J35" i="7"/>
  <c r="R37" i="7"/>
  <c r="J39" i="7"/>
  <c r="J26" i="7"/>
  <c r="R29" i="7"/>
  <c r="R31" i="7"/>
  <c r="R35" i="7"/>
  <c r="J37" i="7"/>
  <c r="R38" i="7"/>
  <c r="R27" i="7"/>
  <c r="R30" i="7"/>
  <c r="J34" i="7"/>
  <c r="J36" i="7"/>
  <c r="R39" i="7"/>
  <c r="J27" i="7"/>
  <c r="J31" i="7"/>
  <c r="R36" i="7"/>
  <c r="L38" i="7"/>
  <c r="K27" i="7"/>
  <c r="D27" i="7"/>
  <c r="D35" i="7"/>
  <c r="K28" i="7"/>
  <c r="K36" i="7"/>
  <c r="L27" i="7"/>
  <c r="L31" i="7"/>
  <c r="L35" i="7"/>
  <c r="L39" i="7"/>
  <c r="J32" i="7"/>
  <c r="E30" i="7"/>
  <c r="E34" i="7"/>
  <c r="E38" i="7"/>
  <c r="E26" i="7"/>
  <c r="F29" i="7"/>
  <c r="F33" i="7"/>
  <c r="F37" i="7"/>
  <c r="F41" i="7"/>
  <c r="G29" i="7"/>
  <c r="G33" i="7"/>
  <c r="G37" i="7"/>
  <c r="G41" i="7"/>
  <c r="P27" i="7"/>
  <c r="P31" i="7"/>
  <c r="P35" i="7"/>
  <c r="P39" i="7"/>
  <c r="Q27" i="7"/>
  <c r="Q31" i="7"/>
  <c r="Q35" i="7"/>
  <c r="Q39" i="7"/>
  <c r="J40" i="7"/>
  <c r="L3" i="5"/>
  <c r="C26" i="7" l="1"/>
  <c r="C41" i="7"/>
  <c r="C32" i="7"/>
  <c r="C29" i="7"/>
  <c r="C39" i="7"/>
  <c r="C34" i="7"/>
  <c r="C38" i="7"/>
  <c r="C40" i="7"/>
  <c r="C30" i="7"/>
  <c r="C31" i="7"/>
  <c r="C37" i="7"/>
  <c r="C35" i="7"/>
  <c r="C28" i="7"/>
  <c r="C36" i="7"/>
  <c r="C33" i="7"/>
  <c r="C27" i="7"/>
  <c r="B4" i="7" a="1"/>
  <c r="B4" i="7" l="1"/>
  <c r="B5" i="7" a="1"/>
  <c r="B5" i="7" l="1"/>
  <c r="R131" i="3" l="1"/>
  <c r="Q131" i="3"/>
  <c r="P131" i="3"/>
  <c r="O131" i="3"/>
  <c r="Q130" i="3"/>
  <c r="O130" i="3"/>
  <c r="R127" i="3"/>
  <c r="Q127" i="3"/>
  <c r="P127" i="3"/>
  <c r="O127" i="3"/>
  <c r="N127" i="3"/>
  <c r="M127" i="3"/>
  <c r="J127" i="3"/>
  <c r="I127" i="3"/>
  <c r="H127" i="3"/>
  <c r="G127" i="3"/>
  <c r="F127" i="3"/>
  <c r="E127" i="3"/>
  <c r="D127" i="3"/>
  <c r="C127" i="3"/>
  <c r="R126" i="3"/>
  <c r="Q126" i="3"/>
  <c r="P126" i="3"/>
  <c r="O126" i="3"/>
  <c r="N126" i="3"/>
  <c r="M126" i="3"/>
  <c r="J126" i="3"/>
  <c r="I126" i="3"/>
  <c r="H126" i="3"/>
  <c r="G126" i="3"/>
  <c r="F126" i="3"/>
  <c r="E126" i="3"/>
  <c r="D126" i="3"/>
  <c r="C126" i="3"/>
  <c r="R125" i="3"/>
  <c r="Q125" i="3"/>
  <c r="P125" i="3"/>
  <c r="O125" i="3"/>
  <c r="N125" i="3"/>
  <c r="M125" i="3"/>
  <c r="J125" i="3"/>
  <c r="I125" i="3"/>
  <c r="H125" i="3"/>
  <c r="G125" i="3"/>
  <c r="F125" i="3"/>
  <c r="E125" i="3"/>
  <c r="D125" i="3"/>
  <c r="C125" i="3"/>
  <c r="R124" i="3"/>
  <c r="Q124" i="3"/>
  <c r="P124" i="3"/>
  <c r="O124" i="3"/>
  <c r="N124" i="3"/>
  <c r="M124" i="3"/>
  <c r="J124" i="3"/>
  <c r="I124" i="3"/>
  <c r="H124" i="3"/>
  <c r="G124" i="3"/>
  <c r="F124" i="3"/>
  <c r="E124" i="3"/>
  <c r="D124" i="3"/>
  <c r="C124" i="3"/>
  <c r="R123" i="3"/>
  <c r="Q123" i="3"/>
  <c r="P123" i="3"/>
  <c r="O123" i="3"/>
  <c r="N123" i="3"/>
  <c r="M123" i="3"/>
  <c r="J123" i="3"/>
  <c r="I123" i="3"/>
  <c r="H123" i="3"/>
  <c r="G123" i="3"/>
  <c r="F123" i="3"/>
  <c r="E123" i="3"/>
  <c r="D123" i="3"/>
  <c r="C123" i="3"/>
  <c r="R122" i="3"/>
  <c r="Q122" i="3"/>
  <c r="P122" i="3"/>
  <c r="O122" i="3"/>
  <c r="N122" i="3"/>
  <c r="M122" i="3"/>
  <c r="J122" i="3"/>
  <c r="I122" i="3"/>
  <c r="H122" i="3"/>
  <c r="G122" i="3"/>
  <c r="F122" i="3"/>
  <c r="E122" i="3"/>
  <c r="D122" i="3"/>
  <c r="C122" i="3"/>
  <c r="R121" i="3"/>
  <c r="Q121" i="3"/>
  <c r="P121" i="3"/>
  <c r="O121" i="3"/>
  <c r="N121" i="3"/>
  <c r="M121" i="3"/>
  <c r="J121" i="3"/>
  <c r="I121" i="3"/>
  <c r="H121" i="3"/>
  <c r="G121" i="3"/>
  <c r="F121" i="3"/>
  <c r="E121" i="3"/>
  <c r="D121" i="3"/>
  <c r="C121" i="3"/>
  <c r="R120" i="3"/>
  <c r="Q120" i="3"/>
  <c r="P120" i="3"/>
  <c r="O120" i="3"/>
  <c r="N120" i="3"/>
  <c r="M120" i="3"/>
  <c r="J120" i="3"/>
  <c r="I120" i="3"/>
  <c r="H120" i="3"/>
  <c r="G120" i="3"/>
  <c r="F120" i="3"/>
  <c r="E120" i="3"/>
  <c r="D120" i="3"/>
  <c r="C120" i="3"/>
  <c r="R119" i="3"/>
  <c r="Q119" i="3"/>
  <c r="P119" i="3"/>
  <c r="O119" i="3"/>
  <c r="N119" i="3"/>
  <c r="M119" i="3"/>
  <c r="J119" i="3"/>
  <c r="I119" i="3"/>
  <c r="H119" i="3"/>
  <c r="G119" i="3"/>
  <c r="F119" i="3"/>
  <c r="E119" i="3"/>
  <c r="D119" i="3"/>
  <c r="C119" i="3"/>
  <c r="R118" i="3"/>
  <c r="Q118" i="3"/>
  <c r="P118" i="3"/>
  <c r="O118" i="3"/>
  <c r="N118" i="3"/>
  <c r="M118" i="3"/>
  <c r="J118" i="3"/>
  <c r="I118" i="3"/>
  <c r="H118" i="3"/>
  <c r="G118" i="3"/>
  <c r="F118" i="3"/>
  <c r="E118" i="3"/>
  <c r="D118" i="3"/>
  <c r="C118" i="3"/>
  <c r="R117" i="3"/>
  <c r="Q117" i="3"/>
  <c r="P117" i="3"/>
  <c r="O117" i="3"/>
  <c r="N117" i="3"/>
  <c r="M117" i="3"/>
  <c r="J117" i="3"/>
  <c r="I117" i="3"/>
  <c r="H117" i="3"/>
  <c r="G117" i="3"/>
  <c r="F117" i="3"/>
  <c r="E117" i="3"/>
  <c r="D117" i="3"/>
  <c r="C117" i="3"/>
  <c r="R116" i="3"/>
  <c r="Q116" i="3"/>
  <c r="P116" i="3"/>
  <c r="O116" i="3"/>
  <c r="N116" i="3"/>
  <c r="M116" i="3"/>
  <c r="J116" i="3"/>
  <c r="I116" i="3"/>
  <c r="H116" i="3"/>
  <c r="G116" i="3"/>
  <c r="F116" i="3"/>
  <c r="E116" i="3"/>
  <c r="D116" i="3"/>
  <c r="C116" i="3"/>
  <c r="R115" i="3"/>
  <c r="Q115" i="3"/>
  <c r="P115" i="3"/>
  <c r="O115" i="3"/>
  <c r="N115" i="3"/>
  <c r="M115" i="3"/>
  <c r="J115" i="3"/>
  <c r="I115" i="3"/>
  <c r="H115" i="3"/>
  <c r="G115" i="3"/>
  <c r="F115" i="3"/>
  <c r="E115" i="3"/>
  <c r="D115" i="3"/>
  <c r="C115" i="3"/>
  <c r="R114" i="3"/>
  <c r="Q114" i="3"/>
  <c r="P114" i="3"/>
  <c r="O114" i="3"/>
  <c r="N114" i="3"/>
  <c r="M114" i="3"/>
  <c r="J114" i="3"/>
  <c r="I114" i="3"/>
  <c r="H114" i="3"/>
  <c r="G114" i="3"/>
  <c r="F114" i="3"/>
  <c r="E114" i="3"/>
  <c r="D114" i="3"/>
  <c r="C114" i="3"/>
  <c r="J113" i="3"/>
  <c r="I113" i="3"/>
  <c r="H113" i="3"/>
  <c r="G113" i="3"/>
  <c r="F113" i="3"/>
  <c r="E113" i="3"/>
  <c r="D113" i="3"/>
  <c r="H112" i="3"/>
  <c r="H130" i="3" s="1"/>
  <c r="E112" i="3"/>
  <c r="E130" i="3" s="1"/>
  <c r="F128" i="3" a="1"/>
  <c r="E128" i="3" a="1"/>
  <c r="D128" i="3" a="1"/>
  <c r="N128" i="3" a="1"/>
  <c r="O128" i="3" a="1"/>
  <c r="P128" i="3" a="1"/>
  <c r="Q128" i="3" a="1"/>
  <c r="R128" i="3" a="1"/>
  <c r="J128" i="3" a="1"/>
  <c r="H128" i="3" a="1"/>
  <c r="I128" i="3" a="1"/>
  <c r="G128" i="3" a="1"/>
  <c r="G128" i="3" l="1"/>
  <c r="I128" i="3"/>
  <c r="H128" i="3"/>
  <c r="J128" i="3"/>
  <c r="R128" i="3"/>
  <c r="Q128" i="3"/>
  <c r="P128" i="3"/>
  <c r="O128" i="3"/>
  <c r="N128" i="3"/>
  <c r="D128" i="3"/>
  <c r="E128" i="3"/>
  <c r="F128" i="3"/>
  <c r="G131" i="3"/>
  <c r="I131" i="3"/>
  <c r="H131" i="3"/>
  <c r="J131" i="3"/>
  <c r="E131" i="3"/>
  <c r="F131" i="3"/>
  <c r="R73" i="3" l="1"/>
  <c r="S73" i="3" a="1"/>
  <c r="U73" i="3" a="1"/>
  <c r="U73" i="3" l="1"/>
  <c r="S73" i="3"/>
  <c r="R74" i="3"/>
  <c r="T73" i="3"/>
  <c r="V73" i="3" a="1"/>
  <c r="S74" i="3" a="1"/>
  <c r="U74" i="3" a="1"/>
  <c r="U74" i="3" l="1"/>
  <c r="S74" i="3"/>
  <c r="V73" i="3"/>
  <c r="R75" i="3"/>
  <c r="T74" i="3"/>
  <c r="V74" i="3" a="1"/>
  <c r="W73" i="3" a="1"/>
  <c r="S75" i="3" a="1"/>
  <c r="U75" i="3" a="1"/>
  <c r="U75" i="3" l="1"/>
  <c r="S75" i="3"/>
  <c r="W73" i="3"/>
  <c r="V74" i="3"/>
  <c r="R76" i="3"/>
  <c r="T75" i="3"/>
  <c r="W74" i="3" a="1"/>
  <c r="V75" i="3" a="1"/>
  <c r="S76" i="3" a="1"/>
  <c r="U76" i="3" a="1"/>
  <c r="U76" i="3" l="1"/>
  <c r="S76" i="3"/>
  <c r="V75" i="3"/>
  <c r="W74" i="3"/>
  <c r="R77" i="3"/>
  <c r="T76" i="3"/>
  <c r="V76" i="3" a="1"/>
  <c r="W75" i="3" a="1"/>
  <c r="S77" i="3" a="1"/>
  <c r="U77" i="3" a="1"/>
  <c r="U77" i="3" l="1"/>
  <c r="S77" i="3"/>
  <c r="W75" i="3"/>
  <c r="V76" i="3"/>
  <c r="R78" i="3"/>
  <c r="T77" i="3"/>
  <c r="J73" i="3"/>
  <c r="V77" i="3" a="1"/>
  <c r="W76" i="3" a="1"/>
  <c r="S78" i="3" a="1"/>
  <c r="U78" i="3" a="1"/>
  <c r="K73" i="3" a="1"/>
  <c r="M73" i="3" a="1"/>
  <c r="M73" i="3" l="1"/>
  <c r="K73" i="3"/>
  <c r="U78" i="3"/>
  <c r="S78" i="3"/>
  <c r="W76" i="3"/>
  <c r="V77" i="3"/>
  <c r="J74" i="3"/>
  <c r="L73" i="3"/>
  <c r="R79" i="3"/>
  <c r="T78" i="3"/>
  <c r="S79" i="3" a="1"/>
  <c r="U79" i="3" a="1"/>
  <c r="N73" i="3" a="1"/>
  <c r="V78" i="3" a="1"/>
  <c r="K74" i="3" a="1"/>
  <c r="M74" i="3" a="1"/>
  <c r="W77" i="3" a="1"/>
  <c r="W77" i="3" l="1"/>
  <c r="M74" i="3"/>
  <c r="K74" i="3"/>
  <c r="V78" i="3"/>
  <c r="N73" i="3"/>
  <c r="U79" i="3"/>
  <c r="S79" i="3"/>
  <c r="J75" i="3"/>
  <c r="L74" i="3"/>
  <c r="R80" i="3"/>
  <c r="T79" i="3"/>
  <c r="N74" i="3" a="1"/>
  <c r="W78" i="3" a="1"/>
  <c r="O73" i="3" a="1"/>
  <c r="K75" i="3" a="1"/>
  <c r="M75" i="3" a="1"/>
  <c r="S80" i="3" a="1"/>
  <c r="U80" i="3" a="1"/>
  <c r="V79" i="3" a="1"/>
  <c r="V79" i="3" l="1"/>
  <c r="U80" i="3"/>
  <c r="S80" i="3"/>
  <c r="M75" i="3"/>
  <c r="K75" i="3"/>
  <c r="O73" i="3"/>
  <c r="W78" i="3"/>
  <c r="N74" i="3"/>
  <c r="R81" i="3"/>
  <c r="T80" i="3"/>
  <c r="J76" i="3"/>
  <c r="L75" i="3"/>
  <c r="W79" i="3" a="1"/>
  <c r="S81" i="3" a="1"/>
  <c r="U81" i="3" a="1"/>
  <c r="N75" i="3" a="1"/>
  <c r="V80" i="3" a="1"/>
  <c r="K76" i="3" a="1"/>
  <c r="M76" i="3" a="1"/>
  <c r="O74" i="3" a="1"/>
  <c r="O74" i="3" l="1"/>
  <c r="M76" i="3"/>
  <c r="K76" i="3"/>
  <c r="V80" i="3"/>
  <c r="N75" i="3"/>
  <c r="U81" i="3"/>
  <c r="S81" i="3"/>
  <c r="W79" i="3"/>
  <c r="J77" i="3"/>
  <c r="L76" i="3"/>
  <c r="R82" i="3"/>
  <c r="T81" i="3"/>
  <c r="W80" i="3" a="1"/>
  <c r="N76" i="3" a="1"/>
  <c r="S82" i="3" a="1"/>
  <c r="U82" i="3" a="1"/>
  <c r="O75" i="3" a="1"/>
  <c r="V81" i="3" a="1"/>
  <c r="K77" i="3" a="1"/>
  <c r="M77" i="3" a="1"/>
  <c r="M77" i="3" l="1"/>
  <c r="K77" i="3"/>
  <c r="V81" i="3"/>
  <c r="O75" i="3"/>
  <c r="U82" i="3"/>
  <c r="S82" i="3"/>
  <c r="N76" i="3"/>
  <c r="W80" i="3"/>
  <c r="J78" i="3"/>
  <c r="L77" i="3"/>
  <c r="R83" i="3"/>
  <c r="T82" i="3"/>
  <c r="B73" i="3"/>
  <c r="N77" i="3" a="1"/>
  <c r="S83" i="3" a="1"/>
  <c r="U83" i="3" a="1"/>
  <c r="W81" i="3" a="1"/>
  <c r="C73" i="3" a="1"/>
  <c r="E73" i="3" a="1"/>
  <c r="V82" i="3" a="1"/>
  <c r="O76" i="3" a="1"/>
  <c r="K78" i="3" a="1"/>
  <c r="M78" i="3" a="1"/>
  <c r="M78" i="3" l="1"/>
  <c r="K78" i="3"/>
  <c r="O76" i="3"/>
  <c r="V82" i="3"/>
  <c r="E73" i="3"/>
  <c r="C73" i="3"/>
  <c r="W81" i="3"/>
  <c r="U83" i="3"/>
  <c r="S83" i="3"/>
  <c r="N77" i="3"/>
  <c r="J79" i="3"/>
  <c r="L78" i="3"/>
  <c r="B74" i="3"/>
  <c r="D73" i="3"/>
  <c r="R84" i="3"/>
  <c r="T83" i="3"/>
  <c r="N78" i="3" a="1"/>
  <c r="O77" i="3" a="1"/>
  <c r="W82" i="3" a="1"/>
  <c r="S84" i="3" a="1"/>
  <c r="U84" i="3" a="1"/>
  <c r="K79" i="3" a="1"/>
  <c r="M79" i="3" a="1"/>
  <c r="V83" i="3" a="1"/>
  <c r="C74" i="3" a="1"/>
  <c r="E74" i="3" a="1"/>
  <c r="F73" i="3" a="1"/>
  <c r="F73" i="3" l="1"/>
  <c r="E74" i="3"/>
  <c r="C74" i="3"/>
  <c r="V83" i="3"/>
  <c r="M79" i="3"/>
  <c r="K79" i="3"/>
  <c r="U84" i="3"/>
  <c r="S84" i="3"/>
  <c r="W82" i="3"/>
  <c r="O77" i="3"/>
  <c r="N78" i="3"/>
  <c r="B75" i="3"/>
  <c r="D74" i="3"/>
  <c r="J80" i="3"/>
  <c r="L79" i="3"/>
  <c r="R85" i="3"/>
  <c r="T84" i="3"/>
  <c r="W83" i="3" a="1"/>
  <c r="G73" i="3" a="1"/>
  <c r="F74" i="3" a="1"/>
  <c r="O78" i="3" a="1"/>
  <c r="C75" i="3" a="1"/>
  <c r="E75" i="3" a="1"/>
  <c r="N79" i="3" a="1"/>
  <c r="K80" i="3" a="1"/>
  <c r="M80" i="3" a="1"/>
  <c r="V84" i="3" a="1"/>
  <c r="S85" i="3" a="1"/>
  <c r="U85" i="3" a="1"/>
  <c r="U85" i="3" l="1"/>
  <c r="S85" i="3"/>
  <c r="V84" i="3"/>
  <c r="M80" i="3"/>
  <c r="K80" i="3"/>
  <c r="N79" i="3"/>
  <c r="E75" i="3"/>
  <c r="C75" i="3"/>
  <c r="O78" i="3"/>
  <c r="F74" i="3"/>
  <c r="G73" i="3"/>
  <c r="W83" i="3"/>
  <c r="R86" i="3"/>
  <c r="T85" i="3"/>
  <c r="J81" i="3"/>
  <c r="L80" i="3"/>
  <c r="B76" i="3"/>
  <c r="D75" i="3"/>
  <c r="V85" i="3" a="1"/>
  <c r="G74" i="3" a="1"/>
  <c r="K81" i="3" a="1"/>
  <c r="M81" i="3" a="1"/>
  <c r="W84" i="3" a="1"/>
  <c r="N80" i="3" a="1"/>
  <c r="S86" i="3" a="1"/>
  <c r="U86" i="3" a="1"/>
  <c r="O79" i="3" a="1"/>
  <c r="F75" i="3" a="1"/>
  <c r="C76" i="3" a="1"/>
  <c r="E76" i="3" a="1"/>
  <c r="U72" i="3" a="1"/>
  <c r="U72" i="3" l="1"/>
  <c r="E76" i="3"/>
  <c r="C76" i="3"/>
  <c r="F75" i="3"/>
  <c r="O79" i="3"/>
  <c r="U86" i="3"/>
  <c r="S86" i="3"/>
  <c r="N80" i="3"/>
  <c r="W84" i="3"/>
  <c r="M81" i="3"/>
  <c r="K81" i="3"/>
  <c r="G74" i="3"/>
  <c r="V85" i="3"/>
  <c r="B77" i="3"/>
  <c r="D76" i="3"/>
  <c r="R87" i="3"/>
  <c r="T86" i="3"/>
  <c r="J82" i="3"/>
  <c r="L81" i="3"/>
  <c r="K82" i="3" a="1"/>
  <c r="M82" i="3" a="1"/>
  <c r="F76" i="3" a="1"/>
  <c r="N81" i="3" a="1"/>
  <c r="G75" i="3" a="1"/>
  <c r="W85" i="3" a="1"/>
  <c r="C77" i="3" a="1"/>
  <c r="E77" i="3" a="1"/>
  <c r="V86" i="3" a="1"/>
  <c r="O80" i="3" a="1"/>
  <c r="S87" i="3" a="1"/>
  <c r="U87" i="3" a="1"/>
  <c r="S72" i="3" a="1"/>
  <c r="S72" i="3" l="1"/>
  <c r="U87" i="3"/>
  <c r="S87" i="3"/>
  <c r="O80" i="3"/>
  <c r="V86" i="3"/>
  <c r="E77" i="3"/>
  <c r="C77" i="3"/>
  <c r="W85" i="3"/>
  <c r="G75" i="3"/>
  <c r="N81" i="3"/>
  <c r="F76" i="3"/>
  <c r="M82" i="3"/>
  <c r="K82" i="3"/>
  <c r="R88" i="3"/>
  <c r="T87" i="3"/>
  <c r="B78" i="3"/>
  <c r="D77" i="3"/>
  <c r="J83" i="3"/>
  <c r="L82" i="3"/>
  <c r="V87" i="3" a="1"/>
  <c r="G76" i="3" a="1"/>
  <c r="W86" i="3" a="1"/>
  <c r="N82" i="3" a="1"/>
  <c r="F77" i="3" a="1"/>
  <c r="C78" i="3" a="1"/>
  <c r="E78" i="3" a="1"/>
  <c r="S88" i="3" a="1"/>
  <c r="U88" i="3" a="1"/>
  <c r="V72" i="3" a="1"/>
  <c r="O81" i="3" a="1"/>
  <c r="K83" i="3" a="1"/>
  <c r="M83" i="3" a="1"/>
  <c r="M83" i="3" l="1"/>
  <c r="K83" i="3"/>
  <c r="O81" i="3"/>
  <c r="V72" i="3"/>
  <c r="U88" i="3"/>
  <c r="S88" i="3"/>
  <c r="E78" i="3"/>
  <c r="C78" i="3"/>
  <c r="F77" i="3"/>
  <c r="N82" i="3"/>
  <c r="W86" i="3"/>
  <c r="G76" i="3"/>
  <c r="V87" i="3"/>
  <c r="J84" i="3"/>
  <c r="L83" i="3"/>
  <c r="R89" i="3"/>
  <c r="T88" i="3"/>
  <c r="B79" i="3"/>
  <c r="D78" i="3"/>
  <c r="W87" i="3" a="1"/>
  <c r="V88" i="3" a="1"/>
  <c r="K84" i="3" a="1"/>
  <c r="M84" i="3" a="1"/>
  <c r="F78" i="3" a="1"/>
  <c r="G77" i="3" a="1"/>
  <c r="N83" i="3" a="1"/>
  <c r="O82" i="3" a="1"/>
  <c r="C79" i="3" a="1"/>
  <c r="E79" i="3" a="1"/>
  <c r="S89" i="3" a="1"/>
  <c r="U89" i="3" a="1"/>
  <c r="U89" i="3" l="1"/>
  <c r="S89" i="3"/>
  <c r="E79" i="3"/>
  <c r="C79" i="3"/>
  <c r="O82" i="3"/>
  <c r="N83" i="3"/>
  <c r="G77" i="3"/>
  <c r="F78" i="3"/>
  <c r="M84" i="3"/>
  <c r="K84" i="3"/>
  <c r="V88" i="3"/>
  <c r="W87" i="3"/>
  <c r="R90" i="3"/>
  <c r="T89" i="3"/>
  <c r="B80" i="3"/>
  <c r="D79" i="3"/>
  <c r="J85" i="3"/>
  <c r="L84" i="3"/>
  <c r="W88" i="3" a="1"/>
  <c r="F79" i="3" a="1"/>
  <c r="C80" i="3" a="1"/>
  <c r="E80" i="3" a="1"/>
  <c r="O83" i="3" a="1"/>
  <c r="S90" i="3" a="1"/>
  <c r="U90" i="3" a="1"/>
  <c r="G78" i="3" a="1"/>
  <c r="K85" i="3" a="1"/>
  <c r="M85" i="3" a="1"/>
  <c r="V89" i="3" a="1"/>
  <c r="N84" i="3" a="1"/>
  <c r="N84" i="3" l="1"/>
  <c r="V89" i="3"/>
  <c r="M85" i="3"/>
  <c r="K85" i="3"/>
  <c r="G78" i="3"/>
  <c r="U90" i="3"/>
  <c r="S90" i="3"/>
  <c r="O83" i="3"/>
  <c r="E80" i="3"/>
  <c r="C80" i="3"/>
  <c r="F79" i="3"/>
  <c r="W88" i="3"/>
  <c r="J86" i="3"/>
  <c r="L85" i="3"/>
  <c r="R91" i="3"/>
  <c r="T90" i="3"/>
  <c r="B81" i="3"/>
  <c r="D80" i="3"/>
  <c r="G79" i="3" a="1"/>
  <c r="N85" i="3" a="1"/>
  <c r="K86" i="3" a="1"/>
  <c r="M86" i="3" a="1"/>
  <c r="V90" i="3" a="1"/>
  <c r="O84" i="3" a="1"/>
  <c r="C81" i="3" a="1"/>
  <c r="E81" i="3" a="1"/>
  <c r="S91" i="3" a="1"/>
  <c r="U91" i="3" a="1"/>
  <c r="W89" i="3" a="1"/>
  <c r="F80" i="3" a="1"/>
  <c r="M72" i="3" a="1"/>
  <c r="M72" i="3" l="1"/>
  <c r="F80" i="3"/>
  <c r="W89" i="3"/>
  <c r="U91" i="3"/>
  <c r="S91" i="3"/>
  <c r="E81" i="3"/>
  <c r="C81" i="3"/>
  <c r="O84" i="3"/>
  <c r="V90" i="3"/>
  <c r="M86" i="3"/>
  <c r="K86" i="3"/>
  <c r="N85" i="3"/>
  <c r="G79" i="3"/>
  <c r="R92" i="3"/>
  <c r="T91" i="3"/>
  <c r="B82" i="3"/>
  <c r="D81" i="3"/>
  <c r="J87" i="3"/>
  <c r="L86" i="3"/>
  <c r="G80" i="3" a="1"/>
  <c r="K87" i="3" a="1"/>
  <c r="M87" i="3" a="1"/>
  <c r="W90" i="3" a="1"/>
  <c r="N86" i="3" a="1"/>
  <c r="O85" i="3" a="1"/>
  <c r="V91" i="3" a="1"/>
  <c r="S92" i="3" a="1"/>
  <c r="U92" i="3" a="1"/>
  <c r="F81" i="3" a="1"/>
  <c r="C82" i="3" a="1"/>
  <c r="E82" i="3" a="1"/>
  <c r="K72" i="3" a="1"/>
  <c r="K72" i="3" l="1"/>
  <c r="E82" i="3"/>
  <c r="C82" i="3"/>
  <c r="F81" i="3"/>
  <c r="U92" i="3"/>
  <c r="S92" i="3"/>
  <c r="V91" i="3"/>
  <c r="O85" i="3"/>
  <c r="N86" i="3"/>
  <c r="W90" i="3"/>
  <c r="M87" i="3"/>
  <c r="K87" i="3"/>
  <c r="G80" i="3"/>
  <c r="B83" i="3"/>
  <c r="D82" i="3"/>
  <c r="R93" i="3"/>
  <c r="T92" i="3"/>
  <c r="J88" i="3"/>
  <c r="L87" i="3"/>
  <c r="F82" i="3" a="1"/>
  <c r="G81" i="3" a="1"/>
  <c r="N87" i="3" a="1"/>
  <c r="W91" i="3" a="1"/>
  <c r="S93" i="3" a="1"/>
  <c r="U93" i="3" a="1"/>
  <c r="V92" i="3" a="1"/>
  <c r="C83" i="3" a="1"/>
  <c r="E83" i="3" a="1"/>
  <c r="N72" i="3" a="1"/>
  <c r="O86" i="3" a="1"/>
  <c r="K88" i="3" a="1"/>
  <c r="M88" i="3" a="1"/>
  <c r="M88" i="3" l="1"/>
  <c r="K88" i="3"/>
  <c r="O86" i="3"/>
  <c r="N72" i="3"/>
  <c r="E83" i="3"/>
  <c r="C83" i="3"/>
  <c r="V92" i="3"/>
  <c r="U93" i="3"/>
  <c r="S93" i="3"/>
  <c r="W91" i="3"/>
  <c r="N87" i="3"/>
  <c r="G81" i="3"/>
  <c r="F82" i="3"/>
  <c r="J89" i="3"/>
  <c r="L88" i="3"/>
  <c r="B84" i="3"/>
  <c r="D83" i="3"/>
  <c r="R94" i="3"/>
  <c r="T93" i="3"/>
  <c r="V93" i="3" a="1"/>
  <c r="C84" i="3" a="1"/>
  <c r="E84" i="3" a="1"/>
  <c r="N88" i="3" a="1"/>
  <c r="S94" i="3" a="1"/>
  <c r="U94" i="3" a="1"/>
  <c r="O87" i="3" a="1"/>
  <c r="F83" i="3" a="1"/>
  <c r="W92" i="3" a="1"/>
  <c r="G82" i="3" a="1"/>
  <c r="K89" i="3" a="1"/>
  <c r="M89" i="3" a="1"/>
  <c r="M89" i="3" l="1"/>
  <c r="K89" i="3"/>
  <c r="G82" i="3"/>
  <c r="W92" i="3"/>
  <c r="F83" i="3"/>
  <c r="O87" i="3"/>
  <c r="U94" i="3"/>
  <c r="S94" i="3"/>
  <c r="N88" i="3"/>
  <c r="E84" i="3"/>
  <c r="C84" i="3"/>
  <c r="V93" i="3"/>
  <c r="J90" i="3"/>
  <c r="L89" i="3"/>
  <c r="R95" i="3"/>
  <c r="T94" i="3"/>
  <c r="B85" i="3"/>
  <c r="D84" i="3"/>
  <c r="V94" i="3" a="1"/>
  <c r="F84" i="3" a="1"/>
  <c r="G83" i="3" a="1"/>
  <c r="K90" i="3" a="1"/>
  <c r="M90" i="3" a="1"/>
  <c r="N89" i="3" a="1"/>
  <c r="O88" i="3" a="1"/>
  <c r="C85" i="3" a="1"/>
  <c r="E85" i="3" a="1"/>
  <c r="S95" i="3" a="1"/>
  <c r="U95" i="3" a="1"/>
  <c r="W93" i="3" a="1"/>
  <c r="W93" i="3" l="1"/>
  <c r="U95" i="3"/>
  <c r="S95" i="3"/>
  <c r="E85" i="3"/>
  <c r="C85" i="3"/>
  <c r="O88" i="3"/>
  <c r="N89" i="3"/>
  <c r="M90" i="3"/>
  <c r="K90" i="3"/>
  <c r="G83" i="3"/>
  <c r="F84" i="3"/>
  <c r="V94" i="3"/>
  <c r="R96" i="3"/>
  <c r="T95" i="3"/>
  <c r="B86" i="3"/>
  <c r="D85" i="3"/>
  <c r="J91" i="3"/>
  <c r="L90" i="3"/>
  <c r="W94" i="3" a="1"/>
  <c r="F85" i="3" a="1"/>
  <c r="S96" i="3" a="1"/>
  <c r="U96" i="3" a="1"/>
  <c r="O89" i="3" a="1"/>
  <c r="C86" i="3" a="1"/>
  <c r="E86" i="3" a="1"/>
  <c r="V95" i="3" a="1"/>
  <c r="G84" i="3" a="1"/>
  <c r="N90" i="3" a="1"/>
  <c r="K91" i="3" a="1"/>
  <c r="M91" i="3" a="1"/>
  <c r="E72" i="3" a="1"/>
  <c r="E72" i="3" l="1"/>
  <c r="M91" i="3"/>
  <c r="K91" i="3"/>
  <c r="N90" i="3"/>
  <c r="G84" i="3"/>
  <c r="V95" i="3"/>
  <c r="E86" i="3"/>
  <c r="C86" i="3"/>
  <c r="O89" i="3"/>
  <c r="U96" i="3"/>
  <c r="S96" i="3"/>
  <c r="F85" i="3"/>
  <c r="W94" i="3"/>
  <c r="J92" i="3"/>
  <c r="L91" i="3"/>
  <c r="B87" i="3"/>
  <c r="D86" i="3"/>
  <c r="R97" i="3"/>
  <c r="T96" i="3"/>
  <c r="O90" i="3" a="1"/>
  <c r="G85" i="3" a="1"/>
  <c r="W95" i="3" a="1"/>
  <c r="K92" i="3" a="1"/>
  <c r="M92" i="3" a="1"/>
  <c r="F86" i="3" a="1"/>
  <c r="C87" i="3" a="1"/>
  <c r="E87" i="3" a="1"/>
  <c r="S97" i="3" a="1"/>
  <c r="U97" i="3" a="1"/>
  <c r="N91" i="3" a="1"/>
  <c r="V96" i="3" a="1"/>
  <c r="C72" i="3" a="1"/>
  <c r="C72" i="3" l="1"/>
  <c r="V96" i="3"/>
  <c r="N91" i="3"/>
  <c r="U97" i="3"/>
  <c r="S97" i="3"/>
  <c r="E87" i="3"/>
  <c r="C87" i="3"/>
  <c r="F86" i="3"/>
  <c r="M92" i="3"/>
  <c r="K92" i="3"/>
  <c r="W95" i="3"/>
  <c r="G85" i="3"/>
  <c r="O90" i="3"/>
  <c r="R98" i="3"/>
  <c r="T97" i="3"/>
  <c r="B88" i="3"/>
  <c r="D87" i="3"/>
  <c r="J93" i="3"/>
  <c r="L92" i="3"/>
  <c r="W96" i="3" a="1"/>
  <c r="N92" i="3" a="1"/>
  <c r="K93" i="3" a="1"/>
  <c r="M93" i="3" a="1"/>
  <c r="O91" i="3" a="1"/>
  <c r="F72" i="3" a="1"/>
  <c r="V97" i="3" a="1"/>
  <c r="F87" i="3" a="1"/>
  <c r="G86" i="3" a="1"/>
  <c r="C88" i="3" a="1"/>
  <c r="E88" i="3" a="1"/>
  <c r="S98" i="3" a="1"/>
  <c r="U98" i="3" a="1"/>
  <c r="U98" i="3" l="1"/>
  <c r="S98" i="3"/>
  <c r="E88" i="3"/>
  <c r="C88" i="3"/>
  <c r="G86" i="3"/>
  <c r="F87" i="3"/>
  <c r="V97" i="3"/>
  <c r="F72" i="3"/>
  <c r="O91" i="3"/>
  <c r="M93" i="3"/>
  <c r="K93" i="3"/>
  <c r="N92" i="3"/>
  <c r="W96" i="3"/>
  <c r="R99" i="3"/>
  <c r="T98" i="3"/>
  <c r="B89" i="3"/>
  <c r="D88" i="3"/>
  <c r="J94" i="3"/>
  <c r="L93" i="3"/>
  <c r="F88" i="3" a="1"/>
  <c r="O92" i="3" a="1"/>
  <c r="G87" i="3" a="1"/>
  <c r="S99" i="3" a="1"/>
  <c r="U99" i="3" a="1"/>
  <c r="W97" i="3" a="1"/>
  <c r="K94" i="3" a="1"/>
  <c r="M94" i="3" a="1"/>
  <c r="C89" i="3" a="1"/>
  <c r="E89" i="3" a="1"/>
  <c r="V98" i="3" a="1"/>
  <c r="N93" i="3" a="1"/>
  <c r="N93" i="3" l="1"/>
  <c r="V98" i="3"/>
  <c r="E89" i="3"/>
  <c r="C89" i="3"/>
  <c r="M94" i="3"/>
  <c r="K94" i="3"/>
  <c r="W97" i="3"/>
  <c r="U99" i="3"/>
  <c r="S99" i="3"/>
  <c r="G87" i="3"/>
  <c r="O92" i="3"/>
  <c r="F88" i="3"/>
  <c r="B90" i="3"/>
  <c r="D89" i="3"/>
  <c r="J95" i="3"/>
  <c r="L94" i="3"/>
  <c r="R100" i="3"/>
  <c r="T99" i="3"/>
  <c r="O93" i="3" a="1"/>
  <c r="V99" i="3" a="1"/>
  <c r="S100" i="3" a="1"/>
  <c r="U100" i="3" a="1"/>
  <c r="W98" i="3" a="1"/>
  <c r="F89" i="3" a="1"/>
  <c r="C90" i="3" a="1"/>
  <c r="E90" i="3" a="1"/>
  <c r="G88" i="3" a="1"/>
  <c r="N94" i="3" a="1"/>
  <c r="K95" i="3" a="1"/>
  <c r="M95" i="3" a="1"/>
  <c r="M95" i="3" l="1"/>
  <c r="K95" i="3"/>
  <c r="N94" i="3"/>
  <c r="G88" i="3"/>
  <c r="E90" i="3"/>
  <c r="C90" i="3"/>
  <c r="F89" i="3"/>
  <c r="W98" i="3"/>
  <c r="U100" i="3"/>
  <c r="S100" i="3"/>
  <c r="V99" i="3"/>
  <c r="O93" i="3"/>
  <c r="J96" i="3"/>
  <c r="L95" i="3"/>
  <c r="B91" i="3"/>
  <c r="D90" i="3"/>
  <c r="T100" i="3"/>
  <c r="N95" i="3" a="1"/>
  <c r="V100" i="3" a="1"/>
  <c r="O94" i="3" a="1"/>
  <c r="W99" i="3" a="1"/>
  <c r="K96" i="3" a="1"/>
  <c r="M96" i="3" a="1"/>
  <c r="F90" i="3" a="1"/>
  <c r="G89" i="3" a="1"/>
  <c r="C91" i="3" a="1"/>
  <c r="E91" i="3" a="1"/>
  <c r="E91" i="3" l="1"/>
  <c r="C91" i="3"/>
  <c r="G89" i="3"/>
  <c r="F90" i="3"/>
  <c r="M96" i="3"/>
  <c r="K96" i="3"/>
  <c r="W99" i="3"/>
  <c r="O94" i="3"/>
  <c r="V100" i="3"/>
  <c r="N95" i="3"/>
  <c r="B92" i="3"/>
  <c r="D91" i="3"/>
  <c r="J97" i="3"/>
  <c r="L96" i="3"/>
  <c r="W100" i="3" a="1"/>
  <c r="F91" i="3" a="1"/>
  <c r="O95" i="3" a="1"/>
  <c r="C92" i="3" a="1"/>
  <c r="E92" i="3" a="1"/>
  <c r="G90" i="3" a="1"/>
  <c r="N96" i="3" a="1"/>
  <c r="K97" i="3" a="1"/>
  <c r="M97" i="3" a="1"/>
  <c r="M97" i="3" l="1"/>
  <c r="K97" i="3"/>
  <c r="N96" i="3"/>
  <c r="G90" i="3"/>
  <c r="E92" i="3"/>
  <c r="C92" i="3"/>
  <c r="O95" i="3"/>
  <c r="F91" i="3"/>
  <c r="W100" i="3"/>
  <c r="J98" i="3"/>
  <c r="L97" i="3"/>
  <c r="B93" i="3"/>
  <c r="D92" i="3"/>
  <c r="N97" i="3" a="1"/>
  <c r="K98" i="3" a="1"/>
  <c r="M98" i="3" a="1"/>
  <c r="O96" i="3" a="1"/>
  <c r="C93" i="3" a="1"/>
  <c r="E93" i="3" a="1"/>
  <c r="F92" i="3" a="1"/>
  <c r="G91" i="3" a="1"/>
  <c r="G91" i="3" l="1"/>
  <c r="F92" i="3"/>
  <c r="E93" i="3"/>
  <c r="C93" i="3"/>
  <c r="O96" i="3"/>
  <c r="M98" i="3"/>
  <c r="K98" i="3"/>
  <c r="N97" i="3"/>
  <c r="B94" i="3"/>
  <c r="D93" i="3"/>
  <c r="J99" i="3"/>
  <c r="L98" i="3"/>
  <c r="C94" i="3" a="1"/>
  <c r="E94" i="3" a="1"/>
  <c r="G92" i="3" a="1"/>
  <c r="K99" i="3" a="1"/>
  <c r="M99" i="3" a="1"/>
  <c r="F93" i="3" a="1"/>
  <c r="N98" i="3" a="1"/>
  <c r="O97" i="3" a="1"/>
  <c r="O97" i="3" l="1"/>
  <c r="N98" i="3"/>
  <c r="F93" i="3"/>
  <c r="M99" i="3"/>
  <c r="K99" i="3"/>
  <c r="G92" i="3"/>
  <c r="E94" i="3"/>
  <c r="C94" i="3"/>
  <c r="J100" i="3"/>
  <c r="L99" i="3"/>
  <c r="B95" i="3"/>
  <c r="D94" i="3"/>
  <c r="K100" i="3" a="1"/>
  <c r="M100" i="3" a="1"/>
  <c r="O98" i="3" a="1"/>
  <c r="G93" i="3" a="1"/>
  <c r="C95" i="3" a="1"/>
  <c r="E95" i="3" a="1"/>
  <c r="N99" i="3" a="1"/>
  <c r="F94" i="3" a="1"/>
  <c r="F94" i="3" l="1"/>
  <c r="N99" i="3"/>
  <c r="E95" i="3"/>
  <c r="C95" i="3"/>
  <c r="G93" i="3"/>
  <c r="O98" i="3"/>
  <c r="M100" i="3"/>
  <c r="K100" i="3"/>
  <c r="B96" i="3"/>
  <c r="D95" i="3"/>
  <c r="L100" i="3"/>
  <c r="Y67" i="3"/>
  <c r="F95" i="3" a="1"/>
  <c r="N100" i="3" a="1"/>
  <c r="G94" i="3" a="1"/>
  <c r="C96" i="3" a="1"/>
  <c r="E96" i="3" a="1"/>
  <c r="O99" i="3" a="1"/>
  <c r="O99" i="3" l="1"/>
  <c r="E96" i="3"/>
  <c r="C96" i="3"/>
  <c r="G94" i="3"/>
  <c r="N100" i="3"/>
  <c r="F95" i="3"/>
  <c r="B97" i="3"/>
  <c r="D96" i="3"/>
  <c r="F96" i="3" a="1"/>
  <c r="O100" i="3" a="1"/>
  <c r="G95" i="3" a="1"/>
  <c r="C97" i="3" a="1"/>
  <c r="E97" i="3" a="1"/>
  <c r="E97" i="3" l="1"/>
  <c r="C97" i="3"/>
  <c r="G95" i="3"/>
  <c r="O100" i="3"/>
  <c r="F96" i="3"/>
  <c r="B98" i="3"/>
  <c r="D97" i="3"/>
  <c r="G96" i="3" a="1"/>
  <c r="C98" i="3" a="1"/>
  <c r="E98" i="3" a="1"/>
  <c r="F97" i="3" a="1"/>
  <c r="F97" i="3" l="1"/>
  <c r="E98" i="3"/>
  <c r="C98" i="3"/>
  <c r="G96" i="3"/>
  <c r="B99" i="3"/>
  <c r="D98" i="3"/>
  <c r="F98" i="3" a="1"/>
  <c r="C99" i="3" a="1"/>
  <c r="E99" i="3" a="1"/>
  <c r="G97" i="3" a="1"/>
  <c r="G97" i="3" l="1"/>
  <c r="E99" i="3"/>
  <c r="C99" i="3"/>
  <c r="F98" i="3"/>
  <c r="B100" i="3"/>
  <c r="D99" i="3"/>
  <c r="C100" i="3" a="1"/>
  <c r="E100" i="3" a="1"/>
  <c r="F99" i="3" a="1"/>
  <c r="G98" i="3" a="1"/>
  <c r="G98" i="3" l="1"/>
  <c r="F99" i="3"/>
  <c r="E100" i="3"/>
  <c r="C100" i="3"/>
  <c r="D100" i="3"/>
  <c r="G99" i="3" a="1"/>
  <c r="F100" i="3" a="1"/>
  <c r="F100" i="3" l="1"/>
  <c r="G99" i="3"/>
  <c r="G100" i="3" a="1"/>
  <c r="G100" i="3" l="1"/>
  <c r="Y66" i="3"/>
  <c r="Y65" i="3"/>
  <c r="Y64" i="3"/>
  <c r="Y63" i="3"/>
  <c r="Y62" i="3"/>
  <c r="Y61" i="3"/>
  <c r="Y60" i="3"/>
  <c r="Y59" i="3"/>
  <c r="Y58" i="3"/>
  <c r="Y57" i="3"/>
  <c r="Y56" i="3"/>
  <c r="Y55" i="3"/>
  <c r="Y16" i="2" a="1"/>
  <c r="Y16" i="2" l="1"/>
  <c r="Z16" i="2" s="1"/>
  <c r="U16" i="2" a="1"/>
  <c r="U16" i="2" l="1"/>
  <c r="V16" i="2" s="1"/>
  <c r="Q16" i="2" a="1"/>
  <c r="Q16" i="2" l="1"/>
  <c r="R16" i="2" s="1"/>
  <c r="M16" i="2" a="1"/>
  <c r="M16" i="2" l="1"/>
  <c r="N16" i="2" s="1"/>
  <c r="I16" i="2" a="1"/>
  <c r="I16" i="2" l="1"/>
  <c r="J16" i="2" s="1"/>
  <c r="E16" i="2" a="1"/>
  <c r="E16" i="2" l="1"/>
  <c r="F16" i="2" s="1"/>
  <c r="C16" i="2"/>
  <c r="C11" i="2" a="1"/>
  <c r="C11" i="2" l="1"/>
  <c r="E11" i="2" s="1"/>
  <c r="C10" i="2" a="1"/>
  <c r="C10" i="2" l="1"/>
  <c r="E10" i="2" s="1"/>
  <c r="C9" i="2" a="1"/>
  <c r="C9" i="2" l="1"/>
  <c r="E9" i="2" s="1"/>
  <c r="C8" i="2" a="1"/>
  <c r="C8" i="2" l="1"/>
  <c r="E8" i="2" s="1"/>
  <c r="C7" i="2" a="1"/>
  <c r="C7" i="2" l="1"/>
  <c r="E7" i="2" s="1"/>
  <c r="C6" i="2" a="1"/>
  <c r="C6" i="2" l="1"/>
  <c r="E6" i="2" s="1"/>
  <c r="I86" i="1" l="1"/>
  <c r="H86" i="1"/>
  <c r="I85" i="1" l="1"/>
  <c r="H85" i="1"/>
  <c r="I84" i="1" l="1"/>
  <c r="H84" i="1"/>
  <c r="I83" i="1" l="1"/>
  <c r="H83" i="1"/>
  <c r="I82" i="1" l="1"/>
  <c r="H82" i="1"/>
  <c r="I81" i="1" l="1"/>
  <c r="H81" i="1"/>
  <c r="I80" i="1" l="1"/>
  <c r="H80" i="1"/>
  <c r="I79" i="1" l="1"/>
  <c r="H79" i="1"/>
  <c r="I78" i="1" l="1"/>
  <c r="K78" i="1" a="1"/>
  <c r="H78" i="1"/>
  <c r="K86" i="1" l="1"/>
  <c r="K78" i="1"/>
  <c r="K85" i="1"/>
  <c r="K84" i="1"/>
  <c r="K83" i="1"/>
  <c r="K82" i="1"/>
  <c r="K81" i="1"/>
  <c r="K80" i="1"/>
  <c r="K79" i="1"/>
  <c r="H73" i="1"/>
  <c r="I73" i="1"/>
  <c r="H72" i="1" l="1"/>
  <c r="I72" i="1"/>
  <c r="H71" i="1" l="1"/>
  <c r="I71" i="1"/>
  <c r="H70" i="1" l="1"/>
  <c r="I70" i="1"/>
  <c r="H69" i="1" l="1"/>
  <c r="I69" i="1"/>
  <c r="I68" i="1"/>
  <c r="C68" i="1"/>
  <c r="I67" i="1"/>
  <c r="C67" i="1"/>
  <c r="I66" i="1"/>
  <c r="C66" i="1"/>
  <c r="I65" i="1"/>
  <c r="C65" i="1"/>
  <c r="I64" i="1"/>
  <c r="C64" i="1"/>
  <c r="C60" i="1"/>
  <c r="C59" i="1"/>
  <c r="D58" i="1"/>
  <c r="C58" i="1"/>
  <c r="D59" i="1" l="1"/>
  <c r="D60" i="1" s="1"/>
  <c r="F57" i="1"/>
  <c r="E57" i="1"/>
  <c r="D57" i="1"/>
  <c r="C57" i="1"/>
  <c r="E58" i="1" l="1"/>
  <c r="E59" i="1" s="1"/>
  <c r="E60" i="1" s="1"/>
  <c r="F58" i="1" l="1"/>
  <c r="F59" i="1" s="1"/>
  <c r="F60" i="1" s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F50" i="1"/>
  <c r="N50" i="1" s="1" a="1"/>
  <c r="E50" i="1"/>
  <c r="M50" i="1" s="1" a="1"/>
  <c r="D50" i="1"/>
  <c r="L50" i="1" s="1" a="1"/>
  <c r="C50" i="1"/>
  <c r="K50" i="1" s="1" a="1"/>
  <c r="K60" i="1" l="1"/>
  <c r="K52" i="1"/>
  <c r="K59" i="1"/>
  <c r="K51" i="1"/>
  <c r="K58" i="1"/>
  <c r="K50" i="1"/>
  <c r="K57" i="1"/>
  <c r="K56" i="1"/>
  <c r="K55" i="1"/>
  <c r="K54" i="1"/>
  <c r="K53" i="1"/>
  <c r="L60" i="1"/>
  <c r="L52" i="1"/>
  <c r="L59" i="1"/>
  <c r="L51" i="1"/>
  <c r="L58" i="1"/>
  <c r="L50" i="1"/>
  <c r="L57" i="1"/>
  <c r="L56" i="1"/>
  <c r="L55" i="1"/>
  <c r="L54" i="1"/>
  <c r="L53" i="1"/>
  <c r="M60" i="1"/>
  <c r="M52" i="1"/>
  <c r="M59" i="1"/>
  <c r="M51" i="1"/>
  <c r="M58" i="1"/>
  <c r="M50" i="1"/>
  <c r="M57" i="1"/>
  <c r="M56" i="1"/>
  <c r="M55" i="1"/>
  <c r="M54" i="1"/>
  <c r="M53" i="1"/>
  <c r="N60" i="1"/>
  <c r="N52" i="1"/>
  <c r="N56" i="1"/>
  <c r="N53" i="1"/>
  <c r="N59" i="1"/>
  <c r="N51" i="1"/>
  <c r="N58" i="1"/>
  <c r="N50" i="1"/>
  <c r="N57" i="1"/>
  <c r="N55" i="1"/>
  <c r="N54" i="1"/>
  <c r="J49" i="1"/>
  <c r="N49" i="1" s="1"/>
  <c r="R49" i="1" s="1"/>
  <c r="I49" i="1"/>
  <c r="M49" i="1" s="1"/>
  <c r="Q49" i="1" s="1"/>
  <c r="H49" i="1"/>
  <c r="L49" i="1" s="1"/>
  <c r="P49" i="1" s="1"/>
  <c r="G49" i="1"/>
  <c r="K49" i="1" s="1"/>
  <c r="O49" i="1" s="1"/>
  <c r="E45" i="1"/>
  <c r="D45" i="1"/>
  <c r="C45" i="1"/>
  <c r="F45" i="1" l="1"/>
  <c r="E44" i="1"/>
  <c r="D44" i="1"/>
  <c r="C44" i="1"/>
  <c r="E43" i="1"/>
  <c r="D43" i="1"/>
  <c r="C43" i="1"/>
  <c r="E42" i="1"/>
  <c r="D42" i="1"/>
  <c r="C42" i="1"/>
  <c r="E41" i="1"/>
  <c r="D41" i="1"/>
  <c r="C41" i="1"/>
  <c r="E40" i="1"/>
  <c r="D40" i="1"/>
  <c r="C40" i="1"/>
  <c r="E39" i="1"/>
  <c r="D39" i="1"/>
  <c r="C39" i="1"/>
  <c r="E38" i="1"/>
  <c r="D38" i="1"/>
  <c r="C38" i="1"/>
  <c r="E37" i="1"/>
  <c r="D37" i="1"/>
  <c r="C37" i="1"/>
  <c r="E36" i="1"/>
  <c r="D36" i="1"/>
  <c r="C36" i="1"/>
  <c r="E35" i="1"/>
  <c r="D35" i="1"/>
  <c r="C35" i="1"/>
  <c r="E34" i="1"/>
  <c r="D34" i="1"/>
  <c r="C34" i="1"/>
  <c r="E33" i="1"/>
  <c r="D33" i="1"/>
  <c r="C33" i="1"/>
  <c r="E32" i="1"/>
  <c r="K32" i="1" s="1" a="1"/>
  <c r="D32" i="1"/>
  <c r="J32" i="1" s="1" a="1"/>
  <c r="C32" i="1"/>
  <c r="F32" i="1" l="1"/>
  <c r="J45" i="1"/>
  <c r="J37" i="1"/>
  <c r="J36" i="1"/>
  <c r="J43" i="1"/>
  <c r="J35" i="1"/>
  <c r="J42" i="1"/>
  <c r="J34" i="1"/>
  <c r="J41" i="1"/>
  <c r="J40" i="1"/>
  <c r="J39" i="1"/>
  <c r="J44" i="1"/>
  <c r="J33" i="1"/>
  <c r="J32" i="1"/>
  <c r="J38" i="1"/>
  <c r="K45" i="1"/>
  <c r="K37" i="1"/>
  <c r="K36" i="1"/>
  <c r="K43" i="1"/>
  <c r="K35" i="1"/>
  <c r="K42" i="1"/>
  <c r="K34" i="1"/>
  <c r="K41" i="1"/>
  <c r="K40" i="1"/>
  <c r="K32" i="1"/>
  <c r="K44" i="1"/>
  <c r="K33" i="1"/>
  <c r="K39" i="1"/>
  <c r="K38" i="1"/>
  <c r="I32" i="1" a="1"/>
  <c r="I27" i="1" a="1"/>
  <c r="I45" i="1" l="1"/>
  <c r="I33" i="1"/>
  <c r="I32" i="1"/>
  <c r="I36" i="1"/>
  <c r="I41" i="1"/>
  <c r="I37" i="1"/>
  <c r="I40" i="1"/>
  <c r="I38" i="1"/>
  <c r="I44" i="1"/>
  <c r="I43" i="1"/>
  <c r="I35" i="1"/>
  <c r="I39" i="1"/>
  <c r="I42" i="1"/>
  <c r="I34" i="1"/>
  <c r="I27" i="1"/>
  <c r="H27" i="1" a="1"/>
  <c r="H27" i="1" l="1"/>
  <c r="I26" i="1" a="1"/>
  <c r="I26" i="1" l="1"/>
  <c r="H26" i="1" a="1"/>
  <c r="H26" i="1" l="1"/>
  <c r="I25" i="1" a="1"/>
  <c r="I25" i="1" l="1"/>
  <c r="H25" i="1" a="1"/>
  <c r="H25" i="1" l="1"/>
  <c r="I24" i="1" a="1"/>
  <c r="I24" i="1" l="1"/>
  <c r="H24" i="1" a="1"/>
  <c r="H24" i="1" l="1"/>
  <c r="I23" i="1" a="1"/>
  <c r="I23" i="1" l="1"/>
  <c r="H23" i="1" a="1"/>
  <c r="H23" i="1" l="1"/>
  <c r="I22" i="1" a="1"/>
  <c r="I22" i="1" l="1"/>
  <c r="H22" i="1" a="1"/>
  <c r="F22" i="1"/>
  <c r="H22" i="1" l="1"/>
  <c r="I21" i="1" a="1"/>
  <c r="I21" i="1" l="1"/>
  <c r="H21" i="1" a="1"/>
  <c r="F21" i="1"/>
  <c r="H21" i="1" l="1"/>
  <c r="C193" i="1" l="1"/>
  <c r="C177" i="1"/>
  <c r="C161" i="1"/>
  <c r="C144" i="1"/>
  <c r="C127" i="1"/>
  <c r="C111" i="1"/>
  <c r="C94" i="1"/>
  <c r="G18" i="1"/>
  <c r="D18" i="1" a="1"/>
  <c r="D18" i="1" l="1"/>
  <c r="F18" i="1" s="1"/>
  <c r="I18" i="1" s="1"/>
  <c r="H18" i="1"/>
  <c r="B27" i="1" s="1"/>
  <c r="C27" i="1" s="1"/>
  <c r="B18" i="1" l="1"/>
  <c r="G17" i="1"/>
  <c r="D17" i="1" a="1"/>
  <c r="D17" i="1" l="1"/>
  <c r="F17" i="1" s="1"/>
  <c r="I17" i="1" s="1"/>
  <c r="H17" i="1"/>
  <c r="B26" i="1" s="1"/>
  <c r="C26" i="1" s="1"/>
  <c r="B17" i="1" l="1"/>
  <c r="G16" i="1"/>
  <c r="D16" i="1" a="1"/>
  <c r="D16" i="1" l="1"/>
  <c r="F16" i="1" s="1"/>
  <c r="I16" i="1" s="1"/>
  <c r="H16" i="1"/>
  <c r="B25" i="1" s="1"/>
  <c r="C25" i="1" s="1"/>
  <c r="U15" i="1" a="1"/>
  <c r="W15" i="1" s="1"/>
  <c r="G15" i="1"/>
  <c r="D15" i="1" a="1"/>
  <c r="D15" i="1" l="1"/>
  <c r="F15" i="1" s="1"/>
  <c r="I15" i="1" s="1"/>
  <c r="Y15" i="1"/>
  <c r="H15" i="1"/>
  <c r="B24" i="1" s="1"/>
  <c r="C24" i="1" s="1"/>
  <c r="Z15" i="1"/>
  <c r="AA15" i="1"/>
  <c r="B16" i="1"/>
  <c r="U15" i="1"/>
  <c r="V15" i="1"/>
  <c r="X15" i="1"/>
  <c r="B15" i="1" l="1"/>
  <c r="G14" i="1"/>
  <c r="D14" i="1" a="1"/>
  <c r="D14" i="1" l="1"/>
  <c r="F14" i="1" s="1"/>
  <c r="I14" i="1" s="1"/>
  <c r="H14" i="1"/>
  <c r="B23" i="1" s="1"/>
  <c r="C23" i="1" s="1"/>
  <c r="B14" i="1" l="1"/>
  <c r="G13" i="1"/>
  <c r="D13" i="1" a="1"/>
  <c r="D13" i="1" l="1"/>
  <c r="F13" i="1" s="1"/>
  <c r="I13" i="1" s="1"/>
  <c r="H13" i="1"/>
  <c r="B22" i="1" s="1"/>
  <c r="C22" i="1" s="1"/>
  <c r="B13" i="1" l="1"/>
  <c r="G12" i="1"/>
  <c r="D12" i="1" a="1"/>
  <c r="D12" i="1" l="1"/>
  <c r="F12" i="1" s="1"/>
  <c r="I12" i="1" s="1"/>
  <c r="H12" i="1"/>
  <c r="B21" i="1" s="1"/>
  <c r="I6" i="5" l="1"/>
  <c r="I4" i="5"/>
  <c r="C21" i="1"/>
  <c r="C18" i="13" s="1"/>
  <c r="B12" i="1"/>
  <c r="L6" i="5" a="1"/>
  <c r="L4" i="5" a="1"/>
  <c r="L4" i="5" l="1"/>
  <c r="L6" i="5"/>
  <c r="I2" i="5"/>
  <c r="M29" i="1"/>
  <c r="N29" i="1"/>
  <c r="L29" i="1"/>
  <c r="B1" i="1"/>
  <c r="C16" i="13" a="1"/>
  <c r="D2" i="5" a="1"/>
  <c r="B1" i="2" a="1"/>
  <c r="B2" i="2" a="1"/>
  <c r="B70" i="2" a="1"/>
  <c r="B11" i="3" a="1"/>
  <c r="K11" i="3" a="1"/>
  <c r="T11" i="3" a="1"/>
  <c r="AC11" i="3" a="1"/>
  <c r="B2" i="1" a="1"/>
  <c r="B5" i="1" a="1"/>
  <c r="L32" i="1" a="1"/>
  <c r="L33" i="1" a="1"/>
  <c r="L34" i="1" a="1"/>
  <c r="L35" i="1" a="1"/>
  <c r="L36" i="1" a="1"/>
  <c r="L37" i="1" a="1"/>
  <c r="L38" i="1" a="1"/>
  <c r="L39" i="1" a="1"/>
  <c r="L40" i="1" a="1"/>
  <c r="L41" i="1" a="1"/>
  <c r="L42" i="1" a="1"/>
  <c r="L43" i="1" a="1"/>
  <c r="L44" i="1" a="1"/>
  <c r="L45" i="1" a="1"/>
  <c r="N32" i="1" a="1"/>
  <c r="N33" i="1" a="1"/>
  <c r="N34" i="1" a="1"/>
  <c r="N35" i="1" a="1"/>
  <c r="N36" i="1" a="1"/>
  <c r="N37" i="1" a="1"/>
  <c r="N38" i="1" a="1"/>
  <c r="N39" i="1" a="1"/>
  <c r="N40" i="1" a="1"/>
  <c r="N41" i="1" a="1"/>
  <c r="N42" i="1" a="1"/>
  <c r="N43" i="1" a="1"/>
  <c r="N44" i="1" a="1"/>
  <c r="N45" i="1" a="1"/>
  <c r="M32" i="1" a="1"/>
  <c r="M33" i="1" a="1"/>
  <c r="M34" i="1" a="1"/>
  <c r="M35" i="1" a="1"/>
  <c r="M36" i="1" a="1"/>
  <c r="M37" i="1" a="1"/>
  <c r="M38" i="1" a="1"/>
  <c r="M39" i="1" a="1"/>
  <c r="M40" i="1" a="1"/>
  <c r="M41" i="1" a="1"/>
  <c r="M42" i="1" a="1"/>
  <c r="M43" i="1" a="1"/>
  <c r="M44" i="1" a="1"/>
  <c r="M45" i="1" a="1"/>
  <c r="C62" i="1" a="1"/>
  <c r="D64" i="1" a="1"/>
  <c r="J64" i="1" a="1"/>
  <c r="J65" i="1" a="1"/>
  <c r="J66" i="1" a="1"/>
  <c r="K67" i="1" a="1"/>
  <c r="K68" i="1" a="1"/>
  <c r="K69" i="1" a="1"/>
  <c r="K70" i="1" a="1"/>
  <c r="B71" i="1" a="1"/>
  <c r="K71" i="1" a="1"/>
  <c r="K72" i="1" a="1"/>
  <c r="K73" i="1" a="1"/>
  <c r="L78" i="1" a="1"/>
  <c r="L79" i="1" a="1"/>
  <c r="L80" i="1" a="1"/>
  <c r="L81" i="1" a="1"/>
  <c r="L82" i="1" a="1"/>
  <c r="L83" i="1" a="1"/>
  <c r="L84" i="1" a="1"/>
  <c r="L85" i="1" a="1"/>
  <c r="L86" i="1" a="1"/>
  <c r="B96" i="1" a="1"/>
  <c r="D96" i="1"/>
  <c r="E96" i="1"/>
  <c r="F96" i="1"/>
  <c r="G96" i="1"/>
  <c r="H96" i="1"/>
  <c r="B97" i="1" a="1"/>
  <c r="D97" i="1"/>
  <c r="E97" i="1"/>
  <c r="F97" i="1"/>
  <c r="G97" i="1"/>
  <c r="H97" i="1"/>
  <c r="B98" i="1" a="1"/>
  <c r="D98" i="1"/>
  <c r="E98" i="1"/>
  <c r="F98" i="1"/>
  <c r="G98" i="1"/>
  <c r="H98" i="1"/>
  <c r="B99" i="1" a="1"/>
  <c r="D99" i="1"/>
  <c r="E99" i="1"/>
  <c r="F99" i="1"/>
  <c r="G99" i="1"/>
  <c r="H99" i="1"/>
  <c r="B100" i="1" a="1"/>
  <c r="D100" i="1"/>
  <c r="E100" i="1"/>
  <c r="F100" i="1"/>
  <c r="G100" i="1"/>
  <c r="H100" i="1"/>
  <c r="B101" i="1" a="1"/>
  <c r="D101" i="1"/>
  <c r="E101" i="1"/>
  <c r="F101" i="1"/>
  <c r="G101" i="1"/>
  <c r="H101" i="1"/>
  <c r="B102" i="1" a="1"/>
  <c r="D102" i="1"/>
  <c r="E102" i="1"/>
  <c r="F102" i="1"/>
  <c r="G102" i="1"/>
  <c r="H102" i="1"/>
  <c r="B103" i="1" a="1"/>
  <c r="D103" i="1"/>
  <c r="E103" i="1"/>
  <c r="F103" i="1"/>
  <c r="G103" i="1"/>
  <c r="H103" i="1"/>
  <c r="B104" i="1" a="1"/>
  <c r="D104" i="1"/>
  <c r="E104" i="1"/>
  <c r="F104" i="1"/>
  <c r="G104" i="1"/>
  <c r="H104" i="1"/>
  <c r="B105" i="1" a="1"/>
  <c r="D105" i="1"/>
  <c r="E105" i="1"/>
  <c r="F105" i="1"/>
  <c r="G105" i="1"/>
  <c r="H105" i="1"/>
  <c r="B106" i="1" a="1"/>
  <c r="D106" i="1"/>
  <c r="E106" i="1"/>
  <c r="F106" i="1"/>
  <c r="G106" i="1"/>
  <c r="H106" i="1"/>
  <c r="B107" i="1" a="1"/>
  <c r="D107" i="1"/>
  <c r="E107" i="1"/>
  <c r="F107" i="1"/>
  <c r="G107" i="1"/>
  <c r="H107" i="1"/>
  <c r="B113" i="1" a="1"/>
  <c r="D113" i="1"/>
  <c r="E113" i="1"/>
  <c r="F113" i="1"/>
  <c r="G113" i="1"/>
  <c r="H113" i="1"/>
  <c r="B114" i="1" a="1"/>
  <c r="D114" i="1"/>
  <c r="E114" i="1"/>
  <c r="F114" i="1"/>
  <c r="G114" i="1"/>
  <c r="H114" i="1"/>
  <c r="B115" i="1" a="1"/>
  <c r="D115" i="1"/>
  <c r="E115" i="1"/>
  <c r="F115" i="1"/>
  <c r="G115" i="1"/>
  <c r="H115" i="1"/>
  <c r="B116" i="1" a="1"/>
  <c r="D116" i="1"/>
  <c r="E116" i="1"/>
  <c r="F116" i="1"/>
  <c r="G116" i="1"/>
  <c r="H116" i="1"/>
  <c r="B117" i="1" a="1"/>
  <c r="D117" i="1"/>
  <c r="E117" i="1"/>
  <c r="F117" i="1"/>
  <c r="G117" i="1"/>
  <c r="H117" i="1"/>
  <c r="B118" i="1" a="1"/>
  <c r="D118" i="1"/>
  <c r="E118" i="1"/>
  <c r="F118" i="1"/>
  <c r="G118" i="1"/>
  <c r="H118" i="1"/>
  <c r="B119" i="1" a="1"/>
  <c r="D119" i="1"/>
  <c r="E119" i="1"/>
  <c r="F119" i="1"/>
  <c r="G119" i="1"/>
  <c r="H119" i="1"/>
  <c r="B120" i="1" a="1"/>
  <c r="D120" i="1"/>
  <c r="E120" i="1"/>
  <c r="F120" i="1"/>
  <c r="G120" i="1"/>
  <c r="H120" i="1"/>
  <c r="B121" i="1" a="1"/>
  <c r="D121" i="1"/>
  <c r="E121" i="1"/>
  <c r="F121" i="1"/>
  <c r="G121" i="1"/>
  <c r="H121" i="1"/>
  <c r="B122" i="1" a="1"/>
  <c r="D122" i="1"/>
  <c r="E122" i="1"/>
  <c r="F122" i="1"/>
  <c r="G122" i="1"/>
  <c r="H122" i="1"/>
  <c r="B123" i="1" a="1"/>
  <c r="D123" i="1"/>
  <c r="E123" i="1"/>
  <c r="F123" i="1"/>
  <c r="G123" i="1"/>
  <c r="H123" i="1"/>
  <c r="B124" i="1" a="1"/>
  <c r="D124" i="1"/>
  <c r="E124" i="1"/>
  <c r="F124" i="1"/>
  <c r="G124" i="1"/>
  <c r="H124" i="1"/>
  <c r="B129" i="1" a="1"/>
  <c r="D129" i="1"/>
  <c r="E129" i="1"/>
  <c r="F129" i="1"/>
  <c r="G129" i="1"/>
  <c r="H129" i="1"/>
  <c r="B130" i="1" a="1"/>
  <c r="D130" i="1"/>
  <c r="E130" i="1"/>
  <c r="F130" i="1"/>
  <c r="G130" i="1"/>
  <c r="H130" i="1"/>
  <c r="B131" i="1" a="1"/>
  <c r="D131" i="1"/>
  <c r="E131" i="1"/>
  <c r="F131" i="1"/>
  <c r="G131" i="1"/>
  <c r="H131" i="1"/>
  <c r="B132" i="1" a="1"/>
  <c r="D132" i="1"/>
  <c r="E132" i="1"/>
  <c r="F132" i="1"/>
  <c r="G132" i="1"/>
  <c r="H132" i="1"/>
  <c r="B133" i="1" a="1"/>
  <c r="D133" i="1"/>
  <c r="E133" i="1"/>
  <c r="F133" i="1"/>
  <c r="G133" i="1"/>
  <c r="H133" i="1"/>
  <c r="B134" i="1" a="1"/>
  <c r="D134" i="1"/>
  <c r="E134" i="1"/>
  <c r="F134" i="1"/>
  <c r="G134" i="1"/>
  <c r="H134" i="1"/>
  <c r="B135" i="1" a="1"/>
  <c r="D135" i="1"/>
  <c r="E135" i="1"/>
  <c r="F135" i="1"/>
  <c r="G135" i="1"/>
  <c r="H135" i="1"/>
  <c r="B136" i="1" a="1"/>
  <c r="D136" i="1"/>
  <c r="E136" i="1"/>
  <c r="F136" i="1"/>
  <c r="G136" i="1"/>
  <c r="H136" i="1"/>
  <c r="B137" i="1" a="1"/>
  <c r="D137" i="1"/>
  <c r="E137" i="1"/>
  <c r="F137" i="1"/>
  <c r="G137" i="1"/>
  <c r="H137" i="1"/>
  <c r="B138" i="1" a="1"/>
  <c r="D138" i="1"/>
  <c r="E138" i="1"/>
  <c r="F138" i="1"/>
  <c r="G138" i="1"/>
  <c r="H138" i="1"/>
  <c r="B139" i="1" a="1"/>
  <c r="D139" i="1"/>
  <c r="E139" i="1"/>
  <c r="F139" i="1"/>
  <c r="G139" i="1"/>
  <c r="H139" i="1"/>
  <c r="B140" i="1" a="1"/>
  <c r="D140" i="1"/>
  <c r="E140" i="1"/>
  <c r="F140" i="1"/>
  <c r="G140" i="1"/>
  <c r="H140" i="1"/>
  <c r="B146" i="1" a="1"/>
  <c r="D146" i="1"/>
  <c r="E146" i="1"/>
  <c r="F146" i="1"/>
  <c r="G146" i="1"/>
  <c r="H146" i="1"/>
  <c r="B147" i="1" a="1"/>
  <c r="D147" i="1"/>
  <c r="E147" i="1"/>
  <c r="F147" i="1"/>
  <c r="G147" i="1"/>
  <c r="H147" i="1"/>
  <c r="B148" i="1" a="1"/>
  <c r="D148" i="1"/>
  <c r="E148" i="1"/>
  <c r="F148" i="1"/>
  <c r="G148" i="1"/>
  <c r="H148" i="1"/>
  <c r="B149" i="1" a="1"/>
  <c r="D149" i="1"/>
  <c r="E149" i="1"/>
  <c r="F149" i="1"/>
  <c r="G149" i="1"/>
  <c r="H149" i="1"/>
  <c r="B150" i="1" a="1"/>
  <c r="D150" i="1"/>
  <c r="E150" i="1"/>
  <c r="F150" i="1"/>
  <c r="G150" i="1"/>
  <c r="H150" i="1"/>
  <c r="B151" i="1" a="1"/>
  <c r="D151" i="1"/>
  <c r="E151" i="1"/>
  <c r="F151" i="1"/>
  <c r="G151" i="1"/>
  <c r="H151" i="1"/>
  <c r="B152" i="1" a="1"/>
  <c r="D152" i="1"/>
  <c r="E152" i="1"/>
  <c r="F152" i="1"/>
  <c r="G152" i="1"/>
  <c r="H152" i="1"/>
  <c r="B153" i="1" a="1"/>
  <c r="D153" i="1"/>
  <c r="E153" i="1"/>
  <c r="F153" i="1"/>
  <c r="G153" i="1"/>
  <c r="H153" i="1"/>
  <c r="B154" i="1" a="1"/>
  <c r="D154" i="1"/>
  <c r="E154" i="1"/>
  <c r="F154" i="1"/>
  <c r="G154" i="1"/>
  <c r="H154" i="1"/>
  <c r="B155" i="1" a="1"/>
  <c r="D155" i="1"/>
  <c r="E155" i="1"/>
  <c r="F155" i="1"/>
  <c r="G155" i="1"/>
  <c r="H155" i="1"/>
  <c r="B156" i="1" a="1"/>
  <c r="D156" i="1"/>
  <c r="E156" i="1"/>
  <c r="F156" i="1"/>
  <c r="G156" i="1"/>
  <c r="H156" i="1"/>
  <c r="B157" i="1" a="1"/>
  <c r="D157" i="1"/>
  <c r="E157" i="1"/>
  <c r="F157" i="1"/>
  <c r="G157" i="1"/>
  <c r="H157" i="1"/>
  <c r="B163" i="1" a="1"/>
  <c r="D163" i="1"/>
  <c r="E163" i="1"/>
  <c r="F163" i="1"/>
  <c r="G163" i="1"/>
  <c r="H163" i="1"/>
  <c r="B164" i="1" a="1"/>
  <c r="D164" i="1"/>
  <c r="E164" i="1"/>
  <c r="F164" i="1"/>
  <c r="G164" i="1"/>
  <c r="H164" i="1"/>
  <c r="B165" i="1" a="1"/>
  <c r="D165" i="1"/>
  <c r="E165" i="1"/>
  <c r="F165" i="1"/>
  <c r="G165" i="1"/>
  <c r="H165" i="1"/>
  <c r="B166" i="1" a="1"/>
  <c r="D166" i="1"/>
  <c r="E166" i="1"/>
  <c r="F166" i="1"/>
  <c r="G166" i="1"/>
  <c r="H166" i="1"/>
  <c r="B167" i="1" a="1"/>
  <c r="D167" i="1"/>
  <c r="E167" i="1"/>
  <c r="F167" i="1"/>
  <c r="G167" i="1"/>
  <c r="H167" i="1"/>
  <c r="B168" i="1" a="1"/>
  <c r="D168" i="1"/>
  <c r="E168" i="1"/>
  <c r="F168" i="1"/>
  <c r="G168" i="1"/>
  <c r="H168" i="1"/>
  <c r="B169" i="1" a="1"/>
  <c r="D169" i="1"/>
  <c r="E169" i="1"/>
  <c r="F169" i="1"/>
  <c r="G169" i="1"/>
  <c r="H169" i="1"/>
  <c r="B170" i="1" a="1"/>
  <c r="D170" i="1"/>
  <c r="E170" i="1"/>
  <c r="F170" i="1"/>
  <c r="G170" i="1"/>
  <c r="H170" i="1"/>
  <c r="B171" i="1" a="1"/>
  <c r="D171" i="1"/>
  <c r="E171" i="1"/>
  <c r="F171" i="1"/>
  <c r="G171" i="1"/>
  <c r="H171" i="1"/>
  <c r="B172" i="1" a="1"/>
  <c r="D172" i="1"/>
  <c r="E172" i="1"/>
  <c r="F172" i="1"/>
  <c r="G172" i="1"/>
  <c r="H172" i="1"/>
  <c r="B173" i="1" a="1"/>
  <c r="D173" i="1"/>
  <c r="E173" i="1"/>
  <c r="F173" i="1"/>
  <c r="G173" i="1"/>
  <c r="H173" i="1"/>
  <c r="B174" i="1" a="1"/>
  <c r="D174" i="1"/>
  <c r="E174" i="1"/>
  <c r="F174" i="1"/>
  <c r="G174" i="1"/>
  <c r="H174" i="1"/>
  <c r="B179" i="1" a="1"/>
  <c r="D179" i="1"/>
  <c r="E179" i="1"/>
  <c r="F179" i="1"/>
  <c r="G179" i="1"/>
  <c r="H179" i="1"/>
  <c r="B180" i="1" a="1"/>
  <c r="D180" i="1"/>
  <c r="E180" i="1"/>
  <c r="F180" i="1"/>
  <c r="G180" i="1"/>
  <c r="H180" i="1"/>
  <c r="B181" i="1" a="1"/>
  <c r="D181" i="1"/>
  <c r="E181" i="1"/>
  <c r="F181" i="1"/>
  <c r="G181" i="1"/>
  <c r="H181" i="1"/>
  <c r="B182" i="1" a="1"/>
  <c r="D182" i="1"/>
  <c r="E182" i="1"/>
  <c r="F182" i="1"/>
  <c r="G182" i="1"/>
  <c r="H182" i="1"/>
  <c r="B183" i="1" a="1"/>
  <c r="D183" i="1"/>
  <c r="E183" i="1"/>
  <c r="F183" i="1"/>
  <c r="G183" i="1"/>
  <c r="H183" i="1"/>
  <c r="B184" i="1" a="1"/>
  <c r="D184" i="1"/>
  <c r="E184" i="1"/>
  <c r="F184" i="1"/>
  <c r="G184" i="1"/>
  <c r="H184" i="1"/>
  <c r="B185" i="1" a="1"/>
  <c r="D185" i="1"/>
  <c r="E185" i="1"/>
  <c r="F185" i="1"/>
  <c r="G185" i="1"/>
  <c r="H185" i="1"/>
  <c r="B186" i="1" a="1"/>
  <c r="D186" i="1"/>
  <c r="E186" i="1"/>
  <c r="F186" i="1"/>
  <c r="G186" i="1"/>
  <c r="H186" i="1"/>
  <c r="B187" i="1" a="1"/>
  <c r="D187" i="1"/>
  <c r="E187" i="1"/>
  <c r="F187" i="1"/>
  <c r="G187" i="1"/>
  <c r="H187" i="1"/>
  <c r="B188" i="1" a="1"/>
  <c r="D188" i="1"/>
  <c r="E188" i="1"/>
  <c r="F188" i="1"/>
  <c r="G188" i="1"/>
  <c r="H188" i="1"/>
  <c r="B189" i="1" a="1"/>
  <c r="D189" i="1"/>
  <c r="E189" i="1"/>
  <c r="F189" i="1"/>
  <c r="G189" i="1"/>
  <c r="H189" i="1"/>
  <c r="B190" i="1" a="1"/>
  <c r="D190" i="1"/>
  <c r="E190" i="1"/>
  <c r="F190" i="1"/>
  <c r="G190" i="1"/>
  <c r="H190" i="1"/>
  <c r="B195" i="1" a="1"/>
  <c r="D195" i="1"/>
  <c r="G195" i="1"/>
  <c r="H195" i="1"/>
  <c r="B196" i="1" a="1"/>
  <c r="D196" i="1"/>
  <c r="E196" i="1"/>
  <c r="F196" i="1"/>
  <c r="G196" i="1"/>
  <c r="H196" i="1"/>
  <c r="B197" i="1" a="1"/>
  <c r="D197" i="1"/>
  <c r="E197" i="1"/>
  <c r="F197" i="1"/>
  <c r="G197" i="1"/>
  <c r="H197" i="1"/>
  <c r="B198" i="1" a="1"/>
  <c r="D198" i="1"/>
  <c r="E198" i="1"/>
  <c r="F198" i="1"/>
  <c r="G198" i="1"/>
  <c r="H198" i="1"/>
  <c r="B199" i="1" a="1"/>
  <c r="D199" i="1"/>
  <c r="E199" i="1"/>
  <c r="F199" i="1"/>
  <c r="G199" i="1"/>
  <c r="H199" i="1"/>
  <c r="B200" i="1" a="1"/>
  <c r="D200" i="1"/>
  <c r="E200" i="1"/>
  <c r="F200" i="1"/>
  <c r="G200" i="1"/>
  <c r="H200" i="1"/>
  <c r="B201" i="1" a="1"/>
  <c r="D201" i="1"/>
  <c r="E201" i="1"/>
  <c r="F201" i="1"/>
  <c r="G201" i="1"/>
  <c r="H201" i="1"/>
  <c r="B202" i="1" a="1"/>
  <c r="D202" i="1"/>
  <c r="E202" i="1"/>
  <c r="F202" i="1"/>
  <c r="G202" i="1"/>
  <c r="H202" i="1"/>
  <c r="B203" i="1" a="1"/>
  <c r="D203" i="1"/>
  <c r="E203" i="1"/>
  <c r="F203" i="1"/>
  <c r="G203" i="1"/>
  <c r="H203" i="1"/>
  <c r="B204" i="1" a="1"/>
  <c r="D204" i="1"/>
  <c r="E204" i="1"/>
  <c r="F204" i="1"/>
  <c r="G204" i="1"/>
  <c r="H204" i="1"/>
  <c r="B205" i="1" a="1"/>
  <c r="D205" i="1"/>
  <c r="E205" i="1"/>
  <c r="F205" i="1"/>
  <c r="G205" i="1"/>
  <c r="H205" i="1"/>
  <c r="B206" i="1" a="1"/>
  <c r="D206" i="1"/>
  <c r="E206" i="1"/>
  <c r="F206" i="1"/>
  <c r="G206" i="1"/>
  <c r="H206" i="1"/>
  <c r="C16" i="13" l="1"/>
  <c r="D2" i="5"/>
  <c r="AC11" i="3"/>
  <c r="T11" i="3"/>
  <c r="K11" i="3"/>
  <c r="B11" i="3"/>
  <c r="B70" i="2"/>
  <c r="B2" i="2"/>
  <c r="B16" i="2" s="1"/>
  <c r="B1" i="2"/>
  <c r="C104" i="3"/>
  <c r="C103" i="3" s="1"/>
  <c r="T72" i="3"/>
  <c r="L72" i="3"/>
  <c r="D72" i="3"/>
  <c r="C116" i="2"/>
  <c r="C115" i="2" s="1"/>
  <c r="M206" i="1"/>
  <c r="L206" i="1"/>
  <c r="K206" i="1"/>
  <c r="J206" i="1"/>
  <c r="I206" i="1"/>
  <c r="B206" i="1"/>
  <c r="M205" i="1"/>
  <c r="L205" i="1"/>
  <c r="K205" i="1"/>
  <c r="J205" i="1"/>
  <c r="I205" i="1"/>
  <c r="B205" i="1"/>
  <c r="M204" i="1"/>
  <c r="L204" i="1"/>
  <c r="K204" i="1"/>
  <c r="J204" i="1"/>
  <c r="I204" i="1"/>
  <c r="B204" i="1"/>
  <c r="M203" i="1"/>
  <c r="L203" i="1"/>
  <c r="K203" i="1"/>
  <c r="J203" i="1"/>
  <c r="I203" i="1"/>
  <c r="B203" i="1"/>
  <c r="M202" i="1"/>
  <c r="L202" i="1"/>
  <c r="K202" i="1"/>
  <c r="J202" i="1"/>
  <c r="I202" i="1"/>
  <c r="B202" i="1"/>
  <c r="M201" i="1"/>
  <c r="L201" i="1"/>
  <c r="K201" i="1"/>
  <c r="J201" i="1"/>
  <c r="I201" i="1"/>
  <c r="B201" i="1"/>
  <c r="M200" i="1"/>
  <c r="L200" i="1"/>
  <c r="K200" i="1"/>
  <c r="J200" i="1"/>
  <c r="I200" i="1"/>
  <c r="B200" i="1"/>
  <c r="M199" i="1"/>
  <c r="L199" i="1"/>
  <c r="K199" i="1"/>
  <c r="J199" i="1"/>
  <c r="I199" i="1"/>
  <c r="B199" i="1"/>
  <c r="M198" i="1"/>
  <c r="L198" i="1"/>
  <c r="K198" i="1"/>
  <c r="J198" i="1"/>
  <c r="I198" i="1"/>
  <c r="B198" i="1"/>
  <c r="M197" i="1"/>
  <c r="L197" i="1"/>
  <c r="K197" i="1"/>
  <c r="J197" i="1"/>
  <c r="I197" i="1"/>
  <c r="B197" i="1"/>
  <c r="M196" i="1"/>
  <c r="L196" i="1"/>
  <c r="K196" i="1"/>
  <c r="F195" i="1"/>
  <c r="K195" i="1" s="1"/>
  <c r="J196" i="1"/>
  <c r="E195" i="1"/>
  <c r="J195" i="1" s="1"/>
  <c r="I196" i="1"/>
  <c r="B196" i="1"/>
  <c r="M195" i="1"/>
  <c r="L195" i="1"/>
  <c r="I195" i="1"/>
  <c r="B195" i="1"/>
  <c r="M190" i="1"/>
  <c r="L190" i="1"/>
  <c r="K190" i="1"/>
  <c r="J190" i="1"/>
  <c r="I190" i="1"/>
  <c r="B190" i="1"/>
  <c r="M189" i="1"/>
  <c r="L189" i="1"/>
  <c r="K189" i="1"/>
  <c r="J189" i="1"/>
  <c r="I189" i="1"/>
  <c r="B189" i="1"/>
  <c r="M188" i="1"/>
  <c r="L188" i="1"/>
  <c r="K188" i="1"/>
  <c r="J188" i="1"/>
  <c r="I188" i="1"/>
  <c r="B188" i="1"/>
  <c r="M187" i="1"/>
  <c r="L187" i="1"/>
  <c r="K187" i="1"/>
  <c r="J187" i="1"/>
  <c r="I187" i="1"/>
  <c r="B187" i="1"/>
  <c r="M186" i="1"/>
  <c r="L186" i="1"/>
  <c r="K186" i="1"/>
  <c r="J186" i="1"/>
  <c r="I186" i="1"/>
  <c r="B186" i="1"/>
  <c r="M185" i="1"/>
  <c r="L185" i="1"/>
  <c r="K185" i="1"/>
  <c r="J185" i="1"/>
  <c r="I185" i="1"/>
  <c r="B185" i="1"/>
  <c r="M184" i="1"/>
  <c r="L184" i="1"/>
  <c r="K184" i="1"/>
  <c r="J184" i="1"/>
  <c r="I184" i="1"/>
  <c r="B184" i="1"/>
  <c r="M183" i="1"/>
  <c r="L183" i="1"/>
  <c r="K183" i="1"/>
  <c r="J183" i="1"/>
  <c r="I183" i="1"/>
  <c r="B183" i="1"/>
  <c r="M182" i="1"/>
  <c r="L182" i="1"/>
  <c r="K182" i="1"/>
  <c r="J182" i="1"/>
  <c r="I182" i="1"/>
  <c r="B182" i="1"/>
  <c r="M181" i="1"/>
  <c r="L181" i="1"/>
  <c r="K181" i="1"/>
  <c r="J181" i="1"/>
  <c r="I181" i="1"/>
  <c r="B181" i="1"/>
  <c r="M180" i="1"/>
  <c r="L180" i="1"/>
  <c r="K180" i="1"/>
  <c r="J180" i="1"/>
  <c r="I180" i="1"/>
  <c r="B180" i="1"/>
  <c r="M179" i="1"/>
  <c r="L179" i="1"/>
  <c r="K179" i="1"/>
  <c r="J179" i="1"/>
  <c r="I179" i="1"/>
  <c r="B179" i="1"/>
  <c r="M174" i="1"/>
  <c r="L174" i="1"/>
  <c r="K174" i="1"/>
  <c r="J174" i="1"/>
  <c r="I174" i="1"/>
  <c r="B174" i="1"/>
  <c r="M173" i="1"/>
  <c r="L173" i="1"/>
  <c r="K173" i="1"/>
  <c r="J173" i="1"/>
  <c r="I173" i="1"/>
  <c r="B173" i="1"/>
  <c r="M172" i="1"/>
  <c r="L172" i="1"/>
  <c r="K172" i="1"/>
  <c r="J172" i="1"/>
  <c r="I172" i="1"/>
  <c r="B172" i="1"/>
  <c r="M171" i="1"/>
  <c r="L171" i="1"/>
  <c r="K171" i="1"/>
  <c r="J171" i="1"/>
  <c r="I171" i="1"/>
  <c r="B171" i="1"/>
  <c r="M170" i="1"/>
  <c r="L170" i="1"/>
  <c r="K170" i="1"/>
  <c r="J170" i="1"/>
  <c r="I170" i="1"/>
  <c r="B170" i="1"/>
  <c r="M169" i="1"/>
  <c r="L169" i="1"/>
  <c r="K169" i="1"/>
  <c r="J169" i="1"/>
  <c r="I169" i="1"/>
  <c r="B169" i="1"/>
  <c r="M168" i="1"/>
  <c r="L168" i="1"/>
  <c r="K168" i="1"/>
  <c r="J168" i="1"/>
  <c r="I168" i="1"/>
  <c r="B168" i="1"/>
  <c r="M167" i="1"/>
  <c r="L167" i="1"/>
  <c r="K167" i="1"/>
  <c r="J167" i="1"/>
  <c r="I167" i="1"/>
  <c r="B167" i="1"/>
  <c r="M166" i="1"/>
  <c r="L166" i="1"/>
  <c r="K166" i="1"/>
  <c r="J166" i="1"/>
  <c r="I166" i="1"/>
  <c r="B166" i="1"/>
  <c r="M165" i="1"/>
  <c r="L165" i="1"/>
  <c r="K165" i="1"/>
  <c r="J165" i="1"/>
  <c r="I165" i="1"/>
  <c r="B165" i="1"/>
  <c r="M164" i="1"/>
  <c r="L164" i="1"/>
  <c r="K164" i="1"/>
  <c r="J164" i="1"/>
  <c r="I164" i="1"/>
  <c r="B164" i="1"/>
  <c r="M163" i="1"/>
  <c r="L163" i="1"/>
  <c r="K163" i="1"/>
  <c r="J163" i="1"/>
  <c r="I163" i="1"/>
  <c r="B163" i="1"/>
  <c r="M157" i="1"/>
  <c r="L157" i="1"/>
  <c r="K157" i="1"/>
  <c r="J157" i="1"/>
  <c r="I157" i="1"/>
  <c r="B157" i="1"/>
  <c r="M156" i="1"/>
  <c r="L156" i="1"/>
  <c r="K156" i="1"/>
  <c r="J156" i="1"/>
  <c r="I156" i="1"/>
  <c r="B156" i="1"/>
  <c r="M155" i="1"/>
  <c r="L155" i="1"/>
  <c r="K155" i="1"/>
  <c r="J155" i="1"/>
  <c r="I155" i="1"/>
  <c r="B155" i="1"/>
  <c r="M154" i="1"/>
  <c r="L154" i="1"/>
  <c r="K154" i="1"/>
  <c r="J154" i="1"/>
  <c r="I154" i="1"/>
  <c r="B154" i="1"/>
  <c r="M153" i="1"/>
  <c r="L153" i="1"/>
  <c r="K153" i="1"/>
  <c r="J153" i="1"/>
  <c r="I153" i="1"/>
  <c r="B153" i="1"/>
  <c r="M152" i="1"/>
  <c r="L152" i="1"/>
  <c r="K152" i="1"/>
  <c r="J152" i="1"/>
  <c r="I152" i="1"/>
  <c r="B152" i="1"/>
  <c r="M151" i="1"/>
  <c r="L151" i="1"/>
  <c r="K151" i="1"/>
  <c r="J151" i="1"/>
  <c r="I151" i="1"/>
  <c r="B151" i="1"/>
  <c r="M150" i="1"/>
  <c r="L150" i="1"/>
  <c r="K150" i="1"/>
  <c r="J150" i="1"/>
  <c r="I150" i="1"/>
  <c r="B150" i="1"/>
  <c r="M149" i="1"/>
  <c r="L149" i="1"/>
  <c r="K149" i="1"/>
  <c r="J149" i="1"/>
  <c r="I149" i="1"/>
  <c r="B149" i="1"/>
  <c r="M148" i="1"/>
  <c r="L148" i="1"/>
  <c r="K148" i="1"/>
  <c r="J148" i="1"/>
  <c r="I148" i="1"/>
  <c r="B148" i="1"/>
  <c r="M147" i="1"/>
  <c r="L147" i="1"/>
  <c r="K147" i="1"/>
  <c r="J147" i="1"/>
  <c r="I147" i="1"/>
  <c r="B147" i="1"/>
  <c r="M146" i="1"/>
  <c r="L146" i="1"/>
  <c r="K146" i="1"/>
  <c r="J146" i="1"/>
  <c r="I146" i="1"/>
  <c r="B146" i="1"/>
  <c r="M140" i="1"/>
  <c r="L140" i="1"/>
  <c r="K140" i="1"/>
  <c r="J140" i="1"/>
  <c r="I140" i="1"/>
  <c r="B140" i="1"/>
  <c r="M139" i="1"/>
  <c r="L139" i="1"/>
  <c r="K139" i="1"/>
  <c r="J139" i="1"/>
  <c r="I139" i="1"/>
  <c r="B139" i="1"/>
  <c r="M138" i="1"/>
  <c r="L138" i="1"/>
  <c r="K138" i="1"/>
  <c r="J138" i="1"/>
  <c r="I138" i="1"/>
  <c r="B138" i="1"/>
  <c r="M137" i="1"/>
  <c r="L137" i="1"/>
  <c r="K137" i="1"/>
  <c r="J137" i="1"/>
  <c r="I137" i="1"/>
  <c r="B137" i="1"/>
  <c r="M136" i="1"/>
  <c r="L136" i="1"/>
  <c r="K136" i="1"/>
  <c r="J136" i="1"/>
  <c r="I136" i="1"/>
  <c r="B136" i="1"/>
  <c r="M135" i="1"/>
  <c r="L135" i="1"/>
  <c r="K135" i="1"/>
  <c r="J135" i="1"/>
  <c r="I135" i="1"/>
  <c r="B135" i="1"/>
  <c r="M134" i="1"/>
  <c r="L134" i="1"/>
  <c r="K134" i="1"/>
  <c r="J134" i="1"/>
  <c r="I134" i="1"/>
  <c r="B134" i="1"/>
  <c r="M133" i="1"/>
  <c r="L133" i="1"/>
  <c r="K133" i="1"/>
  <c r="J133" i="1"/>
  <c r="I133" i="1"/>
  <c r="B133" i="1"/>
  <c r="M132" i="1"/>
  <c r="L132" i="1"/>
  <c r="K132" i="1"/>
  <c r="J132" i="1"/>
  <c r="I132" i="1"/>
  <c r="B132" i="1"/>
  <c r="M131" i="1"/>
  <c r="L131" i="1"/>
  <c r="K131" i="1"/>
  <c r="J131" i="1"/>
  <c r="I131" i="1"/>
  <c r="B131" i="1"/>
  <c r="M130" i="1"/>
  <c r="L130" i="1"/>
  <c r="K130" i="1"/>
  <c r="J130" i="1"/>
  <c r="I130" i="1"/>
  <c r="B130" i="1"/>
  <c r="M129" i="1"/>
  <c r="L129" i="1"/>
  <c r="K129" i="1"/>
  <c r="J129" i="1"/>
  <c r="I129" i="1"/>
  <c r="B129" i="1"/>
  <c r="M124" i="1"/>
  <c r="L124" i="1"/>
  <c r="K124" i="1"/>
  <c r="J124" i="1"/>
  <c r="I124" i="1"/>
  <c r="B124" i="1"/>
  <c r="M123" i="1"/>
  <c r="L123" i="1"/>
  <c r="K123" i="1"/>
  <c r="J123" i="1"/>
  <c r="I123" i="1"/>
  <c r="B123" i="1"/>
  <c r="M122" i="1"/>
  <c r="L122" i="1"/>
  <c r="K122" i="1"/>
  <c r="J122" i="1"/>
  <c r="I122" i="1"/>
  <c r="B122" i="1"/>
  <c r="M121" i="1"/>
  <c r="L121" i="1"/>
  <c r="K121" i="1"/>
  <c r="J121" i="1"/>
  <c r="I121" i="1"/>
  <c r="B121" i="1"/>
  <c r="M120" i="1"/>
  <c r="L120" i="1"/>
  <c r="K120" i="1"/>
  <c r="J120" i="1"/>
  <c r="I120" i="1"/>
  <c r="B120" i="1"/>
  <c r="M119" i="1"/>
  <c r="L119" i="1"/>
  <c r="K119" i="1"/>
  <c r="J119" i="1"/>
  <c r="I119" i="1"/>
  <c r="B119" i="1"/>
  <c r="M118" i="1"/>
  <c r="L118" i="1"/>
  <c r="K118" i="1"/>
  <c r="J118" i="1"/>
  <c r="I118" i="1"/>
  <c r="B118" i="1"/>
  <c r="M117" i="1"/>
  <c r="L117" i="1"/>
  <c r="K117" i="1"/>
  <c r="J117" i="1"/>
  <c r="I117" i="1"/>
  <c r="B117" i="1"/>
  <c r="M116" i="1"/>
  <c r="L116" i="1"/>
  <c r="K116" i="1"/>
  <c r="J116" i="1"/>
  <c r="I116" i="1"/>
  <c r="B116" i="1"/>
  <c r="M115" i="1"/>
  <c r="L115" i="1"/>
  <c r="K115" i="1"/>
  <c r="J115" i="1"/>
  <c r="I115" i="1"/>
  <c r="B115" i="1"/>
  <c r="M114" i="1"/>
  <c r="L114" i="1"/>
  <c r="K114" i="1"/>
  <c r="J114" i="1"/>
  <c r="I114" i="1"/>
  <c r="B114" i="1"/>
  <c r="M113" i="1"/>
  <c r="L113" i="1"/>
  <c r="K113" i="1"/>
  <c r="J113" i="1"/>
  <c r="I113" i="1"/>
  <c r="B113" i="1"/>
  <c r="M107" i="1"/>
  <c r="L107" i="1"/>
  <c r="K107" i="1"/>
  <c r="J107" i="1"/>
  <c r="I107" i="1"/>
  <c r="B107" i="1"/>
  <c r="M106" i="1"/>
  <c r="L106" i="1"/>
  <c r="K106" i="1"/>
  <c r="J106" i="1"/>
  <c r="I106" i="1"/>
  <c r="B106" i="1"/>
  <c r="M105" i="1"/>
  <c r="L105" i="1"/>
  <c r="K105" i="1"/>
  <c r="J105" i="1"/>
  <c r="I105" i="1"/>
  <c r="B105" i="1"/>
  <c r="M104" i="1"/>
  <c r="L104" i="1"/>
  <c r="K104" i="1"/>
  <c r="J104" i="1"/>
  <c r="I104" i="1"/>
  <c r="B104" i="1"/>
  <c r="M103" i="1"/>
  <c r="L103" i="1"/>
  <c r="K103" i="1"/>
  <c r="J103" i="1"/>
  <c r="I103" i="1"/>
  <c r="B103" i="1"/>
  <c r="M102" i="1"/>
  <c r="L102" i="1"/>
  <c r="K102" i="1"/>
  <c r="J102" i="1"/>
  <c r="I102" i="1"/>
  <c r="B102" i="1"/>
  <c r="M101" i="1"/>
  <c r="L101" i="1"/>
  <c r="K101" i="1"/>
  <c r="J101" i="1"/>
  <c r="I101" i="1"/>
  <c r="B101" i="1"/>
  <c r="M100" i="1"/>
  <c r="L100" i="1"/>
  <c r="K100" i="1"/>
  <c r="J100" i="1"/>
  <c r="I100" i="1"/>
  <c r="B100" i="1"/>
  <c r="M99" i="1"/>
  <c r="L99" i="1"/>
  <c r="K99" i="1"/>
  <c r="J99" i="1"/>
  <c r="I99" i="1"/>
  <c r="B99" i="1"/>
  <c r="M98" i="1"/>
  <c r="L98" i="1"/>
  <c r="K98" i="1"/>
  <c r="J98" i="1"/>
  <c r="I98" i="1"/>
  <c r="B98" i="1"/>
  <c r="M97" i="1"/>
  <c r="L97" i="1"/>
  <c r="K97" i="1"/>
  <c r="J97" i="1"/>
  <c r="I97" i="1"/>
  <c r="B97" i="1"/>
  <c r="M96" i="1"/>
  <c r="L96" i="1"/>
  <c r="K96" i="1"/>
  <c r="J96" i="1"/>
  <c r="I96" i="1"/>
  <c r="B96" i="1"/>
  <c r="L86" i="1"/>
  <c r="L85" i="1"/>
  <c r="L84" i="1"/>
  <c r="L83" i="1"/>
  <c r="L82" i="1"/>
  <c r="L81" i="1"/>
  <c r="L80" i="1"/>
  <c r="L79" i="1"/>
  <c r="L78" i="1"/>
  <c r="K73" i="1"/>
  <c r="K72" i="1"/>
  <c r="K71" i="1"/>
  <c r="B71" i="1"/>
  <c r="K70" i="1"/>
  <c r="K69" i="1"/>
  <c r="K68" i="1"/>
  <c r="K67" i="1"/>
  <c r="J66" i="1"/>
  <c r="J65" i="1"/>
  <c r="J64" i="1"/>
  <c r="D64" i="1"/>
  <c r="C62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B5" i="1"/>
  <c r="B2" i="1"/>
  <c r="M21" i="1"/>
  <c r="M20" i="1" s="1"/>
  <c r="T16" i="1"/>
  <c r="T17" i="1" s="1"/>
  <c r="T3" i="1"/>
  <c r="T4" i="1" s="1"/>
  <c r="L2" i="5" a="1"/>
  <c r="C108" i="3"/>
  <c r="C107" i="3"/>
  <c r="C106" i="3"/>
  <c r="C105" i="3"/>
  <c r="AC12" i="3" a="1"/>
  <c r="AF11" i="3" a="1"/>
  <c r="AE11" i="3" a="1"/>
  <c r="AD11" i="3" a="1"/>
  <c r="W72" i="3" a="1"/>
  <c r="T12" i="3" a="1"/>
  <c r="W11" i="3" a="1"/>
  <c r="V11" i="3" a="1"/>
  <c r="U11" i="3" a="1"/>
  <c r="O72" i="3" a="1"/>
  <c r="K12" i="3" a="1"/>
  <c r="N11" i="3" a="1"/>
  <c r="M11" i="3" a="1"/>
  <c r="L11" i="3" a="1"/>
  <c r="G72" i="3" a="1"/>
  <c r="B12" i="3" a="1"/>
  <c r="E11" i="3" a="1"/>
  <c r="D11" i="3" a="1"/>
  <c r="C11" i="3" a="1"/>
  <c r="C122" i="2" a="1"/>
  <c r="C121" i="2" a="1"/>
  <c r="C120" i="2" a="1"/>
  <c r="C119" i="2" a="1"/>
  <c r="C118" i="2" a="1"/>
  <c r="C117" i="2" a="1"/>
  <c r="B71" i="2" a="1"/>
  <c r="B17" i="2" a="1"/>
  <c r="K66" i="1" a="1"/>
  <c r="S50" i="1" a="1"/>
  <c r="S51" i="1" a="1"/>
  <c r="S52" i="1" a="1"/>
  <c r="S53" i="1" a="1"/>
  <c r="S54" i="1" a="1"/>
  <c r="S55" i="1" a="1"/>
  <c r="S56" i="1" a="1"/>
  <c r="S57" i="1" a="1"/>
  <c r="S58" i="1" a="1"/>
  <c r="S59" i="1" a="1"/>
  <c r="S60" i="1" a="1"/>
  <c r="K65" i="1" a="1"/>
  <c r="N22" i="1"/>
  <c r="N23" i="1"/>
  <c r="N24" i="1"/>
  <c r="N25" i="1"/>
  <c r="N26" i="1"/>
  <c r="K64" i="1" a="1"/>
  <c r="C71" i="1"/>
  <c r="E71" i="1"/>
  <c r="B72" i="1" a="1"/>
  <c r="E64" i="1" a="1"/>
  <c r="D65" i="1" a="1"/>
  <c r="D66" i="1" a="1"/>
  <c r="D67" i="1" a="1"/>
  <c r="D68" i="1" a="1"/>
  <c r="M192" i="1" a="1"/>
  <c r="M176" i="1" a="1"/>
  <c r="M160" i="1" a="1"/>
  <c r="M143" i="1" a="1"/>
  <c r="M126" i="1" a="1"/>
  <c r="M110" i="1" a="1"/>
  <c r="M93" i="1" a="1"/>
  <c r="L2" i="5" l="1"/>
  <c r="B17" i="2"/>
  <c r="B71" i="2"/>
  <c r="C117" i="2"/>
  <c r="C118" i="2"/>
  <c r="C119" i="2"/>
  <c r="C120" i="2"/>
  <c r="C121" i="2"/>
  <c r="C122" i="2"/>
  <c r="C11" i="3"/>
  <c r="C132" i="3" s="1"/>
  <c r="D11" i="3"/>
  <c r="E11" i="3"/>
  <c r="B12" i="3"/>
  <c r="G72" i="3"/>
  <c r="L11" i="3"/>
  <c r="M11" i="3"/>
  <c r="O11" i="3" s="1"/>
  <c r="N11" i="3"/>
  <c r="P11" i="3" s="1"/>
  <c r="K12" i="3"/>
  <c r="O72" i="3"/>
  <c r="U11" i="3"/>
  <c r="V11" i="3"/>
  <c r="X11" i="3" s="1"/>
  <c r="W11" i="3"/>
  <c r="Y11" i="3" s="1"/>
  <c r="T12" i="3"/>
  <c r="W72" i="3"/>
  <c r="AD11" i="3"/>
  <c r="AE11" i="3"/>
  <c r="AG11" i="3" s="1"/>
  <c r="AF11" i="3"/>
  <c r="AH11" i="3" s="1"/>
  <c r="AC12" i="3"/>
  <c r="C70" i="2"/>
  <c r="B132" i="3"/>
  <c r="L132" i="3"/>
  <c r="M93" i="1"/>
  <c r="M110" i="1"/>
  <c r="M126" i="1"/>
  <c r="M143" i="1"/>
  <c r="M160" i="1"/>
  <c r="M176" i="1"/>
  <c r="M192" i="1"/>
  <c r="D68" i="1"/>
  <c r="D67" i="1"/>
  <c r="D66" i="1"/>
  <c r="D65" i="1"/>
  <c r="E64" i="1"/>
  <c r="B72" i="1"/>
  <c r="K64" i="1"/>
  <c r="K65" i="1"/>
  <c r="S60" i="1"/>
  <c r="S59" i="1"/>
  <c r="S58" i="1"/>
  <c r="S57" i="1"/>
  <c r="S56" i="1"/>
  <c r="S55" i="1"/>
  <c r="S54" i="1"/>
  <c r="S53" i="1"/>
  <c r="S52" i="1"/>
  <c r="S51" i="1"/>
  <c r="S50" i="1"/>
  <c r="K66" i="1"/>
  <c r="T5" i="1"/>
  <c r="T18" i="1" s="1"/>
  <c r="B13" i="3" a="1"/>
  <c r="E12" i="3" a="1"/>
  <c r="D12" i="3" a="1"/>
  <c r="C12" i="3" a="1"/>
  <c r="AO70" i="2" a="1"/>
  <c r="AN70" i="2" a="1"/>
  <c r="AM70" i="2" a="1"/>
  <c r="AL70" i="2" a="1"/>
  <c r="AK70" i="2" a="1"/>
  <c r="AD70" i="2" a="1"/>
  <c r="AC70" i="2" a="1"/>
  <c r="AB70" i="2" a="1"/>
  <c r="AA70" i="2" a="1"/>
  <c r="Z70" i="2" a="1"/>
  <c r="S70" i="2" a="1"/>
  <c r="R70" i="2" a="1"/>
  <c r="Q70" i="2" a="1"/>
  <c r="P70" i="2" a="1"/>
  <c r="O70" i="2" a="1"/>
  <c r="H70" i="2" a="1"/>
  <c r="G70" i="2" a="1"/>
  <c r="F70" i="2" a="1"/>
  <c r="E70" i="2" a="1"/>
  <c r="D70" i="2" a="1"/>
  <c r="B18" i="2" a="1"/>
  <c r="C17" i="2" a="1"/>
  <c r="G132" i="3" a="1"/>
  <c r="H132" i="3" a="1"/>
  <c r="I132" i="3" a="1"/>
  <c r="D132" i="3" a="1"/>
  <c r="E132" i="3" a="1"/>
  <c r="J132" i="3" a="1"/>
  <c r="F132" i="3" a="1"/>
  <c r="K13" i="3" a="1"/>
  <c r="N12" i="3" a="1"/>
  <c r="M12" i="3" a="1"/>
  <c r="L12" i="3" a="1"/>
  <c r="B72" i="2" a="1"/>
  <c r="AC13" i="3" a="1"/>
  <c r="AF12" i="3" a="1"/>
  <c r="AE12" i="3" a="1"/>
  <c r="AD12" i="3" a="1"/>
  <c r="T13" i="3" a="1"/>
  <c r="W12" i="3" a="1"/>
  <c r="V12" i="3" a="1"/>
  <c r="U12" i="3" a="1"/>
  <c r="E67" i="1" a="1"/>
  <c r="O59" i="1" a="1"/>
  <c r="P59" i="1" a="1"/>
  <c r="Q59" i="1" a="1"/>
  <c r="R59" i="1" a="1"/>
  <c r="O51" i="1" a="1"/>
  <c r="P51" i="1" a="1"/>
  <c r="Q51" i="1" a="1"/>
  <c r="R51" i="1" a="1"/>
  <c r="E66" i="1" a="1"/>
  <c r="O58" i="1" a="1"/>
  <c r="P58" i="1" a="1"/>
  <c r="Q58" i="1" a="1"/>
  <c r="R58" i="1" a="1"/>
  <c r="O50" i="1" a="1"/>
  <c r="P50" i="1" a="1"/>
  <c r="Q50" i="1" a="1"/>
  <c r="R50" i="1" a="1"/>
  <c r="E65" i="1" a="1"/>
  <c r="O57" i="1" a="1"/>
  <c r="P57" i="1" a="1"/>
  <c r="Q57" i="1" a="1"/>
  <c r="R57" i="1" a="1"/>
  <c r="C72" i="1"/>
  <c r="E72" i="1"/>
  <c r="B73" i="1" a="1"/>
  <c r="O55" i="1" a="1"/>
  <c r="P55" i="1" a="1"/>
  <c r="Q55" i="1" a="1"/>
  <c r="R55" i="1" a="1"/>
  <c r="E68" i="1" a="1"/>
  <c r="O56" i="1" a="1"/>
  <c r="P56" i="1" a="1"/>
  <c r="Q56" i="1" a="1"/>
  <c r="R56" i="1" a="1"/>
  <c r="O52" i="1" a="1"/>
  <c r="P52" i="1" a="1"/>
  <c r="Q52" i="1" a="1"/>
  <c r="R52" i="1" a="1"/>
  <c r="O54" i="1" a="1"/>
  <c r="P54" i="1" a="1"/>
  <c r="Q54" i="1" a="1"/>
  <c r="R54" i="1" a="1"/>
  <c r="O53" i="1" a="1"/>
  <c r="P53" i="1" a="1"/>
  <c r="Q53" i="1" a="1"/>
  <c r="R53" i="1" a="1"/>
  <c r="O60" i="1" a="1"/>
  <c r="P60" i="1" a="1"/>
  <c r="Q60" i="1" a="1"/>
  <c r="R60" i="1" a="1"/>
  <c r="M132" i="3" l="1"/>
  <c r="U12" i="3"/>
  <c r="V12" i="3"/>
  <c r="X12" i="3" s="1"/>
  <c r="W12" i="3"/>
  <c r="Y12" i="3" s="1"/>
  <c r="T13" i="3"/>
  <c r="AD12" i="3"/>
  <c r="AE12" i="3"/>
  <c r="AG12" i="3" s="1"/>
  <c r="AF12" i="3"/>
  <c r="AH12" i="3" s="1"/>
  <c r="AC13" i="3"/>
  <c r="B72" i="2"/>
  <c r="L12" i="3"/>
  <c r="M12" i="3"/>
  <c r="O12" i="3" s="1"/>
  <c r="N12" i="3"/>
  <c r="P12" i="3" s="1"/>
  <c r="K13" i="3"/>
  <c r="F132" i="3"/>
  <c r="J132" i="3"/>
  <c r="E132" i="3"/>
  <c r="D132" i="3"/>
  <c r="I132" i="3"/>
  <c r="H132" i="3"/>
  <c r="G132" i="3"/>
  <c r="C17" i="2"/>
  <c r="D17" i="2" s="1"/>
  <c r="B18" i="2"/>
  <c r="D70" i="2"/>
  <c r="E70" i="2"/>
  <c r="F70" i="2"/>
  <c r="I70" i="2" s="1"/>
  <c r="G70" i="2"/>
  <c r="H70" i="2"/>
  <c r="O70" i="2"/>
  <c r="P70" i="2"/>
  <c r="Q70" i="2"/>
  <c r="T70" i="2" s="1"/>
  <c r="R70" i="2"/>
  <c r="S70" i="2"/>
  <c r="Z70" i="2"/>
  <c r="AA70" i="2"/>
  <c r="AB70" i="2"/>
  <c r="AE70" i="2" s="1"/>
  <c r="AC70" i="2"/>
  <c r="AD70" i="2"/>
  <c r="AK70" i="2"/>
  <c r="AL70" i="2"/>
  <c r="AM70" i="2"/>
  <c r="AP70" i="2" s="1"/>
  <c r="AN70" i="2"/>
  <c r="AO70" i="2"/>
  <c r="C12" i="3"/>
  <c r="C133" i="3" s="1"/>
  <c r="D12" i="3"/>
  <c r="F12" i="3" s="1"/>
  <c r="E12" i="3"/>
  <c r="G12" i="3" s="1"/>
  <c r="B13" i="3"/>
  <c r="G11" i="3"/>
  <c r="D4" i="3"/>
  <c r="F11" i="3"/>
  <c r="C71" i="2"/>
  <c r="L133" i="3"/>
  <c r="B133" i="3"/>
  <c r="R60" i="1"/>
  <c r="Q60" i="1"/>
  <c r="P60" i="1"/>
  <c r="O60" i="1"/>
  <c r="R53" i="1"/>
  <c r="Q53" i="1"/>
  <c r="P53" i="1"/>
  <c r="O53" i="1"/>
  <c r="R54" i="1"/>
  <c r="Q54" i="1"/>
  <c r="P54" i="1"/>
  <c r="O54" i="1"/>
  <c r="R52" i="1"/>
  <c r="Q52" i="1"/>
  <c r="P52" i="1"/>
  <c r="O52" i="1"/>
  <c r="R56" i="1"/>
  <c r="Q56" i="1"/>
  <c r="P56" i="1"/>
  <c r="O56" i="1"/>
  <c r="E68" i="1"/>
  <c r="R55" i="1"/>
  <c r="Q55" i="1"/>
  <c r="P55" i="1"/>
  <c r="O55" i="1"/>
  <c r="B73" i="1"/>
  <c r="R57" i="1"/>
  <c r="Q57" i="1"/>
  <c r="P57" i="1"/>
  <c r="O57" i="1"/>
  <c r="E65" i="1"/>
  <c r="R50" i="1"/>
  <c r="Q50" i="1"/>
  <c r="P50" i="1"/>
  <c r="O50" i="1"/>
  <c r="R58" i="1"/>
  <c r="Q58" i="1"/>
  <c r="P58" i="1"/>
  <c r="O58" i="1"/>
  <c r="E66" i="1"/>
  <c r="R51" i="1"/>
  <c r="Q51" i="1"/>
  <c r="P51" i="1"/>
  <c r="O51" i="1"/>
  <c r="R59" i="1"/>
  <c r="Q59" i="1"/>
  <c r="P59" i="1"/>
  <c r="O59" i="1"/>
  <c r="E67" i="1"/>
  <c r="T9" i="1"/>
  <c r="T22" i="1" s="1"/>
  <c r="T10" i="1"/>
  <c r="T23" i="1" s="1"/>
  <c r="T8" i="1"/>
  <c r="T21" i="1" s="1"/>
  <c r="T12" i="1"/>
  <c r="T25" i="1" s="1"/>
  <c r="T11" i="1"/>
  <c r="T24" i="1" s="1"/>
  <c r="T13" i="1"/>
  <c r="T26" i="1" s="1"/>
  <c r="T6" i="1"/>
  <c r="T19" i="1" s="1"/>
  <c r="T14" i="1"/>
  <c r="T7" i="1"/>
  <c r="T20" i="1" s="1"/>
  <c r="P132" i="3" a="1"/>
  <c r="Q132" i="3" a="1"/>
  <c r="R132" i="3" a="1"/>
  <c r="O132" i="3" a="1"/>
  <c r="N132" i="3" a="1"/>
  <c r="B19" i="2" a="1"/>
  <c r="C18" i="2" a="1"/>
  <c r="B14" i="3" a="1"/>
  <c r="E13" i="3" a="1"/>
  <c r="D13" i="3" a="1"/>
  <c r="C13" i="3" a="1"/>
  <c r="AC14" i="3" a="1"/>
  <c r="AF13" i="3" a="1"/>
  <c r="AE13" i="3" a="1"/>
  <c r="AD13" i="3" a="1"/>
  <c r="T14" i="3" a="1"/>
  <c r="W13" i="3" a="1"/>
  <c r="V13" i="3" a="1"/>
  <c r="U13" i="3" a="1"/>
  <c r="B73" i="2" a="1"/>
  <c r="Y17" i="2" a="1"/>
  <c r="U17" i="2" a="1"/>
  <c r="Q17" i="2" a="1"/>
  <c r="M17" i="2" a="1"/>
  <c r="I17" i="2" a="1"/>
  <c r="E17" i="2" a="1"/>
  <c r="K14" i="3" a="1"/>
  <c r="N13" i="3" a="1"/>
  <c r="M13" i="3" a="1"/>
  <c r="L13" i="3" a="1"/>
  <c r="G133" i="3" a="1"/>
  <c r="H133" i="3" a="1"/>
  <c r="I133" i="3" a="1"/>
  <c r="D133" i="3" a="1"/>
  <c r="E133" i="3" a="1"/>
  <c r="J133" i="3" a="1"/>
  <c r="F133" i="3" a="1"/>
  <c r="AO71" i="2" a="1"/>
  <c r="AN71" i="2" a="1"/>
  <c r="AM71" i="2" a="1"/>
  <c r="AL71" i="2" a="1"/>
  <c r="AK71" i="2" a="1"/>
  <c r="AD71" i="2" a="1"/>
  <c r="AC71" i="2" a="1"/>
  <c r="AB71" i="2" a="1"/>
  <c r="AA71" i="2" a="1"/>
  <c r="Z71" i="2" a="1"/>
  <c r="S71" i="2" a="1"/>
  <c r="R71" i="2" a="1"/>
  <c r="Q71" i="2" a="1"/>
  <c r="P71" i="2" a="1"/>
  <c r="O71" i="2" a="1"/>
  <c r="H71" i="2" a="1"/>
  <c r="G71" i="2" a="1"/>
  <c r="F71" i="2" a="1"/>
  <c r="E71" i="2" a="1"/>
  <c r="D71" i="2" a="1"/>
  <c r="C73" i="1"/>
  <c r="E73" i="1"/>
  <c r="B74" i="1" a="1"/>
  <c r="K70" i="2" l="1"/>
  <c r="AQ70" i="2"/>
  <c r="N132" i="3"/>
  <c r="O132" i="3"/>
  <c r="R132" i="3"/>
  <c r="Q132" i="3"/>
  <c r="P132" i="3"/>
  <c r="M133" i="3"/>
  <c r="AG70" i="2"/>
  <c r="W70" i="2"/>
  <c r="X70" i="2"/>
  <c r="AR70" i="2"/>
  <c r="AI70" i="2"/>
  <c r="AF70" i="2"/>
  <c r="D71" i="2"/>
  <c r="E71" i="2"/>
  <c r="F71" i="2"/>
  <c r="I71" i="2" s="1"/>
  <c r="G71" i="2"/>
  <c r="H71" i="2"/>
  <c r="O71" i="2"/>
  <c r="P71" i="2"/>
  <c r="Q71" i="2"/>
  <c r="T71" i="2" s="1"/>
  <c r="R71" i="2"/>
  <c r="S71" i="2"/>
  <c r="Z71" i="2"/>
  <c r="AA71" i="2"/>
  <c r="AB71" i="2"/>
  <c r="AE71" i="2" s="1"/>
  <c r="AC71" i="2"/>
  <c r="AD71" i="2"/>
  <c r="AK71" i="2"/>
  <c r="AL71" i="2"/>
  <c r="AM71" i="2"/>
  <c r="AP71" i="2" s="1"/>
  <c r="AN71" i="2"/>
  <c r="AO71" i="2"/>
  <c r="F133" i="3"/>
  <c r="J133" i="3"/>
  <c r="E133" i="3"/>
  <c r="D133" i="3"/>
  <c r="I133" i="3"/>
  <c r="H133" i="3"/>
  <c r="G133" i="3"/>
  <c r="L13" i="3"/>
  <c r="M13" i="3"/>
  <c r="O13" i="3" s="1"/>
  <c r="N13" i="3"/>
  <c r="P13" i="3" s="1"/>
  <c r="K14" i="3"/>
  <c r="E17" i="2"/>
  <c r="I17" i="2"/>
  <c r="M17" i="2"/>
  <c r="Q17" i="2"/>
  <c r="U17" i="2"/>
  <c r="Y17" i="2"/>
  <c r="B73" i="2"/>
  <c r="U13" i="3"/>
  <c r="V13" i="3"/>
  <c r="X13" i="3" s="1"/>
  <c r="W13" i="3"/>
  <c r="Y13" i="3" s="1"/>
  <c r="T14" i="3"/>
  <c r="AD13" i="3"/>
  <c r="AE13" i="3"/>
  <c r="AG13" i="3" s="1"/>
  <c r="AF13" i="3"/>
  <c r="AH13" i="3" s="1"/>
  <c r="AC14" i="3"/>
  <c r="C13" i="3"/>
  <c r="C134" i="3" s="1"/>
  <c r="D13" i="3"/>
  <c r="F13" i="3" s="1"/>
  <c r="E13" i="3"/>
  <c r="G13" i="3" s="1"/>
  <c r="B14" i="3"/>
  <c r="C18" i="2"/>
  <c r="D18" i="2" s="1"/>
  <c r="B19" i="2"/>
  <c r="L134" i="3"/>
  <c r="AH70" i="2"/>
  <c r="J70" i="2"/>
  <c r="C72" i="2"/>
  <c r="L70" i="2"/>
  <c r="AS70" i="2"/>
  <c r="U70" i="2"/>
  <c r="M70" i="2"/>
  <c r="V70" i="2"/>
  <c r="B134" i="3"/>
  <c r="AT70" i="2"/>
  <c r="B74" i="1"/>
  <c r="P133" i="3" a="1"/>
  <c r="Q133" i="3" a="1"/>
  <c r="R133" i="3" a="1"/>
  <c r="O133" i="3" a="1"/>
  <c r="N133" i="3" a="1"/>
  <c r="G134" i="3" a="1"/>
  <c r="H134" i="3" a="1"/>
  <c r="I134" i="3" a="1"/>
  <c r="D134" i="3" a="1"/>
  <c r="E134" i="3" a="1"/>
  <c r="J134" i="3" a="1"/>
  <c r="F134" i="3" a="1"/>
  <c r="AO72" i="2" a="1"/>
  <c r="AN72" i="2" a="1"/>
  <c r="AM72" i="2" a="1"/>
  <c r="AL72" i="2" a="1"/>
  <c r="AK72" i="2" a="1"/>
  <c r="AD72" i="2" a="1"/>
  <c r="AC72" i="2" a="1"/>
  <c r="AB72" i="2" a="1"/>
  <c r="AA72" i="2" a="1"/>
  <c r="Z72" i="2" a="1"/>
  <c r="S72" i="2" a="1"/>
  <c r="R72" i="2" a="1"/>
  <c r="Q72" i="2" a="1"/>
  <c r="P72" i="2" a="1"/>
  <c r="O72" i="2" a="1"/>
  <c r="H72" i="2" a="1"/>
  <c r="G72" i="2" a="1"/>
  <c r="F72" i="2" a="1"/>
  <c r="E72" i="2" a="1"/>
  <c r="D72" i="2" a="1"/>
  <c r="K15" i="3" a="1"/>
  <c r="N14" i="3" a="1"/>
  <c r="M14" i="3" a="1"/>
  <c r="L14" i="3" a="1"/>
  <c r="T15" i="3" a="1"/>
  <c r="W14" i="3" a="1"/>
  <c r="V14" i="3" a="1"/>
  <c r="U14" i="3" a="1"/>
  <c r="B15" i="3" a="1"/>
  <c r="E14" i="3" a="1"/>
  <c r="D14" i="3" a="1"/>
  <c r="C14" i="3" a="1"/>
  <c r="B20" i="2" a="1"/>
  <c r="C19" i="2" a="1"/>
  <c r="B74" i="2" a="1"/>
  <c r="Y18" i="2" a="1"/>
  <c r="U18" i="2" a="1"/>
  <c r="Q18" i="2" a="1"/>
  <c r="M18" i="2" a="1"/>
  <c r="I18" i="2" a="1"/>
  <c r="E18" i="2" a="1"/>
  <c r="AC15" i="3" a="1"/>
  <c r="AF14" i="3" a="1"/>
  <c r="AE14" i="3" a="1"/>
  <c r="AD14" i="3" a="1"/>
  <c r="C74" i="1"/>
  <c r="E74" i="1"/>
  <c r="B75" i="1" a="1"/>
  <c r="N133" i="3" l="1"/>
  <c r="O133" i="3"/>
  <c r="R133" i="3"/>
  <c r="Q133" i="3"/>
  <c r="P133" i="3"/>
  <c r="M134" i="3"/>
  <c r="AR71" i="2"/>
  <c r="K71" i="2"/>
  <c r="AF71" i="2"/>
  <c r="AQ71" i="2"/>
  <c r="V71" i="2"/>
  <c r="U71" i="2"/>
  <c r="AD14" i="3"/>
  <c r="AE14" i="3"/>
  <c r="AG14" i="3" s="1"/>
  <c r="AF14" i="3"/>
  <c r="AH14" i="3" s="1"/>
  <c r="AC15" i="3"/>
  <c r="E18" i="2"/>
  <c r="I18" i="2"/>
  <c r="M18" i="2"/>
  <c r="Q18" i="2"/>
  <c r="U18" i="2"/>
  <c r="Y18" i="2"/>
  <c r="B74" i="2"/>
  <c r="C19" i="2"/>
  <c r="D19" i="2" s="1"/>
  <c r="B20" i="2"/>
  <c r="C14" i="3"/>
  <c r="C135" i="3" s="1"/>
  <c r="D14" i="3"/>
  <c r="F14" i="3" s="1"/>
  <c r="E14" i="3"/>
  <c r="G14" i="3" s="1"/>
  <c r="B15" i="3"/>
  <c r="U14" i="3"/>
  <c r="V14" i="3"/>
  <c r="X14" i="3" s="1"/>
  <c r="W14" i="3"/>
  <c r="Y14" i="3" s="1"/>
  <c r="T15" i="3"/>
  <c r="L14" i="3"/>
  <c r="M14" i="3"/>
  <c r="O14" i="3" s="1"/>
  <c r="N14" i="3"/>
  <c r="P14" i="3" s="1"/>
  <c r="K15" i="3"/>
  <c r="D72" i="2"/>
  <c r="E72" i="2"/>
  <c r="F72" i="2"/>
  <c r="I72" i="2" s="1"/>
  <c r="G72" i="2"/>
  <c r="H72" i="2"/>
  <c r="O72" i="2"/>
  <c r="P72" i="2"/>
  <c r="Q72" i="2"/>
  <c r="T72" i="2" s="1"/>
  <c r="R72" i="2"/>
  <c r="S72" i="2"/>
  <c r="Z72" i="2"/>
  <c r="AA72" i="2"/>
  <c r="AB72" i="2"/>
  <c r="AE72" i="2" s="1"/>
  <c r="AC72" i="2"/>
  <c r="AD72" i="2"/>
  <c r="AK72" i="2"/>
  <c r="AL72" i="2"/>
  <c r="AM72" i="2"/>
  <c r="AP72" i="2" s="1"/>
  <c r="AN72" i="2"/>
  <c r="AO72" i="2"/>
  <c r="F134" i="3"/>
  <c r="J134" i="3"/>
  <c r="E134" i="3"/>
  <c r="D134" i="3"/>
  <c r="I134" i="3"/>
  <c r="H134" i="3"/>
  <c r="G134" i="3"/>
  <c r="AI71" i="2"/>
  <c r="L71" i="2"/>
  <c r="M71" i="2"/>
  <c r="AT71" i="2"/>
  <c r="C73" i="2"/>
  <c r="AS71" i="2"/>
  <c r="B135" i="3"/>
  <c r="L135" i="3"/>
  <c r="AG71" i="2"/>
  <c r="W71" i="2"/>
  <c r="X71" i="2"/>
  <c r="AH71" i="2"/>
  <c r="J71" i="2"/>
  <c r="B75" i="1"/>
  <c r="P134" i="3" a="1"/>
  <c r="Q134" i="3" a="1"/>
  <c r="R134" i="3" a="1"/>
  <c r="O134" i="3" a="1"/>
  <c r="N134" i="3" a="1"/>
  <c r="B75" i="2" a="1"/>
  <c r="T16" i="3" a="1"/>
  <c r="W15" i="3" a="1"/>
  <c r="V15" i="3" a="1"/>
  <c r="U15" i="3" a="1"/>
  <c r="AC16" i="3" a="1"/>
  <c r="AF15" i="3" a="1"/>
  <c r="AE15" i="3" a="1"/>
  <c r="AD15" i="3" a="1"/>
  <c r="B21" i="2" a="1"/>
  <c r="G135" i="3" a="1"/>
  <c r="H135" i="3" a="1"/>
  <c r="I135" i="3" a="1"/>
  <c r="D135" i="3" a="1"/>
  <c r="E135" i="3" a="1"/>
  <c r="J135" i="3" a="1"/>
  <c r="F135" i="3" a="1"/>
  <c r="AO73" i="2" a="1"/>
  <c r="AN73" i="2" a="1"/>
  <c r="AM73" i="2" a="1"/>
  <c r="AL73" i="2" a="1"/>
  <c r="AK73" i="2" a="1"/>
  <c r="AD73" i="2" a="1"/>
  <c r="AC73" i="2" a="1"/>
  <c r="AB73" i="2" a="1"/>
  <c r="AA73" i="2" a="1"/>
  <c r="Z73" i="2" a="1"/>
  <c r="S73" i="2" a="1"/>
  <c r="R73" i="2" a="1"/>
  <c r="Q73" i="2" a="1"/>
  <c r="P73" i="2" a="1"/>
  <c r="O73" i="2" a="1"/>
  <c r="H73" i="2" a="1"/>
  <c r="G73" i="2" a="1"/>
  <c r="F73" i="2" a="1"/>
  <c r="E73" i="2" a="1"/>
  <c r="D73" i="2" a="1"/>
  <c r="Y19" i="2" a="1"/>
  <c r="U19" i="2" a="1"/>
  <c r="Q19" i="2" a="1"/>
  <c r="M19" i="2" a="1"/>
  <c r="I19" i="2" a="1"/>
  <c r="E19" i="2" a="1"/>
  <c r="B16" i="3" a="1"/>
  <c r="E15" i="3" a="1"/>
  <c r="D15" i="3" a="1"/>
  <c r="C15" i="3" a="1"/>
  <c r="K16" i="3" a="1"/>
  <c r="N15" i="3" a="1"/>
  <c r="M15" i="3" a="1"/>
  <c r="L15" i="3" a="1"/>
  <c r="C75" i="1"/>
  <c r="E75" i="1"/>
  <c r="B76" i="1" a="1"/>
  <c r="N134" i="3" l="1"/>
  <c r="O134" i="3"/>
  <c r="R134" i="3"/>
  <c r="Q134" i="3"/>
  <c r="P134" i="3"/>
  <c r="M135" i="3"/>
  <c r="V72" i="2"/>
  <c r="U72" i="2"/>
  <c r="AT72" i="2"/>
  <c r="M72" i="2"/>
  <c r="AG72" i="2"/>
  <c r="AS72" i="2"/>
  <c r="J72" i="2"/>
  <c r="L15" i="3"/>
  <c r="M15" i="3"/>
  <c r="O15" i="3" s="1"/>
  <c r="N15" i="3"/>
  <c r="P15" i="3" s="1"/>
  <c r="K16" i="3"/>
  <c r="C15" i="3"/>
  <c r="C136" i="3" s="1"/>
  <c r="D15" i="3"/>
  <c r="F15" i="3" s="1"/>
  <c r="E15" i="3"/>
  <c r="G15" i="3" s="1"/>
  <c r="B16" i="3"/>
  <c r="E19" i="2"/>
  <c r="I19" i="2"/>
  <c r="M19" i="2"/>
  <c r="Q19" i="2"/>
  <c r="U19" i="2"/>
  <c r="Y19" i="2"/>
  <c r="D73" i="2"/>
  <c r="E73" i="2"/>
  <c r="F73" i="2"/>
  <c r="I73" i="2" s="1"/>
  <c r="G73" i="2"/>
  <c r="H73" i="2"/>
  <c r="O73" i="2"/>
  <c r="P73" i="2"/>
  <c r="Q73" i="2"/>
  <c r="T73" i="2" s="1"/>
  <c r="R73" i="2"/>
  <c r="S73" i="2"/>
  <c r="Z73" i="2"/>
  <c r="AA73" i="2"/>
  <c r="AB73" i="2"/>
  <c r="AE73" i="2" s="1"/>
  <c r="AC73" i="2"/>
  <c r="AD73" i="2"/>
  <c r="AK73" i="2"/>
  <c r="AL73" i="2"/>
  <c r="AM73" i="2"/>
  <c r="AP73" i="2" s="1"/>
  <c r="AN73" i="2"/>
  <c r="AO73" i="2"/>
  <c r="F135" i="3"/>
  <c r="J135" i="3"/>
  <c r="E135" i="3"/>
  <c r="D135" i="3"/>
  <c r="I135" i="3"/>
  <c r="H135" i="3"/>
  <c r="G135" i="3"/>
  <c r="B21" i="2"/>
  <c r="AD15" i="3"/>
  <c r="AE15" i="3"/>
  <c r="AG15" i="3" s="1"/>
  <c r="AF15" i="3"/>
  <c r="AH15" i="3" s="1"/>
  <c r="AC16" i="3"/>
  <c r="U15" i="3"/>
  <c r="V15" i="3"/>
  <c r="X15" i="3" s="1"/>
  <c r="W15" i="3"/>
  <c r="Y15" i="3" s="1"/>
  <c r="T16" i="3"/>
  <c r="B75" i="2"/>
  <c r="L136" i="3"/>
  <c r="B136" i="3"/>
  <c r="W72" i="2"/>
  <c r="AF72" i="2"/>
  <c r="X72" i="2"/>
  <c r="K72" i="2"/>
  <c r="AH72" i="2"/>
  <c r="C20" i="2" a="1"/>
  <c r="C20" i="2" s="1"/>
  <c r="D20" i="2" s="1"/>
  <c r="AQ72" i="2"/>
  <c r="AI72" i="2"/>
  <c r="Z19" i="2"/>
  <c r="R19" i="2"/>
  <c r="N19" i="2"/>
  <c r="J19" i="2"/>
  <c r="V19" i="2"/>
  <c r="F19" i="2"/>
  <c r="AR72" i="2"/>
  <c r="L72" i="2"/>
  <c r="C74" i="2"/>
  <c r="B76" i="1"/>
  <c r="P135" i="3" a="1"/>
  <c r="Q135" i="3" a="1"/>
  <c r="R135" i="3" a="1"/>
  <c r="O135" i="3" a="1"/>
  <c r="N135" i="3" a="1"/>
  <c r="B22" i="2" a="1"/>
  <c r="C21" i="2" a="1"/>
  <c r="K17" i="3" a="1"/>
  <c r="N16" i="3" a="1"/>
  <c r="M16" i="3" a="1"/>
  <c r="L16" i="3" a="1"/>
  <c r="AO74" i="2" a="1"/>
  <c r="AN74" i="2" a="1"/>
  <c r="AM74" i="2" a="1"/>
  <c r="AL74" i="2" a="1"/>
  <c r="AK74" i="2" a="1"/>
  <c r="AD74" i="2" a="1"/>
  <c r="AC74" i="2" a="1"/>
  <c r="AB74" i="2" a="1"/>
  <c r="AA74" i="2" a="1"/>
  <c r="Z74" i="2" a="1"/>
  <c r="S74" i="2" a="1"/>
  <c r="R74" i="2" a="1"/>
  <c r="Q74" i="2" a="1"/>
  <c r="P74" i="2" a="1"/>
  <c r="O74" i="2" a="1"/>
  <c r="H74" i="2" a="1"/>
  <c r="G74" i="2" a="1"/>
  <c r="F74" i="2" a="1"/>
  <c r="E74" i="2" a="1"/>
  <c r="D74" i="2" a="1"/>
  <c r="AC17" i="3" a="1"/>
  <c r="AF16" i="3" a="1"/>
  <c r="AE16" i="3" a="1"/>
  <c r="AD16" i="3" a="1"/>
  <c r="T17" i="3" a="1"/>
  <c r="W16" i="3" a="1"/>
  <c r="V16" i="3" a="1"/>
  <c r="U16" i="3" a="1"/>
  <c r="B17" i="3" a="1"/>
  <c r="E16" i="3" a="1"/>
  <c r="D16" i="3" a="1"/>
  <c r="C16" i="3" a="1"/>
  <c r="B76" i="2" a="1"/>
  <c r="G136" i="3" a="1"/>
  <c r="H136" i="3" a="1"/>
  <c r="I136" i="3" a="1"/>
  <c r="D136" i="3" a="1"/>
  <c r="E136" i="3" a="1"/>
  <c r="J136" i="3" a="1"/>
  <c r="F136" i="3" a="1"/>
  <c r="C76" i="1"/>
  <c r="E76" i="1"/>
  <c r="B77" i="1" a="1"/>
  <c r="J73" i="2" l="1"/>
  <c r="N135" i="3"/>
  <c r="O135" i="3"/>
  <c r="R135" i="3"/>
  <c r="Q135" i="3"/>
  <c r="P135" i="3"/>
  <c r="M136" i="3"/>
  <c r="AR73" i="2"/>
  <c r="AS73" i="2"/>
  <c r="AG73" i="2"/>
  <c r="K73" i="2"/>
  <c r="V73" i="2"/>
  <c r="M73" i="2"/>
  <c r="W73" i="2"/>
  <c r="F136" i="3"/>
  <c r="J136" i="3"/>
  <c r="E136" i="3"/>
  <c r="D136" i="3"/>
  <c r="I136" i="3"/>
  <c r="H136" i="3"/>
  <c r="G136" i="3"/>
  <c r="B76" i="2"/>
  <c r="C16" i="3"/>
  <c r="C137" i="3" s="1"/>
  <c r="D16" i="3"/>
  <c r="F16" i="3" s="1"/>
  <c r="E16" i="3"/>
  <c r="G16" i="3" s="1"/>
  <c r="B17" i="3"/>
  <c r="U16" i="3"/>
  <c r="V16" i="3"/>
  <c r="X16" i="3" s="1"/>
  <c r="W16" i="3"/>
  <c r="Y16" i="3" s="1"/>
  <c r="T17" i="3"/>
  <c r="AD16" i="3"/>
  <c r="AE16" i="3"/>
  <c r="AG16" i="3" s="1"/>
  <c r="AF16" i="3"/>
  <c r="AH16" i="3" s="1"/>
  <c r="AC17" i="3"/>
  <c r="D74" i="2"/>
  <c r="E74" i="2"/>
  <c r="F74" i="2"/>
  <c r="I74" i="2" s="1"/>
  <c r="G74" i="2"/>
  <c r="H74" i="2"/>
  <c r="O74" i="2"/>
  <c r="P74" i="2"/>
  <c r="Q74" i="2"/>
  <c r="T74" i="2" s="1"/>
  <c r="R74" i="2"/>
  <c r="S74" i="2"/>
  <c r="Z74" i="2"/>
  <c r="AA74" i="2"/>
  <c r="AB74" i="2"/>
  <c r="AE74" i="2" s="1"/>
  <c r="AC74" i="2"/>
  <c r="AD74" i="2"/>
  <c r="AK74" i="2"/>
  <c r="AL74" i="2"/>
  <c r="AM74" i="2"/>
  <c r="AP74" i="2" s="1"/>
  <c r="AN74" i="2"/>
  <c r="AO74" i="2"/>
  <c r="L16" i="3"/>
  <c r="M16" i="3"/>
  <c r="O16" i="3" s="1"/>
  <c r="N16" i="3"/>
  <c r="P16" i="3" s="1"/>
  <c r="K17" i="3"/>
  <c r="C21" i="2"/>
  <c r="B22" i="2"/>
  <c r="Y20" i="2" a="1"/>
  <c r="Y20" i="2" s="1"/>
  <c r="Q20" i="2" a="1"/>
  <c r="Q20" i="2" s="1"/>
  <c r="M20" i="2" a="1"/>
  <c r="M20" i="2" s="1"/>
  <c r="U20" i="2" a="1"/>
  <c r="U20" i="2" s="1"/>
  <c r="E20" i="2" a="1"/>
  <c r="E20" i="2" s="1"/>
  <c r="I20" i="2" a="1"/>
  <c r="I20" i="2" s="1"/>
  <c r="AQ73" i="2"/>
  <c r="AI73" i="2"/>
  <c r="J20" i="2"/>
  <c r="N20" i="2"/>
  <c r="F20" i="2"/>
  <c r="Z20" i="2"/>
  <c r="R20" i="2"/>
  <c r="V20" i="2"/>
  <c r="C75" i="2"/>
  <c r="L73" i="2"/>
  <c r="B137" i="3"/>
  <c r="U73" i="2"/>
  <c r="AT73" i="2"/>
  <c r="AF73" i="2"/>
  <c r="X73" i="2"/>
  <c r="L137" i="3"/>
  <c r="D21" i="2"/>
  <c r="AH73" i="2"/>
  <c r="B77" i="1"/>
  <c r="P136" i="3" a="1"/>
  <c r="Q136" i="3" a="1"/>
  <c r="R136" i="3" a="1"/>
  <c r="O136" i="3" a="1"/>
  <c r="N136" i="3" a="1"/>
  <c r="B23" i="2" a="1"/>
  <c r="C22" i="2" a="1"/>
  <c r="B77" i="2" a="1"/>
  <c r="T18" i="3" a="1"/>
  <c r="W17" i="3" a="1"/>
  <c r="V17" i="3" a="1"/>
  <c r="U17" i="3" a="1"/>
  <c r="G137" i="3" a="1"/>
  <c r="H137" i="3" a="1"/>
  <c r="I137" i="3" a="1"/>
  <c r="D137" i="3" a="1"/>
  <c r="E137" i="3" a="1"/>
  <c r="J137" i="3" a="1"/>
  <c r="F137" i="3" a="1"/>
  <c r="B18" i="3" a="1"/>
  <c r="E17" i="3" a="1"/>
  <c r="D17" i="3" a="1"/>
  <c r="C17" i="3" a="1"/>
  <c r="AC18" i="3" a="1"/>
  <c r="AF17" i="3" a="1"/>
  <c r="AE17" i="3" a="1"/>
  <c r="AD17" i="3" a="1"/>
  <c r="K18" i="3" a="1"/>
  <c r="N17" i="3" a="1"/>
  <c r="M17" i="3" a="1"/>
  <c r="L17" i="3" a="1"/>
  <c r="AO75" i="2" a="1"/>
  <c r="AN75" i="2" a="1"/>
  <c r="AM75" i="2" a="1"/>
  <c r="AL75" i="2" a="1"/>
  <c r="AK75" i="2" a="1"/>
  <c r="AD75" i="2" a="1"/>
  <c r="AC75" i="2" a="1"/>
  <c r="AB75" i="2" a="1"/>
  <c r="AA75" i="2" a="1"/>
  <c r="Z75" i="2" a="1"/>
  <c r="S75" i="2" a="1"/>
  <c r="R75" i="2" a="1"/>
  <c r="Q75" i="2" a="1"/>
  <c r="P75" i="2" a="1"/>
  <c r="O75" i="2" a="1"/>
  <c r="H75" i="2" a="1"/>
  <c r="G75" i="2" a="1"/>
  <c r="F75" i="2" a="1"/>
  <c r="E75" i="2" a="1"/>
  <c r="D75" i="2" a="1"/>
  <c r="Y21" i="2" a="1"/>
  <c r="U21" i="2" a="1"/>
  <c r="Q21" i="2" a="1"/>
  <c r="M21" i="2" a="1"/>
  <c r="I21" i="2" a="1"/>
  <c r="E21" i="2" a="1"/>
  <c r="C77" i="1"/>
  <c r="E77" i="1"/>
  <c r="B78" i="1" a="1"/>
  <c r="N136" i="3" l="1"/>
  <c r="O136" i="3"/>
  <c r="R136" i="3"/>
  <c r="Q136" i="3"/>
  <c r="P136" i="3"/>
  <c r="M137" i="3"/>
  <c r="U74" i="2"/>
  <c r="K74" i="2"/>
  <c r="AR74" i="2"/>
  <c r="J74" i="2"/>
  <c r="V74" i="2"/>
  <c r="AS74" i="2"/>
  <c r="M74" i="2"/>
  <c r="AT74" i="2"/>
  <c r="AG74" i="2"/>
  <c r="E21" i="2"/>
  <c r="I21" i="2"/>
  <c r="M21" i="2"/>
  <c r="Q21" i="2"/>
  <c r="U21" i="2"/>
  <c r="Y21" i="2"/>
  <c r="D75" i="2"/>
  <c r="E75" i="2"/>
  <c r="F75" i="2"/>
  <c r="I75" i="2" s="1"/>
  <c r="G75" i="2"/>
  <c r="H75" i="2"/>
  <c r="O75" i="2"/>
  <c r="P75" i="2"/>
  <c r="Q75" i="2"/>
  <c r="T75" i="2" s="1"/>
  <c r="R75" i="2"/>
  <c r="S75" i="2"/>
  <c r="Z75" i="2"/>
  <c r="AA75" i="2"/>
  <c r="AB75" i="2"/>
  <c r="AE75" i="2" s="1"/>
  <c r="AC75" i="2"/>
  <c r="AD75" i="2"/>
  <c r="AK75" i="2"/>
  <c r="AL75" i="2"/>
  <c r="AM75" i="2"/>
  <c r="AP75" i="2" s="1"/>
  <c r="AN75" i="2"/>
  <c r="AO75" i="2"/>
  <c r="L17" i="3"/>
  <c r="M17" i="3"/>
  <c r="O17" i="3" s="1"/>
  <c r="N17" i="3"/>
  <c r="P17" i="3" s="1"/>
  <c r="K18" i="3"/>
  <c r="AD17" i="3"/>
  <c r="AE17" i="3"/>
  <c r="AG17" i="3" s="1"/>
  <c r="AF17" i="3"/>
  <c r="AH17" i="3" s="1"/>
  <c r="AC18" i="3"/>
  <c r="C17" i="3"/>
  <c r="C138" i="3" s="1"/>
  <c r="D17" i="3"/>
  <c r="F17" i="3" s="1"/>
  <c r="E17" i="3"/>
  <c r="G17" i="3" s="1"/>
  <c r="B18" i="3"/>
  <c r="F137" i="3"/>
  <c r="J137" i="3"/>
  <c r="E137" i="3"/>
  <c r="D137" i="3"/>
  <c r="I137" i="3"/>
  <c r="H137" i="3"/>
  <c r="G137" i="3"/>
  <c r="U17" i="3"/>
  <c r="V17" i="3"/>
  <c r="X17" i="3" s="1"/>
  <c r="W17" i="3"/>
  <c r="Y17" i="3" s="1"/>
  <c r="T18" i="3"/>
  <c r="B77" i="2"/>
  <c r="C22" i="2"/>
  <c r="D22" i="2" s="1"/>
  <c r="B23" i="2"/>
  <c r="W74" i="2"/>
  <c r="Z21" i="2"/>
  <c r="R21" i="2"/>
  <c r="F21" i="2"/>
  <c r="V21" i="2"/>
  <c r="N21" i="2"/>
  <c r="J21" i="2"/>
  <c r="L138" i="3"/>
  <c r="B138" i="3"/>
  <c r="AF74" i="2"/>
  <c r="X74" i="2"/>
  <c r="C76" i="2"/>
  <c r="AQ74" i="2"/>
  <c r="AI74" i="2"/>
  <c r="AH74" i="2"/>
  <c r="L74" i="2"/>
  <c r="B78" i="1"/>
  <c r="P137" i="3" a="1"/>
  <c r="Q137" i="3" a="1"/>
  <c r="R137" i="3" a="1"/>
  <c r="O137" i="3" a="1"/>
  <c r="N137" i="3" a="1"/>
  <c r="G138" i="3" a="1"/>
  <c r="H138" i="3" a="1"/>
  <c r="I138" i="3" a="1"/>
  <c r="D138" i="3" a="1"/>
  <c r="E138" i="3" a="1"/>
  <c r="J138" i="3" a="1"/>
  <c r="F138" i="3" a="1"/>
  <c r="K19" i="3" a="1"/>
  <c r="N18" i="3" a="1"/>
  <c r="M18" i="3" a="1"/>
  <c r="L18" i="3" a="1"/>
  <c r="B19" i="3" a="1"/>
  <c r="E18" i="3" a="1"/>
  <c r="D18" i="3" a="1"/>
  <c r="C18" i="3" a="1"/>
  <c r="B78" i="2" a="1"/>
  <c r="AO76" i="2" a="1"/>
  <c r="AN76" i="2" a="1"/>
  <c r="AM76" i="2" a="1"/>
  <c r="AL76" i="2" a="1"/>
  <c r="AK76" i="2" a="1"/>
  <c r="AD76" i="2" a="1"/>
  <c r="AC76" i="2" a="1"/>
  <c r="AB76" i="2" a="1"/>
  <c r="AA76" i="2" a="1"/>
  <c r="Z76" i="2" a="1"/>
  <c r="S76" i="2" a="1"/>
  <c r="R76" i="2" a="1"/>
  <c r="Q76" i="2" a="1"/>
  <c r="P76" i="2" a="1"/>
  <c r="O76" i="2" a="1"/>
  <c r="H76" i="2" a="1"/>
  <c r="G76" i="2" a="1"/>
  <c r="F76" i="2" a="1"/>
  <c r="E76" i="2" a="1"/>
  <c r="D76" i="2" a="1"/>
  <c r="T19" i="3" a="1"/>
  <c r="W18" i="3" a="1"/>
  <c r="V18" i="3" a="1"/>
  <c r="U18" i="3" a="1"/>
  <c r="B24" i="2" a="1"/>
  <c r="C23" i="2" a="1"/>
  <c r="AC19" i="3" a="1"/>
  <c r="AF18" i="3" a="1"/>
  <c r="AE18" i="3" a="1"/>
  <c r="AD18" i="3" a="1"/>
  <c r="Y22" i="2" a="1"/>
  <c r="U22" i="2" a="1"/>
  <c r="Q22" i="2" a="1"/>
  <c r="M22" i="2" a="1"/>
  <c r="I22" i="2" a="1"/>
  <c r="E22" i="2" a="1"/>
  <c r="C78" i="1"/>
  <c r="E78" i="1"/>
  <c r="B79" i="1" a="1"/>
  <c r="J75" i="2" l="1"/>
  <c r="N137" i="3"/>
  <c r="O137" i="3"/>
  <c r="R137" i="3"/>
  <c r="Q137" i="3"/>
  <c r="P137" i="3"/>
  <c r="M138" i="3"/>
  <c r="AR75" i="2"/>
  <c r="AQ75" i="2"/>
  <c r="AH75" i="2"/>
  <c r="AI75" i="2"/>
  <c r="V75" i="2"/>
  <c r="E22" i="2"/>
  <c r="I22" i="2"/>
  <c r="M22" i="2"/>
  <c r="Q22" i="2"/>
  <c r="U22" i="2"/>
  <c r="Y22" i="2"/>
  <c r="AD18" i="3"/>
  <c r="AE18" i="3"/>
  <c r="AG18" i="3" s="1"/>
  <c r="AF18" i="3"/>
  <c r="AH18" i="3" s="1"/>
  <c r="AC19" i="3"/>
  <c r="C23" i="2"/>
  <c r="D23" i="2" s="1"/>
  <c r="B24" i="2"/>
  <c r="U18" i="3"/>
  <c r="V18" i="3"/>
  <c r="X18" i="3" s="1"/>
  <c r="W18" i="3"/>
  <c r="Y18" i="3" s="1"/>
  <c r="T19" i="3"/>
  <c r="D76" i="2"/>
  <c r="E76" i="2"/>
  <c r="F76" i="2"/>
  <c r="I76" i="2" s="1"/>
  <c r="G76" i="2"/>
  <c r="H76" i="2"/>
  <c r="O76" i="2"/>
  <c r="P76" i="2"/>
  <c r="Q76" i="2"/>
  <c r="T76" i="2" s="1"/>
  <c r="R76" i="2"/>
  <c r="S76" i="2"/>
  <c r="Z76" i="2"/>
  <c r="AA76" i="2"/>
  <c r="AB76" i="2"/>
  <c r="AE76" i="2" s="1"/>
  <c r="AC76" i="2"/>
  <c r="AD76" i="2"/>
  <c r="AK76" i="2"/>
  <c r="AL76" i="2"/>
  <c r="AM76" i="2"/>
  <c r="AP76" i="2" s="1"/>
  <c r="AN76" i="2"/>
  <c r="AO76" i="2"/>
  <c r="B78" i="2"/>
  <c r="C18" i="3"/>
  <c r="C139" i="3" s="1"/>
  <c r="D18" i="3"/>
  <c r="F18" i="3" s="1"/>
  <c r="E18" i="3"/>
  <c r="G18" i="3" s="1"/>
  <c r="B19" i="3"/>
  <c r="L18" i="3"/>
  <c r="M18" i="3"/>
  <c r="O18" i="3" s="1"/>
  <c r="N18" i="3"/>
  <c r="P18" i="3" s="1"/>
  <c r="K19" i="3"/>
  <c r="F138" i="3"/>
  <c r="J138" i="3"/>
  <c r="E138" i="3"/>
  <c r="D138" i="3"/>
  <c r="I138" i="3"/>
  <c r="H138" i="3"/>
  <c r="G138" i="3"/>
  <c r="L75" i="2"/>
  <c r="AS75" i="2"/>
  <c r="U75" i="2"/>
  <c r="M75" i="2"/>
  <c r="AF75" i="2"/>
  <c r="X75" i="2"/>
  <c r="C77" i="2"/>
  <c r="B139" i="3"/>
  <c r="L139" i="3"/>
  <c r="AT75" i="2"/>
  <c r="AG75" i="2"/>
  <c r="W75" i="2"/>
  <c r="K75" i="2"/>
  <c r="B79" i="1"/>
  <c r="P138" i="3" a="1"/>
  <c r="Q138" i="3" a="1"/>
  <c r="R138" i="3" a="1"/>
  <c r="O138" i="3" a="1"/>
  <c r="N138" i="3" a="1"/>
  <c r="B20" i="3" a="1"/>
  <c r="E19" i="3" a="1"/>
  <c r="D19" i="3" a="1"/>
  <c r="C19" i="3" a="1"/>
  <c r="AO77" i="2" a="1"/>
  <c r="AN77" i="2" a="1"/>
  <c r="AM77" i="2" a="1"/>
  <c r="AL77" i="2" a="1"/>
  <c r="AK77" i="2" a="1"/>
  <c r="AD77" i="2" a="1"/>
  <c r="AC77" i="2" a="1"/>
  <c r="AB77" i="2" a="1"/>
  <c r="AA77" i="2" a="1"/>
  <c r="Z77" i="2" a="1"/>
  <c r="S77" i="2" a="1"/>
  <c r="R77" i="2" a="1"/>
  <c r="Q77" i="2" a="1"/>
  <c r="P77" i="2" a="1"/>
  <c r="O77" i="2" a="1"/>
  <c r="H77" i="2" a="1"/>
  <c r="G77" i="2" a="1"/>
  <c r="F77" i="2" a="1"/>
  <c r="E77" i="2" a="1"/>
  <c r="D77" i="2" a="1"/>
  <c r="AC20" i="3" a="1"/>
  <c r="AF19" i="3" a="1"/>
  <c r="AE19" i="3" a="1"/>
  <c r="AD19" i="3" a="1"/>
  <c r="Y23" i="2" a="1"/>
  <c r="U23" i="2" a="1"/>
  <c r="Q23" i="2" a="1"/>
  <c r="M23" i="2" a="1"/>
  <c r="I23" i="2" a="1"/>
  <c r="E23" i="2" a="1"/>
  <c r="B25" i="2" a="1"/>
  <c r="C24" i="2" a="1"/>
  <c r="B79" i="2" a="1"/>
  <c r="K20" i="3" a="1"/>
  <c r="N19" i="3" a="1"/>
  <c r="M19" i="3" a="1"/>
  <c r="L19" i="3" a="1"/>
  <c r="G139" i="3" a="1"/>
  <c r="H139" i="3" a="1"/>
  <c r="I139" i="3" a="1"/>
  <c r="D139" i="3" a="1"/>
  <c r="E139" i="3" a="1"/>
  <c r="J139" i="3" a="1"/>
  <c r="F139" i="3" a="1"/>
  <c r="T20" i="3" a="1"/>
  <c r="W19" i="3" a="1"/>
  <c r="V19" i="3" a="1"/>
  <c r="U19" i="3" a="1"/>
  <c r="C79" i="1"/>
  <c r="E79" i="1"/>
  <c r="B80" i="1" a="1"/>
  <c r="N138" i="3" l="1"/>
  <c r="O138" i="3"/>
  <c r="R138" i="3"/>
  <c r="Q138" i="3"/>
  <c r="P138" i="3"/>
  <c r="M139" i="3"/>
  <c r="J76" i="2"/>
  <c r="L76" i="2"/>
  <c r="AS76" i="2"/>
  <c r="M76" i="2"/>
  <c r="AT76" i="2"/>
  <c r="AG76" i="2"/>
  <c r="AF76" i="2"/>
  <c r="U19" i="3"/>
  <c r="V19" i="3"/>
  <c r="X19" i="3" s="1"/>
  <c r="W19" i="3"/>
  <c r="Y19" i="3" s="1"/>
  <c r="T20" i="3"/>
  <c r="F139" i="3"/>
  <c r="J139" i="3"/>
  <c r="E139" i="3"/>
  <c r="D139" i="3"/>
  <c r="I139" i="3"/>
  <c r="H139" i="3"/>
  <c r="G139" i="3"/>
  <c r="L19" i="3"/>
  <c r="M19" i="3"/>
  <c r="O19" i="3" s="1"/>
  <c r="N19" i="3"/>
  <c r="P19" i="3" s="1"/>
  <c r="K20" i="3"/>
  <c r="B79" i="2"/>
  <c r="C24" i="2"/>
  <c r="D24" i="2" s="1"/>
  <c r="B25" i="2"/>
  <c r="E23" i="2"/>
  <c r="I23" i="2"/>
  <c r="M23" i="2"/>
  <c r="Q23" i="2"/>
  <c r="U23" i="2"/>
  <c r="Y23" i="2"/>
  <c r="AD19" i="3"/>
  <c r="AE19" i="3"/>
  <c r="AG19" i="3" s="1"/>
  <c r="AF19" i="3"/>
  <c r="AH19" i="3" s="1"/>
  <c r="AC20" i="3"/>
  <c r="D77" i="2"/>
  <c r="E77" i="2"/>
  <c r="F77" i="2"/>
  <c r="I77" i="2" s="1"/>
  <c r="G77" i="2"/>
  <c r="H77" i="2"/>
  <c r="O77" i="2"/>
  <c r="P77" i="2"/>
  <c r="Q77" i="2"/>
  <c r="T77" i="2" s="1"/>
  <c r="R77" i="2"/>
  <c r="S77" i="2"/>
  <c r="Z77" i="2"/>
  <c r="AA77" i="2"/>
  <c r="AB77" i="2"/>
  <c r="AE77" i="2" s="1"/>
  <c r="AC77" i="2"/>
  <c r="AD77" i="2"/>
  <c r="AK77" i="2"/>
  <c r="AL77" i="2"/>
  <c r="AM77" i="2"/>
  <c r="AP77" i="2" s="1"/>
  <c r="AN77" i="2"/>
  <c r="AO77" i="2"/>
  <c r="C19" i="3"/>
  <c r="C140" i="3" s="1"/>
  <c r="D19" i="3"/>
  <c r="F19" i="3" s="1"/>
  <c r="E19" i="3"/>
  <c r="G19" i="3" s="1"/>
  <c r="B20" i="3"/>
  <c r="W76" i="2"/>
  <c r="X76" i="2"/>
  <c r="L140" i="3"/>
  <c r="C78" i="2"/>
  <c r="K76" i="2"/>
  <c r="AR76" i="2"/>
  <c r="AH76" i="2"/>
  <c r="AQ76" i="2"/>
  <c r="AI76" i="2"/>
  <c r="V76" i="2"/>
  <c r="B140" i="3"/>
  <c r="U76" i="2"/>
  <c r="B80" i="1"/>
  <c r="P139" i="3" a="1"/>
  <c r="Q139" i="3" a="1"/>
  <c r="R139" i="3" a="1"/>
  <c r="O139" i="3" a="1"/>
  <c r="N139" i="3" a="1"/>
  <c r="B26" i="2" a="1"/>
  <c r="C25" i="2" a="1"/>
  <c r="AO78" i="2" a="1"/>
  <c r="AN78" i="2" a="1"/>
  <c r="AM78" i="2" a="1"/>
  <c r="AL78" i="2" a="1"/>
  <c r="AK78" i="2" a="1"/>
  <c r="AD78" i="2" a="1"/>
  <c r="AC78" i="2" a="1"/>
  <c r="AB78" i="2" a="1"/>
  <c r="AA78" i="2" a="1"/>
  <c r="Z78" i="2" a="1"/>
  <c r="S78" i="2" a="1"/>
  <c r="R78" i="2" a="1"/>
  <c r="Q78" i="2" a="1"/>
  <c r="P78" i="2" a="1"/>
  <c r="O78" i="2" a="1"/>
  <c r="H78" i="2" a="1"/>
  <c r="G78" i="2" a="1"/>
  <c r="F78" i="2" a="1"/>
  <c r="E78" i="2" a="1"/>
  <c r="D78" i="2" a="1"/>
  <c r="T21" i="3" a="1"/>
  <c r="W20" i="3" a="1"/>
  <c r="V20" i="3" a="1"/>
  <c r="U20" i="3" a="1"/>
  <c r="G140" i="3" a="1"/>
  <c r="H140" i="3" a="1"/>
  <c r="I140" i="3" a="1"/>
  <c r="D140" i="3" a="1"/>
  <c r="E140" i="3" a="1"/>
  <c r="J140" i="3" a="1"/>
  <c r="F140" i="3" a="1"/>
  <c r="K21" i="3" a="1"/>
  <c r="N20" i="3" a="1"/>
  <c r="M20" i="3" a="1"/>
  <c r="L20" i="3" a="1"/>
  <c r="AC21" i="3" a="1"/>
  <c r="AF20" i="3" a="1"/>
  <c r="AE20" i="3" a="1"/>
  <c r="AD20" i="3" a="1"/>
  <c r="B21" i="3" a="1"/>
  <c r="E20" i="3" a="1"/>
  <c r="D20" i="3" a="1"/>
  <c r="C20" i="3" a="1"/>
  <c r="B80" i="2" a="1"/>
  <c r="Y24" i="2" a="1"/>
  <c r="U24" i="2" a="1"/>
  <c r="Q24" i="2" a="1"/>
  <c r="M24" i="2" a="1"/>
  <c r="I24" i="2" a="1"/>
  <c r="E24" i="2" a="1"/>
  <c r="C80" i="1"/>
  <c r="E80" i="1"/>
  <c r="B81" i="1" a="1"/>
  <c r="J77" i="2" l="1"/>
  <c r="K77" i="2"/>
  <c r="AT77" i="2"/>
  <c r="N139" i="3"/>
  <c r="O139" i="3"/>
  <c r="R139" i="3"/>
  <c r="Q139" i="3"/>
  <c r="P139" i="3"/>
  <c r="M140" i="3"/>
  <c r="AG77" i="2"/>
  <c r="AH77" i="2"/>
  <c r="AQ77" i="2"/>
  <c r="V77" i="2"/>
  <c r="E24" i="2"/>
  <c r="I24" i="2"/>
  <c r="M24" i="2"/>
  <c r="Q24" i="2"/>
  <c r="U24" i="2"/>
  <c r="Y24" i="2"/>
  <c r="B80" i="2"/>
  <c r="C20" i="3"/>
  <c r="C141" i="3" s="1"/>
  <c r="D20" i="3"/>
  <c r="F20" i="3" s="1"/>
  <c r="E20" i="3"/>
  <c r="G20" i="3" s="1"/>
  <c r="B21" i="3"/>
  <c r="AD20" i="3"/>
  <c r="AE20" i="3"/>
  <c r="AG20" i="3" s="1"/>
  <c r="AF20" i="3"/>
  <c r="AH20" i="3" s="1"/>
  <c r="AC21" i="3"/>
  <c r="L20" i="3"/>
  <c r="M20" i="3"/>
  <c r="O20" i="3" s="1"/>
  <c r="N20" i="3"/>
  <c r="P20" i="3" s="1"/>
  <c r="K21" i="3"/>
  <c r="F140" i="3"/>
  <c r="J140" i="3"/>
  <c r="E140" i="3"/>
  <c r="D140" i="3"/>
  <c r="I140" i="3"/>
  <c r="H140" i="3"/>
  <c r="G140" i="3"/>
  <c r="U20" i="3"/>
  <c r="V20" i="3"/>
  <c r="X20" i="3" s="1"/>
  <c r="W20" i="3"/>
  <c r="Y20" i="3" s="1"/>
  <c r="T21" i="3"/>
  <c r="D78" i="2"/>
  <c r="E78" i="2"/>
  <c r="F78" i="2"/>
  <c r="I78" i="2" s="1"/>
  <c r="G78" i="2"/>
  <c r="H78" i="2"/>
  <c r="O78" i="2"/>
  <c r="P78" i="2"/>
  <c r="Q78" i="2"/>
  <c r="T78" i="2" s="1"/>
  <c r="R78" i="2"/>
  <c r="S78" i="2"/>
  <c r="Z78" i="2"/>
  <c r="AA78" i="2"/>
  <c r="AB78" i="2"/>
  <c r="AE78" i="2" s="1"/>
  <c r="AC78" i="2"/>
  <c r="AD78" i="2"/>
  <c r="AK78" i="2"/>
  <c r="AL78" i="2"/>
  <c r="AM78" i="2"/>
  <c r="AP78" i="2" s="1"/>
  <c r="AN78" i="2"/>
  <c r="AO78" i="2"/>
  <c r="C25" i="2"/>
  <c r="D25" i="2" s="1"/>
  <c r="B26" i="2"/>
  <c r="W77" i="2"/>
  <c r="C79" i="2"/>
  <c r="B141" i="3"/>
  <c r="AF77" i="2"/>
  <c r="X77" i="2"/>
  <c r="L141" i="3"/>
  <c r="AR77" i="2"/>
  <c r="AI77" i="2"/>
  <c r="L77" i="2"/>
  <c r="AS77" i="2"/>
  <c r="U77" i="2"/>
  <c r="M77" i="2"/>
  <c r="B81" i="1"/>
  <c r="P140" i="3" a="1"/>
  <c r="Q140" i="3" a="1"/>
  <c r="R140" i="3" a="1"/>
  <c r="O140" i="3" a="1"/>
  <c r="N140" i="3" a="1"/>
  <c r="B22" i="3" a="1"/>
  <c r="E21" i="3" a="1"/>
  <c r="D21" i="3" a="1"/>
  <c r="C21" i="3" a="1"/>
  <c r="K22" i="3" a="1"/>
  <c r="N21" i="3" a="1"/>
  <c r="M21" i="3" a="1"/>
  <c r="L21" i="3" a="1"/>
  <c r="T22" i="3" a="1"/>
  <c r="W21" i="3" a="1"/>
  <c r="V21" i="3" a="1"/>
  <c r="U21" i="3" a="1"/>
  <c r="AO79" i="2" a="1"/>
  <c r="AN79" i="2" a="1"/>
  <c r="AM79" i="2" a="1"/>
  <c r="AL79" i="2" a="1"/>
  <c r="AK79" i="2" a="1"/>
  <c r="AD79" i="2" a="1"/>
  <c r="AC79" i="2" a="1"/>
  <c r="AB79" i="2" a="1"/>
  <c r="AA79" i="2" a="1"/>
  <c r="Z79" i="2" a="1"/>
  <c r="S79" i="2" a="1"/>
  <c r="R79" i="2" a="1"/>
  <c r="Q79" i="2" a="1"/>
  <c r="P79" i="2" a="1"/>
  <c r="O79" i="2" a="1"/>
  <c r="H79" i="2" a="1"/>
  <c r="G79" i="2" a="1"/>
  <c r="F79" i="2" a="1"/>
  <c r="E79" i="2" a="1"/>
  <c r="D79" i="2" a="1"/>
  <c r="B81" i="2" a="1"/>
  <c r="AC22" i="3" a="1"/>
  <c r="AF21" i="3" a="1"/>
  <c r="AE21" i="3" a="1"/>
  <c r="AD21" i="3" a="1"/>
  <c r="B27" i="2" a="1"/>
  <c r="C26" i="2" a="1"/>
  <c r="G141" i="3" a="1"/>
  <c r="H141" i="3" a="1"/>
  <c r="I141" i="3" a="1"/>
  <c r="D141" i="3" a="1"/>
  <c r="E141" i="3" a="1"/>
  <c r="J141" i="3" a="1"/>
  <c r="F141" i="3" a="1"/>
  <c r="Y25" i="2" a="1"/>
  <c r="U25" i="2" a="1"/>
  <c r="Q25" i="2" a="1"/>
  <c r="M25" i="2" a="1"/>
  <c r="I25" i="2" a="1"/>
  <c r="E25" i="2" a="1"/>
  <c r="C81" i="1"/>
  <c r="E81" i="1"/>
  <c r="B82" i="1" a="1"/>
  <c r="AG78" i="2" l="1"/>
  <c r="N140" i="3"/>
  <c r="O140" i="3"/>
  <c r="R140" i="3"/>
  <c r="Q140" i="3"/>
  <c r="P140" i="3"/>
  <c r="M141" i="3"/>
  <c r="W78" i="2"/>
  <c r="AF78" i="2"/>
  <c r="X78" i="2"/>
  <c r="K78" i="2"/>
  <c r="AR78" i="2"/>
  <c r="AQ78" i="2"/>
  <c r="E25" i="2"/>
  <c r="F25" i="2" s="1"/>
  <c r="I25" i="2"/>
  <c r="J25" i="2" s="1"/>
  <c r="M25" i="2"/>
  <c r="N25" i="2" s="1"/>
  <c r="Q25" i="2"/>
  <c r="R25" i="2" s="1"/>
  <c r="U25" i="2"/>
  <c r="V25" i="2" s="1"/>
  <c r="Y25" i="2"/>
  <c r="Z25" i="2" s="1"/>
  <c r="F141" i="3"/>
  <c r="J141" i="3"/>
  <c r="E141" i="3"/>
  <c r="D141" i="3"/>
  <c r="I141" i="3"/>
  <c r="H141" i="3"/>
  <c r="G141" i="3"/>
  <c r="C26" i="2"/>
  <c r="D26" i="2" s="1"/>
  <c r="B27" i="2"/>
  <c r="AD21" i="3"/>
  <c r="AE21" i="3"/>
  <c r="AG21" i="3" s="1"/>
  <c r="AF21" i="3"/>
  <c r="AH21" i="3" s="1"/>
  <c r="AC22" i="3"/>
  <c r="B81" i="2"/>
  <c r="D79" i="2"/>
  <c r="E79" i="2"/>
  <c r="F79" i="2"/>
  <c r="I79" i="2" s="1"/>
  <c r="G79" i="2"/>
  <c r="H79" i="2"/>
  <c r="O79" i="2"/>
  <c r="P79" i="2"/>
  <c r="Q79" i="2"/>
  <c r="T79" i="2" s="1"/>
  <c r="R79" i="2"/>
  <c r="S79" i="2"/>
  <c r="Z79" i="2"/>
  <c r="AA79" i="2"/>
  <c r="AB79" i="2"/>
  <c r="AE79" i="2" s="1"/>
  <c r="AC79" i="2"/>
  <c r="AD79" i="2"/>
  <c r="AK79" i="2"/>
  <c r="AL79" i="2"/>
  <c r="AM79" i="2"/>
  <c r="AP79" i="2" s="1"/>
  <c r="AN79" i="2"/>
  <c r="AO79" i="2"/>
  <c r="U21" i="3"/>
  <c r="V21" i="3"/>
  <c r="X21" i="3" s="1"/>
  <c r="W21" i="3"/>
  <c r="Y21" i="3" s="1"/>
  <c r="T22" i="3"/>
  <c r="L21" i="3"/>
  <c r="M21" i="3"/>
  <c r="O21" i="3" s="1"/>
  <c r="N21" i="3"/>
  <c r="P21" i="3" s="1"/>
  <c r="K22" i="3"/>
  <c r="C21" i="3"/>
  <c r="C142" i="3" s="1"/>
  <c r="D21" i="3"/>
  <c r="F21" i="3" s="1"/>
  <c r="E21" i="3"/>
  <c r="G21" i="3" s="1"/>
  <c r="B22" i="3"/>
  <c r="AH78" i="2"/>
  <c r="J78" i="2"/>
  <c r="C80" i="2"/>
  <c r="AI78" i="2"/>
  <c r="V78" i="2"/>
  <c r="L78" i="2"/>
  <c r="AS78" i="2"/>
  <c r="U78" i="2"/>
  <c r="M78" i="2"/>
  <c r="AT78" i="2"/>
  <c r="L142" i="3"/>
  <c r="B142" i="3"/>
  <c r="B82" i="1"/>
  <c r="P141" i="3" a="1"/>
  <c r="Q141" i="3" a="1"/>
  <c r="R141" i="3" a="1"/>
  <c r="O141" i="3" a="1"/>
  <c r="N141" i="3" a="1"/>
  <c r="K23" i="3" a="1"/>
  <c r="N22" i="3" a="1"/>
  <c r="M22" i="3" a="1"/>
  <c r="L22" i="3" a="1"/>
  <c r="G142" i="3" a="1"/>
  <c r="H142" i="3" a="1"/>
  <c r="I142" i="3" a="1"/>
  <c r="D142" i="3" a="1"/>
  <c r="E142" i="3" a="1"/>
  <c r="J142" i="3" a="1"/>
  <c r="F142" i="3" a="1"/>
  <c r="B28" i="2" a="1"/>
  <c r="C27" i="2" a="1"/>
  <c r="AO80" i="2" a="1"/>
  <c r="AN80" i="2" a="1"/>
  <c r="AM80" i="2" a="1"/>
  <c r="AL80" i="2" a="1"/>
  <c r="AK80" i="2" a="1"/>
  <c r="AD80" i="2" a="1"/>
  <c r="AC80" i="2" a="1"/>
  <c r="AB80" i="2" a="1"/>
  <c r="AA80" i="2" a="1"/>
  <c r="Z80" i="2" a="1"/>
  <c r="S80" i="2" a="1"/>
  <c r="R80" i="2" a="1"/>
  <c r="Q80" i="2" a="1"/>
  <c r="P80" i="2" a="1"/>
  <c r="O80" i="2" a="1"/>
  <c r="H80" i="2" a="1"/>
  <c r="G80" i="2" a="1"/>
  <c r="F80" i="2" a="1"/>
  <c r="E80" i="2" a="1"/>
  <c r="D80" i="2" a="1"/>
  <c r="B82" i="2" a="1"/>
  <c r="B23" i="3" a="1"/>
  <c r="E22" i="3" a="1"/>
  <c r="D22" i="3" a="1"/>
  <c r="C22" i="3" a="1"/>
  <c r="Y26" i="2" a="1"/>
  <c r="U26" i="2" a="1"/>
  <c r="Q26" i="2" a="1"/>
  <c r="M26" i="2" a="1"/>
  <c r="I26" i="2" a="1"/>
  <c r="E26" i="2" a="1"/>
  <c r="AC23" i="3" a="1"/>
  <c r="AF22" i="3" a="1"/>
  <c r="AE22" i="3" a="1"/>
  <c r="AD22" i="3" a="1"/>
  <c r="T23" i="3" a="1"/>
  <c r="W22" i="3" a="1"/>
  <c r="V22" i="3" a="1"/>
  <c r="U22" i="3" a="1"/>
  <c r="C82" i="1"/>
  <c r="E82" i="1"/>
  <c r="B83" i="1" a="1"/>
  <c r="U79" i="2" l="1"/>
  <c r="N141" i="3"/>
  <c r="O141" i="3"/>
  <c r="R141" i="3"/>
  <c r="Q141" i="3"/>
  <c r="P141" i="3"/>
  <c r="M142" i="3"/>
  <c r="V79" i="2"/>
  <c r="AS79" i="2"/>
  <c r="AT79" i="2"/>
  <c r="AG79" i="2"/>
  <c r="K79" i="2"/>
  <c r="AR79" i="2"/>
  <c r="J79" i="2"/>
  <c r="U22" i="3"/>
  <c r="V22" i="3"/>
  <c r="X22" i="3" s="1"/>
  <c r="W22" i="3"/>
  <c r="Y22" i="3" s="1"/>
  <c r="T23" i="3"/>
  <c r="AD22" i="3"/>
  <c r="AE22" i="3"/>
  <c r="AG22" i="3" s="1"/>
  <c r="AF22" i="3"/>
  <c r="AH22" i="3" s="1"/>
  <c r="AC23" i="3"/>
  <c r="E26" i="2"/>
  <c r="I26" i="2"/>
  <c r="M26" i="2"/>
  <c r="Q26" i="2"/>
  <c r="U26" i="2"/>
  <c r="Y26" i="2"/>
  <c r="C22" i="3"/>
  <c r="C143" i="3" s="1"/>
  <c r="D22" i="3"/>
  <c r="F22" i="3" s="1"/>
  <c r="E22" i="3"/>
  <c r="G22" i="3" s="1"/>
  <c r="B23" i="3"/>
  <c r="B82" i="2"/>
  <c r="D80" i="2"/>
  <c r="E80" i="2"/>
  <c r="F80" i="2"/>
  <c r="I80" i="2" s="1"/>
  <c r="G80" i="2"/>
  <c r="H80" i="2"/>
  <c r="O80" i="2"/>
  <c r="P80" i="2"/>
  <c r="Q80" i="2"/>
  <c r="T80" i="2" s="1"/>
  <c r="R80" i="2"/>
  <c r="S80" i="2"/>
  <c r="Z80" i="2"/>
  <c r="AA80" i="2"/>
  <c r="AB80" i="2"/>
  <c r="AE80" i="2" s="1"/>
  <c r="AC80" i="2"/>
  <c r="AD80" i="2"/>
  <c r="AK80" i="2"/>
  <c r="AL80" i="2"/>
  <c r="AM80" i="2"/>
  <c r="AP80" i="2" s="1"/>
  <c r="AN80" i="2"/>
  <c r="AO80" i="2"/>
  <c r="C27" i="2"/>
  <c r="D27" i="2" s="1"/>
  <c r="B28" i="2"/>
  <c r="F142" i="3"/>
  <c r="J142" i="3"/>
  <c r="E142" i="3"/>
  <c r="D142" i="3"/>
  <c r="I142" i="3"/>
  <c r="H142" i="3"/>
  <c r="G142" i="3"/>
  <c r="L22" i="3"/>
  <c r="M22" i="3"/>
  <c r="O22" i="3" s="1"/>
  <c r="N22" i="3"/>
  <c r="P22" i="3" s="1"/>
  <c r="K23" i="3"/>
  <c r="M79" i="2"/>
  <c r="W79" i="2"/>
  <c r="B143" i="3"/>
  <c r="C81" i="2"/>
  <c r="AF79" i="2"/>
  <c r="X79" i="2"/>
  <c r="AH79" i="2"/>
  <c r="AQ79" i="2"/>
  <c r="AI79" i="2"/>
  <c r="L143" i="3"/>
  <c r="L79" i="2"/>
  <c r="B83" i="1"/>
  <c r="P142" i="3" a="1"/>
  <c r="Q142" i="3" a="1"/>
  <c r="R142" i="3" a="1"/>
  <c r="O142" i="3" a="1"/>
  <c r="N142" i="3" a="1"/>
  <c r="B29" i="2" a="1"/>
  <c r="C28" i="2" a="1"/>
  <c r="G143" i="3" a="1"/>
  <c r="H143" i="3" a="1"/>
  <c r="I143" i="3" a="1"/>
  <c r="D143" i="3" a="1"/>
  <c r="E143" i="3" a="1"/>
  <c r="J143" i="3" a="1"/>
  <c r="F143" i="3" a="1"/>
  <c r="AC24" i="3" a="1"/>
  <c r="AF23" i="3" a="1"/>
  <c r="AE23" i="3" a="1"/>
  <c r="AD23" i="3" a="1"/>
  <c r="AO81" i="2" a="1"/>
  <c r="AN81" i="2" a="1"/>
  <c r="AM81" i="2" a="1"/>
  <c r="AL81" i="2" a="1"/>
  <c r="AK81" i="2" a="1"/>
  <c r="AD81" i="2" a="1"/>
  <c r="AC81" i="2" a="1"/>
  <c r="AB81" i="2" a="1"/>
  <c r="AA81" i="2" a="1"/>
  <c r="Z81" i="2" a="1"/>
  <c r="S81" i="2" a="1"/>
  <c r="R81" i="2" a="1"/>
  <c r="Q81" i="2" a="1"/>
  <c r="P81" i="2" a="1"/>
  <c r="O81" i="2" a="1"/>
  <c r="H81" i="2" a="1"/>
  <c r="G81" i="2" a="1"/>
  <c r="F81" i="2" a="1"/>
  <c r="E81" i="2" a="1"/>
  <c r="D81" i="2" a="1"/>
  <c r="B24" i="3" a="1"/>
  <c r="E23" i="3" a="1"/>
  <c r="D23" i="3" a="1"/>
  <c r="C23" i="3" a="1"/>
  <c r="B83" i="2" a="1"/>
  <c r="T24" i="3" a="1"/>
  <c r="W23" i="3" a="1"/>
  <c r="V23" i="3" a="1"/>
  <c r="U23" i="3" a="1"/>
  <c r="K24" i="3" a="1"/>
  <c r="N23" i="3" a="1"/>
  <c r="M23" i="3" a="1"/>
  <c r="L23" i="3" a="1"/>
  <c r="Y27" i="2" a="1"/>
  <c r="U27" i="2" a="1"/>
  <c r="Q27" i="2" a="1"/>
  <c r="M27" i="2" a="1"/>
  <c r="I27" i="2" a="1"/>
  <c r="E27" i="2" a="1"/>
  <c r="C83" i="1"/>
  <c r="E83" i="1"/>
  <c r="B84" i="1" a="1"/>
  <c r="AF80" i="2" l="1"/>
  <c r="V80" i="2"/>
  <c r="L80" i="2"/>
  <c r="U80" i="2"/>
  <c r="M80" i="2"/>
  <c r="N142" i="3"/>
  <c r="O142" i="3"/>
  <c r="R142" i="3"/>
  <c r="Q142" i="3"/>
  <c r="P142" i="3"/>
  <c r="M143" i="3"/>
  <c r="AG80" i="2"/>
  <c r="E27" i="2"/>
  <c r="I27" i="2"/>
  <c r="M27" i="2"/>
  <c r="Q27" i="2"/>
  <c r="U27" i="2"/>
  <c r="Y27" i="2"/>
  <c r="L23" i="3"/>
  <c r="M23" i="3"/>
  <c r="O23" i="3" s="1"/>
  <c r="N23" i="3"/>
  <c r="P23" i="3" s="1"/>
  <c r="K24" i="3"/>
  <c r="U23" i="3"/>
  <c r="V23" i="3"/>
  <c r="X23" i="3" s="1"/>
  <c r="W23" i="3"/>
  <c r="Y23" i="3" s="1"/>
  <c r="T24" i="3"/>
  <c r="B83" i="2"/>
  <c r="C23" i="3"/>
  <c r="C144" i="3" s="1"/>
  <c r="D23" i="3"/>
  <c r="F23" i="3" s="1"/>
  <c r="E23" i="3"/>
  <c r="G23" i="3" s="1"/>
  <c r="B24" i="3"/>
  <c r="D81" i="2"/>
  <c r="E81" i="2"/>
  <c r="F81" i="2"/>
  <c r="I81" i="2" s="1"/>
  <c r="G81" i="2"/>
  <c r="H81" i="2"/>
  <c r="O81" i="2"/>
  <c r="P81" i="2"/>
  <c r="Q81" i="2"/>
  <c r="T81" i="2" s="1"/>
  <c r="R81" i="2"/>
  <c r="S81" i="2"/>
  <c r="Z81" i="2"/>
  <c r="AA81" i="2"/>
  <c r="AB81" i="2"/>
  <c r="AE81" i="2" s="1"/>
  <c r="AC81" i="2"/>
  <c r="AD81" i="2"/>
  <c r="AK81" i="2"/>
  <c r="AL81" i="2"/>
  <c r="AM81" i="2"/>
  <c r="AP81" i="2" s="1"/>
  <c r="AN81" i="2"/>
  <c r="AO81" i="2"/>
  <c r="AD23" i="3"/>
  <c r="AE23" i="3"/>
  <c r="AG23" i="3" s="1"/>
  <c r="AF23" i="3"/>
  <c r="AH23" i="3" s="1"/>
  <c r="AC24" i="3"/>
  <c r="F143" i="3"/>
  <c r="J143" i="3"/>
  <c r="E143" i="3"/>
  <c r="D143" i="3"/>
  <c r="I143" i="3"/>
  <c r="H143" i="3"/>
  <c r="G143" i="3"/>
  <c r="C28" i="2"/>
  <c r="D28" i="2" s="1"/>
  <c r="B29" i="2"/>
  <c r="L144" i="3"/>
  <c r="AS80" i="2"/>
  <c r="AT80" i="2"/>
  <c r="C82" i="2"/>
  <c r="W80" i="2"/>
  <c r="B144" i="3"/>
  <c r="K80" i="2"/>
  <c r="AR80" i="2"/>
  <c r="AH80" i="2"/>
  <c r="J80" i="2"/>
  <c r="X80" i="2"/>
  <c r="AQ80" i="2"/>
  <c r="AI80" i="2"/>
  <c r="B84" i="1"/>
  <c r="P143" i="3" a="1"/>
  <c r="Q143" i="3" a="1"/>
  <c r="R143" i="3" a="1"/>
  <c r="O143" i="3" a="1"/>
  <c r="N143" i="3" a="1"/>
  <c r="B25" i="3" a="1"/>
  <c r="E24" i="3" a="1"/>
  <c r="D24" i="3" a="1"/>
  <c r="C24" i="3" a="1"/>
  <c r="AC25" i="3" a="1"/>
  <c r="AF24" i="3" a="1"/>
  <c r="AE24" i="3" a="1"/>
  <c r="AD24" i="3" a="1"/>
  <c r="T25" i="3" a="1"/>
  <c r="W24" i="3" a="1"/>
  <c r="V24" i="3" a="1"/>
  <c r="U24" i="3" a="1"/>
  <c r="G144" i="3" a="1"/>
  <c r="H144" i="3" a="1"/>
  <c r="I144" i="3" a="1"/>
  <c r="D144" i="3" a="1"/>
  <c r="E144" i="3" a="1"/>
  <c r="J144" i="3" a="1"/>
  <c r="F144" i="3" a="1"/>
  <c r="AO82" i="2" a="1"/>
  <c r="AN82" i="2" a="1"/>
  <c r="AM82" i="2" a="1"/>
  <c r="AL82" i="2" a="1"/>
  <c r="AK82" i="2" a="1"/>
  <c r="AD82" i="2" a="1"/>
  <c r="AC82" i="2" a="1"/>
  <c r="AB82" i="2" a="1"/>
  <c r="AA82" i="2" a="1"/>
  <c r="Z82" i="2" a="1"/>
  <c r="S82" i="2" a="1"/>
  <c r="R82" i="2" a="1"/>
  <c r="Q82" i="2" a="1"/>
  <c r="P82" i="2" a="1"/>
  <c r="O82" i="2" a="1"/>
  <c r="H82" i="2" a="1"/>
  <c r="G82" i="2" a="1"/>
  <c r="F82" i="2" a="1"/>
  <c r="E82" i="2" a="1"/>
  <c r="D82" i="2" a="1"/>
  <c r="B84" i="2" a="1"/>
  <c r="Y28" i="2" a="1"/>
  <c r="U28" i="2" a="1"/>
  <c r="Q28" i="2" a="1"/>
  <c r="M28" i="2" a="1"/>
  <c r="I28" i="2" a="1"/>
  <c r="E28" i="2" a="1"/>
  <c r="K25" i="3" a="1"/>
  <c r="N24" i="3" a="1"/>
  <c r="M24" i="3" a="1"/>
  <c r="L24" i="3" a="1"/>
  <c r="B30" i="2" a="1"/>
  <c r="C29" i="2" a="1"/>
  <c r="C84" i="1"/>
  <c r="E84" i="1"/>
  <c r="B85" i="1" a="1"/>
  <c r="N143" i="3" l="1"/>
  <c r="O143" i="3"/>
  <c r="R143" i="3"/>
  <c r="Q143" i="3"/>
  <c r="P143" i="3"/>
  <c r="M144" i="3"/>
  <c r="AR81" i="2"/>
  <c r="AQ81" i="2"/>
  <c r="K81" i="2"/>
  <c r="AG81" i="2"/>
  <c r="W81" i="2"/>
  <c r="AF81" i="2"/>
  <c r="X81" i="2"/>
  <c r="C29" i="2"/>
  <c r="D29" i="2" s="1"/>
  <c r="B30" i="2"/>
  <c r="L24" i="3"/>
  <c r="M24" i="3"/>
  <c r="O24" i="3" s="1"/>
  <c r="N24" i="3"/>
  <c r="P24" i="3" s="1"/>
  <c r="K25" i="3"/>
  <c r="E28" i="2"/>
  <c r="I28" i="2"/>
  <c r="M28" i="2"/>
  <c r="Q28" i="2"/>
  <c r="U28" i="2"/>
  <c r="Y28" i="2"/>
  <c r="B84" i="2"/>
  <c r="D82" i="2"/>
  <c r="E82" i="2"/>
  <c r="F82" i="2"/>
  <c r="I82" i="2" s="1"/>
  <c r="G82" i="2"/>
  <c r="H82" i="2"/>
  <c r="O82" i="2"/>
  <c r="P82" i="2"/>
  <c r="Q82" i="2"/>
  <c r="T82" i="2" s="1"/>
  <c r="R82" i="2"/>
  <c r="S82" i="2"/>
  <c r="Z82" i="2"/>
  <c r="AA82" i="2"/>
  <c r="AB82" i="2"/>
  <c r="AE82" i="2" s="1"/>
  <c r="AC82" i="2"/>
  <c r="AD82" i="2"/>
  <c r="AK82" i="2"/>
  <c r="AL82" i="2"/>
  <c r="AM82" i="2"/>
  <c r="AP82" i="2" s="1"/>
  <c r="AN82" i="2"/>
  <c r="AO82" i="2"/>
  <c r="F144" i="3"/>
  <c r="J144" i="3"/>
  <c r="E144" i="3"/>
  <c r="D144" i="3"/>
  <c r="I144" i="3"/>
  <c r="H144" i="3"/>
  <c r="G144" i="3"/>
  <c r="U24" i="3"/>
  <c r="V24" i="3"/>
  <c r="X24" i="3" s="1"/>
  <c r="W24" i="3"/>
  <c r="Y24" i="3" s="1"/>
  <c r="T25" i="3"/>
  <c r="AD24" i="3"/>
  <c r="AE24" i="3"/>
  <c r="AG24" i="3" s="1"/>
  <c r="AF24" i="3"/>
  <c r="AH24" i="3" s="1"/>
  <c r="AC25" i="3"/>
  <c r="C24" i="3"/>
  <c r="C145" i="3" s="1"/>
  <c r="D24" i="3"/>
  <c r="F24" i="3" s="1"/>
  <c r="E24" i="3"/>
  <c r="G24" i="3" s="1"/>
  <c r="B25" i="3"/>
  <c r="L145" i="3"/>
  <c r="AH81" i="2"/>
  <c r="J81" i="2"/>
  <c r="C83" i="2"/>
  <c r="V81" i="2"/>
  <c r="L81" i="2"/>
  <c r="AS81" i="2"/>
  <c r="U81" i="2"/>
  <c r="M81" i="2"/>
  <c r="AI81" i="2"/>
  <c r="AT81" i="2"/>
  <c r="B145" i="3"/>
  <c r="B85" i="1"/>
  <c r="P144" i="3" a="1"/>
  <c r="Q144" i="3" a="1"/>
  <c r="R144" i="3" a="1"/>
  <c r="O144" i="3" a="1"/>
  <c r="N144" i="3" a="1"/>
  <c r="T26" i="3" a="1"/>
  <c r="W25" i="3" a="1"/>
  <c r="V25" i="3" a="1"/>
  <c r="U25" i="3" a="1"/>
  <c r="B26" i="3" a="1"/>
  <c r="E25" i="3" a="1"/>
  <c r="D25" i="3" a="1"/>
  <c r="C25" i="3" a="1"/>
  <c r="B31" i="2" a="1"/>
  <c r="C30" i="2" a="1"/>
  <c r="Y29" i="2" a="1"/>
  <c r="U29" i="2" a="1"/>
  <c r="Q29" i="2" a="1"/>
  <c r="M29" i="2" a="1"/>
  <c r="I29" i="2" a="1"/>
  <c r="E29" i="2" a="1"/>
  <c r="B85" i="2" a="1"/>
  <c r="AC26" i="3" a="1"/>
  <c r="AF25" i="3" a="1"/>
  <c r="AE25" i="3" a="1"/>
  <c r="AD25" i="3" a="1"/>
  <c r="K26" i="3" a="1"/>
  <c r="N25" i="3" a="1"/>
  <c r="M25" i="3" a="1"/>
  <c r="L25" i="3" a="1"/>
  <c r="G145" i="3" a="1"/>
  <c r="H145" i="3" a="1"/>
  <c r="I145" i="3" a="1"/>
  <c r="D145" i="3" a="1"/>
  <c r="E145" i="3" a="1"/>
  <c r="J145" i="3" a="1"/>
  <c r="F145" i="3" a="1"/>
  <c r="AO83" i="2" a="1"/>
  <c r="AN83" i="2" a="1"/>
  <c r="AM83" i="2" a="1"/>
  <c r="AL83" i="2" a="1"/>
  <c r="AK83" i="2" a="1"/>
  <c r="AD83" i="2" a="1"/>
  <c r="AC83" i="2" a="1"/>
  <c r="AB83" i="2" a="1"/>
  <c r="AA83" i="2" a="1"/>
  <c r="Z83" i="2" a="1"/>
  <c r="S83" i="2" a="1"/>
  <c r="R83" i="2" a="1"/>
  <c r="Q83" i="2" a="1"/>
  <c r="P83" i="2" a="1"/>
  <c r="O83" i="2" a="1"/>
  <c r="H83" i="2" a="1"/>
  <c r="G83" i="2" a="1"/>
  <c r="F83" i="2" a="1"/>
  <c r="E83" i="2" a="1"/>
  <c r="D83" i="2" a="1"/>
  <c r="C85" i="1"/>
  <c r="E85" i="1"/>
  <c r="B86" i="1" a="1"/>
  <c r="U82" i="2" l="1"/>
  <c r="N144" i="3"/>
  <c r="O144" i="3"/>
  <c r="R144" i="3"/>
  <c r="Q144" i="3"/>
  <c r="P144" i="3"/>
  <c r="M145" i="3"/>
  <c r="V82" i="2"/>
  <c r="AF82" i="2"/>
  <c r="L82" i="2"/>
  <c r="AS82" i="2"/>
  <c r="X82" i="2"/>
  <c r="K82" i="2"/>
  <c r="AR82" i="2"/>
  <c r="J82" i="2"/>
  <c r="D83" i="2"/>
  <c r="E83" i="2"/>
  <c r="F83" i="2"/>
  <c r="I83" i="2" s="1"/>
  <c r="G83" i="2"/>
  <c r="H83" i="2"/>
  <c r="O83" i="2"/>
  <c r="P83" i="2"/>
  <c r="Q83" i="2"/>
  <c r="T83" i="2" s="1"/>
  <c r="R83" i="2"/>
  <c r="S83" i="2"/>
  <c r="Z83" i="2"/>
  <c r="AA83" i="2"/>
  <c r="AB83" i="2"/>
  <c r="AE83" i="2" s="1"/>
  <c r="AC83" i="2"/>
  <c r="AD83" i="2"/>
  <c r="AK83" i="2"/>
  <c r="AL83" i="2"/>
  <c r="AM83" i="2"/>
  <c r="AP83" i="2" s="1"/>
  <c r="AN83" i="2"/>
  <c r="AO83" i="2"/>
  <c r="F145" i="3"/>
  <c r="J145" i="3"/>
  <c r="E145" i="3"/>
  <c r="D145" i="3"/>
  <c r="I145" i="3"/>
  <c r="H145" i="3"/>
  <c r="G145" i="3"/>
  <c r="L25" i="3"/>
  <c r="M25" i="3"/>
  <c r="O25" i="3" s="1"/>
  <c r="N25" i="3"/>
  <c r="P25" i="3" s="1"/>
  <c r="K26" i="3"/>
  <c r="AD25" i="3"/>
  <c r="AE25" i="3"/>
  <c r="AG25" i="3" s="1"/>
  <c r="AF25" i="3"/>
  <c r="AH25" i="3" s="1"/>
  <c r="AC26" i="3"/>
  <c r="B85" i="2"/>
  <c r="E29" i="2"/>
  <c r="I29" i="2"/>
  <c r="M29" i="2"/>
  <c r="Q29" i="2"/>
  <c r="U29" i="2"/>
  <c r="Y29" i="2"/>
  <c r="C30" i="2"/>
  <c r="B31" i="2"/>
  <c r="C25" i="3"/>
  <c r="C146" i="3" s="1"/>
  <c r="D25" i="3"/>
  <c r="F25" i="3" s="1"/>
  <c r="E25" i="3"/>
  <c r="G25" i="3" s="1"/>
  <c r="B26" i="3"/>
  <c r="U25" i="3"/>
  <c r="V25" i="3"/>
  <c r="X25" i="3" s="1"/>
  <c r="W25" i="3"/>
  <c r="Y25" i="3" s="1"/>
  <c r="T26" i="3"/>
  <c r="AH82" i="2"/>
  <c r="L146" i="3"/>
  <c r="AQ82" i="2"/>
  <c r="AI82" i="2"/>
  <c r="C84" i="2"/>
  <c r="AT82" i="2"/>
  <c r="D30" i="2"/>
  <c r="M82" i="2"/>
  <c r="B146" i="3"/>
  <c r="AG82" i="2"/>
  <c r="W82" i="2"/>
  <c r="B86" i="1"/>
  <c r="P145" i="3" a="1"/>
  <c r="Q145" i="3" a="1"/>
  <c r="R145" i="3" a="1"/>
  <c r="O145" i="3" a="1"/>
  <c r="N145" i="3" a="1"/>
  <c r="T27" i="3" a="1"/>
  <c r="W26" i="3" a="1"/>
  <c r="V26" i="3" a="1"/>
  <c r="U26" i="3" a="1"/>
  <c r="B86" i="2" a="1"/>
  <c r="G146" i="3" a="1"/>
  <c r="H146" i="3" a="1"/>
  <c r="I146" i="3" a="1"/>
  <c r="D146" i="3" a="1"/>
  <c r="E146" i="3" a="1"/>
  <c r="J146" i="3" a="1"/>
  <c r="F146" i="3" a="1"/>
  <c r="B32" i="2" a="1"/>
  <c r="C31" i="2" a="1"/>
  <c r="AC27" i="3" a="1"/>
  <c r="AF26" i="3" a="1"/>
  <c r="AE26" i="3" a="1"/>
  <c r="AD26" i="3" a="1"/>
  <c r="B27" i="3" a="1"/>
  <c r="E26" i="3" a="1"/>
  <c r="D26" i="3" a="1"/>
  <c r="C26" i="3" a="1"/>
  <c r="AO84" i="2" a="1"/>
  <c r="AN84" i="2" a="1"/>
  <c r="AM84" i="2" a="1"/>
  <c r="AL84" i="2" a="1"/>
  <c r="AK84" i="2" a="1"/>
  <c r="AD84" i="2" a="1"/>
  <c r="AC84" i="2" a="1"/>
  <c r="AB84" i="2" a="1"/>
  <c r="AA84" i="2" a="1"/>
  <c r="Z84" i="2" a="1"/>
  <c r="S84" i="2" a="1"/>
  <c r="R84" i="2" a="1"/>
  <c r="Q84" i="2" a="1"/>
  <c r="P84" i="2" a="1"/>
  <c r="O84" i="2" a="1"/>
  <c r="H84" i="2" a="1"/>
  <c r="G84" i="2" a="1"/>
  <c r="F84" i="2" a="1"/>
  <c r="E84" i="2" a="1"/>
  <c r="D84" i="2" a="1"/>
  <c r="K27" i="3" a="1"/>
  <c r="N26" i="3" a="1"/>
  <c r="M26" i="3" a="1"/>
  <c r="L26" i="3" a="1"/>
  <c r="Y30" i="2" a="1"/>
  <c r="U30" i="2" a="1"/>
  <c r="Q30" i="2" a="1"/>
  <c r="M30" i="2" a="1"/>
  <c r="I30" i="2" a="1"/>
  <c r="E30" i="2" a="1"/>
  <c r="C86" i="1"/>
  <c r="E86" i="1"/>
  <c r="B87" i="1" a="1"/>
  <c r="N145" i="3" l="1"/>
  <c r="O145" i="3"/>
  <c r="R145" i="3"/>
  <c r="Q145" i="3"/>
  <c r="P145" i="3"/>
  <c r="M146" i="3"/>
  <c r="AH83" i="2"/>
  <c r="AQ83" i="2"/>
  <c r="AT83" i="2"/>
  <c r="AG83" i="2"/>
  <c r="AF83" i="2"/>
  <c r="K83" i="2"/>
  <c r="J83" i="2"/>
  <c r="E30" i="2"/>
  <c r="I30" i="2"/>
  <c r="M30" i="2"/>
  <c r="Q30" i="2"/>
  <c r="U30" i="2"/>
  <c r="Y30" i="2"/>
  <c r="L26" i="3"/>
  <c r="M26" i="3"/>
  <c r="O26" i="3" s="1"/>
  <c r="N26" i="3"/>
  <c r="P26" i="3" s="1"/>
  <c r="K27" i="3"/>
  <c r="D84" i="2"/>
  <c r="E84" i="2"/>
  <c r="F84" i="2"/>
  <c r="I84" i="2" s="1"/>
  <c r="G84" i="2"/>
  <c r="H84" i="2"/>
  <c r="O84" i="2"/>
  <c r="P84" i="2"/>
  <c r="Q84" i="2"/>
  <c r="T84" i="2" s="1"/>
  <c r="R84" i="2"/>
  <c r="S84" i="2"/>
  <c r="Z84" i="2"/>
  <c r="AA84" i="2"/>
  <c r="AB84" i="2"/>
  <c r="AE84" i="2" s="1"/>
  <c r="AC84" i="2"/>
  <c r="AD84" i="2"/>
  <c r="AK84" i="2"/>
  <c r="AL84" i="2"/>
  <c r="AM84" i="2"/>
  <c r="AP84" i="2" s="1"/>
  <c r="AN84" i="2"/>
  <c r="AO84" i="2"/>
  <c r="C26" i="3"/>
  <c r="C147" i="3" s="1"/>
  <c r="D26" i="3"/>
  <c r="F26" i="3" s="1"/>
  <c r="E26" i="3"/>
  <c r="G26" i="3" s="1"/>
  <c r="B27" i="3"/>
  <c r="AD26" i="3"/>
  <c r="AE26" i="3"/>
  <c r="AG26" i="3" s="1"/>
  <c r="AF26" i="3"/>
  <c r="AH26" i="3" s="1"/>
  <c r="AC27" i="3"/>
  <c r="C31" i="2"/>
  <c r="D31" i="2" s="1"/>
  <c r="B32" i="2"/>
  <c r="F146" i="3"/>
  <c r="J146" i="3"/>
  <c r="E146" i="3"/>
  <c r="D146" i="3"/>
  <c r="I146" i="3"/>
  <c r="H146" i="3"/>
  <c r="G146" i="3"/>
  <c r="B86" i="2"/>
  <c r="U26" i="3"/>
  <c r="V26" i="3"/>
  <c r="X26" i="3" s="1"/>
  <c r="W26" i="3"/>
  <c r="Y26" i="3" s="1"/>
  <c r="T27" i="3"/>
  <c r="L147" i="3"/>
  <c r="W83" i="2"/>
  <c r="X83" i="2"/>
  <c r="B147" i="3"/>
  <c r="AR83" i="2"/>
  <c r="AI83" i="2"/>
  <c r="V83" i="2"/>
  <c r="L83" i="2"/>
  <c r="C85" i="2"/>
  <c r="AS83" i="2"/>
  <c r="U83" i="2"/>
  <c r="M83" i="2"/>
  <c r="B87" i="1"/>
  <c r="P146" i="3" a="1"/>
  <c r="Q146" i="3" a="1"/>
  <c r="R146" i="3" a="1"/>
  <c r="O146" i="3" a="1"/>
  <c r="N146" i="3" a="1"/>
  <c r="Y31" i="2" a="1"/>
  <c r="U31" i="2" a="1"/>
  <c r="Q31" i="2" a="1"/>
  <c r="M31" i="2" a="1"/>
  <c r="I31" i="2" a="1"/>
  <c r="E31" i="2" a="1"/>
  <c r="B33" i="2" a="1"/>
  <c r="C32" i="2" a="1"/>
  <c r="B87" i="2" a="1"/>
  <c r="G147" i="3" a="1"/>
  <c r="H147" i="3" a="1"/>
  <c r="I147" i="3" a="1"/>
  <c r="D147" i="3" a="1"/>
  <c r="E147" i="3" a="1"/>
  <c r="J147" i="3" a="1"/>
  <c r="F147" i="3" a="1"/>
  <c r="AC28" i="3" a="1"/>
  <c r="AF27" i="3" a="1"/>
  <c r="AE27" i="3" a="1"/>
  <c r="AD27" i="3" a="1"/>
  <c r="T28" i="3" a="1"/>
  <c r="W27" i="3" a="1"/>
  <c r="V27" i="3" a="1"/>
  <c r="U27" i="3" a="1"/>
  <c r="K28" i="3" a="1"/>
  <c r="N27" i="3" a="1"/>
  <c r="M27" i="3" a="1"/>
  <c r="L27" i="3" a="1"/>
  <c r="B28" i="3" a="1"/>
  <c r="E27" i="3" a="1"/>
  <c r="D27" i="3" a="1"/>
  <c r="C27" i="3" a="1"/>
  <c r="AO85" i="2" a="1"/>
  <c r="AN85" i="2" a="1"/>
  <c r="AM85" i="2" a="1"/>
  <c r="AL85" i="2" a="1"/>
  <c r="AK85" i="2" a="1"/>
  <c r="AD85" i="2" a="1"/>
  <c r="AC85" i="2" a="1"/>
  <c r="AB85" i="2" a="1"/>
  <c r="AA85" i="2" a="1"/>
  <c r="Z85" i="2" a="1"/>
  <c r="S85" i="2" a="1"/>
  <c r="R85" i="2" a="1"/>
  <c r="Q85" i="2" a="1"/>
  <c r="P85" i="2" a="1"/>
  <c r="O85" i="2" a="1"/>
  <c r="H85" i="2" a="1"/>
  <c r="G85" i="2" a="1"/>
  <c r="F85" i="2" a="1"/>
  <c r="E85" i="2" a="1"/>
  <c r="D85" i="2" a="1"/>
  <c r="C87" i="1"/>
  <c r="E87" i="1"/>
  <c r="B88" i="1" a="1"/>
  <c r="AG84" i="2" l="1"/>
  <c r="N146" i="3"/>
  <c r="O146" i="3"/>
  <c r="R146" i="3"/>
  <c r="Q146" i="3"/>
  <c r="P146" i="3"/>
  <c r="M147" i="3"/>
  <c r="AS84" i="2"/>
  <c r="AR84" i="2"/>
  <c r="J84" i="2"/>
  <c r="U84" i="2"/>
  <c r="M84" i="2"/>
  <c r="D85" i="2"/>
  <c r="E85" i="2"/>
  <c r="F85" i="2"/>
  <c r="I85" i="2" s="1"/>
  <c r="G85" i="2"/>
  <c r="H85" i="2"/>
  <c r="O85" i="2"/>
  <c r="P85" i="2"/>
  <c r="Q85" i="2"/>
  <c r="T85" i="2" s="1"/>
  <c r="R85" i="2"/>
  <c r="S85" i="2"/>
  <c r="Z85" i="2"/>
  <c r="AA85" i="2"/>
  <c r="AB85" i="2"/>
  <c r="AE85" i="2" s="1"/>
  <c r="AC85" i="2"/>
  <c r="AD85" i="2"/>
  <c r="AK85" i="2"/>
  <c r="AL85" i="2"/>
  <c r="AM85" i="2"/>
  <c r="AP85" i="2" s="1"/>
  <c r="AN85" i="2"/>
  <c r="AO85" i="2"/>
  <c r="C27" i="3"/>
  <c r="C148" i="3" s="1"/>
  <c r="D27" i="3"/>
  <c r="F27" i="3" s="1"/>
  <c r="E27" i="3"/>
  <c r="G27" i="3" s="1"/>
  <c r="B28" i="3"/>
  <c r="L27" i="3"/>
  <c r="M27" i="3"/>
  <c r="O27" i="3" s="1"/>
  <c r="N27" i="3"/>
  <c r="P27" i="3" s="1"/>
  <c r="K28" i="3"/>
  <c r="U27" i="3"/>
  <c r="V27" i="3"/>
  <c r="X27" i="3" s="1"/>
  <c r="W27" i="3"/>
  <c r="Y27" i="3" s="1"/>
  <c r="T28" i="3"/>
  <c r="AD27" i="3"/>
  <c r="AE27" i="3"/>
  <c r="AG27" i="3" s="1"/>
  <c r="AF27" i="3"/>
  <c r="AH27" i="3" s="1"/>
  <c r="AC28" i="3"/>
  <c r="F147" i="3"/>
  <c r="J147" i="3"/>
  <c r="E147" i="3"/>
  <c r="D147" i="3"/>
  <c r="I147" i="3"/>
  <c r="H147" i="3"/>
  <c r="G147" i="3"/>
  <c r="B87" i="2"/>
  <c r="C32" i="2"/>
  <c r="D32" i="2" s="1"/>
  <c r="B33" i="2"/>
  <c r="E31" i="2"/>
  <c r="I31" i="2"/>
  <c r="M31" i="2"/>
  <c r="Q31" i="2"/>
  <c r="U31" i="2"/>
  <c r="Y31" i="2"/>
  <c r="B148" i="3"/>
  <c r="AT84" i="2"/>
  <c r="L148" i="3"/>
  <c r="W84" i="2"/>
  <c r="AF84" i="2"/>
  <c r="X84" i="2"/>
  <c r="K84" i="2"/>
  <c r="AH84" i="2"/>
  <c r="C86" i="2"/>
  <c r="AQ84" i="2"/>
  <c r="AI84" i="2"/>
  <c r="V84" i="2"/>
  <c r="L84" i="2"/>
  <c r="B88" i="1"/>
  <c r="P147" i="3" a="1"/>
  <c r="Q147" i="3" a="1"/>
  <c r="R147" i="3" a="1"/>
  <c r="O147" i="3" a="1"/>
  <c r="N147" i="3" a="1"/>
  <c r="Y32" i="2" a="1"/>
  <c r="U32" i="2" a="1"/>
  <c r="Q32" i="2" a="1"/>
  <c r="M32" i="2" a="1"/>
  <c r="I32" i="2" a="1"/>
  <c r="E32" i="2" a="1"/>
  <c r="AO86" i="2" a="1"/>
  <c r="AN86" i="2" a="1"/>
  <c r="AM86" i="2" a="1"/>
  <c r="AL86" i="2" a="1"/>
  <c r="AK86" i="2" a="1"/>
  <c r="AD86" i="2" a="1"/>
  <c r="AC86" i="2" a="1"/>
  <c r="AB86" i="2" a="1"/>
  <c r="AA86" i="2" a="1"/>
  <c r="Z86" i="2" a="1"/>
  <c r="S86" i="2" a="1"/>
  <c r="R86" i="2" a="1"/>
  <c r="Q86" i="2" a="1"/>
  <c r="P86" i="2" a="1"/>
  <c r="O86" i="2" a="1"/>
  <c r="H86" i="2" a="1"/>
  <c r="G86" i="2" a="1"/>
  <c r="F86" i="2" a="1"/>
  <c r="E86" i="2" a="1"/>
  <c r="D86" i="2" a="1"/>
  <c r="B34" i="2" a="1"/>
  <c r="C33" i="2" a="1"/>
  <c r="K29" i="3" a="1"/>
  <c r="N28" i="3" a="1"/>
  <c r="M28" i="3" a="1"/>
  <c r="L28" i="3" a="1"/>
  <c r="AC29" i="3" a="1"/>
  <c r="AF28" i="3" a="1"/>
  <c r="AE28" i="3" a="1"/>
  <c r="AD28" i="3" a="1"/>
  <c r="G148" i="3" a="1"/>
  <c r="H148" i="3" a="1"/>
  <c r="I148" i="3" a="1"/>
  <c r="D148" i="3" a="1"/>
  <c r="E148" i="3" a="1"/>
  <c r="J148" i="3" a="1"/>
  <c r="F148" i="3" a="1"/>
  <c r="B88" i="2" a="1"/>
  <c r="B29" i="3" a="1"/>
  <c r="E28" i="3" a="1"/>
  <c r="D28" i="3" a="1"/>
  <c r="C28" i="3" a="1"/>
  <c r="T29" i="3" a="1"/>
  <c r="W28" i="3" a="1"/>
  <c r="V28" i="3" a="1"/>
  <c r="U28" i="3" a="1"/>
  <c r="C88" i="1"/>
  <c r="E88" i="1"/>
  <c r="B89" i="1" a="1"/>
  <c r="U85" i="2" l="1"/>
  <c r="N147" i="3"/>
  <c r="O147" i="3"/>
  <c r="R147" i="3"/>
  <c r="Q147" i="3"/>
  <c r="P147" i="3"/>
  <c r="M148" i="3"/>
  <c r="AS85" i="2"/>
  <c r="M85" i="2"/>
  <c r="J85" i="2"/>
  <c r="AT85" i="2"/>
  <c r="AG85" i="2"/>
  <c r="K85" i="2"/>
  <c r="U28" i="3"/>
  <c r="V28" i="3"/>
  <c r="X28" i="3" s="1"/>
  <c r="W28" i="3"/>
  <c r="Y28" i="3" s="1"/>
  <c r="T29" i="3"/>
  <c r="C28" i="3"/>
  <c r="C149" i="3" s="1"/>
  <c r="D28" i="3"/>
  <c r="F28" i="3" s="1"/>
  <c r="E28" i="3"/>
  <c r="G28" i="3" s="1"/>
  <c r="B29" i="3"/>
  <c r="B88" i="2"/>
  <c r="F148" i="3"/>
  <c r="J148" i="3"/>
  <c r="E148" i="3"/>
  <c r="D148" i="3"/>
  <c r="I148" i="3"/>
  <c r="H148" i="3"/>
  <c r="G148" i="3"/>
  <c r="AD28" i="3"/>
  <c r="AE28" i="3"/>
  <c r="AG28" i="3" s="1"/>
  <c r="AF28" i="3"/>
  <c r="AH28" i="3" s="1"/>
  <c r="AC29" i="3"/>
  <c r="L28" i="3"/>
  <c r="M28" i="3"/>
  <c r="O28" i="3" s="1"/>
  <c r="N28" i="3"/>
  <c r="P28" i="3" s="1"/>
  <c r="K29" i="3"/>
  <c r="C33" i="2"/>
  <c r="D33" i="2" s="1"/>
  <c r="B34" i="2"/>
  <c r="D86" i="2"/>
  <c r="E86" i="2"/>
  <c r="F86" i="2"/>
  <c r="I86" i="2" s="1"/>
  <c r="G86" i="2"/>
  <c r="H86" i="2"/>
  <c r="O86" i="2"/>
  <c r="P86" i="2"/>
  <c r="Q86" i="2"/>
  <c r="T86" i="2" s="1"/>
  <c r="R86" i="2"/>
  <c r="S86" i="2"/>
  <c r="Z86" i="2"/>
  <c r="AA86" i="2"/>
  <c r="AB86" i="2"/>
  <c r="AE86" i="2" s="1"/>
  <c r="AC86" i="2"/>
  <c r="AD86" i="2"/>
  <c r="AK86" i="2"/>
  <c r="AL86" i="2"/>
  <c r="AM86" i="2"/>
  <c r="AP86" i="2" s="1"/>
  <c r="AN86" i="2"/>
  <c r="AO86" i="2"/>
  <c r="E32" i="2"/>
  <c r="I32" i="2"/>
  <c r="M32" i="2"/>
  <c r="Q32" i="2"/>
  <c r="U32" i="2"/>
  <c r="Y32" i="2"/>
  <c r="B149" i="3"/>
  <c r="W85" i="2"/>
  <c r="AF85" i="2"/>
  <c r="X85" i="2"/>
  <c r="C87" i="2"/>
  <c r="L149" i="3"/>
  <c r="AR85" i="2"/>
  <c r="AH85" i="2"/>
  <c r="AQ85" i="2"/>
  <c r="AI85" i="2"/>
  <c r="V85" i="2"/>
  <c r="L85" i="2"/>
  <c r="B89" i="1"/>
  <c r="P148" i="3" a="1"/>
  <c r="Q148" i="3" a="1"/>
  <c r="R148" i="3" a="1"/>
  <c r="O148" i="3" a="1"/>
  <c r="N148" i="3" a="1"/>
  <c r="T30" i="3" a="1"/>
  <c r="W29" i="3" a="1"/>
  <c r="V29" i="3" a="1"/>
  <c r="U29" i="3" a="1"/>
  <c r="G149" i="3" a="1"/>
  <c r="H149" i="3" a="1"/>
  <c r="I149" i="3" a="1"/>
  <c r="D149" i="3" a="1"/>
  <c r="E149" i="3" a="1"/>
  <c r="J149" i="3" a="1"/>
  <c r="F149" i="3" a="1"/>
  <c r="K30" i="3" a="1"/>
  <c r="N29" i="3" a="1"/>
  <c r="M29" i="3" a="1"/>
  <c r="L29" i="3" a="1"/>
  <c r="AO87" i="2" a="1"/>
  <c r="AN87" i="2" a="1"/>
  <c r="AM87" i="2" a="1"/>
  <c r="AL87" i="2" a="1"/>
  <c r="AK87" i="2" a="1"/>
  <c r="AD87" i="2" a="1"/>
  <c r="AC87" i="2" a="1"/>
  <c r="AB87" i="2" a="1"/>
  <c r="AA87" i="2" a="1"/>
  <c r="Z87" i="2" a="1"/>
  <c r="S87" i="2" a="1"/>
  <c r="R87" i="2" a="1"/>
  <c r="Q87" i="2" a="1"/>
  <c r="P87" i="2" a="1"/>
  <c r="O87" i="2" a="1"/>
  <c r="H87" i="2" a="1"/>
  <c r="G87" i="2" a="1"/>
  <c r="F87" i="2" a="1"/>
  <c r="E87" i="2" a="1"/>
  <c r="D87" i="2" a="1"/>
  <c r="B35" i="2" a="1"/>
  <c r="C34" i="2" a="1"/>
  <c r="B30" i="3" a="1"/>
  <c r="E29" i="3" a="1"/>
  <c r="D29" i="3" a="1"/>
  <c r="C29" i="3" a="1"/>
  <c r="B89" i="2" a="1"/>
  <c r="AC30" i="3" a="1"/>
  <c r="AF29" i="3" a="1"/>
  <c r="AE29" i="3" a="1"/>
  <c r="AD29" i="3" a="1"/>
  <c r="Y33" i="2" a="1"/>
  <c r="U33" i="2" a="1"/>
  <c r="Q33" i="2" a="1"/>
  <c r="M33" i="2" a="1"/>
  <c r="I33" i="2" a="1"/>
  <c r="E33" i="2" a="1"/>
  <c r="C89" i="1"/>
  <c r="E89" i="1"/>
  <c r="B4" i="1" s="1" a="1"/>
  <c r="AQ86" i="2" l="1"/>
  <c r="AI86" i="2"/>
  <c r="N148" i="3"/>
  <c r="O148" i="3"/>
  <c r="R148" i="3"/>
  <c r="Q148" i="3"/>
  <c r="P148" i="3"/>
  <c r="M149" i="3"/>
  <c r="W86" i="2"/>
  <c r="AF86" i="2"/>
  <c r="K86" i="2"/>
  <c r="AR86" i="2"/>
  <c r="V86" i="2"/>
  <c r="U86" i="2"/>
  <c r="E33" i="2"/>
  <c r="I33" i="2"/>
  <c r="M33" i="2"/>
  <c r="Q33" i="2"/>
  <c r="U33" i="2"/>
  <c r="Y33" i="2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AD29" i="3"/>
  <c r="AE29" i="3"/>
  <c r="AG29" i="3" s="1"/>
  <c r="AF29" i="3"/>
  <c r="AH29" i="3" s="1"/>
  <c r="AC30" i="3"/>
  <c r="B89" i="2"/>
  <c r="C29" i="3"/>
  <c r="C150" i="3" s="1"/>
  <c r="D29" i="3"/>
  <c r="F29" i="3" s="1"/>
  <c r="E29" i="3"/>
  <c r="G29" i="3" s="1"/>
  <c r="B30" i="3"/>
  <c r="C34" i="2"/>
  <c r="D34" i="2" s="1"/>
  <c r="B35" i="2"/>
  <c r="D87" i="2"/>
  <c r="E87" i="2"/>
  <c r="F87" i="2"/>
  <c r="I87" i="2" s="1"/>
  <c r="G87" i="2"/>
  <c r="H87" i="2"/>
  <c r="O87" i="2"/>
  <c r="P87" i="2"/>
  <c r="Q87" i="2"/>
  <c r="T87" i="2" s="1"/>
  <c r="R87" i="2"/>
  <c r="S87" i="2"/>
  <c r="Z87" i="2"/>
  <c r="AA87" i="2"/>
  <c r="AB87" i="2"/>
  <c r="AE87" i="2" s="1"/>
  <c r="AC87" i="2"/>
  <c r="AD87" i="2"/>
  <c r="AK87" i="2"/>
  <c r="AL87" i="2"/>
  <c r="AM87" i="2"/>
  <c r="AP87" i="2" s="1"/>
  <c r="AN87" i="2"/>
  <c r="AO87" i="2"/>
  <c r="L29" i="3"/>
  <c r="M29" i="3"/>
  <c r="O29" i="3" s="1"/>
  <c r="N29" i="3"/>
  <c r="P29" i="3" s="1"/>
  <c r="K30" i="3"/>
  <c r="F149" i="3"/>
  <c r="J149" i="3"/>
  <c r="E149" i="3"/>
  <c r="D149" i="3"/>
  <c r="I149" i="3"/>
  <c r="H149" i="3"/>
  <c r="G149" i="3"/>
  <c r="U29" i="3"/>
  <c r="V29" i="3"/>
  <c r="X29" i="3" s="1"/>
  <c r="W29" i="3"/>
  <c r="Y29" i="3" s="1"/>
  <c r="T30" i="3"/>
  <c r="L86" i="2"/>
  <c r="C88" i="2"/>
  <c r="AS86" i="2"/>
  <c r="M86" i="2"/>
  <c r="B150" i="3"/>
  <c r="AT86" i="2"/>
  <c r="AG86" i="2"/>
  <c r="X86" i="2"/>
  <c r="L150" i="3"/>
  <c r="AH86" i="2"/>
  <c r="J86" i="2"/>
  <c r="B4" i="1"/>
  <c r="B6" i="1" a="1"/>
  <c r="P149" i="3" a="1"/>
  <c r="Q149" i="3" a="1"/>
  <c r="R149" i="3" a="1"/>
  <c r="O149" i="3" a="1"/>
  <c r="N149" i="3" a="1"/>
  <c r="AC31" i="3" a="1"/>
  <c r="AF30" i="3" a="1"/>
  <c r="AE30" i="3" a="1"/>
  <c r="AD30" i="3" a="1"/>
  <c r="AO88" i="2" a="1"/>
  <c r="AN88" i="2" a="1"/>
  <c r="AM88" i="2" a="1"/>
  <c r="AL88" i="2" a="1"/>
  <c r="AK88" i="2" a="1"/>
  <c r="AD88" i="2" a="1"/>
  <c r="AC88" i="2" a="1"/>
  <c r="AB88" i="2" a="1"/>
  <c r="AA88" i="2" a="1"/>
  <c r="Z88" i="2" a="1"/>
  <c r="S88" i="2" a="1"/>
  <c r="R88" i="2" a="1"/>
  <c r="Q88" i="2" a="1"/>
  <c r="P88" i="2" a="1"/>
  <c r="O88" i="2" a="1"/>
  <c r="H88" i="2" a="1"/>
  <c r="G88" i="2" a="1"/>
  <c r="F88" i="2" a="1"/>
  <c r="E88" i="2" a="1"/>
  <c r="D88" i="2" a="1"/>
  <c r="B31" i="3" a="1"/>
  <c r="E30" i="3" a="1"/>
  <c r="D30" i="3" a="1"/>
  <c r="C30" i="3" a="1"/>
  <c r="B36" i="2" a="1"/>
  <c r="C35" i="2" a="1"/>
  <c r="K31" i="3" a="1"/>
  <c r="N30" i="3" a="1"/>
  <c r="M30" i="3" a="1"/>
  <c r="L30" i="3" a="1"/>
  <c r="B90" i="2" a="1"/>
  <c r="U34" i="2" a="1"/>
  <c r="Q34" i="2" a="1"/>
  <c r="M34" i="2" a="1"/>
  <c r="I34" i="2" a="1"/>
  <c r="E34" i="2" a="1"/>
  <c r="G150" i="3" a="1"/>
  <c r="H150" i="3" a="1"/>
  <c r="I150" i="3" a="1"/>
  <c r="D150" i="3" a="1"/>
  <c r="E150" i="3" a="1"/>
  <c r="J150" i="3" a="1"/>
  <c r="F150" i="3" a="1"/>
  <c r="T31" i="3" a="1"/>
  <c r="W30" i="3" a="1"/>
  <c r="V30" i="3" a="1"/>
  <c r="U30" i="3" a="1"/>
  <c r="AT87" i="2" l="1"/>
  <c r="V87" i="2"/>
  <c r="B6" i="1"/>
  <c r="N149" i="3"/>
  <c r="O149" i="3"/>
  <c r="R149" i="3"/>
  <c r="Q149" i="3"/>
  <c r="P149" i="3"/>
  <c r="M150" i="3"/>
  <c r="AH87" i="2"/>
  <c r="J87" i="2"/>
  <c r="AR87" i="2"/>
  <c r="AI87" i="2"/>
  <c r="AS87" i="2"/>
  <c r="U87" i="2"/>
  <c r="M87" i="2"/>
  <c r="U30" i="3"/>
  <c r="V30" i="3"/>
  <c r="X30" i="3" s="1"/>
  <c r="W30" i="3"/>
  <c r="Y30" i="3" s="1"/>
  <c r="T31" i="3"/>
  <c r="F150" i="3"/>
  <c r="J150" i="3"/>
  <c r="E150" i="3"/>
  <c r="D150" i="3"/>
  <c r="I150" i="3"/>
  <c r="H150" i="3"/>
  <c r="G150" i="3"/>
  <c r="E34" i="2"/>
  <c r="I34" i="2"/>
  <c r="M34" i="2"/>
  <c r="Q34" i="2"/>
  <c r="U34" i="2"/>
  <c r="B90" i="2"/>
  <c r="L30" i="3"/>
  <c r="M30" i="3"/>
  <c r="O30" i="3" s="1"/>
  <c r="N30" i="3"/>
  <c r="P30" i="3" s="1"/>
  <c r="K31" i="3"/>
  <c r="C35" i="2"/>
  <c r="D35" i="2" s="1"/>
  <c r="B36" i="2"/>
  <c r="C30" i="3"/>
  <c r="C151" i="3" s="1"/>
  <c r="D30" i="3"/>
  <c r="F30" i="3" s="1"/>
  <c r="E30" i="3"/>
  <c r="G30" i="3" s="1"/>
  <c r="B31" i="3"/>
  <c r="D88" i="2"/>
  <c r="E88" i="2"/>
  <c r="F88" i="2"/>
  <c r="I88" i="2" s="1"/>
  <c r="G88" i="2"/>
  <c r="H88" i="2"/>
  <c r="O88" i="2"/>
  <c r="P88" i="2"/>
  <c r="Q88" i="2"/>
  <c r="T88" i="2" s="1"/>
  <c r="R88" i="2"/>
  <c r="S88" i="2"/>
  <c r="Z88" i="2"/>
  <c r="AA88" i="2"/>
  <c r="AB88" i="2"/>
  <c r="AE88" i="2" s="1"/>
  <c r="AC88" i="2"/>
  <c r="AD88" i="2"/>
  <c r="AK88" i="2"/>
  <c r="AL88" i="2"/>
  <c r="AM88" i="2"/>
  <c r="AP88" i="2" s="1"/>
  <c r="AN88" i="2"/>
  <c r="AQ88" i="2" s="1"/>
  <c r="AO88" i="2"/>
  <c r="AD30" i="3"/>
  <c r="AE30" i="3"/>
  <c r="AG30" i="3" s="1"/>
  <c r="AF30" i="3"/>
  <c r="AH30" i="3" s="1"/>
  <c r="AC31" i="3"/>
  <c r="L87" i="2"/>
  <c r="C89" i="2"/>
  <c r="L151" i="3"/>
  <c r="AG87" i="2"/>
  <c r="W87" i="2"/>
  <c r="AF87" i="2"/>
  <c r="X87" i="2"/>
  <c r="B151" i="3"/>
  <c r="K87" i="2"/>
  <c r="AQ87" i="2"/>
  <c r="P150" i="3" a="1"/>
  <c r="Q150" i="3" a="1"/>
  <c r="R150" i="3" a="1"/>
  <c r="O150" i="3" a="1"/>
  <c r="N150" i="3" a="1"/>
  <c r="B32" i="3" a="1"/>
  <c r="E31" i="3" a="1"/>
  <c r="D31" i="3" a="1"/>
  <c r="C31" i="3" a="1"/>
  <c r="K32" i="3" a="1"/>
  <c r="N31" i="3" a="1"/>
  <c r="M31" i="3" a="1"/>
  <c r="L31" i="3" a="1"/>
  <c r="T32" i="3" a="1"/>
  <c r="W31" i="3" a="1"/>
  <c r="V31" i="3" a="1"/>
  <c r="U31" i="3" a="1"/>
  <c r="B37" i="2" a="1"/>
  <c r="C36" i="2" a="1"/>
  <c r="G151" i="3" a="1"/>
  <c r="H151" i="3" a="1"/>
  <c r="I151" i="3" a="1"/>
  <c r="D151" i="3" a="1"/>
  <c r="E151" i="3" a="1"/>
  <c r="J151" i="3" a="1"/>
  <c r="F151" i="3" a="1"/>
  <c r="AC32" i="3" a="1"/>
  <c r="AF31" i="3" a="1"/>
  <c r="AE31" i="3" a="1"/>
  <c r="AD31" i="3" a="1"/>
  <c r="B91" i="2" a="1"/>
  <c r="AO89" i="2" a="1"/>
  <c r="AN89" i="2" a="1"/>
  <c r="AM89" i="2" a="1"/>
  <c r="AL89" i="2" a="1"/>
  <c r="AK89" i="2" a="1"/>
  <c r="AD89" i="2" a="1"/>
  <c r="AC89" i="2" a="1"/>
  <c r="AB89" i="2" a="1"/>
  <c r="AA89" i="2" a="1"/>
  <c r="Z89" i="2" a="1"/>
  <c r="S89" i="2" a="1"/>
  <c r="R89" i="2" a="1"/>
  <c r="Q89" i="2" a="1"/>
  <c r="P89" i="2" a="1"/>
  <c r="O89" i="2" a="1"/>
  <c r="H89" i="2" a="1"/>
  <c r="G89" i="2" a="1"/>
  <c r="F89" i="2" a="1"/>
  <c r="E89" i="2" a="1"/>
  <c r="D89" i="2" a="1"/>
  <c r="U35" i="2" a="1"/>
  <c r="Q35" i="2" a="1"/>
  <c r="M35" i="2" a="1"/>
  <c r="I35" i="2" a="1"/>
  <c r="E35" i="2" a="1"/>
  <c r="L2" i="1" a="1"/>
  <c r="Q3" i="1" a="1"/>
  <c r="U16" i="1" a="1"/>
  <c r="V16" i="1" a="1"/>
  <c r="W16" i="1" a="1"/>
  <c r="X16" i="1" a="1"/>
  <c r="Y16" i="1" a="1"/>
  <c r="Z16" i="1" a="1"/>
  <c r="AA16" i="1" a="1"/>
  <c r="U17" i="1" a="1"/>
  <c r="V17" i="1" a="1"/>
  <c r="W17" i="1" a="1"/>
  <c r="X17" i="1" a="1"/>
  <c r="Y17" i="1" a="1"/>
  <c r="Z17" i="1" a="1"/>
  <c r="AA17" i="1" a="1"/>
  <c r="U18" i="1" a="1"/>
  <c r="V18" i="1" a="1"/>
  <c r="W18" i="1" a="1"/>
  <c r="X18" i="1" a="1"/>
  <c r="Y18" i="1" a="1"/>
  <c r="Z18" i="1" a="1"/>
  <c r="AA18" i="1" a="1"/>
  <c r="U19" i="1" a="1"/>
  <c r="V19" i="1" a="1"/>
  <c r="W19" i="1" a="1"/>
  <c r="X19" i="1" a="1"/>
  <c r="Y19" i="1" a="1"/>
  <c r="Z19" i="1" a="1"/>
  <c r="AA19" i="1" a="1"/>
  <c r="U20" i="1" a="1"/>
  <c r="V20" i="1" a="1"/>
  <c r="W20" i="1" a="1"/>
  <c r="X20" i="1" a="1"/>
  <c r="Y20" i="1" a="1"/>
  <c r="Z20" i="1" a="1"/>
  <c r="AA20" i="1" a="1"/>
  <c r="U21" i="1" a="1"/>
  <c r="V21" i="1" a="1"/>
  <c r="W21" i="1" a="1"/>
  <c r="X21" i="1" a="1"/>
  <c r="Y21" i="1" a="1"/>
  <c r="Z21" i="1" a="1"/>
  <c r="AA21" i="1" a="1"/>
  <c r="U22" i="1" a="1"/>
  <c r="V22" i="1" a="1"/>
  <c r="W22" i="1" a="1"/>
  <c r="X22" i="1" a="1"/>
  <c r="Y22" i="1" a="1"/>
  <c r="Z22" i="1" a="1"/>
  <c r="AA22" i="1" a="1"/>
  <c r="U23" i="1" a="1"/>
  <c r="V23" i="1" a="1"/>
  <c r="W23" i="1" a="1"/>
  <c r="X23" i="1" a="1"/>
  <c r="Y23" i="1" a="1"/>
  <c r="Z23" i="1" a="1"/>
  <c r="AA23" i="1" a="1"/>
  <c r="U24" i="1" a="1"/>
  <c r="V24" i="1" a="1"/>
  <c r="W24" i="1" a="1"/>
  <c r="X24" i="1" a="1"/>
  <c r="Y24" i="1" a="1"/>
  <c r="Z24" i="1" a="1"/>
  <c r="AA24" i="1" a="1"/>
  <c r="U25" i="1" a="1"/>
  <c r="V25" i="1" a="1"/>
  <c r="W25" i="1" a="1"/>
  <c r="X25" i="1" a="1"/>
  <c r="Y25" i="1" a="1"/>
  <c r="Z25" i="1" a="1"/>
  <c r="AA25" i="1" a="1"/>
  <c r="U26" i="1" a="1"/>
  <c r="V26" i="1" a="1"/>
  <c r="W26" i="1" a="1"/>
  <c r="X26" i="1" a="1"/>
  <c r="Y26" i="1" a="1"/>
  <c r="Z26" i="1" a="1"/>
  <c r="AA26" i="1" a="1"/>
  <c r="N150" i="3" l="1"/>
  <c r="O150" i="3"/>
  <c r="R150" i="3"/>
  <c r="Q150" i="3"/>
  <c r="P150" i="3"/>
  <c r="M151" i="3"/>
  <c r="W88" i="2"/>
  <c r="AG88" i="2"/>
  <c r="AR88" i="2"/>
  <c r="V88" i="2"/>
  <c r="AF88" i="2"/>
  <c r="AI88" i="2"/>
  <c r="L88" i="2"/>
  <c r="E35" i="2"/>
  <c r="I35" i="2"/>
  <c r="M35" i="2"/>
  <c r="Q35" i="2"/>
  <c r="U35" i="2"/>
  <c r="D89" i="2"/>
  <c r="E89" i="2"/>
  <c r="F89" i="2"/>
  <c r="I89" i="2" s="1"/>
  <c r="G89" i="2"/>
  <c r="H89" i="2"/>
  <c r="O89" i="2"/>
  <c r="P89" i="2"/>
  <c r="Q89" i="2"/>
  <c r="T89" i="2" s="1"/>
  <c r="R89" i="2"/>
  <c r="S89" i="2"/>
  <c r="Z89" i="2"/>
  <c r="AA89" i="2"/>
  <c r="AB89" i="2"/>
  <c r="AE89" i="2" s="1"/>
  <c r="AC89" i="2"/>
  <c r="AD89" i="2"/>
  <c r="AK89" i="2"/>
  <c r="AL89" i="2"/>
  <c r="AM89" i="2"/>
  <c r="AP89" i="2" s="1"/>
  <c r="AN89" i="2"/>
  <c r="AO89" i="2"/>
  <c r="B91" i="2"/>
  <c r="AD31" i="3"/>
  <c r="AE31" i="3"/>
  <c r="AG31" i="3" s="1"/>
  <c r="AF31" i="3"/>
  <c r="AH31" i="3" s="1"/>
  <c r="AC32" i="3"/>
  <c r="F151" i="3"/>
  <c r="J151" i="3"/>
  <c r="E151" i="3"/>
  <c r="D151" i="3"/>
  <c r="I151" i="3"/>
  <c r="H151" i="3"/>
  <c r="G151" i="3"/>
  <c r="C36" i="2"/>
  <c r="D36" i="2" s="1"/>
  <c r="B37" i="2"/>
  <c r="U31" i="3"/>
  <c r="V31" i="3"/>
  <c r="X31" i="3" s="1"/>
  <c r="W31" i="3"/>
  <c r="Y31" i="3" s="1"/>
  <c r="T32" i="3"/>
  <c r="L31" i="3"/>
  <c r="M31" i="3"/>
  <c r="O31" i="3" s="1"/>
  <c r="N31" i="3"/>
  <c r="P31" i="3" s="1"/>
  <c r="K32" i="3"/>
  <c r="C31" i="3"/>
  <c r="C152" i="3" s="1"/>
  <c r="D31" i="3"/>
  <c r="F31" i="3" s="1"/>
  <c r="E31" i="3"/>
  <c r="G31" i="3" s="1"/>
  <c r="B32" i="3"/>
  <c r="X88" i="2"/>
  <c r="C90" i="2"/>
  <c r="K88" i="2"/>
  <c r="AH88" i="2"/>
  <c r="J88" i="2"/>
  <c r="AS88" i="2"/>
  <c r="U88" i="2"/>
  <c r="M88" i="2"/>
  <c r="L152" i="3"/>
  <c r="AT88" i="2"/>
  <c r="B152" i="3"/>
  <c r="AA26" i="1"/>
  <c r="Z26" i="1"/>
  <c r="Y26" i="1"/>
  <c r="X26" i="1"/>
  <c r="W26" i="1"/>
  <c r="V26" i="1"/>
  <c r="U26" i="1"/>
  <c r="AA25" i="1"/>
  <c r="Z25" i="1"/>
  <c r="Y25" i="1"/>
  <c r="X25" i="1"/>
  <c r="W25" i="1"/>
  <c r="V25" i="1"/>
  <c r="U25" i="1"/>
  <c r="AA24" i="1"/>
  <c r="Z24" i="1"/>
  <c r="Y24" i="1"/>
  <c r="X24" i="1"/>
  <c r="W24" i="1"/>
  <c r="V24" i="1"/>
  <c r="U24" i="1"/>
  <c r="AA23" i="1"/>
  <c r="Z23" i="1"/>
  <c r="Y23" i="1"/>
  <c r="X23" i="1"/>
  <c r="W23" i="1"/>
  <c r="V23" i="1"/>
  <c r="U23" i="1"/>
  <c r="AA22" i="1"/>
  <c r="Z22" i="1"/>
  <c r="Y22" i="1"/>
  <c r="X22" i="1"/>
  <c r="W22" i="1"/>
  <c r="V22" i="1"/>
  <c r="U22" i="1"/>
  <c r="AA21" i="1"/>
  <c r="Z21" i="1"/>
  <c r="Y21" i="1"/>
  <c r="X21" i="1"/>
  <c r="W21" i="1"/>
  <c r="V21" i="1"/>
  <c r="U21" i="1"/>
  <c r="AA20" i="1"/>
  <c r="Z20" i="1"/>
  <c r="Y20" i="1"/>
  <c r="X20" i="1"/>
  <c r="W20" i="1"/>
  <c r="V20" i="1"/>
  <c r="U20" i="1"/>
  <c r="AA19" i="1"/>
  <c r="Z19" i="1"/>
  <c r="Y19" i="1"/>
  <c r="X19" i="1"/>
  <c r="W19" i="1"/>
  <c r="V19" i="1"/>
  <c r="U19" i="1"/>
  <c r="AA18" i="1"/>
  <c r="Z18" i="1"/>
  <c r="Y18" i="1"/>
  <c r="X18" i="1"/>
  <c r="W18" i="1"/>
  <c r="V18" i="1"/>
  <c r="U18" i="1"/>
  <c r="AA17" i="1"/>
  <c r="Z17" i="1"/>
  <c r="Y17" i="1"/>
  <c r="X17" i="1"/>
  <c r="W17" i="1"/>
  <c r="V17" i="1"/>
  <c r="U17" i="1"/>
  <c r="AA16" i="1"/>
  <c r="Z16" i="1"/>
  <c r="Y16" i="1"/>
  <c r="X16" i="1"/>
  <c r="W16" i="1"/>
  <c r="V16" i="1"/>
  <c r="U16" i="1"/>
  <c r="Q12" i="1"/>
  <c r="Q4" i="1"/>
  <c r="Q3" i="1"/>
  <c r="Q10" i="1"/>
  <c r="Q9" i="1"/>
  <c r="Q11" i="1"/>
  <c r="Q8" i="1"/>
  <c r="Q7" i="1"/>
  <c r="Q6" i="1"/>
  <c r="Q5" i="1"/>
  <c r="N13" i="1"/>
  <c r="L11" i="1"/>
  <c r="M8" i="1"/>
  <c r="N5" i="1"/>
  <c r="L3" i="1"/>
  <c r="M13" i="1"/>
  <c r="N10" i="1"/>
  <c r="L8" i="1"/>
  <c r="M5" i="1"/>
  <c r="N2" i="1"/>
  <c r="M12" i="1"/>
  <c r="M4" i="1"/>
  <c r="L12" i="1"/>
  <c r="M6" i="1"/>
  <c r="N8" i="1"/>
  <c r="N15" i="1"/>
  <c r="L13" i="1"/>
  <c r="M10" i="1"/>
  <c r="N7" i="1"/>
  <c r="L5" i="1"/>
  <c r="M2" i="1"/>
  <c r="N12" i="1"/>
  <c r="L10" i="1"/>
  <c r="M7" i="1"/>
  <c r="N4" i="1"/>
  <c r="L2" i="1"/>
  <c r="L15" i="1"/>
  <c r="N9" i="1"/>
  <c r="N14" i="1"/>
  <c r="L4" i="1"/>
  <c r="N11" i="1"/>
  <c r="L14" i="1"/>
  <c r="M3" i="1"/>
  <c r="M15" i="1"/>
  <c r="N6" i="1"/>
  <c r="L9" i="1"/>
  <c r="L6" i="1"/>
  <c r="L7" i="1"/>
  <c r="M9" i="1"/>
  <c r="M14" i="1"/>
  <c r="N3" i="1"/>
  <c r="M11" i="1"/>
  <c r="P151" i="3" a="1"/>
  <c r="Q151" i="3" a="1"/>
  <c r="R151" i="3" a="1"/>
  <c r="O151" i="3" a="1"/>
  <c r="N151" i="3" a="1"/>
  <c r="U36" i="2" a="1"/>
  <c r="Q36" i="2" a="1"/>
  <c r="M36" i="2" a="1"/>
  <c r="I36" i="2" a="1"/>
  <c r="E36" i="2" a="1"/>
  <c r="B92" i="2" a="1"/>
  <c r="AO90" i="2" a="1"/>
  <c r="AN90" i="2" a="1"/>
  <c r="AM90" i="2" a="1"/>
  <c r="AL90" i="2" a="1"/>
  <c r="AK90" i="2" a="1"/>
  <c r="AD90" i="2" a="1"/>
  <c r="AC90" i="2" a="1"/>
  <c r="AB90" i="2" a="1"/>
  <c r="AA90" i="2" a="1"/>
  <c r="Z90" i="2" a="1"/>
  <c r="S90" i="2" a="1"/>
  <c r="R90" i="2" a="1"/>
  <c r="Q90" i="2" a="1"/>
  <c r="P90" i="2" a="1"/>
  <c r="O90" i="2" a="1"/>
  <c r="H90" i="2" a="1"/>
  <c r="G90" i="2" a="1"/>
  <c r="F90" i="2" a="1"/>
  <c r="E90" i="2" a="1"/>
  <c r="D90" i="2" a="1"/>
  <c r="T33" i="3" a="1"/>
  <c r="W32" i="3" a="1"/>
  <c r="V32" i="3" a="1"/>
  <c r="U32" i="3" a="1"/>
  <c r="B33" i="3" a="1"/>
  <c r="E32" i="3" a="1"/>
  <c r="D32" i="3" a="1"/>
  <c r="C32" i="3" a="1"/>
  <c r="AC33" i="3" a="1"/>
  <c r="AF32" i="3" a="1"/>
  <c r="AE32" i="3" a="1"/>
  <c r="AD32" i="3" a="1"/>
  <c r="B38" i="2" a="1"/>
  <c r="C37" i="2" a="1"/>
  <c r="K33" i="3" a="1"/>
  <c r="N32" i="3" a="1"/>
  <c r="M32" i="3" a="1"/>
  <c r="L32" i="3" a="1"/>
  <c r="G152" i="3" a="1"/>
  <c r="H152" i="3" a="1"/>
  <c r="I152" i="3" a="1"/>
  <c r="D152" i="3" a="1"/>
  <c r="E152" i="3" a="1"/>
  <c r="J152" i="3" a="1"/>
  <c r="F152" i="3" a="1"/>
  <c r="R10" i="1" a="1"/>
  <c r="R9" i="1" a="1"/>
  <c r="R5" i="1" a="1"/>
  <c r="R11" i="1" a="1"/>
  <c r="R8" i="1" a="1"/>
  <c r="R7" i="1" a="1"/>
  <c r="R6" i="1" a="1"/>
  <c r="R4" i="1" a="1"/>
  <c r="R3" i="1" a="1"/>
  <c r="J89" i="2" l="1"/>
  <c r="N151" i="3"/>
  <c r="O151" i="3"/>
  <c r="R151" i="3"/>
  <c r="Q151" i="3"/>
  <c r="P151" i="3"/>
  <c r="M152" i="3"/>
  <c r="S17" i="1"/>
  <c r="AT89" i="2"/>
  <c r="AG89" i="2"/>
  <c r="AF89" i="2"/>
  <c r="AS89" i="2"/>
  <c r="M89" i="2"/>
  <c r="F152" i="3"/>
  <c r="J152" i="3"/>
  <c r="E152" i="3"/>
  <c r="D152" i="3"/>
  <c r="I152" i="3"/>
  <c r="H152" i="3"/>
  <c r="G152" i="3"/>
  <c r="L32" i="3"/>
  <c r="M32" i="3"/>
  <c r="O32" i="3" s="1"/>
  <c r="N32" i="3"/>
  <c r="P32" i="3" s="1"/>
  <c r="K33" i="3"/>
  <c r="C37" i="2"/>
  <c r="D37" i="2" s="1"/>
  <c r="B38" i="2"/>
  <c r="AD32" i="3"/>
  <c r="AE32" i="3"/>
  <c r="AG32" i="3" s="1"/>
  <c r="AF32" i="3"/>
  <c r="AH32" i="3" s="1"/>
  <c r="AC33" i="3"/>
  <c r="C32" i="3"/>
  <c r="C153" i="3" s="1"/>
  <c r="D32" i="3"/>
  <c r="F32" i="3" s="1"/>
  <c r="E32" i="3"/>
  <c r="G32" i="3" s="1"/>
  <c r="B33" i="3"/>
  <c r="U32" i="3"/>
  <c r="V32" i="3"/>
  <c r="X32" i="3" s="1"/>
  <c r="W32" i="3"/>
  <c r="Y32" i="3" s="1"/>
  <c r="T33" i="3"/>
  <c r="D90" i="2"/>
  <c r="E90" i="2"/>
  <c r="F90" i="2"/>
  <c r="I90" i="2" s="1"/>
  <c r="G90" i="2"/>
  <c r="H90" i="2"/>
  <c r="O90" i="2"/>
  <c r="P90" i="2"/>
  <c r="Q90" i="2"/>
  <c r="T90" i="2" s="1"/>
  <c r="R90" i="2"/>
  <c r="S90" i="2"/>
  <c r="Z90" i="2"/>
  <c r="AA90" i="2"/>
  <c r="AB90" i="2"/>
  <c r="AE90" i="2" s="1"/>
  <c r="AC90" i="2"/>
  <c r="AD90" i="2"/>
  <c r="AK90" i="2"/>
  <c r="AL90" i="2"/>
  <c r="AM90" i="2"/>
  <c r="AP90" i="2" s="1"/>
  <c r="AN90" i="2"/>
  <c r="AO90" i="2"/>
  <c r="B92" i="2"/>
  <c r="E36" i="2"/>
  <c r="I36" i="2"/>
  <c r="M36" i="2"/>
  <c r="Q36" i="2"/>
  <c r="U36" i="2"/>
  <c r="L153" i="3"/>
  <c r="W89" i="2"/>
  <c r="X89" i="2"/>
  <c r="AH89" i="2"/>
  <c r="B153" i="3"/>
  <c r="AQ89" i="2"/>
  <c r="AI89" i="2"/>
  <c r="K89" i="2"/>
  <c r="AR89" i="2"/>
  <c r="C91" i="2"/>
  <c r="V89" i="2"/>
  <c r="L89" i="2"/>
  <c r="U89" i="2"/>
  <c r="S18" i="1"/>
  <c r="R3" i="1"/>
  <c r="R4" i="1"/>
  <c r="R6" i="1"/>
  <c r="R7" i="1"/>
  <c r="R8" i="1"/>
  <c r="R11" i="1"/>
  <c r="R5" i="1"/>
  <c r="R9" i="1"/>
  <c r="R10" i="1"/>
  <c r="P152" i="3" a="1"/>
  <c r="Q152" i="3" a="1"/>
  <c r="R152" i="3" a="1"/>
  <c r="O152" i="3" a="1"/>
  <c r="N152" i="3" a="1"/>
  <c r="B39" i="2" a="1"/>
  <c r="C38" i="2" a="1"/>
  <c r="B34" i="3" a="1"/>
  <c r="E33" i="3" a="1"/>
  <c r="D33" i="3" a="1"/>
  <c r="C33" i="3" a="1"/>
  <c r="K34" i="3" a="1"/>
  <c r="N33" i="3" a="1"/>
  <c r="M33" i="3" a="1"/>
  <c r="L33" i="3" a="1"/>
  <c r="AO91" i="2" a="1"/>
  <c r="AN91" i="2" a="1"/>
  <c r="AM91" i="2" a="1"/>
  <c r="AL91" i="2" a="1"/>
  <c r="AK91" i="2" a="1"/>
  <c r="AD91" i="2" a="1"/>
  <c r="AC91" i="2" a="1"/>
  <c r="AB91" i="2" a="1"/>
  <c r="AA91" i="2" a="1"/>
  <c r="Z91" i="2" a="1"/>
  <c r="S91" i="2" a="1"/>
  <c r="R91" i="2" a="1"/>
  <c r="Q91" i="2" a="1"/>
  <c r="P91" i="2" a="1"/>
  <c r="O91" i="2" a="1"/>
  <c r="H91" i="2" a="1"/>
  <c r="G91" i="2" a="1"/>
  <c r="F91" i="2" a="1"/>
  <c r="E91" i="2" a="1"/>
  <c r="D91" i="2" a="1"/>
  <c r="AC34" i="3" a="1"/>
  <c r="AF33" i="3" a="1"/>
  <c r="AE33" i="3" a="1"/>
  <c r="AD33" i="3" a="1"/>
  <c r="T34" i="3" a="1"/>
  <c r="W33" i="3" a="1"/>
  <c r="V33" i="3" a="1"/>
  <c r="U33" i="3" a="1"/>
  <c r="G153" i="3" a="1"/>
  <c r="H153" i="3" a="1"/>
  <c r="I153" i="3" a="1"/>
  <c r="D153" i="3" a="1"/>
  <c r="E153" i="3" a="1"/>
  <c r="J153" i="3" a="1"/>
  <c r="F153" i="3" a="1"/>
  <c r="U37" i="2" a="1"/>
  <c r="Q37" i="2" a="1"/>
  <c r="M37" i="2" a="1"/>
  <c r="I37" i="2" a="1"/>
  <c r="E37" i="2" a="1"/>
  <c r="B93" i="2" a="1"/>
  <c r="V90" i="2" l="1"/>
  <c r="U90" i="2"/>
  <c r="N152" i="3"/>
  <c r="O152" i="3"/>
  <c r="R152" i="3"/>
  <c r="Q152" i="3"/>
  <c r="P152" i="3"/>
  <c r="M153" i="3"/>
  <c r="L90" i="2"/>
  <c r="AF90" i="2"/>
  <c r="M90" i="2"/>
  <c r="AG90" i="2"/>
  <c r="AR90" i="2"/>
  <c r="B93" i="2"/>
  <c r="E37" i="2"/>
  <c r="F37" i="2" s="1"/>
  <c r="I37" i="2"/>
  <c r="J37" i="2" s="1"/>
  <c r="M37" i="2"/>
  <c r="N37" i="2" s="1"/>
  <c r="Q37" i="2"/>
  <c r="R37" i="2" s="1"/>
  <c r="U37" i="2"/>
  <c r="V37" i="2" s="1"/>
  <c r="F153" i="3"/>
  <c r="J153" i="3"/>
  <c r="E153" i="3"/>
  <c r="D153" i="3"/>
  <c r="I153" i="3"/>
  <c r="H153" i="3"/>
  <c r="G153" i="3"/>
  <c r="U33" i="3"/>
  <c r="V33" i="3"/>
  <c r="X33" i="3" s="1"/>
  <c r="W33" i="3"/>
  <c r="Y33" i="3" s="1"/>
  <c r="T34" i="3"/>
  <c r="AD33" i="3"/>
  <c r="AE33" i="3"/>
  <c r="AG33" i="3" s="1"/>
  <c r="AF33" i="3"/>
  <c r="AH33" i="3" s="1"/>
  <c r="AC34" i="3"/>
  <c r="D91" i="2"/>
  <c r="E91" i="2"/>
  <c r="F91" i="2"/>
  <c r="I91" i="2" s="1"/>
  <c r="G91" i="2"/>
  <c r="H91" i="2"/>
  <c r="O91" i="2"/>
  <c r="P91" i="2"/>
  <c r="Q91" i="2"/>
  <c r="T91" i="2" s="1"/>
  <c r="R91" i="2"/>
  <c r="S91" i="2"/>
  <c r="Z91" i="2"/>
  <c r="AA91" i="2"/>
  <c r="AB91" i="2"/>
  <c r="AE91" i="2" s="1"/>
  <c r="AC91" i="2"/>
  <c r="AD91" i="2"/>
  <c r="AK91" i="2"/>
  <c r="AL91" i="2"/>
  <c r="AM91" i="2"/>
  <c r="AP91" i="2" s="1"/>
  <c r="AN91" i="2"/>
  <c r="AO91" i="2"/>
  <c r="L33" i="3"/>
  <c r="M33" i="3"/>
  <c r="O33" i="3" s="1"/>
  <c r="N33" i="3"/>
  <c r="P33" i="3" s="1"/>
  <c r="K34" i="3"/>
  <c r="C33" i="3"/>
  <c r="C154" i="3" s="1"/>
  <c r="D33" i="3"/>
  <c r="F33" i="3" s="1"/>
  <c r="E33" i="3"/>
  <c r="G33" i="3" s="1"/>
  <c r="B34" i="3"/>
  <c r="C38" i="2"/>
  <c r="B39" i="2"/>
  <c r="C92" i="2"/>
  <c r="AS90" i="2"/>
  <c r="AT90" i="2"/>
  <c r="W90" i="2"/>
  <c r="L154" i="3"/>
  <c r="X90" i="2"/>
  <c r="K90" i="2"/>
  <c r="AH90" i="2"/>
  <c r="J90" i="2"/>
  <c r="B154" i="3"/>
  <c r="D38" i="2"/>
  <c r="AQ90" i="2"/>
  <c r="AI90" i="2"/>
  <c r="U2" i="1" a="1"/>
  <c r="W2" i="1" s="1"/>
  <c r="P153" i="3" a="1"/>
  <c r="Q153" i="3" a="1"/>
  <c r="R153" i="3" a="1"/>
  <c r="O153" i="3" a="1"/>
  <c r="N153" i="3" a="1"/>
  <c r="B35" i="3" a="1"/>
  <c r="E34" i="3" a="1"/>
  <c r="D34" i="3" a="1"/>
  <c r="C34" i="3" a="1"/>
  <c r="B40" i="2" a="1"/>
  <c r="C39" i="2" a="1"/>
  <c r="T35" i="3" a="1"/>
  <c r="W34" i="3" a="1"/>
  <c r="V34" i="3" a="1"/>
  <c r="U34" i="3" a="1"/>
  <c r="K35" i="3" a="1"/>
  <c r="N34" i="3" a="1"/>
  <c r="M34" i="3" a="1"/>
  <c r="L34" i="3" a="1"/>
  <c r="G154" i="3" a="1"/>
  <c r="H154" i="3" a="1"/>
  <c r="I154" i="3" a="1"/>
  <c r="D154" i="3" a="1"/>
  <c r="E154" i="3" a="1"/>
  <c r="J154" i="3" a="1"/>
  <c r="F154" i="3" a="1"/>
  <c r="U38" i="2" a="1"/>
  <c r="Q38" i="2" a="1"/>
  <c r="M38" i="2" a="1"/>
  <c r="I38" i="2" a="1"/>
  <c r="E38" i="2" a="1"/>
  <c r="AC35" i="3" a="1"/>
  <c r="AF34" i="3" a="1"/>
  <c r="AE34" i="3" a="1"/>
  <c r="AD34" i="3" a="1"/>
  <c r="B94" i="2" a="1"/>
  <c r="AO92" i="2" a="1"/>
  <c r="AN92" i="2" a="1"/>
  <c r="AM92" i="2" a="1"/>
  <c r="AL92" i="2" a="1"/>
  <c r="AK92" i="2" a="1"/>
  <c r="AD92" i="2" a="1"/>
  <c r="AC92" i="2" a="1"/>
  <c r="AB92" i="2" a="1"/>
  <c r="AA92" i="2" a="1"/>
  <c r="Z92" i="2" a="1"/>
  <c r="S92" i="2" a="1"/>
  <c r="R92" i="2" a="1"/>
  <c r="Q92" i="2" a="1"/>
  <c r="P92" i="2" a="1"/>
  <c r="O92" i="2" a="1"/>
  <c r="H92" i="2" a="1"/>
  <c r="G92" i="2" a="1"/>
  <c r="F92" i="2" a="1"/>
  <c r="E92" i="2" a="1"/>
  <c r="D92" i="2" a="1"/>
  <c r="W3" i="1" a="1"/>
  <c r="W4" i="1" a="1"/>
  <c r="W5" i="1" a="1"/>
  <c r="W6" i="1" a="1"/>
  <c r="W7" i="1" a="1"/>
  <c r="W8" i="1" a="1"/>
  <c r="W9" i="1" a="1"/>
  <c r="W10" i="1" a="1"/>
  <c r="W11" i="1" a="1"/>
  <c r="W12" i="1" a="1"/>
  <c r="W13" i="1" a="1"/>
  <c r="W14" i="1" a="1"/>
  <c r="U91" i="2" l="1"/>
  <c r="N153" i="3"/>
  <c r="O153" i="3"/>
  <c r="R153" i="3"/>
  <c r="Q153" i="3"/>
  <c r="P153" i="3"/>
  <c r="M154" i="3"/>
  <c r="AR91" i="2"/>
  <c r="AQ91" i="2"/>
  <c r="AI91" i="2"/>
  <c r="V91" i="2"/>
  <c r="AH91" i="2"/>
  <c r="D92" i="2"/>
  <c r="E92" i="2"/>
  <c r="F92" i="2"/>
  <c r="I92" i="2" s="1"/>
  <c r="G92" i="2"/>
  <c r="H92" i="2"/>
  <c r="O92" i="2"/>
  <c r="P92" i="2"/>
  <c r="Q92" i="2"/>
  <c r="T92" i="2" s="1"/>
  <c r="R92" i="2"/>
  <c r="S92" i="2"/>
  <c r="Z92" i="2"/>
  <c r="AA92" i="2"/>
  <c r="AB92" i="2"/>
  <c r="AE92" i="2" s="1"/>
  <c r="AC92" i="2"/>
  <c r="AD92" i="2"/>
  <c r="AK92" i="2"/>
  <c r="AL92" i="2"/>
  <c r="AM92" i="2"/>
  <c r="AP92" i="2" s="1"/>
  <c r="AN92" i="2"/>
  <c r="AO92" i="2"/>
  <c r="B94" i="2"/>
  <c r="AD34" i="3"/>
  <c r="AE34" i="3"/>
  <c r="AG34" i="3" s="1"/>
  <c r="AF34" i="3"/>
  <c r="AH34" i="3" s="1"/>
  <c r="AC35" i="3"/>
  <c r="E38" i="2"/>
  <c r="I38" i="2"/>
  <c r="M38" i="2"/>
  <c r="Q38" i="2"/>
  <c r="U38" i="2"/>
  <c r="F154" i="3"/>
  <c r="J154" i="3"/>
  <c r="E154" i="3"/>
  <c r="D154" i="3"/>
  <c r="I154" i="3"/>
  <c r="H154" i="3"/>
  <c r="G154" i="3"/>
  <c r="L34" i="3"/>
  <c r="M34" i="3"/>
  <c r="O34" i="3" s="1"/>
  <c r="N34" i="3"/>
  <c r="P34" i="3" s="1"/>
  <c r="K35" i="3"/>
  <c r="U34" i="3"/>
  <c r="V34" i="3"/>
  <c r="X34" i="3" s="1"/>
  <c r="W34" i="3"/>
  <c r="Y34" i="3" s="1"/>
  <c r="T35" i="3"/>
  <c r="C39" i="2"/>
  <c r="D39" i="2" s="1"/>
  <c r="B40" i="2"/>
  <c r="C34" i="3"/>
  <c r="C155" i="3" s="1"/>
  <c r="D34" i="3"/>
  <c r="F34" i="3" s="1"/>
  <c r="E34" i="3"/>
  <c r="G34" i="3" s="1"/>
  <c r="B35" i="3"/>
  <c r="W91" i="2"/>
  <c r="C93" i="2"/>
  <c r="AF91" i="2"/>
  <c r="AS91" i="2"/>
  <c r="M91" i="2"/>
  <c r="L155" i="3"/>
  <c r="AT91" i="2"/>
  <c r="AG91" i="2"/>
  <c r="X91" i="2"/>
  <c r="K91" i="2"/>
  <c r="B155" i="3"/>
  <c r="J91" i="2"/>
  <c r="L91" i="2"/>
  <c r="U2" i="1"/>
  <c r="Y2" i="1"/>
  <c r="AC2" i="1"/>
  <c r="V2" i="1"/>
  <c r="X2" i="1"/>
  <c r="Z2" i="1"/>
  <c r="AA2" i="1"/>
  <c r="AB2" i="1"/>
  <c r="W14" i="1"/>
  <c r="W13" i="1"/>
  <c r="W12" i="1"/>
  <c r="W11" i="1"/>
  <c r="W10" i="1"/>
  <c r="W9" i="1"/>
  <c r="W8" i="1"/>
  <c r="W7" i="1"/>
  <c r="W6" i="1"/>
  <c r="W5" i="1"/>
  <c r="W4" i="1"/>
  <c r="W3" i="1"/>
  <c r="P154" i="3" a="1"/>
  <c r="Q154" i="3" a="1"/>
  <c r="R154" i="3" a="1"/>
  <c r="O154" i="3" a="1"/>
  <c r="N154" i="3" a="1"/>
  <c r="AC36" i="3" a="1"/>
  <c r="AF35" i="3" a="1"/>
  <c r="AE35" i="3" a="1"/>
  <c r="AD35" i="3" a="1"/>
  <c r="K36" i="3" a="1"/>
  <c r="N35" i="3" a="1"/>
  <c r="M35" i="3" a="1"/>
  <c r="L35" i="3" a="1"/>
  <c r="AO93" i="2" a="1"/>
  <c r="AN93" i="2" a="1"/>
  <c r="AM93" i="2" a="1"/>
  <c r="AL93" i="2" a="1"/>
  <c r="AK93" i="2" a="1"/>
  <c r="AD93" i="2" a="1"/>
  <c r="AC93" i="2" a="1"/>
  <c r="AB93" i="2" a="1"/>
  <c r="AA93" i="2" a="1"/>
  <c r="Z93" i="2" a="1"/>
  <c r="S93" i="2" a="1"/>
  <c r="R93" i="2" a="1"/>
  <c r="Q93" i="2" a="1"/>
  <c r="P93" i="2" a="1"/>
  <c r="O93" i="2" a="1"/>
  <c r="H93" i="2" a="1"/>
  <c r="G93" i="2" a="1"/>
  <c r="F93" i="2" a="1"/>
  <c r="E93" i="2" a="1"/>
  <c r="D93" i="2" a="1"/>
  <c r="B95" i="2" a="1"/>
  <c r="T36" i="3" a="1"/>
  <c r="W35" i="3" a="1"/>
  <c r="V35" i="3" a="1"/>
  <c r="U35" i="3" a="1"/>
  <c r="G155" i="3" a="1"/>
  <c r="H155" i="3" a="1"/>
  <c r="I155" i="3" a="1"/>
  <c r="D155" i="3" a="1"/>
  <c r="E155" i="3" a="1"/>
  <c r="J155" i="3" a="1"/>
  <c r="F155" i="3" a="1"/>
  <c r="B36" i="3" a="1"/>
  <c r="E35" i="3" a="1"/>
  <c r="D35" i="3" a="1"/>
  <c r="C35" i="3" a="1"/>
  <c r="B41" i="2" a="1"/>
  <c r="C40" i="2" a="1"/>
  <c r="U39" i="2" a="1"/>
  <c r="Q39" i="2" a="1"/>
  <c r="M39" i="2" a="1"/>
  <c r="I39" i="2" a="1"/>
  <c r="E39" i="2" a="1"/>
  <c r="V14" i="1" a="1"/>
  <c r="V13" i="1" a="1"/>
  <c r="V12" i="1" a="1"/>
  <c r="V11" i="1" a="1"/>
  <c r="V10" i="1" a="1"/>
  <c r="V9" i="1" a="1"/>
  <c r="V8" i="1" a="1"/>
  <c r="V7" i="1" a="1"/>
  <c r="V6" i="1" a="1"/>
  <c r="V5" i="1" a="1"/>
  <c r="V4" i="1" a="1"/>
  <c r="V3" i="1" a="1"/>
  <c r="X14" i="1" a="1"/>
  <c r="X13" i="1" a="1"/>
  <c r="X12" i="1" a="1"/>
  <c r="X11" i="1" a="1"/>
  <c r="X10" i="1" a="1"/>
  <c r="X9" i="1" a="1"/>
  <c r="X8" i="1" a="1"/>
  <c r="X7" i="1" a="1"/>
  <c r="X6" i="1" a="1"/>
  <c r="X5" i="1" a="1"/>
  <c r="X4" i="1" a="1"/>
  <c r="X3" i="1" a="1"/>
  <c r="Z14" i="1" a="1"/>
  <c r="Z13" i="1" a="1"/>
  <c r="Z12" i="1" a="1"/>
  <c r="Z11" i="1" a="1"/>
  <c r="Z10" i="1" a="1"/>
  <c r="Z9" i="1" a="1"/>
  <c r="Z8" i="1" a="1"/>
  <c r="Z7" i="1" a="1"/>
  <c r="Z6" i="1" a="1"/>
  <c r="Z5" i="1" a="1"/>
  <c r="Z4" i="1" a="1"/>
  <c r="Z3" i="1" a="1"/>
  <c r="AA14" i="1" a="1"/>
  <c r="AA13" i="1" a="1"/>
  <c r="AA12" i="1" a="1"/>
  <c r="AA11" i="1" a="1"/>
  <c r="AA10" i="1" a="1"/>
  <c r="AA9" i="1" a="1"/>
  <c r="AA8" i="1" a="1"/>
  <c r="AA7" i="1" a="1"/>
  <c r="AA6" i="1" a="1"/>
  <c r="AA5" i="1" a="1"/>
  <c r="AA4" i="1" a="1"/>
  <c r="AA3" i="1" a="1"/>
  <c r="AB14" i="1" a="1"/>
  <c r="AB13" i="1" a="1"/>
  <c r="AB12" i="1" a="1"/>
  <c r="AB11" i="1" a="1"/>
  <c r="AB10" i="1" a="1"/>
  <c r="AB9" i="1" a="1"/>
  <c r="AB8" i="1" a="1"/>
  <c r="AB7" i="1" a="1"/>
  <c r="AB6" i="1" a="1"/>
  <c r="AB5" i="1" a="1"/>
  <c r="AB4" i="1" a="1"/>
  <c r="AB3" i="1" a="1"/>
  <c r="U14" i="1" a="1"/>
  <c r="U13" i="1" a="1"/>
  <c r="U12" i="1" a="1"/>
  <c r="U11" i="1" a="1"/>
  <c r="U10" i="1" a="1"/>
  <c r="U9" i="1" a="1"/>
  <c r="U8" i="1" a="1"/>
  <c r="U7" i="1" a="1"/>
  <c r="U6" i="1" a="1"/>
  <c r="U5" i="1" a="1"/>
  <c r="U4" i="1" a="1"/>
  <c r="U3" i="1" a="1"/>
  <c r="Y14" i="1" a="1"/>
  <c r="Y13" i="1" a="1"/>
  <c r="Y12" i="1" a="1"/>
  <c r="Y11" i="1" a="1"/>
  <c r="Y10" i="1" a="1"/>
  <c r="Y9" i="1" a="1"/>
  <c r="Y8" i="1" a="1"/>
  <c r="Y7" i="1" a="1"/>
  <c r="Y6" i="1" a="1"/>
  <c r="Y5" i="1" a="1"/>
  <c r="Y4" i="1" a="1"/>
  <c r="Y3" i="1" a="1"/>
  <c r="AC14" i="1" a="1"/>
  <c r="AC13" i="1" a="1"/>
  <c r="AC12" i="1" a="1"/>
  <c r="AC11" i="1" a="1"/>
  <c r="AC10" i="1" a="1"/>
  <c r="AC9" i="1" a="1"/>
  <c r="AC8" i="1" a="1"/>
  <c r="AC7" i="1" a="1"/>
  <c r="AC6" i="1" a="1"/>
  <c r="AC5" i="1" a="1"/>
  <c r="AC4" i="1" a="1"/>
  <c r="AC3" i="1" a="1"/>
  <c r="AQ92" i="2" l="1"/>
  <c r="N154" i="3"/>
  <c r="O154" i="3"/>
  <c r="R154" i="3"/>
  <c r="Q154" i="3"/>
  <c r="P154" i="3"/>
  <c r="M155" i="3"/>
  <c r="L92" i="2"/>
  <c r="AF92" i="2"/>
  <c r="AG92" i="2"/>
  <c r="W92" i="2"/>
  <c r="X92" i="2"/>
  <c r="K92" i="2"/>
  <c r="J92" i="2"/>
  <c r="AT92" i="2"/>
  <c r="E39" i="2"/>
  <c r="I39" i="2"/>
  <c r="M39" i="2"/>
  <c r="Q39" i="2"/>
  <c r="U39" i="2"/>
  <c r="C40" i="2"/>
  <c r="D40" i="2" s="1"/>
  <c r="B41" i="2"/>
  <c r="C35" i="3"/>
  <c r="C156" i="3" s="1"/>
  <c r="D35" i="3"/>
  <c r="F35" i="3" s="1"/>
  <c r="E35" i="3"/>
  <c r="G35" i="3" s="1"/>
  <c r="B36" i="3"/>
  <c r="F155" i="3"/>
  <c r="J155" i="3"/>
  <c r="E155" i="3"/>
  <c r="D155" i="3"/>
  <c r="I155" i="3"/>
  <c r="H155" i="3"/>
  <c r="G155" i="3"/>
  <c r="U35" i="3"/>
  <c r="V35" i="3"/>
  <c r="X35" i="3" s="1"/>
  <c r="W35" i="3"/>
  <c r="Y35" i="3" s="1"/>
  <c r="T36" i="3"/>
  <c r="B95" i="2"/>
  <c r="D93" i="2"/>
  <c r="E93" i="2"/>
  <c r="F93" i="2"/>
  <c r="I93" i="2" s="1"/>
  <c r="G93" i="2"/>
  <c r="H93" i="2"/>
  <c r="O93" i="2"/>
  <c r="P93" i="2"/>
  <c r="Q93" i="2"/>
  <c r="T93" i="2" s="1"/>
  <c r="R93" i="2"/>
  <c r="S93" i="2"/>
  <c r="Z93" i="2"/>
  <c r="AA93" i="2"/>
  <c r="AB93" i="2"/>
  <c r="AE93" i="2" s="1"/>
  <c r="AC93" i="2"/>
  <c r="AD93" i="2"/>
  <c r="AK93" i="2"/>
  <c r="AL93" i="2"/>
  <c r="AM93" i="2"/>
  <c r="AP93" i="2" s="1"/>
  <c r="AN93" i="2"/>
  <c r="AO93" i="2"/>
  <c r="L35" i="3"/>
  <c r="M35" i="3"/>
  <c r="O35" i="3" s="1"/>
  <c r="N35" i="3"/>
  <c r="P35" i="3" s="1"/>
  <c r="K36" i="3"/>
  <c r="AD35" i="3"/>
  <c r="AE35" i="3"/>
  <c r="AG35" i="3" s="1"/>
  <c r="AF35" i="3"/>
  <c r="AH35" i="3" s="1"/>
  <c r="AC36" i="3"/>
  <c r="B156" i="3"/>
  <c r="C94" i="2"/>
  <c r="AR92" i="2"/>
  <c r="AH92" i="2"/>
  <c r="AI92" i="2"/>
  <c r="V92" i="2"/>
  <c r="L156" i="3"/>
  <c r="AS92" i="2"/>
  <c r="U92" i="2"/>
  <c r="M92" i="2"/>
  <c r="AC3" i="1"/>
  <c r="AC4" i="1"/>
  <c r="AC5" i="1"/>
  <c r="AC6" i="1"/>
  <c r="AC7" i="1"/>
  <c r="AC8" i="1"/>
  <c r="AC9" i="1"/>
  <c r="AC10" i="1"/>
  <c r="AC11" i="1"/>
  <c r="AC12" i="1"/>
  <c r="AC13" i="1"/>
  <c r="AC14" i="1"/>
  <c r="Y3" i="1"/>
  <c r="Y4" i="1"/>
  <c r="Y5" i="1"/>
  <c r="Y6" i="1"/>
  <c r="Y7" i="1"/>
  <c r="Y8" i="1"/>
  <c r="Y9" i="1"/>
  <c r="Y10" i="1"/>
  <c r="Y11" i="1"/>
  <c r="Y12" i="1"/>
  <c r="Y13" i="1"/>
  <c r="Y14" i="1"/>
  <c r="U3" i="1"/>
  <c r="U4" i="1"/>
  <c r="U5" i="1"/>
  <c r="U6" i="1"/>
  <c r="U7" i="1"/>
  <c r="U8" i="1"/>
  <c r="U9" i="1"/>
  <c r="U10" i="1"/>
  <c r="U11" i="1"/>
  <c r="U12" i="1"/>
  <c r="U13" i="1"/>
  <c r="U14" i="1"/>
  <c r="AB3" i="1"/>
  <c r="AB4" i="1"/>
  <c r="AB5" i="1"/>
  <c r="AB6" i="1"/>
  <c r="AB7" i="1"/>
  <c r="AB8" i="1"/>
  <c r="AB9" i="1"/>
  <c r="AB10" i="1"/>
  <c r="AB11" i="1"/>
  <c r="AB12" i="1"/>
  <c r="AB13" i="1"/>
  <c r="AB14" i="1"/>
  <c r="AA3" i="1"/>
  <c r="AA4" i="1"/>
  <c r="AA5" i="1"/>
  <c r="AA6" i="1"/>
  <c r="AA7" i="1"/>
  <c r="AA8" i="1"/>
  <c r="AA9" i="1"/>
  <c r="AA10" i="1"/>
  <c r="AA11" i="1"/>
  <c r="AA12" i="1"/>
  <c r="AA13" i="1"/>
  <c r="AA14" i="1"/>
  <c r="Z3" i="1"/>
  <c r="Z4" i="1"/>
  <c r="Z5" i="1"/>
  <c r="Z6" i="1"/>
  <c r="Z7" i="1"/>
  <c r="Z8" i="1"/>
  <c r="Z9" i="1"/>
  <c r="Z10" i="1"/>
  <c r="Z11" i="1"/>
  <c r="Z12" i="1"/>
  <c r="Z13" i="1"/>
  <c r="Z14" i="1"/>
  <c r="X3" i="1"/>
  <c r="X4" i="1"/>
  <c r="X5" i="1"/>
  <c r="X6" i="1"/>
  <c r="X7" i="1"/>
  <c r="X8" i="1"/>
  <c r="X9" i="1"/>
  <c r="X10" i="1"/>
  <c r="X11" i="1"/>
  <c r="X12" i="1"/>
  <c r="X13" i="1"/>
  <c r="X14" i="1"/>
  <c r="V3" i="1"/>
  <c r="V4" i="1"/>
  <c r="V5" i="1"/>
  <c r="V6" i="1"/>
  <c r="V7" i="1"/>
  <c r="V8" i="1"/>
  <c r="V9" i="1"/>
  <c r="V10" i="1"/>
  <c r="V11" i="1"/>
  <c r="V12" i="1"/>
  <c r="V13" i="1"/>
  <c r="V14" i="1"/>
  <c r="P155" i="3" a="1"/>
  <c r="Q155" i="3" a="1"/>
  <c r="R155" i="3" a="1"/>
  <c r="O155" i="3" a="1"/>
  <c r="N155" i="3" a="1"/>
  <c r="T37" i="3" a="1"/>
  <c r="W36" i="3" a="1"/>
  <c r="V36" i="3" a="1"/>
  <c r="U36" i="3" a="1"/>
  <c r="AO94" i="2" a="1"/>
  <c r="AN94" i="2" a="1"/>
  <c r="AM94" i="2" a="1"/>
  <c r="AL94" i="2" a="1"/>
  <c r="AK94" i="2" a="1"/>
  <c r="AD94" i="2" a="1"/>
  <c r="AC94" i="2" a="1"/>
  <c r="AB94" i="2" a="1"/>
  <c r="AA94" i="2" a="1"/>
  <c r="Z94" i="2" a="1"/>
  <c r="S94" i="2" a="1"/>
  <c r="R94" i="2" a="1"/>
  <c r="Q94" i="2" a="1"/>
  <c r="P94" i="2" a="1"/>
  <c r="O94" i="2" a="1"/>
  <c r="H94" i="2" a="1"/>
  <c r="G94" i="2" a="1"/>
  <c r="F94" i="2" a="1"/>
  <c r="E94" i="2" a="1"/>
  <c r="D94" i="2" a="1"/>
  <c r="B96" i="2" a="1"/>
  <c r="K37" i="3" a="1"/>
  <c r="N36" i="3" a="1"/>
  <c r="M36" i="3" a="1"/>
  <c r="L36" i="3" a="1"/>
  <c r="G156" i="3" a="1"/>
  <c r="H156" i="3" a="1"/>
  <c r="I156" i="3" a="1"/>
  <c r="D156" i="3" a="1"/>
  <c r="E156" i="3" a="1"/>
  <c r="J156" i="3" a="1"/>
  <c r="F156" i="3" a="1"/>
  <c r="B42" i="2" a="1"/>
  <c r="C41" i="2" a="1"/>
  <c r="B37" i="3" a="1"/>
  <c r="E36" i="3" a="1"/>
  <c r="D36" i="3" a="1"/>
  <c r="C36" i="3" a="1"/>
  <c r="AC37" i="3" a="1"/>
  <c r="AF36" i="3" a="1"/>
  <c r="AE36" i="3" a="1"/>
  <c r="AD36" i="3" a="1"/>
  <c r="U40" i="2" a="1"/>
  <c r="Q40" i="2" a="1"/>
  <c r="M40" i="2" a="1"/>
  <c r="I40" i="2" a="1"/>
  <c r="E40" i="2" a="1"/>
  <c r="AA16" i="2" a="1"/>
  <c r="AA57" i="2"/>
  <c r="U93" i="2" l="1"/>
  <c r="AB57" i="2"/>
  <c r="N155" i="3"/>
  <c r="O155" i="3"/>
  <c r="R155" i="3"/>
  <c r="Q155" i="3"/>
  <c r="P155" i="3"/>
  <c r="M156" i="3"/>
  <c r="V93" i="2"/>
  <c r="M93" i="2"/>
  <c r="AG93" i="2"/>
  <c r="W93" i="2"/>
  <c r="AF93" i="2"/>
  <c r="K93" i="2"/>
  <c r="AR93" i="2"/>
  <c r="J93" i="2"/>
  <c r="AQ93" i="2"/>
  <c r="E40" i="2"/>
  <c r="I40" i="2"/>
  <c r="M40" i="2"/>
  <c r="Q40" i="2"/>
  <c r="U40" i="2"/>
  <c r="AD36" i="3"/>
  <c r="AE36" i="3"/>
  <c r="AG36" i="3" s="1"/>
  <c r="AF36" i="3"/>
  <c r="AH36" i="3" s="1"/>
  <c r="AC37" i="3"/>
  <c r="C36" i="3"/>
  <c r="C157" i="3" s="1"/>
  <c r="D36" i="3"/>
  <c r="F36" i="3" s="1"/>
  <c r="E36" i="3"/>
  <c r="G36" i="3" s="1"/>
  <c r="B37" i="3"/>
  <c r="C41" i="2"/>
  <c r="B42" i="2"/>
  <c r="F156" i="3"/>
  <c r="J156" i="3"/>
  <c r="E156" i="3"/>
  <c r="D156" i="3"/>
  <c r="I156" i="3"/>
  <c r="H156" i="3"/>
  <c r="G156" i="3"/>
  <c r="L36" i="3"/>
  <c r="M36" i="3"/>
  <c r="O36" i="3" s="1"/>
  <c r="N36" i="3"/>
  <c r="P36" i="3" s="1"/>
  <c r="K37" i="3"/>
  <c r="B96" i="2"/>
  <c r="D94" i="2"/>
  <c r="E94" i="2"/>
  <c r="F94" i="2"/>
  <c r="I94" i="2" s="1"/>
  <c r="G94" i="2"/>
  <c r="H94" i="2"/>
  <c r="O94" i="2"/>
  <c r="P94" i="2"/>
  <c r="Q94" i="2"/>
  <c r="T94" i="2" s="1"/>
  <c r="R94" i="2"/>
  <c r="S94" i="2"/>
  <c r="Z94" i="2"/>
  <c r="AA94" i="2"/>
  <c r="AB94" i="2"/>
  <c r="AE94" i="2" s="1"/>
  <c r="AC94" i="2"/>
  <c r="AD94" i="2"/>
  <c r="AK94" i="2"/>
  <c r="AL94" i="2"/>
  <c r="AM94" i="2"/>
  <c r="AP94" i="2" s="1"/>
  <c r="AN94" i="2"/>
  <c r="AO94" i="2"/>
  <c r="U36" i="3"/>
  <c r="V36" i="3"/>
  <c r="X36" i="3" s="1"/>
  <c r="W36" i="3"/>
  <c r="Y36" i="3" s="1"/>
  <c r="T37" i="3"/>
  <c r="AH93" i="2"/>
  <c r="B157" i="3"/>
  <c r="AI93" i="2"/>
  <c r="D41" i="2"/>
  <c r="L93" i="2"/>
  <c r="AS93" i="2"/>
  <c r="L157" i="3"/>
  <c r="AT93" i="2"/>
  <c r="C95" i="2"/>
  <c r="X93" i="2"/>
  <c r="P156" i="3" a="1"/>
  <c r="Q156" i="3" a="1"/>
  <c r="R156" i="3" a="1"/>
  <c r="O156" i="3" a="1"/>
  <c r="N156" i="3" a="1"/>
  <c r="B43" i="2" a="1"/>
  <c r="C42" i="2" a="1"/>
  <c r="U41" i="2" a="1"/>
  <c r="Q41" i="2" a="1"/>
  <c r="M41" i="2" a="1"/>
  <c r="I41" i="2" a="1"/>
  <c r="E41" i="2" a="1"/>
  <c r="AC38" i="3" a="1"/>
  <c r="AF37" i="3" a="1"/>
  <c r="AE37" i="3" a="1"/>
  <c r="AD37" i="3" a="1"/>
  <c r="B38" i="3" a="1"/>
  <c r="E37" i="3" a="1"/>
  <c r="D37" i="3" a="1"/>
  <c r="C37" i="3" a="1"/>
  <c r="G157" i="3" a="1"/>
  <c r="H157" i="3" a="1"/>
  <c r="I157" i="3" a="1"/>
  <c r="D157" i="3" a="1"/>
  <c r="E157" i="3" a="1"/>
  <c r="J157" i="3" a="1"/>
  <c r="F157" i="3" a="1"/>
  <c r="K38" i="3" a="1"/>
  <c r="N37" i="3" a="1"/>
  <c r="M37" i="3" a="1"/>
  <c r="L37" i="3" a="1"/>
  <c r="B97" i="2" a="1"/>
  <c r="T38" i="3" a="1"/>
  <c r="W37" i="3" a="1"/>
  <c r="V37" i="3" a="1"/>
  <c r="U37" i="3" a="1"/>
  <c r="AO95" i="2" a="1"/>
  <c r="AN95" i="2" a="1"/>
  <c r="AM95" i="2" a="1"/>
  <c r="AL95" i="2" a="1"/>
  <c r="AK95" i="2" a="1"/>
  <c r="AD95" i="2" a="1"/>
  <c r="AC95" i="2" a="1"/>
  <c r="AB95" i="2" a="1"/>
  <c r="AA95" i="2" a="1"/>
  <c r="Z95" i="2" a="1"/>
  <c r="S95" i="2" a="1"/>
  <c r="R95" i="2" a="1"/>
  <c r="Q95" i="2" a="1"/>
  <c r="P95" i="2" a="1"/>
  <c r="O95" i="2" a="1"/>
  <c r="H95" i="2" a="1"/>
  <c r="G95" i="2" a="1"/>
  <c r="F95" i="2" a="1"/>
  <c r="E95" i="2" a="1"/>
  <c r="D95" i="2" a="1"/>
  <c r="AA49" i="2"/>
  <c r="AR94" i="2" l="1"/>
  <c r="AB49" i="2"/>
  <c r="N156" i="3"/>
  <c r="O156" i="3"/>
  <c r="R156" i="3"/>
  <c r="Q156" i="3"/>
  <c r="P156" i="3"/>
  <c r="M157" i="3"/>
  <c r="V94" i="2"/>
  <c r="U94" i="2"/>
  <c r="AH94" i="2"/>
  <c r="J94" i="2"/>
  <c r="AQ94" i="2"/>
  <c r="AI94" i="2"/>
  <c r="D95" i="2"/>
  <c r="E95" i="2"/>
  <c r="F95" i="2"/>
  <c r="I95" i="2" s="1"/>
  <c r="G95" i="2"/>
  <c r="H95" i="2"/>
  <c r="O95" i="2"/>
  <c r="P95" i="2"/>
  <c r="Q95" i="2"/>
  <c r="T95" i="2" s="1"/>
  <c r="R95" i="2"/>
  <c r="S95" i="2"/>
  <c r="Z95" i="2"/>
  <c r="AA95" i="2"/>
  <c r="AB95" i="2"/>
  <c r="AE95" i="2" s="1"/>
  <c r="AC95" i="2"/>
  <c r="AD95" i="2"/>
  <c r="AK95" i="2"/>
  <c r="AL95" i="2"/>
  <c r="AM95" i="2"/>
  <c r="AP95" i="2" s="1"/>
  <c r="AN95" i="2"/>
  <c r="AO95" i="2"/>
  <c r="U37" i="3"/>
  <c r="V37" i="3"/>
  <c r="X37" i="3" s="1"/>
  <c r="W37" i="3"/>
  <c r="Y37" i="3" s="1"/>
  <c r="T38" i="3"/>
  <c r="B97" i="2"/>
  <c r="L37" i="3"/>
  <c r="M37" i="3"/>
  <c r="O37" i="3" s="1"/>
  <c r="N37" i="3"/>
  <c r="P37" i="3" s="1"/>
  <c r="K38" i="3"/>
  <c r="F157" i="3"/>
  <c r="J157" i="3"/>
  <c r="E157" i="3"/>
  <c r="D157" i="3"/>
  <c r="I157" i="3"/>
  <c r="H157" i="3"/>
  <c r="G157" i="3"/>
  <c r="C37" i="3"/>
  <c r="C158" i="3" s="1"/>
  <c r="D37" i="3"/>
  <c r="F37" i="3" s="1"/>
  <c r="E37" i="3"/>
  <c r="G37" i="3" s="1"/>
  <c r="B38" i="3"/>
  <c r="AD37" i="3"/>
  <c r="AE37" i="3"/>
  <c r="AG37" i="3" s="1"/>
  <c r="AF37" i="3"/>
  <c r="AH37" i="3" s="1"/>
  <c r="AC38" i="3"/>
  <c r="E41" i="2"/>
  <c r="I41" i="2"/>
  <c r="M41" i="2"/>
  <c r="Q41" i="2"/>
  <c r="U41" i="2"/>
  <c r="C42" i="2"/>
  <c r="D42" i="2" s="1"/>
  <c r="B43" i="2"/>
  <c r="M94" i="2"/>
  <c r="C96" i="2"/>
  <c r="AG94" i="2"/>
  <c r="W94" i="2"/>
  <c r="L158" i="3"/>
  <c r="B158" i="3"/>
  <c r="AT94" i="2"/>
  <c r="AF94" i="2"/>
  <c r="X94" i="2"/>
  <c r="L94" i="2"/>
  <c r="AS94" i="2"/>
  <c r="K94" i="2"/>
  <c r="P157" i="3" a="1"/>
  <c r="Q157" i="3" a="1"/>
  <c r="R157" i="3" a="1"/>
  <c r="O157" i="3" a="1"/>
  <c r="N157" i="3" a="1"/>
  <c r="AO96" i="2" a="1"/>
  <c r="AN96" i="2" a="1"/>
  <c r="AM96" i="2" a="1"/>
  <c r="AL96" i="2" a="1"/>
  <c r="AK96" i="2" a="1"/>
  <c r="AD96" i="2" a="1"/>
  <c r="AC96" i="2" a="1"/>
  <c r="AB96" i="2" a="1"/>
  <c r="AA96" i="2" a="1"/>
  <c r="Z96" i="2" a="1"/>
  <c r="S96" i="2" a="1"/>
  <c r="R96" i="2" a="1"/>
  <c r="Q96" i="2" a="1"/>
  <c r="P96" i="2" a="1"/>
  <c r="O96" i="2" a="1"/>
  <c r="H96" i="2" a="1"/>
  <c r="G96" i="2" a="1"/>
  <c r="F96" i="2" a="1"/>
  <c r="E96" i="2" a="1"/>
  <c r="D96" i="2" a="1"/>
  <c r="K39" i="3" a="1"/>
  <c r="N38" i="3" a="1"/>
  <c r="M38" i="3" a="1"/>
  <c r="L38" i="3" a="1"/>
  <c r="AC39" i="3" a="1"/>
  <c r="AF38" i="3" a="1"/>
  <c r="AE38" i="3" a="1"/>
  <c r="AD38" i="3" a="1"/>
  <c r="G158" i="3" a="1"/>
  <c r="H158" i="3" a="1"/>
  <c r="I158" i="3" a="1"/>
  <c r="D158" i="3" a="1"/>
  <c r="E158" i="3" a="1"/>
  <c r="J158" i="3" a="1"/>
  <c r="F158" i="3" a="1"/>
  <c r="T39" i="3" a="1"/>
  <c r="W38" i="3" a="1"/>
  <c r="V38" i="3" a="1"/>
  <c r="U38" i="3" a="1"/>
  <c r="B39" i="3" a="1"/>
  <c r="E38" i="3" a="1"/>
  <c r="D38" i="3" a="1"/>
  <c r="C38" i="3" a="1"/>
  <c r="B44" i="2" a="1"/>
  <c r="C43" i="2" a="1"/>
  <c r="B98" i="2" a="1"/>
  <c r="U42" i="2" a="1"/>
  <c r="Q42" i="2" a="1"/>
  <c r="M42" i="2" a="1"/>
  <c r="I42" i="2" a="1"/>
  <c r="E42" i="2" a="1"/>
  <c r="AA41" i="2"/>
  <c r="AB41" i="2" l="1"/>
  <c r="N157" i="3"/>
  <c r="O157" i="3"/>
  <c r="R157" i="3"/>
  <c r="Q157" i="3"/>
  <c r="P157" i="3"/>
  <c r="M158" i="3"/>
  <c r="K95" i="2"/>
  <c r="J95" i="2"/>
  <c r="AS95" i="2"/>
  <c r="AT95" i="2"/>
  <c r="AG95" i="2"/>
  <c r="W95" i="2"/>
  <c r="AF95" i="2"/>
  <c r="X95" i="2"/>
  <c r="E42" i="2"/>
  <c r="I42" i="2"/>
  <c r="M42" i="2"/>
  <c r="Q42" i="2"/>
  <c r="U42" i="2"/>
  <c r="B98" i="2"/>
  <c r="C43" i="2"/>
  <c r="D43" i="2" s="1"/>
  <c r="B44" i="2"/>
  <c r="C38" i="3"/>
  <c r="C159" i="3" s="1"/>
  <c r="D38" i="3"/>
  <c r="F38" i="3" s="1"/>
  <c r="E38" i="3"/>
  <c r="G38" i="3" s="1"/>
  <c r="B39" i="3"/>
  <c r="U38" i="3"/>
  <c r="V38" i="3"/>
  <c r="X38" i="3" s="1"/>
  <c r="W38" i="3"/>
  <c r="Y38" i="3" s="1"/>
  <c r="T39" i="3"/>
  <c r="F158" i="3"/>
  <c r="J158" i="3"/>
  <c r="E158" i="3"/>
  <c r="D158" i="3"/>
  <c r="I158" i="3"/>
  <c r="H158" i="3"/>
  <c r="G158" i="3"/>
  <c r="AD38" i="3"/>
  <c r="AE38" i="3"/>
  <c r="AG38" i="3" s="1"/>
  <c r="AF38" i="3"/>
  <c r="AH38" i="3" s="1"/>
  <c r="AC39" i="3"/>
  <c r="L38" i="3"/>
  <c r="M38" i="3"/>
  <c r="O38" i="3" s="1"/>
  <c r="N38" i="3"/>
  <c r="P38" i="3" s="1"/>
  <c r="K39" i="3"/>
  <c r="D96" i="2"/>
  <c r="E96" i="2"/>
  <c r="F96" i="2"/>
  <c r="I96" i="2" s="1"/>
  <c r="G96" i="2"/>
  <c r="H96" i="2"/>
  <c r="O96" i="2"/>
  <c r="P96" i="2"/>
  <c r="Q96" i="2"/>
  <c r="T96" i="2" s="1"/>
  <c r="R96" i="2"/>
  <c r="S96" i="2"/>
  <c r="Z96" i="2"/>
  <c r="AA96" i="2"/>
  <c r="AB96" i="2"/>
  <c r="AE96" i="2" s="1"/>
  <c r="AC96" i="2"/>
  <c r="AD96" i="2"/>
  <c r="AK96" i="2"/>
  <c r="AL96" i="2"/>
  <c r="AM96" i="2"/>
  <c r="AP96" i="2" s="1"/>
  <c r="AN96" i="2"/>
  <c r="AO96" i="2"/>
  <c r="C97" i="2"/>
  <c r="U95" i="2"/>
  <c r="M95" i="2"/>
  <c r="B159" i="3"/>
  <c r="AR95" i="2"/>
  <c r="AH95" i="2"/>
  <c r="L159" i="3"/>
  <c r="AQ95" i="2"/>
  <c r="AI95" i="2"/>
  <c r="V95" i="2"/>
  <c r="L95" i="2"/>
  <c r="P158" i="3" a="1"/>
  <c r="Q158" i="3" a="1"/>
  <c r="R158" i="3" a="1"/>
  <c r="O158" i="3" a="1"/>
  <c r="N158" i="3" a="1"/>
  <c r="G159" i="3" a="1"/>
  <c r="H159" i="3" a="1"/>
  <c r="I159" i="3" a="1"/>
  <c r="D159" i="3" a="1"/>
  <c r="E159" i="3" a="1"/>
  <c r="J159" i="3" a="1"/>
  <c r="F159" i="3" a="1"/>
  <c r="AC40" i="3" a="1"/>
  <c r="AF39" i="3" a="1"/>
  <c r="AE39" i="3" a="1"/>
  <c r="AD39" i="3" a="1"/>
  <c r="K40" i="3" a="1"/>
  <c r="N39" i="3" a="1"/>
  <c r="M39" i="3" a="1"/>
  <c r="L39" i="3" a="1"/>
  <c r="B40" i="3" a="1"/>
  <c r="E39" i="3" a="1"/>
  <c r="D39" i="3" a="1"/>
  <c r="C39" i="3" a="1"/>
  <c r="B99" i="2" a="1"/>
  <c r="S97" i="2" a="1"/>
  <c r="R97" i="2" a="1"/>
  <c r="Q97" i="2" a="1"/>
  <c r="P97" i="2" a="1"/>
  <c r="O97" i="2" a="1"/>
  <c r="H97" i="2" a="1"/>
  <c r="G97" i="2" a="1"/>
  <c r="F97" i="2" a="1"/>
  <c r="E97" i="2" a="1"/>
  <c r="D97" i="2" a="1"/>
  <c r="B45" i="2" a="1"/>
  <c r="C44" i="2" a="1"/>
  <c r="T40" i="3" a="1"/>
  <c r="W39" i="3" a="1"/>
  <c r="V39" i="3" a="1"/>
  <c r="U39" i="3" a="1"/>
  <c r="U43" i="2" a="1"/>
  <c r="Q43" i="2" a="1"/>
  <c r="M43" i="2" a="1"/>
  <c r="I43" i="2" a="1"/>
  <c r="E43" i="2" a="1"/>
  <c r="AA33" i="2"/>
  <c r="AB33" i="2" l="1"/>
  <c r="M96" i="2"/>
  <c r="N158" i="3"/>
  <c r="O158" i="3"/>
  <c r="R158" i="3"/>
  <c r="Q158" i="3"/>
  <c r="P158" i="3"/>
  <c r="M159" i="3"/>
  <c r="AH96" i="2"/>
  <c r="V96" i="2"/>
  <c r="L96" i="2"/>
  <c r="AG96" i="2"/>
  <c r="E43" i="2"/>
  <c r="I43" i="2"/>
  <c r="M43" i="2"/>
  <c r="Q43" i="2"/>
  <c r="U43" i="2"/>
  <c r="U39" i="3"/>
  <c r="V39" i="3"/>
  <c r="X39" i="3" s="1"/>
  <c r="W39" i="3"/>
  <c r="Y39" i="3" s="1"/>
  <c r="T40" i="3"/>
  <c r="C44" i="2"/>
  <c r="D44" i="2" s="1"/>
  <c r="B45" i="2"/>
  <c r="D97" i="2"/>
  <c r="E97" i="2"/>
  <c r="F97" i="2"/>
  <c r="I97" i="2" s="1"/>
  <c r="G97" i="2"/>
  <c r="H97" i="2"/>
  <c r="O97" i="2"/>
  <c r="P97" i="2"/>
  <c r="Q97" i="2"/>
  <c r="T97" i="2" s="1"/>
  <c r="R97" i="2"/>
  <c r="S97" i="2"/>
  <c r="B99" i="2"/>
  <c r="C39" i="3"/>
  <c r="C160" i="3" s="1"/>
  <c r="D39" i="3"/>
  <c r="F39" i="3" s="1"/>
  <c r="E39" i="3"/>
  <c r="G39" i="3" s="1"/>
  <c r="B40" i="3"/>
  <c r="L39" i="3"/>
  <c r="M39" i="3"/>
  <c r="O39" i="3" s="1"/>
  <c r="N39" i="3"/>
  <c r="P39" i="3" s="1"/>
  <c r="K40" i="3"/>
  <c r="AD39" i="3"/>
  <c r="AE39" i="3"/>
  <c r="AG39" i="3" s="1"/>
  <c r="AF39" i="3"/>
  <c r="AH39" i="3" s="1"/>
  <c r="AC40" i="3"/>
  <c r="F159" i="3"/>
  <c r="J159" i="3"/>
  <c r="E159" i="3"/>
  <c r="D159" i="3"/>
  <c r="I159" i="3"/>
  <c r="H159" i="3"/>
  <c r="G159" i="3"/>
  <c r="AS96" i="2"/>
  <c r="U96" i="2"/>
  <c r="C98" i="2"/>
  <c r="AF96" i="2"/>
  <c r="X96" i="2"/>
  <c r="K96" i="2"/>
  <c r="B160" i="3"/>
  <c r="AT96" i="2"/>
  <c r="L160" i="3"/>
  <c r="AR96" i="2"/>
  <c r="J96" i="2"/>
  <c r="W96" i="2"/>
  <c r="AQ96" i="2"/>
  <c r="AI96" i="2"/>
  <c r="AH67" i="2" a="1"/>
  <c r="AS67" i="2" a="1"/>
  <c r="P159" i="3" a="1"/>
  <c r="Q159" i="3" a="1"/>
  <c r="R159" i="3" a="1"/>
  <c r="O159" i="3" a="1"/>
  <c r="N159" i="3" a="1"/>
  <c r="T41" i="3" a="1"/>
  <c r="W40" i="3" a="1"/>
  <c r="V40" i="3" a="1"/>
  <c r="U40" i="3" a="1"/>
  <c r="U44" i="2" a="1"/>
  <c r="Q44" i="2" a="1"/>
  <c r="M44" i="2" a="1"/>
  <c r="I44" i="2" a="1"/>
  <c r="E44" i="2" a="1"/>
  <c r="S98" i="2" a="1"/>
  <c r="R98" i="2" a="1"/>
  <c r="Q98" i="2" a="1"/>
  <c r="P98" i="2" a="1"/>
  <c r="O98" i="2" a="1"/>
  <c r="H98" i="2" a="1"/>
  <c r="G98" i="2" a="1"/>
  <c r="F98" i="2" a="1"/>
  <c r="E98" i="2" a="1"/>
  <c r="D98" i="2" a="1"/>
  <c r="B46" i="2" a="1"/>
  <c r="C45" i="2" a="1"/>
  <c r="K41" i="3" a="1"/>
  <c r="N40" i="3" a="1"/>
  <c r="M40" i="3" a="1"/>
  <c r="L40" i="3" a="1"/>
  <c r="G160" i="3" a="1"/>
  <c r="H160" i="3" a="1"/>
  <c r="I160" i="3" a="1"/>
  <c r="D160" i="3" a="1"/>
  <c r="E160" i="3" a="1"/>
  <c r="J160" i="3" a="1"/>
  <c r="F160" i="3" a="1"/>
  <c r="B100" i="2" a="1"/>
  <c r="B41" i="3" a="1"/>
  <c r="E40" i="3" a="1"/>
  <c r="D40" i="3" a="1"/>
  <c r="C40" i="3" a="1"/>
  <c r="AC41" i="3" a="1"/>
  <c r="AF40" i="3" a="1"/>
  <c r="AE40" i="3" a="1"/>
  <c r="AD40" i="3" a="1"/>
  <c r="AA25" i="2"/>
  <c r="U97" i="2" l="1"/>
  <c r="AS67" i="2"/>
  <c r="AH67" i="2"/>
  <c r="AB25" i="2"/>
  <c r="V97" i="2"/>
  <c r="N159" i="3"/>
  <c r="O159" i="3"/>
  <c r="R159" i="3"/>
  <c r="Q159" i="3"/>
  <c r="P159" i="3"/>
  <c r="M160" i="3"/>
  <c r="J97" i="2"/>
  <c r="K97" i="2"/>
  <c r="AD40" i="3"/>
  <c r="AE40" i="3"/>
  <c r="AG40" i="3" s="1"/>
  <c r="AF40" i="3"/>
  <c r="AH40" i="3" s="1"/>
  <c r="AC41" i="3"/>
  <c r="C40" i="3"/>
  <c r="C161" i="3" s="1"/>
  <c r="D40" i="3"/>
  <c r="F40" i="3" s="1"/>
  <c r="E40" i="3"/>
  <c r="G40" i="3" s="1"/>
  <c r="B41" i="3"/>
  <c r="B100" i="2"/>
  <c r="F160" i="3"/>
  <c r="J160" i="3"/>
  <c r="E160" i="3"/>
  <c r="D160" i="3"/>
  <c r="I160" i="3"/>
  <c r="H160" i="3"/>
  <c r="G160" i="3"/>
  <c r="L40" i="3"/>
  <c r="M40" i="3"/>
  <c r="O40" i="3" s="1"/>
  <c r="N40" i="3"/>
  <c r="P40" i="3" s="1"/>
  <c r="K41" i="3"/>
  <c r="C45" i="2"/>
  <c r="D45" i="2" s="1"/>
  <c r="B46" i="2"/>
  <c r="D98" i="2"/>
  <c r="E98" i="2"/>
  <c r="F98" i="2"/>
  <c r="I98" i="2" s="1"/>
  <c r="G98" i="2"/>
  <c r="H98" i="2"/>
  <c r="O98" i="2"/>
  <c r="P98" i="2"/>
  <c r="Q98" i="2"/>
  <c r="T98" i="2" s="1"/>
  <c r="R98" i="2"/>
  <c r="S98" i="2"/>
  <c r="E44" i="2"/>
  <c r="I44" i="2"/>
  <c r="M44" i="2"/>
  <c r="Q44" i="2"/>
  <c r="U44" i="2"/>
  <c r="U40" i="3"/>
  <c r="V40" i="3"/>
  <c r="X40" i="3" s="1"/>
  <c r="W40" i="3"/>
  <c r="Y40" i="3" s="1"/>
  <c r="T41" i="3"/>
  <c r="B161" i="3"/>
  <c r="C99" i="2"/>
  <c r="L97" i="2"/>
  <c r="M97" i="2"/>
  <c r="L161" i="3"/>
  <c r="W97" i="2"/>
  <c r="X97" i="2"/>
  <c r="P160" i="3" a="1"/>
  <c r="Q160" i="3" a="1"/>
  <c r="R160" i="3" a="1"/>
  <c r="O160" i="3" a="1"/>
  <c r="N160" i="3" a="1"/>
  <c r="AC42" i="3" a="1"/>
  <c r="AF41" i="3" a="1"/>
  <c r="AE41" i="3" a="1"/>
  <c r="AD41" i="3" a="1"/>
  <c r="G161" i="3" a="1"/>
  <c r="H161" i="3" a="1"/>
  <c r="I161" i="3" a="1"/>
  <c r="D161" i="3" a="1"/>
  <c r="E161" i="3" a="1"/>
  <c r="J161" i="3" a="1"/>
  <c r="F161" i="3" a="1"/>
  <c r="S99" i="2" a="1"/>
  <c r="R99" i="2" a="1"/>
  <c r="Q99" i="2" a="1"/>
  <c r="P99" i="2" a="1"/>
  <c r="O99" i="2" a="1"/>
  <c r="H99" i="2" a="1"/>
  <c r="G99" i="2" a="1"/>
  <c r="F99" i="2" a="1"/>
  <c r="E99" i="2" a="1"/>
  <c r="D99" i="2" a="1"/>
  <c r="K42" i="3" a="1"/>
  <c r="N41" i="3" a="1"/>
  <c r="M41" i="3" a="1"/>
  <c r="L41" i="3" a="1"/>
  <c r="U45" i="2" a="1"/>
  <c r="Q45" i="2" a="1"/>
  <c r="M45" i="2" a="1"/>
  <c r="I45" i="2" a="1"/>
  <c r="E45" i="2" a="1"/>
  <c r="T42" i="3" a="1"/>
  <c r="W41" i="3" a="1"/>
  <c r="V41" i="3" a="1"/>
  <c r="U41" i="3" a="1"/>
  <c r="B42" i="3" a="1"/>
  <c r="E41" i="3" a="1"/>
  <c r="D41" i="3" a="1"/>
  <c r="C41" i="3" a="1"/>
  <c r="B47" i="2" a="1"/>
  <c r="C46" i="2" a="1"/>
  <c r="B101" i="2" a="1"/>
  <c r="AA17" i="2"/>
  <c r="AB17" i="2" l="1"/>
  <c r="V98" i="2"/>
  <c r="U98" i="2"/>
  <c r="N160" i="3"/>
  <c r="O160" i="3"/>
  <c r="R160" i="3"/>
  <c r="Q160" i="3"/>
  <c r="P160" i="3"/>
  <c r="M161" i="3"/>
  <c r="L98" i="2"/>
  <c r="K98" i="2"/>
  <c r="B101" i="2"/>
  <c r="C46" i="2"/>
  <c r="D46" i="2" s="1"/>
  <c r="B47" i="2"/>
  <c r="C41" i="3"/>
  <c r="C162" i="3" s="1"/>
  <c r="D41" i="3"/>
  <c r="F41" i="3" s="1"/>
  <c r="E41" i="3"/>
  <c r="G41" i="3" s="1"/>
  <c r="B42" i="3"/>
  <c r="U41" i="3"/>
  <c r="V41" i="3"/>
  <c r="X41" i="3" s="1"/>
  <c r="W41" i="3"/>
  <c r="Y41" i="3" s="1"/>
  <c r="T42" i="3"/>
  <c r="E45" i="2"/>
  <c r="I45" i="2"/>
  <c r="M45" i="2"/>
  <c r="Q45" i="2"/>
  <c r="U45" i="2"/>
  <c r="L41" i="3"/>
  <c r="M41" i="3"/>
  <c r="O41" i="3" s="1"/>
  <c r="N41" i="3"/>
  <c r="P41" i="3" s="1"/>
  <c r="K42" i="3"/>
  <c r="D99" i="2"/>
  <c r="E99" i="2"/>
  <c r="F99" i="2"/>
  <c r="I99" i="2" s="1"/>
  <c r="G99" i="2"/>
  <c r="H99" i="2"/>
  <c r="O99" i="2"/>
  <c r="P99" i="2"/>
  <c r="Q99" i="2"/>
  <c r="T99" i="2" s="1"/>
  <c r="R99" i="2"/>
  <c r="S99" i="2"/>
  <c r="F161" i="3"/>
  <c r="J161" i="3"/>
  <c r="E161" i="3"/>
  <c r="D161" i="3"/>
  <c r="I161" i="3"/>
  <c r="H161" i="3"/>
  <c r="G161" i="3"/>
  <c r="AD41" i="3"/>
  <c r="AE41" i="3"/>
  <c r="AG41" i="3" s="1"/>
  <c r="AF41" i="3"/>
  <c r="AH41" i="3" s="1"/>
  <c r="AC42" i="3"/>
  <c r="M98" i="2"/>
  <c r="C100" i="2"/>
  <c r="B162" i="3"/>
  <c r="W98" i="2"/>
  <c r="X98" i="2"/>
  <c r="L162" i="3"/>
  <c r="J98" i="2"/>
  <c r="P161" i="3" a="1"/>
  <c r="Q161" i="3" a="1"/>
  <c r="R161" i="3" a="1"/>
  <c r="O161" i="3" a="1"/>
  <c r="N161" i="3" a="1"/>
  <c r="G162" i="3" a="1"/>
  <c r="H162" i="3" a="1"/>
  <c r="I162" i="3" a="1"/>
  <c r="D162" i="3" a="1"/>
  <c r="E162" i="3" a="1"/>
  <c r="J162" i="3" a="1"/>
  <c r="F162" i="3" a="1"/>
  <c r="K43" i="3" a="1"/>
  <c r="N42" i="3" a="1"/>
  <c r="M42" i="3" a="1"/>
  <c r="L42" i="3" a="1"/>
  <c r="B43" i="3" a="1"/>
  <c r="E42" i="3" a="1"/>
  <c r="D42" i="3" a="1"/>
  <c r="C42" i="3" a="1"/>
  <c r="B102" i="2" a="1"/>
  <c r="AC43" i="3" a="1"/>
  <c r="AF42" i="3" a="1"/>
  <c r="AE42" i="3" a="1"/>
  <c r="AD42" i="3" a="1"/>
  <c r="B48" i="2" a="1"/>
  <c r="C47" i="2" a="1"/>
  <c r="T43" i="3" a="1"/>
  <c r="W42" i="3" a="1"/>
  <c r="V42" i="3" a="1"/>
  <c r="U42" i="3" a="1"/>
  <c r="S100" i="2" a="1"/>
  <c r="R100" i="2" a="1"/>
  <c r="Q100" i="2" a="1"/>
  <c r="P100" i="2" a="1"/>
  <c r="O100" i="2" a="1"/>
  <c r="H100" i="2" a="1"/>
  <c r="G100" i="2" a="1"/>
  <c r="F100" i="2" a="1"/>
  <c r="E100" i="2" a="1"/>
  <c r="D100" i="2" a="1"/>
  <c r="U46" i="2" a="1"/>
  <c r="Q46" i="2" a="1"/>
  <c r="M46" i="2" a="1"/>
  <c r="I46" i="2" a="1"/>
  <c r="E46" i="2" a="1"/>
  <c r="AA64" i="2"/>
  <c r="U99" i="2" l="1"/>
  <c r="AB64" i="2"/>
  <c r="L99" i="2"/>
  <c r="X99" i="2"/>
  <c r="N161" i="3"/>
  <c r="O161" i="3"/>
  <c r="R161" i="3"/>
  <c r="Q161" i="3"/>
  <c r="P161" i="3"/>
  <c r="M162" i="3"/>
  <c r="M99" i="2"/>
  <c r="E46" i="2"/>
  <c r="I46" i="2"/>
  <c r="M46" i="2"/>
  <c r="Q46" i="2"/>
  <c r="U46" i="2"/>
  <c r="D100" i="2"/>
  <c r="E100" i="2"/>
  <c r="F100" i="2"/>
  <c r="I100" i="2" s="1"/>
  <c r="G100" i="2"/>
  <c r="H100" i="2"/>
  <c r="O100" i="2"/>
  <c r="P100" i="2"/>
  <c r="Q100" i="2"/>
  <c r="T100" i="2" s="1"/>
  <c r="R100" i="2"/>
  <c r="S100" i="2"/>
  <c r="U42" i="3"/>
  <c r="V42" i="3"/>
  <c r="X42" i="3" s="1"/>
  <c r="W42" i="3"/>
  <c r="Y42" i="3" s="1"/>
  <c r="T43" i="3"/>
  <c r="C47" i="2"/>
  <c r="D47" i="2" s="1"/>
  <c r="B48" i="2"/>
  <c r="AD42" i="3"/>
  <c r="AE42" i="3"/>
  <c r="AG42" i="3" s="1"/>
  <c r="AF42" i="3"/>
  <c r="AH42" i="3" s="1"/>
  <c r="AC43" i="3"/>
  <c r="B102" i="2"/>
  <c r="C42" i="3"/>
  <c r="C163" i="3" s="1"/>
  <c r="D42" i="3"/>
  <c r="F42" i="3" s="1"/>
  <c r="E42" i="3"/>
  <c r="G42" i="3" s="1"/>
  <c r="B43" i="3"/>
  <c r="L42" i="3"/>
  <c r="M42" i="3"/>
  <c r="O42" i="3" s="1"/>
  <c r="N42" i="3"/>
  <c r="P42" i="3" s="1"/>
  <c r="K43" i="3"/>
  <c r="F162" i="3"/>
  <c r="J162" i="3"/>
  <c r="E162" i="3"/>
  <c r="D162" i="3"/>
  <c r="I162" i="3"/>
  <c r="H162" i="3"/>
  <c r="G162" i="3"/>
  <c r="W99" i="2"/>
  <c r="K99" i="2"/>
  <c r="C101" i="2"/>
  <c r="J99" i="2"/>
  <c r="B163" i="3"/>
  <c r="V99" i="2"/>
  <c r="L163" i="3"/>
  <c r="P162" i="3" a="1"/>
  <c r="Q162" i="3" a="1"/>
  <c r="R162" i="3" a="1"/>
  <c r="O162" i="3" a="1"/>
  <c r="N162" i="3" a="1"/>
  <c r="B49" i="2" a="1"/>
  <c r="C48" i="2" a="1"/>
  <c r="B103" i="2" a="1"/>
  <c r="K44" i="3" a="1"/>
  <c r="N43" i="3" a="1"/>
  <c r="M43" i="3" a="1"/>
  <c r="L43" i="3" a="1"/>
  <c r="T44" i="3" a="1"/>
  <c r="W43" i="3" a="1"/>
  <c r="V43" i="3" a="1"/>
  <c r="U43" i="3" a="1"/>
  <c r="B44" i="3" a="1"/>
  <c r="E43" i="3" a="1"/>
  <c r="D43" i="3" a="1"/>
  <c r="C43" i="3" a="1"/>
  <c r="G163" i="3" a="1"/>
  <c r="H163" i="3" a="1"/>
  <c r="I163" i="3" a="1"/>
  <c r="D163" i="3" a="1"/>
  <c r="E163" i="3" a="1"/>
  <c r="J163" i="3" a="1"/>
  <c r="F163" i="3" a="1"/>
  <c r="U47" i="2" a="1"/>
  <c r="Q47" i="2" a="1"/>
  <c r="M47" i="2" a="1"/>
  <c r="I47" i="2" a="1"/>
  <c r="E47" i="2" a="1"/>
  <c r="AC44" i="3" a="1"/>
  <c r="AF43" i="3" a="1"/>
  <c r="AE43" i="3" a="1"/>
  <c r="AD43" i="3" a="1"/>
  <c r="S101" i="2" a="1"/>
  <c r="R101" i="2" a="1"/>
  <c r="Q101" i="2" a="1"/>
  <c r="P101" i="2" a="1"/>
  <c r="O101" i="2" a="1"/>
  <c r="H101" i="2" a="1"/>
  <c r="G101" i="2" a="1"/>
  <c r="F101" i="2" a="1"/>
  <c r="E101" i="2" a="1"/>
  <c r="D101" i="2" a="1"/>
  <c r="AA56" i="2"/>
  <c r="U100" i="2" l="1"/>
  <c r="AB56" i="2"/>
  <c r="N162" i="3"/>
  <c r="O162" i="3"/>
  <c r="R162" i="3"/>
  <c r="Q162" i="3"/>
  <c r="P162" i="3"/>
  <c r="M163" i="3"/>
  <c r="L100" i="2"/>
  <c r="X100" i="2"/>
  <c r="K100" i="2"/>
  <c r="D101" i="2"/>
  <c r="E101" i="2"/>
  <c r="F101" i="2"/>
  <c r="I101" i="2" s="1"/>
  <c r="G101" i="2"/>
  <c r="H101" i="2"/>
  <c r="O101" i="2"/>
  <c r="P101" i="2"/>
  <c r="Q101" i="2"/>
  <c r="T101" i="2" s="1"/>
  <c r="R101" i="2"/>
  <c r="S101" i="2"/>
  <c r="AD43" i="3"/>
  <c r="AE43" i="3"/>
  <c r="AG43" i="3" s="1"/>
  <c r="AF43" i="3"/>
  <c r="AH43" i="3" s="1"/>
  <c r="AC44" i="3"/>
  <c r="E47" i="2"/>
  <c r="I47" i="2"/>
  <c r="M47" i="2"/>
  <c r="Q47" i="2"/>
  <c r="U47" i="2"/>
  <c r="F163" i="3"/>
  <c r="J163" i="3"/>
  <c r="E163" i="3"/>
  <c r="D163" i="3"/>
  <c r="I163" i="3"/>
  <c r="H163" i="3"/>
  <c r="G163" i="3"/>
  <c r="C43" i="3"/>
  <c r="C164" i="3" s="1"/>
  <c r="D43" i="3"/>
  <c r="F43" i="3" s="1"/>
  <c r="E43" i="3"/>
  <c r="G43" i="3" s="1"/>
  <c r="B44" i="3"/>
  <c r="U43" i="3"/>
  <c r="V43" i="3"/>
  <c r="X43" i="3" s="1"/>
  <c r="W43" i="3"/>
  <c r="Y43" i="3" s="1"/>
  <c r="T44" i="3"/>
  <c r="L43" i="3"/>
  <c r="M43" i="3"/>
  <c r="O43" i="3" s="1"/>
  <c r="N43" i="3"/>
  <c r="P43" i="3" s="1"/>
  <c r="K44" i="3"/>
  <c r="B103" i="2"/>
  <c r="C48" i="2"/>
  <c r="B49" i="2"/>
  <c r="J100" i="2"/>
  <c r="B164" i="3"/>
  <c r="L164" i="3"/>
  <c r="C102" i="2"/>
  <c r="V100" i="2"/>
  <c r="M100" i="2"/>
  <c r="D48" i="2"/>
  <c r="W100" i="2"/>
  <c r="P163" i="3" a="1"/>
  <c r="Q163" i="3" a="1"/>
  <c r="R163" i="3" a="1"/>
  <c r="O163" i="3" a="1"/>
  <c r="N163" i="3" a="1"/>
  <c r="U48" i="2" a="1"/>
  <c r="Q48" i="2" a="1"/>
  <c r="M48" i="2" a="1"/>
  <c r="I48" i="2" a="1"/>
  <c r="E48" i="2" a="1"/>
  <c r="AC45" i="3" a="1"/>
  <c r="AF44" i="3" a="1"/>
  <c r="AE44" i="3" a="1"/>
  <c r="AD44" i="3" a="1"/>
  <c r="B45" i="3" a="1"/>
  <c r="E44" i="3" a="1"/>
  <c r="D44" i="3" a="1"/>
  <c r="C44" i="3" a="1"/>
  <c r="K45" i="3" a="1"/>
  <c r="N44" i="3" a="1"/>
  <c r="M44" i="3" a="1"/>
  <c r="L44" i="3" a="1"/>
  <c r="B104" i="2" a="1"/>
  <c r="G164" i="3" a="1"/>
  <c r="H164" i="3" a="1"/>
  <c r="I164" i="3" a="1"/>
  <c r="D164" i="3" a="1"/>
  <c r="E164" i="3" a="1"/>
  <c r="J164" i="3" a="1"/>
  <c r="F164" i="3" a="1"/>
  <c r="B50" i="2" a="1"/>
  <c r="C49" i="2" a="1"/>
  <c r="T45" i="3" a="1"/>
  <c r="W44" i="3" a="1"/>
  <c r="V44" i="3" a="1"/>
  <c r="U44" i="3" a="1"/>
  <c r="S102" i="2" a="1"/>
  <c r="R102" i="2" a="1"/>
  <c r="Q102" i="2" a="1"/>
  <c r="P102" i="2" a="1"/>
  <c r="O102" i="2" a="1"/>
  <c r="H102" i="2" a="1"/>
  <c r="G102" i="2" a="1"/>
  <c r="F102" i="2" a="1"/>
  <c r="E102" i="2" a="1"/>
  <c r="D102" i="2" a="1"/>
  <c r="AA48" i="2"/>
  <c r="AB48" i="2" l="1"/>
  <c r="N163" i="3"/>
  <c r="O163" i="3"/>
  <c r="R163" i="3"/>
  <c r="Q163" i="3"/>
  <c r="P163" i="3"/>
  <c r="M164" i="3"/>
  <c r="W101" i="2"/>
  <c r="X101" i="2"/>
  <c r="D102" i="2"/>
  <c r="E102" i="2"/>
  <c r="F102" i="2"/>
  <c r="I102" i="2" s="1"/>
  <c r="G102" i="2"/>
  <c r="H102" i="2"/>
  <c r="O102" i="2"/>
  <c r="P102" i="2"/>
  <c r="Q102" i="2"/>
  <c r="T102" i="2" s="1"/>
  <c r="R102" i="2"/>
  <c r="S102" i="2"/>
  <c r="U44" i="3"/>
  <c r="V44" i="3"/>
  <c r="X44" i="3" s="1"/>
  <c r="W44" i="3"/>
  <c r="Y44" i="3" s="1"/>
  <c r="T45" i="3"/>
  <c r="C49" i="2"/>
  <c r="D49" i="2" s="1"/>
  <c r="B50" i="2"/>
  <c r="F164" i="3"/>
  <c r="J164" i="3"/>
  <c r="E164" i="3"/>
  <c r="D164" i="3"/>
  <c r="I164" i="3"/>
  <c r="H164" i="3"/>
  <c r="G164" i="3"/>
  <c r="B104" i="2"/>
  <c r="L44" i="3"/>
  <c r="M44" i="3"/>
  <c r="O44" i="3" s="1"/>
  <c r="N44" i="3"/>
  <c r="P44" i="3" s="1"/>
  <c r="K45" i="3"/>
  <c r="C44" i="3"/>
  <c r="C165" i="3" s="1"/>
  <c r="D44" i="3"/>
  <c r="F44" i="3" s="1"/>
  <c r="E44" i="3"/>
  <c r="G44" i="3" s="1"/>
  <c r="B45" i="3"/>
  <c r="AD44" i="3"/>
  <c r="AE44" i="3"/>
  <c r="AG44" i="3" s="1"/>
  <c r="AF44" i="3"/>
  <c r="AH44" i="3" s="1"/>
  <c r="AC45" i="3"/>
  <c r="E48" i="2"/>
  <c r="I48" i="2"/>
  <c r="M48" i="2"/>
  <c r="Q48" i="2"/>
  <c r="U48" i="2"/>
  <c r="V101" i="2"/>
  <c r="L101" i="2"/>
  <c r="U101" i="2"/>
  <c r="M101" i="2"/>
  <c r="C103" i="2"/>
  <c r="L165" i="3"/>
  <c r="B165" i="3"/>
  <c r="K101" i="2"/>
  <c r="J101" i="2"/>
  <c r="P164" i="3" a="1"/>
  <c r="Q164" i="3" a="1"/>
  <c r="R164" i="3" a="1"/>
  <c r="O164" i="3" a="1"/>
  <c r="N164" i="3" a="1"/>
  <c r="S103" i="2" a="1"/>
  <c r="R103" i="2" a="1"/>
  <c r="Q103" i="2" a="1"/>
  <c r="P103" i="2" a="1"/>
  <c r="O103" i="2" a="1"/>
  <c r="H103" i="2" a="1"/>
  <c r="G103" i="2" a="1"/>
  <c r="F103" i="2" a="1"/>
  <c r="E103" i="2" a="1"/>
  <c r="D103" i="2" a="1"/>
  <c r="B51" i="2" a="1"/>
  <c r="C50" i="2" a="1"/>
  <c r="K46" i="3" a="1"/>
  <c r="N45" i="3" a="1"/>
  <c r="M45" i="3" a="1"/>
  <c r="L45" i="3" a="1"/>
  <c r="AC46" i="3" a="1"/>
  <c r="AF45" i="3" a="1"/>
  <c r="AE45" i="3" a="1"/>
  <c r="AD45" i="3" a="1"/>
  <c r="G165" i="3" a="1"/>
  <c r="H165" i="3" a="1"/>
  <c r="I165" i="3" a="1"/>
  <c r="D165" i="3" a="1"/>
  <c r="E165" i="3" a="1"/>
  <c r="J165" i="3" a="1"/>
  <c r="F165" i="3" a="1"/>
  <c r="B105" i="2" a="1"/>
  <c r="B46" i="3" a="1"/>
  <c r="E45" i="3" a="1"/>
  <c r="D45" i="3" a="1"/>
  <c r="C45" i="3" a="1"/>
  <c r="T46" i="3" a="1"/>
  <c r="W45" i="3" a="1"/>
  <c r="V45" i="3" a="1"/>
  <c r="U45" i="3" a="1"/>
  <c r="U49" i="2" a="1"/>
  <c r="Q49" i="2" a="1"/>
  <c r="M49" i="2" a="1"/>
  <c r="I49" i="2" a="1"/>
  <c r="E49" i="2" a="1"/>
  <c r="AA40" i="2"/>
  <c r="AB40" i="2" l="1"/>
  <c r="K102" i="2"/>
  <c r="N164" i="3"/>
  <c r="O164" i="3"/>
  <c r="R164" i="3"/>
  <c r="Q164" i="3"/>
  <c r="P164" i="3"/>
  <c r="M165" i="3"/>
  <c r="W102" i="2"/>
  <c r="X102" i="2"/>
  <c r="E49" i="2"/>
  <c r="I49" i="2"/>
  <c r="M49" i="2"/>
  <c r="Q49" i="2"/>
  <c r="U49" i="2"/>
  <c r="U45" i="3"/>
  <c r="V45" i="3"/>
  <c r="X45" i="3" s="1"/>
  <c r="W45" i="3"/>
  <c r="Y45" i="3" s="1"/>
  <c r="T46" i="3"/>
  <c r="C45" i="3"/>
  <c r="C166" i="3" s="1"/>
  <c r="D45" i="3"/>
  <c r="F45" i="3" s="1"/>
  <c r="E45" i="3"/>
  <c r="G45" i="3" s="1"/>
  <c r="B46" i="3"/>
  <c r="B105" i="2"/>
  <c r="F165" i="3"/>
  <c r="J165" i="3"/>
  <c r="E165" i="3"/>
  <c r="D165" i="3"/>
  <c r="I165" i="3"/>
  <c r="H165" i="3"/>
  <c r="G165" i="3"/>
  <c r="AD45" i="3"/>
  <c r="AE45" i="3"/>
  <c r="AG45" i="3" s="1"/>
  <c r="AF45" i="3"/>
  <c r="AH45" i="3" s="1"/>
  <c r="AC46" i="3"/>
  <c r="L45" i="3"/>
  <c r="M45" i="3"/>
  <c r="O45" i="3" s="1"/>
  <c r="N45" i="3"/>
  <c r="P45" i="3" s="1"/>
  <c r="K46" i="3"/>
  <c r="C50" i="2"/>
  <c r="D50" i="2" s="1"/>
  <c r="B51" i="2"/>
  <c r="D103" i="2"/>
  <c r="E103" i="2"/>
  <c r="F103" i="2"/>
  <c r="I103" i="2" s="1"/>
  <c r="G103" i="2"/>
  <c r="H103" i="2"/>
  <c r="O103" i="2"/>
  <c r="P103" i="2"/>
  <c r="Q103" i="2"/>
  <c r="T103" i="2" s="1"/>
  <c r="R103" i="2"/>
  <c r="S103" i="2"/>
  <c r="B166" i="3"/>
  <c r="C104" i="2"/>
  <c r="V102" i="2"/>
  <c r="L102" i="2"/>
  <c r="L166" i="3"/>
  <c r="U102" i="2"/>
  <c r="M102" i="2"/>
  <c r="J102" i="2"/>
  <c r="P165" i="3" a="1"/>
  <c r="Q165" i="3" a="1"/>
  <c r="R165" i="3" a="1"/>
  <c r="O165" i="3" a="1"/>
  <c r="N165" i="3" a="1"/>
  <c r="B47" i="3" a="1"/>
  <c r="E46" i="3" a="1"/>
  <c r="D46" i="3" a="1"/>
  <c r="C46" i="3" a="1"/>
  <c r="K47" i="3" a="1"/>
  <c r="N46" i="3" a="1"/>
  <c r="M46" i="3" a="1"/>
  <c r="L46" i="3" a="1"/>
  <c r="B106" i="2" a="1"/>
  <c r="T47" i="3" a="1"/>
  <c r="W46" i="3" a="1"/>
  <c r="V46" i="3" a="1"/>
  <c r="U46" i="3" a="1"/>
  <c r="B52" i="2" a="1"/>
  <c r="C51" i="2" a="1"/>
  <c r="AC47" i="3" a="1"/>
  <c r="AF46" i="3" a="1"/>
  <c r="AE46" i="3" a="1"/>
  <c r="AD46" i="3" a="1"/>
  <c r="U50" i="2" a="1"/>
  <c r="Q50" i="2" a="1"/>
  <c r="M50" i="2" a="1"/>
  <c r="I50" i="2" a="1"/>
  <c r="E50" i="2" a="1"/>
  <c r="G166" i="3" a="1"/>
  <c r="H166" i="3" a="1"/>
  <c r="I166" i="3" a="1"/>
  <c r="D166" i="3" a="1"/>
  <c r="E166" i="3" a="1"/>
  <c r="J166" i="3" a="1"/>
  <c r="F166" i="3" a="1"/>
  <c r="S104" i="2" a="1"/>
  <c r="R104" i="2" a="1"/>
  <c r="Q104" i="2" a="1"/>
  <c r="P104" i="2" a="1"/>
  <c r="O104" i="2" a="1"/>
  <c r="H104" i="2" a="1"/>
  <c r="G104" i="2" a="1"/>
  <c r="F104" i="2" a="1"/>
  <c r="E104" i="2" a="1"/>
  <c r="D104" i="2" a="1"/>
  <c r="AA32" i="2"/>
  <c r="AB32" i="2" l="1"/>
  <c r="U103" i="2"/>
  <c r="V103" i="2"/>
  <c r="N165" i="3"/>
  <c r="O165" i="3"/>
  <c r="R165" i="3"/>
  <c r="Q165" i="3"/>
  <c r="P165" i="3"/>
  <c r="M166" i="3"/>
  <c r="L103" i="2"/>
  <c r="K103" i="2"/>
  <c r="D104" i="2"/>
  <c r="E104" i="2"/>
  <c r="F104" i="2"/>
  <c r="I104" i="2" s="1"/>
  <c r="G104" i="2"/>
  <c r="H104" i="2"/>
  <c r="O104" i="2"/>
  <c r="P104" i="2"/>
  <c r="Q104" i="2"/>
  <c r="T104" i="2" s="1"/>
  <c r="R104" i="2"/>
  <c r="S104" i="2"/>
  <c r="F166" i="3"/>
  <c r="J166" i="3"/>
  <c r="E166" i="3"/>
  <c r="D166" i="3"/>
  <c r="I166" i="3"/>
  <c r="H166" i="3"/>
  <c r="G166" i="3"/>
  <c r="E50" i="2"/>
  <c r="I50" i="2"/>
  <c r="M50" i="2"/>
  <c r="Q50" i="2"/>
  <c r="U50" i="2"/>
  <c r="AD46" i="3"/>
  <c r="AE46" i="3"/>
  <c r="AG46" i="3" s="1"/>
  <c r="AF46" i="3"/>
  <c r="AH46" i="3" s="1"/>
  <c r="AC47" i="3"/>
  <c r="C51" i="2"/>
  <c r="D51" i="2" s="1"/>
  <c r="B52" i="2"/>
  <c r="U46" i="3"/>
  <c r="V46" i="3"/>
  <c r="X46" i="3" s="1"/>
  <c r="W46" i="3"/>
  <c r="Y46" i="3" s="1"/>
  <c r="T47" i="3"/>
  <c r="B106" i="2"/>
  <c r="L46" i="3"/>
  <c r="M46" i="3"/>
  <c r="O46" i="3" s="1"/>
  <c r="N46" i="3"/>
  <c r="P46" i="3" s="1"/>
  <c r="K47" i="3"/>
  <c r="C46" i="3"/>
  <c r="C167" i="3" s="1"/>
  <c r="D46" i="3"/>
  <c r="F46" i="3" s="1"/>
  <c r="E46" i="3"/>
  <c r="G46" i="3" s="1"/>
  <c r="B47" i="3"/>
  <c r="J103" i="2"/>
  <c r="M103" i="2"/>
  <c r="W103" i="2"/>
  <c r="C105" i="2"/>
  <c r="X103" i="2"/>
  <c r="L167" i="3"/>
  <c r="B167" i="3"/>
  <c r="P166" i="3" a="1"/>
  <c r="Q166" i="3" a="1"/>
  <c r="R166" i="3" a="1"/>
  <c r="O166" i="3" a="1"/>
  <c r="N166" i="3" a="1"/>
  <c r="B53" i="2" a="1"/>
  <c r="C52" i="2" a="1"/>
  <c r="G167" i="3" a="1"/>
  <c r="H167" i="3" a="1"/>
  <c r="I167" i="3" a="1"/>
  <c r="D167" i="3" a="1"/>
  <c r="E167" i="3" a="1"/>
  <c r="J167" i="3" a="1"/>
  <c r="F167" i="3" a="1"/>
  <c r="K48" i="3" a="1"/>
  <c r="N47" i="3" a="1"/>
  <c r="M47" i="3" a="1"/>
  <c r="L47" i="3" a="1"/>
  <c r="S105" i="2" a="1"/>
  <c r="R105" i="2" a="1"/>
  <c r="Q105" i="2" a="1"/>
  <c r="P105" i="2" a="1"/>
  <c r="O105" i="2" a="1"/>
  <c r="H105" i="2" a="1"/>
  <c r="G105" i="2" a="1"/>
  <c r="F105" i="2" a="1"/>
  <c r="E105" i="2" a="1"/>
  <c r="D105" i="2" a="1"/>
  <c r="T48" i="3" a="1"/>
  <c r="W47" i="3" a="1"/>
  <c r="V47" i="3" a="1"/>
  <c r="U47" i="3" a="1"/>
  <c r="B107" i="2" a="1"/>
  <c r="B48" i="3" a="1"/>
  <c r="E47" i="3" a="1"/>
  <c r="D47" i="3" a="1"/>
  <c r="C47" i="3" a="1"/>
  <c r="AC48" i="3" a="1"/>
  <c r="AF47" i="3" a="1"/>
  <c r="AE47" i="3" a="1"/>
  <c r="AD47" i="3" a="1"/>
  <c r="U51" i="2" a="1"/>
  <c r="Q51" i="2" a="1"/>
  <c r="M51" i="2" a="1"/>
  <c r="I51" i="2" a="1"/>
  <c r="E51" i="2" a="1"/>
  <c r="AA24" i="2"/>
  <c r="AB24" i="2" l="1"/>
  <c r="K104" i="2"/>
  <c r="N166" i="3"/>
  <c r="O166" i="3"/>
  <c r="R166" i="3"/>
  <c r="Q166" i="3"/>
  <c r="P166" i="3"/>
  <c r="M167" i="3"/>
  <c r="J104" i="2"/>
  <c r="V104" i="2"/>
  <c r="E51" i="2"/>
  <c r="I51" i="2"/>
  <c r="M51" i="2"/>
  <c r="Q51" i="2"/>
  <c r="U51" i="2"/>
  <c r="AD47" i="3"/>
  <c r="AE47" i="3"/>
  <c r="AG47" i="3" s="1"/>
  <c r="AF47" i="3"/>
  <c r="AH47" i="3" s="1"/>
  <c r="AC48" i="3"/>
  <c r="C47" i="3"/>
  <c r="C168" i="3" s="1"/>
  <c r="D47" i="3"/>
  <c r="F47" i="3" s="1"/>
  <c r="E47" i="3"/>
  <c r="G47" i="3" s="1"/>
  <c r="B48" i="3"/>
  <c r="B107" i="2"/>
  <c r="U47" i="3"/>
  <c r="V47" i="3"/>
  <c r="X47" i="3" s="1"/>
  <c r="W47" i="3"/>
  <c r="Y47" i="3" s="1"/>
  <c r="T48" i="3"/>
  <c r="D105" i="2"/>
  <c r="E105" i="2"/>
  <c r="F105" i="2"/>
  <c r="I105" i="2" s="1"/>
  <c r="G105" i="2"/>
  <c r="H105" i="2"/>
  <c r="O105" i="2"/>
  <c r="P105" i="2"/>
  <c r="Q105" i="2"/>
  <c r="T105" i="2" s="1"/>
  <c r="R105" i="2"/>
  <c r="S105" i="2"/>
  <c r="L47" i="3"/>
  <c r="M47" i="3"/>
  <c r="O47" i="3" s="1"/>
  <c r="N47" i="3"/>
  <c r="P47" i="3" s="1"/>
  <c r="K48" i="3"/>
  <c r="F167" i="3"/>
  <c r="J167" i="3"/>
  <c r="E167" i="3"/>
  <c r="D167" i="3"/>
  <c r="I167" i="3"/>
  <c r="H167" i="3"/>
  <c r="G167" i="3"/>
  <c r="C52" i="2"/>
  <c r="B53" i="2"/>
  <c r="W104" i="2"/>
  <c r="B168" i="3"/>
  <c r="C106" i="2"/>
  <c r="X104" i="2"/>
  <c r="L168" i="3"/>
  <c r="L104" i="2"/>
  <c r="D52" i="2"/>
  <c r="U104" i="2"/>
  <c r="M104" i="2"/>
  <c r="P167" i="3" a="1"/>
  <c r="Q167" i="3" a="1"/>
  <c r="R167" i="3" a="1"/>
  <c r="O167" i="3" a="1"/>
  <c r="N167" i="3" a="1"/>
  <c r="K49" i="3" a="1"/>
  <c r="N48" i="3" a="1"/>
  <c r="M48" i="3" a="1"/>
  <c r="L48" i="3" a="1"/>
  <c r="U52" i="2" a="1"/>
  <c r="Q52" i="2" a="1"/>
  <c r="M52" i="2" a="1"/>
  <c r="I52" i="2" a="1"/>
  <c r="E52" i="2" a="1"/>
  <c r="AC49" i="3" a="1"/>
  <c r="AF48" i="3" a="1"/>
  <c r="AE48" i="3" a="1"/>
  <c r="AD48" i="3" a="1"/>
  <c r="B54" i="2" a="1"/>
  <c r="C53" i="2" a="1"/>
  <c r="G168" i="3" a="1"/>
  <c r="H168" i="3" a="1"/>
  <c r="I168" i="3" a="1"/>
  <c r="D168" i="3" a="1"/>
  <c r="E168" i="3" a="1"/>
  <c r="J168" i="3" a="1"/>
  <c r="F168" i="3" a="1"/>
  <c r="T49" i="3" a="1"/>
  <c r="W48" i="3" a="1"/>
  <c r="V48" i="3" a="1"/>
  <c r="U48" i="3" a="1"/>
  <c r="B49" i="3" a="1"/>
  <c r="E48" i="3" a="1"/>
  <c r="D48" i="3" a="1"/>
  <c r="C48" i="3" a="1"/>
  <c r="B108" i="2" a="1"/>
  <c r="S106" i="2" a="1"/>
  <c r="R106" i="2" a="1"/>
  <c r="Q106" i="2" a="1"/>
  <c r="P106" i="2" a="1"/>
  <c r="O106" i="2" a="1"/>
  <c r="H106" i="2" a="1"/>
  <c r="G106" i="2" a="1"/>
  <c r="F106" i="2" a="1"/>
  <c r="E106" i="2" a="1"/>
  <c r="D106" i="2" a="1"/>
  <c r="AA16" i="2"/>
  <c r="AB16" i="2" l="1"/>
  <c r="N167" i="3"/>
  <c r="O167" i="3"/>
  <c r="R167" i="3"/>
  <c r="Q167" i="3"/>
  <c r="P167" i="3"/>
  <c r="M168" i="3"/>
  <c r="J105" i="2"/>
  <c r="V105" i="2"/>
  <c r="D106" i="2"/>
  <c r="E106" i="2"/>
  <c r="F106" i="2"/>
  <c r="I106" i="2" s="1"/>
  <c r="G106" i="2"/>
  <c r="H106" i="2"/>
  <c r="O106" i="2"/>
  <c r="P106" i="2"/>
  <c r="Q106" i="2"/>
  <c r="T106" i="2" s="1"/>
  <c r="R106" i="2"/>
  <c r="S106" i="2"/>
  <c r="B108" i="2"/>
  <c r="C48" i="3"/>
  <c r="C169" i="3" s="1"/>
  <c r="D48" i="3"/>
  <c r="F48" i="3" s="1"/>
  <c r="E48" i="3"/>
  <c r="G48" i="3" s="1"/>
  <c r="B49" i="3"/>
  <c r="U48" i="3"/>
  <c r="V48" i="3"/>
  <c r="X48" i="3" s="1"/>
  <c r="W48" i="3"/>
  <c r="Y48" i="3" s="1"/>
  <c r="T49" i="3"/>
  <c r="F168" i="3"/>
  <c r="J168" i="3"/>
  <c r="E168" i="3"/>
  <c r="D168" i="3"/>
  <c r="I168" i="3"/>
  <c r="H168" i="3"/>
  <c r="G168" i="3"/>
  <c r="C53" i="2"/>
  <c r="B54" i="2"/>
  <c r="AD48" i="3"/>
  <c r="AE48" i="3"/>
  <c r="AG48" i="3" s="1"/>
  <c r="AF48" i="3"/>
  <c r="AH48" i="3" s="1"/>
  <c r="AC49" i="3"/>
  <c r="E52" i="2"/>
  <c r="I52" i="2"/>
  <c r="M52" i="2"/>
  <c r="Q52" i="2"/>
  <c r="U52" i="2"/>
  <c r="L48" i="3"/>
  <c r="M48" i="3"/>
  <c r="O48" i="3" s="1"/>
  <c r="N48" i="3"/>
  <c r="P48" i="3" s="1"/>
  <c r="K49" i="3"/>
  <c r="L105" i="2"/>
  <c r="U105" i="2"/>
  <c r="M105" i="2"/>
  <c r="C107" i="2"/>
  <c r="B169" i="3"/>
  <c r="D53" i="2"/>
  <c r="W105" i="2"/>
  <c r="L169" i="3"/>
  <c r="X105" i="2"/>
  <c r="K105" i="2"/>
  <c r="P168" i="3" a="1"/>
  <c r="Q168" i="3" a="1"/>
  <c r="R168" i="3" a="1"/>
  <c r="O168" i="3" a="1"/>
  <c r="N168" i="3" a="1"/>
  <c r="S107" i="2" a="1"/>
  <c r="R107" i="2" a="1"/>
  <c r="Q107" i="2" a="1"/>
  <c r="P107" i="2" a="1"/>
  <c r="O107" i="2" a="1"/>
  <c r="H107" i="2" a="1"/>
  <c r="G107" i="2" a="1"/>
  <c r="F107" i="2" a="1"/>
  <c r="E107" i="2" a="1"/>
  <c r="D107" i="2" a="1"/>
  <c r="B109" i="2" a="1"/>
  <c r="B50" i="3" a="1"/>
  <c r="E49" i="3" a="1"/>
  <c r="D49" i="3" a="1"/>
  <c r="C49" i="3" a="1"/>
  <c r="U53" i="2" a="1"/>
  <c r="Q53" i="2" a="1"/>
  <c r="M53" i="2" a="1"/>
  <c r="I53" i="2" a="1"/>
  <c r="E53" i="2" a="1"/>
  <c r="AC50" i="3" a="1"/>
  <c r="AF49" i="3" a="1"/>
  <c r="AE49" i="3" a="1"/>
  <c r="AD49" i="3" a="1"/>
  <c r="K50" i="3" a="1"/>
  <c r="N49" i="3" a="1"/>
  <c r="M49" i="3" a="1"/>
  <c r="L49" i="3" a="1"/>
  <c r="T50" i="3" a="1"/>
  <c r="W49" i="3" a="1"/>
  <c r="V49" i="3" a="1"/>
  <c r="U49" i="3" a="1"/>
  <c r="G169" i="3" a="1"/>
  <c r="H169" i="3" a="1"/>
  <c r="I169" i="3" a="1"/>
  <c r="D169" i="3" a="1"/>
  <c r="E169" i="3" a="1"/>
  <c r="J169" i="3" a="1"/>
  <c r="F169" i="3" a="1"/>
  <c r="B55" i="2" a="1"/>
  <c r="C54" i="2" a="1"/>
  <c r="AA63" i="2"/>
  <c r="AB63" i="2" l="1"/>
  <c r="J106" i="2"/>
  <c r="N168" i="3"/>
  <c r="O168" i="3"/>
  <c r="R168" i="3"/>
  <c r="Q168" i="3"/>
  <c r="P168" i="3"/>
  <c r="M169" i="3"/>
  <c r="W106" i="2"/>
  <c r="X106" i="2"/>
  <c r="M106" i="2"/>
  <c r="C54" i="2"/>
  <c r="D54" i="2" s="1"/>
  <c r="B55" i="2"/>
  <c r="F169" i="3"/>
  <c r="J169" i="3"/>
  <c r="E169" i="3"/>
  <c r="D169" i="3"/>
  <c r="I169" i="3"/>
  <c r="H169" i="3"/>
  <c r="G169" i="3"/>
  <c r="U49" i="3"/>
  <c r="V49" i="3"/>
  <c r="X49" i="3" s="1"/>
  <c r="W49" i="3"/>
  <c r="Y49" i="3" s="1"/>
  <c r="T50" i="3"/>
  <c r="L49" i="3"/>
  <c r="M49" i="3"/>
  <c r="O49" i="3" s="1"/>
  <c r="N49" i="3"/>
  <c r="P49" i="3" s="1"/>
  <c r="K50" i="3"/>
  <c r="AD49" i="3"/>
  <c r="AE49" i="3"/>
  <c r="AG49" i="3" s="1"/>
  <c r="AF49" i="3"/>
  <c r="AH49" i="3" s="1"/>
  <c r="AC50" i="3"/>
  <c r="E53" i="2"/>
  <c r="I53" i="2"/>
  <c r="M53" i="2"/>
  <c r="Q53" i="2"/>
  <c r="U53" i="2"/>
  <c r="C49" i="3"/>
  <c r="C170" i="3" s="1"/>
  <c r="D49" i="3"/>
  <c r="F49" i="3" s="1"/>
  <c r="E49" i="3"/>
  <c r="G49" i="3" s="1"/>
  <c r="B50" i="3"/>
  <c r="B109" i="2"/>
  <c r="D107" i="2"/>
  <c r="E107" i="2"/>
  <c r="F107" i="2"/>
  <c r="I107" i="2" s="1"/>
  <c r="G107" i="2"/>
  <c r="H107" i="2"/>
  <c r="O107" i="2"/>
  <c r="P107" i="2"/>
  <c r="Q107" i="2"/>
  <c r="T107" i="2" s="1"/>
  <c r="R107" i="2"/>
  <c r="S107" i="2"/>
  <c r="U106" i="2"/>
  <c r="L170" i="3"/>
  <c r="K106" i="2"/>
  <c r="B170" i="3"/>
  <c r="C108" i="2"/>
  <c r="V106" i="2"/>
  <c r="L106" i="2"/>
  <c r="P169" i="3" a="1"/>
  <c r="Q169" i="3" a="1"/>
  <c r="R169" i="3" a="1"/>
  <c r="O169" i="3" a="1"/>
  <c r="N169" i="3" a="1"/>
  <c r="G170" i="3" a="1"/>
  <c r="H170" i="3" a="1"/>
  <c r="I170" i="3" a="1"/>
  <c r="D170" i="3" a="1"/>
  <c r="E170" i="3" a="1"/>
  <c r="J170" i="3" a="1"/>
  <c r="F170" i="3" a="1"/>
  <c r="T51" i="3" a="1"/>
  <c r="W50" i="3" a="1"/>
  <c r="V50" i="3" a="1"/>
  <c r="U50" i="3" a="1"/>
  <c r="AC51" i="3" a="1"/>
  <c r="AF50" i="3" a="1"/>
  <c r="AE50" i="3" a="1"/>
  <c r="AD50" i="3" a="1"/>
  <c r="B51" i="3" a="1"/>
  <c r="E50" i="3" a="1"/>
  <c r="D50" i="3" a="1"/>
  <c r="C50" i="3" a="1"/>
  <c r="B110" i="2" a="1"/>
  <c r="S108" i="2" a="1"/>
  <c r="R108" i="2" a="1"/>
  <c r="Q108" i="2" a="1"/>
  <c r="P108" i="2" a="1"/>
  <c r="O108" i="2" a="1"/>
  <c r="H108" i="2" a="1"/>
  <c r="G108" i="2" a="1"/>
  <c r="F108" i="2" a="1"/>
  <c r="E108" i="2" a="1"/>
  <c r="D108" i="2" a="1"/>
  <c r="B56" i="2" a="1"/>
  <c r="C55" i="2" a="1"/>
  <c r="K51" i="3" a="1"/>
  <c r="N50" i="3" a="1"/>
  <c r="M50" i="3" a="1"/>
  <c r="L50" i="3" a="1"/>
  <c r="U54" i="2" a="1"/>
  <c r="Q54" i="2" a="1"/>
  <c r="M54" i="2" a="1"/>
  <c r="I54" i="2" a="1"/>
  <c r="E54" i="2" a="1"/>
  <c r="AA55" i="2"/>
  <c r="AB55" i="2" l="1"/>
  <c r="V107" i="2"/>
  <c r="N169" i="3"/>
  <c r="O169" i="3"/>
  <c r="R169" i="3"/>
  <c r="Q169" i="3"/>
  <c r="P169" i="3"/>
  <c r="M170" i="3"/>
  <c r="L107" i="2"/>
  <c r="U107" i="2"/>
  <c r="M107" i="2"/>
  <c r="E54" i="2"/>
  <c r="I54" i="2"/>
  <c r="M54" i="2"/>
  <c r="Q54" i="2"/>
  <c r="U54" i="2"/>
  <c r="L50" i="3"/>
  <c r="M50" i="3"/>
  <c r="O50" i="3" s="1"/>
  <c r="N50" i="3"/>
  <c r="P50" i="3" s="1"/>
  <c r="K51" i="3"/>
  <c r="C55" i="2"/>
  <c r="B56" i="2"/>
  <c r="D108" i="2"/>
  <c r="E108" i="2"/>
  <c r="F108" i="2"/>
  <c r="I108" i="2" s="1"/>
  <c r="G108" i="2"/>
  <c r="H108" i="2"/>
  <c r="O108" i="2"/>
  <c r="P108" i="2"/>
  <c r="Q108" i="2"/>
  <c r="T108" i="2" s="1"/>
  <c r="R108" i="2"/>
  <c r="S108" i="2"/>
  <c r="B110" i="2"/>
  <c r="C50" i="3"/>
  <c r="C171" i="3" s="1"/>
  <c r="D50" i="3"/>
  <c r="F50" i="3" s="1"/>
  <c r="E50" i="3"/>
  <c r="G50" i="3" s="1"/>
  <c r="B51" i="3"/>
  <c r="AD50" i="3"/>
  <c r="AE50" i="3"/>
  <c r="AG50" i="3" s="1"/>
  <c r="AF50" i="3"/>
  <c r="AH50" i="3" s="1"/>
  <c r="AC51" i="3"/>
  <c r="U50" i="3"/>
  <c r="V50" i="3"/>
  <c r="X50" i="3" s="1"/>
  <c r="W50" i="3"/>
  <c r="Y50" i="3" s="1"/>
  <c r="T51" i="3"/>
  <c r="F170" i="3"/>
  <c r="J170" i="3"/>
  <c r="E170" i="3"/>
  <c r="D170" i="3"/>
  <c r="I170" i="3"/>
  <c r="H170" i="3"/>
  <c r="G170" i="3"/>
  <c r="K107" i="2"/>
  <c r="L171" i="3"/>
  <c r="J107" i="2"/>
  <c r="X107" i="2"/>
  <c r="D55" i="2"/>
  <c r="C109" i="2"/>
  <c r="B171" i="3"/>
  <c r="W107" i="2"/>
  <c r="P170" i="3" a="1"/>
  <c r="Q170" i="3" a="1"/>
  <c r="R170" i="3" a="1"/>
  <c r="O170" i="3" a="1"/>
  <c r="N170" i="3" a="1"/>
  <c r="S109" i="2" a="1"/>
  <c r="R109" i="2" a="1"/>
  <c r="Q109" i="2" a="1"/>
  <c r="P109" i="2" a="1"/>
  <c r="O109" i="2" a="1"/>
  <c r="H109" i="2" a="1"/>
  <c r="G109" i="2" a="1"/>
  <c r="F109" i="2" a="1"/>
  <c r="E109" i="2" a="1"/>
  <c r="D109" i="2" a="1"/>
  <c r="G171" i="3" a="1"/>
  <c r="H171" i="3" a="1"/>
  <c r="I171" i="3" a="1"/>
  <c r="D171" i="3" a="1"/>
  <c r="E171" i="3" a="1"/>
  <c r="J171" i="3" a="1"/>
  <c r="F171" i="3" a="1"/>
  <c r="K52" i="3" a="1"/>
  <c r="N51" i="3" a="1"/>
  <c r="M51" i="3" a="1"/>
  <c r="L51" i="3" a="1"/>
  <c r="B52" i="3" a="1"/>
  <c r="E51" i="3" a="1"/>
  <c r="D51" i="3" a="1"/>
  <c r="C51" i="3" a="1"/>
  <c r="B57" i="2" a="1"/>
  <c r="C56" i="2" a="1"/>
  <c r="AC52" i="3" a="1"/>
  <c r="AF51" i="3" a="1"/>
  <c r="AE51" i="3" a="1"/>
  <c r="AD51" i="3" a="1"/>
  <c r="U55" i="2" a="1"/>
  <c r="Q55" i="2" a="1"/>
  <c r="M55" i="2" a="1"/>
  <c r="I55" i="2" a="1"/>
  <c r="E55" i="2" a="1"/>
  <c r="B111" i="2" a="1"/>
  <c r="T52" i="3" a="1"/>
  <c r="W51" i="3" a="1"/>
  <c r="V51" i="3" a="1"/>
  <c r="U51" i="3" a="1"/>
  <c r="AA47" i="2"/>
  <c r="V108" i="2" l="1"/>
  <c r="AB47" i="2"/>
  <c r="J108" i="2"/>
  <c r="N170" i="3"/>
  <c r="O170" i="3"/>
  <c r="R170" i="3"/>
  <c r="Q170" i="3"/>
  <c r="P170" i="3"/>
  <c r="M171" i="3"/>
  <c r="K108" i="2"/>
  <c r="U51" i="3"/>
  <c r="V51" i="3"/>
  <c r="X51" i="3" s="1"/>
  <c r="W51" i="3"/>
  <c r="Y51" i="3" s="1"/>
  <c r="T52" i="3"/>
  <c r="B111" i="2"/>
  <c r="E55" i="2"/>
  <c r="I55" i="2"/>
  <c r="M55" i="2"/>
  <c r="Q55" i="2"/>
  <c r="U55" i="2"/>
  <c r="AD51" i="3"/>
  <c r="AE51" i="3"/>
  <c r="AG51" i="3" s="1"/>
  <c r="AF51" i="3"/>
  <c r="AH51" i="3" s="1"/>
  <c r="AC52" i="3"/>
  <c r="C56" i="2"/>
  <c r="D56" i="2" s="1"/>
  <c r="B57" i="2"/>
  <c r="C51" i="3"/>
  <c r="C172" i="3" s="1"/>
  <c r="D51" i="3"/>
  <c r="F51" i="3" s="1"/>
  <c r="E51" i="3"/>
  <c r="G51" i="3" s="1"/>
  <c r="B52" i="3"/>
  <c r="L51" i="3"/>
  <c r="M51" i="3"/>
  <c r="O51" i="3" s="1"/>
  <c r="N51" i="3"/>
  <c r="P51" i="3" s="1"/>
  <c r="K52" i="3"/>
  <c r="F171" i="3"/>
  <c r="J171" i="3"/>
  <c r="E171" i="3"/>
  <c r="D171" i="3"/>
  <c r="I171" i="3"/>
  <c r="H171" i="3"/>
  <c r="G171" i="3"/>
  <c r="D109" i="2"/>
  <c r="E109" i="2"/>
  <c r="F109" i="2"/>
  <c r="I109" i="2" s="1"/>
  <c r="G109" i="2"/>
  <c r="H109" i="2"/>
  <c r="O109" i="2"/>
  <c r="P109" i="2"/>
  <c r="Q109" i="2"/>
  <c r="T109" i="2" s="1"/>
  <c r="R109" i="2"/>
  <c r="S109" i="2"/>
  <c r="C110" i="2"/>
  <c r="L108" i="2"/>
  <c r="B172" i="3"/>
  <c r="W108" i="2"/>
  <c r="X108" i="2"/>
  <c r="L172" i="3"/>
  <c r="U108" i="2"/>
  <c r="M108" i="2"/>
  <c r="P171" i="3" a="1"/>
  <c r="Q171" i="3" a="1"/>
  <c r="R171" i="3" a="1"/>
  <c r="O171" i="3" a="1"/>
  <c r="N171" i="3" a="1"/>
  <c r="B53" i="3" a="1"/>
  <c r="E52" i="3" a="1"/>
  <c r="D52" i="3" a="1"/>
  <c r="C52" i="3" a="1"/>
  <c r="AC53" i="3" a="1"/>
  <c r="AF52" i="3" a="1"/>
  <c r="AE52" i="3" a="1"/>
  <c r="AD52" i="3" a="1"/>
  <c r="B58" i="2" a="1"/>
  <c r="C57" i="2" a="1"/>
  <c r="T53" i="3" a="1"/>
  <c r="W52" i="3" a="1"/>
  <c r="V52" i="3" a="1"/>
  <c r="U52" i="3" a="1"/>
  <c r="U56" i="2" a="1"/>
  <c r="Q56" i="2" a="1"/>
  <c r="M56" i="2" a="1"/>
  <c r="I56" i="2" a="1"/>
  <c r="E56" i="2" a="1"/>
  <c r="B112" i="2" a="1"/>
  <c r="K53" i="3" a="1"/>
  <c r="N52" i="3" a="1"/>
  <c r="M52" i="3" a="1"/>
  <c r="L52" i="3" a="1"/>
  <c r="G172" i="3" a="1"/>
  <c r="H172" i="3" a="1"/>
  <c r="I172" i="3" a="1"/>
  <c r="D172" i="3" a="1"/>
  <c r="E172" i="3" a="1"/>
  <c r="J172" i="3" a="1"/>
  <c r="F172" i="3" a="1"/>
  <c r="S110" i="2" a="1"/>
  <c r="R110" i="2" a="1"/>
  <c r="Q110" i="2" a="1"/>
  <c r="P110" i="2" a="1"/>
  <c r="O110" i="2" a="1"/>
  <c r="H110" i="2" a="1"/>
  <c r="G110" i="2" a="1"/>
  <c r="F110" i="2" a="1"/>
  <c r="E110" i="2" a="1"/>
  <c r="D110" i="2" a="1"/>
  <c r="AA39" i="2"/>
  <c r="AB39" i="2" l="1"/>
  <c r="N171" i="3"/>
  <c r="O171" i="3"/>
  <c r="R171" i="3"/>
  <c r="Q171" i="3"/>
  <c r="P171" i="3"/>
  <c r="M172" i="3"/>
  <c r="V109" i="2"/>
  <c r="U109" i="2"/>
  <c r="K109" i="2"/>
  <c r="J109" i="2"/>
  <c r="D110" i="2"/>
  <c r="E110" i="2"/>
  <c r="F110" i="2"/>
  <c r="I110" i="2" s="1"/>
  <c r="G110" i="2"/>
  <c r="H110" i="2"/>
  <c r="O110" i="2"/>
  <c r="P110" i="2"/>
  <c r="Q110" i="2"/>
  <c r="T110" i="2" s="1"/>
  <c r="R110" i="2"/>
  <c r="S110" i="2"/>
  <c r="F172" i="3"/>
  <c r="J172" i="3"/>
  <c r="E172" i="3"/>
  <c r="D172" i="3"/>
  <c r="I172" i="3"/>
  <c r="H172" i="3"/>
  <c r="G172" i="3"/>
  <c r="L52" i="3"/>
  <c r="M52" i="3"/>
  <c r="O52" i="3" s="1"/>
  <c r="N52" i="3"/>
  <c r="P52" i="3" s="1"/>
  <c r="K53" i="3"/>
  <c r="B112" i="2"/>
  <c r="E56" i="2"/>
  <c r="I56" i="2"/>
  <c r="M56" i="2"/>
  <c r="Q56" i="2"/>
  <c r="U56" i="2"/>
  <c r="U52" i="3"/>
  <c r="V52" i="3"/>
  <c r="X52" i="3" s="1"/>
  <c r="W52" i="3"/>
  <c r="Y52" i="3" s="1"/>
  <c r="T53" i="3"/>
  <c r="C57" i="2"/>
  <c r="D57" i="2" s="1"/>
  <c r="B58" i="2"/>
  <c r="AD52" i="3"/>
  <c r="AE52" i="3"/>
  <c r="AG52" i="3" s="1"/>
  <c r="AF52" i="3"/>
  <c r="AH52" i="3" s="1"/>
  <c r="AC53" i="3"/>
  <c r="C52" i="3"/>
  <c r="C173" i="3" s="1"/>
  <c r="D52" i="3"/>
  <c r="F52" i="3" s="1"/>
  <c r="E52" i="3"/>
  <c r="G52" i="3" s="1"/>
  <c r="B53" i="3"/>
  <c r="L109" i="2"/>
  <c r="L173" i="3"/>
  <c r="C111" i="2"/>
  <c r="W109" i="2"/>
  <c r="B173" i="3"/>
  <c r="M109" i="2"/>
  <c r="X109" i="2"/>
  <c r="P172" i="3" a="1"/>
  <c r="Q172" i="3" a="1"/>
  <c r="R172" i="3" a="1"/>
  <c r="O172" i="3" a="1"/>
  <c r="N172" i="3" a="1"/>
  <c r="S111" i="2" a="1"/>
  <c r="R111" i="2" a="1"/>
  <c r="Q111" i="2" a="1"/>
  <c r="P111" i="2" a="1"/>
  <c r="O111" i="2" a="1"/>
  <c r="H111" i="2" a="1"/>
  <c r="G111" i="2" a="1"/>
  <c r="F111" i="2" a="1"/>
  <c r="E111" i="2" a="1"/>
  <c r="D111" i="2" a="1"/>
  <c r="B59" i="2" a="1"/>
  <c r="C58" i="2" a="1"/>
  <c r="B54" i="3" a="1"/>
  <c r="E53" i="3" a="1"/>
  <c r="D53" i="3" a="1"/>
  <c r="C53" i="3" a="1"/>
  <c r="K54" i="3" a="1"/>
  <c r="N53" i="3" a="1"/>
  <c r="M53" i="3" a="1"/>
  <c r="L53" i="3" a="1"/>
  <c r="AC54" i="3" a="1"/>
  <c r="AF53" i="3" a="1"/>
  <c r="AE53" i="3" a="1"/>
  <c r="AD53" i="3" a="1"/>
  <c r="T54" i="3" a="1"/>
  <c r="W53" i="3" a="1"/>
  <c r="V53" i="3" a="1"/>
  <c r="U53" i="3" a="1"/>
  <c r="G173" i="3" a="1"/>
  <c r="H173" i="3" a="1"/>
  <c r="I173" i="3" a="1"/>
  <c r="D173" i="3" a="1"/>
  <c r="E173" i="3" a="1"/>
  <c r="J173" i="3" a="1"/>
  <c r="F173" i="3" a="1"/>
  <c r="U57" i="2" a="1"/>
  <c r="Q57" i="2" a="1"/>
  <c r="M57" i="2" a="1"/>
  <c r="I57" i="2" a="1"/>
  <c r="E57" i="2" a="1"/>
  <c r="AA31" i="2"/>
  <c r="AB31" i="2" l="1"/>
  <c r="N172" i="3"/>
  <c r="O172" i="3"/>
  <c r="R172" i="3"/>
  <c r="Q172" i="3"/>
  <c r="P172" i="3"/>
  <c r="M173" i="3"/>
  <c r="X110" i="2"/>
  <c r="J110" i="2"/>
  <c r="M110" i="2"/>
  <c r="W110" i="2"/>
  <c r="E57" i="2"/>
  <c r="I57" i="2"/>
  <c r="M57" i="2"/>
  <c r="Q57" i="2"/>
  <c r="U57" i="2"/>
  <c r="F173" i="3"/>
  <c r="J173" i="3"/>
  <c r="E173" i="3"/>
  <c r="D173" i="3"/>
  <c r="I173" i="3"/>
  <c r="H173" i="3"/>
  <c r="G173" i="3"/>
  <c r="U53" i="3"/>
  <c r="V53" i="3"/>
  <c r="X53" i="3" s="1"/>
  <c r="W53" i="3"/>
  <c r="Y53" i="3" s="1"/>
  <c r="T54" i="3"/>
  <c r="AD53" i="3"/>
  <c r="AE53" i="3"/>
  <c r="AG53" i="3" s="1"/>
  <c r="AF53" i="3"/>
  <c r="AH53" i="3" s="1"/>
  <c r="AC54" i="3"/>
  <c r="L53" i="3"/>
  <c r="M53" i="3"/>
  <c r="O53" i="3" s="1"/>
  <c r="N53" i="3"/>
  <c r="P53" i="3" s="1"/>
  <c r="K54" i="3"/>
  <c r="C53" i="3"/>
  <c r="D53" i="3"/>
  <c r="F53" i="3" s="1"/>
  <c r="E53" i="3"/>
  <c r="G53" i="3" s="1"/>
  <c r="B54" i="3"/>
  <c r="C58" i="2"/>
  <c r="D58" i="2" s="1"/>
  <c r="B59" i="2"/>
  <c r="D111" i="2"/>
  <c r="E111" i="2"/>
  <c r="F111" i="2"/>
  <c r="I111" i="2" s="1"/>
  <c r="G111" i="2"/>
  <c r="H111" i="2"/>
  <c r="O111" i="2"/>
  <c r="P111" i="2"/>
  <c r="Q111" i="2"/>
  <c r="T111" i="2" s="1"/>
  <c r="R111" i="2"/>
  <c r="S111" i="2"/>
  <c r="U110" i="2"/>
  <c r="C112" i="2"/>
  <c r="K110" i="2"/>
  <c r="V110" i="2"/>
  <c r="L110" i="2"/>
  <c r="P173" i="3" a="1"/>
  <c r="Q173" i="3" a="1"/>
  <c r="R173" i="3" a="1"/>
  <c r="O173" i="3" a="1"/>
  <c r="N173" i="3" a="1"/>
  <c r="U58" i="2" a="1"/>
  <c r="Q58" i="2" a="1"/>
  <c r="M58" i="2" a="1"/>
  <c r="I58" i="2" a="1"/>
  <c r="E58" i="2" a="1"/>
  <c r="B60" i="2" a="1"/>
  <c r="C59" i="2" a="1"/>
  <c r="W54" i="3" a="1"/>
  <c r="V54" i="3" a="1"/>
  <c r="U54" i="3" a="1"/>
  <c r="K55" i="3" a="1"/>
  <c r="N54" i="3" a="1"/>
  <c r="M54" i="3" a="1"/>
  <c r="L54" i="3" a="1"/>
  <c r="J111" i="3" a="1"/>
  <c r="AC55" i="3" a="1"/>
  <c r="AF54" i="3" a="1"/>
  <c r="AE54" i="3" a="1"/>
  <c r="AD54" i="3" a="1"/>
  <c r="B55" i="3" a="1"/>
  <c r="E54" i="3" a="1"/>
  <c r="D54" i="3" a="1"/>
  <c r="C54" i="3" a="1"/>
  <c r="S112" i="2" a="1"/>
  <c r="R112" i="2" a="1"/>
  <c r="Q112" i="2" a="1"/>
  <c r="P112" i="2" a="1"/>
  <c r="O112" i="2" a="1"/>
  <c r="H112" i="2" a="1"/>
  <c r="G112" i="2" a="1"/>
  <c r="F112" i="2" a="1"/>
  <c r="E112" i="2" a="1"/>
  <c r="D112" i="2" a="1"/>
  <c r="AA23" i="2"/>
  <c r="AB23" i="2" l="1"/>
  <c r="N173" i="3"/>
  <c r="O173" i="3"/>
  <c r="R173" i="3"/>
  <c r="Q173" i="3"/>
  <c r="P173" i="3"/>
  <c r="W111" i="2"/>
  <c r="X111" i="2"/>
  <c r="K111" i="2"/>
  <c r="D112" i="2"/>
  <c r="E112" i="2"/>
  <c r="F112" i="2"/>
  <c r="I112" i="2" s="1"/>
  <c r="G112" i="2"/>
  <c r="H112" i="2"/>
  <c r="O112" i="2"/>
  <c r="P112" i="2"/>
  <c r="Q112" i="2"/>
  <c r="T112" i="2" s="1"/>
  <c r="R112" i="2"/>
  <c r="S112" i="2"/>
  <c r="C54" i="3"/>
  <c r="D54" i="3"/>
  <c r="F54" i="3" s="1"/>
  <c r="E54" i="3"/>
  <c r="G54" i="3" s="1"/>
  <c r="B55" i="3"/>
  <c r="AD54" i="3"/>
  <c r="AE54" i="3"/>
  <c r="AG54" i="3" s="1"/>
  <c r="AF54" i="3"/>
  <c r="AH54" i="3" s="1"/>
  <c r="AC55" i="3"/>
  <c r="J111" i="3"/>
  <c r="L54" i="3"/>
  <c r="M54" i="3"/>
  <c r="O54" i="3" s="1"/>
  <c r="N54" i="3"/>
  <c r="P54" i="3" s="1"/>
  <c r="K55" i="3"/>
  <c r="U54" i="3"/>
  <c r="V54" i="3"/>
  <c r="X54" i="3" s="1"/>
  <c r="W54" i="3"/>
  <c r="Y54" i="3" s="1"/>
  <c r="C59" i="2"/>
  <c r="B60" i="2"/>
  <c r="E58" i="2"/>
  <c r="I58" i="2"/>
  <c r="M58" i="2"/>
  <c r="Q58" i="2"/>
  <c r="U58" i="2"/>
  <c r="J111" i="2"/>
  <c r="U111" i="2"/>
  <c r="M111" i="2"/>
  <c r="D59" i="2"/>
  <c r="V111" i="2"/>
  <c r="L111" i="2"/>
  <c r="R111" i="3" a="1"/>
  <c r="AC56" i="3" a="1"/>
  <c r="AF55" i="3" a="1"/>
  <c r="AE55" i="3" a="1"/>
  <c r="AD55" i="3" a="1"/>
  <c r="U59" i="2" a="1"/>
  <c r="Q59" i="2" a="1"/>
  <c r="M59" i="2" a="1"/>
  <c r="I59" i="2" a="1"/>
  <c r="E59" i="2" a="1"/>
  <c r="B61" i="2" a="1"/>
  <c r="C60" i="2" a="1"/>
  <c r="B56" i="3" a="1"/>
  <c r="E55" i="3" a="1"/>
  <c r="D55" i="3" a="1"/>
  <c r="C55" i="3" a="1"/>
  <c r="K56" i="3" a="1"/>
  <c r="N55" i="3" a="1"/>
  <c r="M55" i="3" a="1"/>
  <c r="L55" i="3" a="1"/>
  <c r="AA62" i="2"/>
  <c r="AB62" i="2" l="1"/>
  <c r="J112" i="2"/>
  <c r="K112" i="2"/>
  <c r="R111" i="3"/>
  <c r="L55" i="3"/>
  <c r="M55" i="3"/>
  <c r="O55" i="3" s="1"/>
  <c r="N55" i="3"/>
  <c r="P55" i="3" s="1"/>
  <c r="K56" i="3"/>
  <c r="C55" i="3"/>
  <c r="D55" i="3"/>
  <c r="F55" i="3" s="1"/>
  <c r="E55" i="3"/>
  <c r="G55" i="3" s="1"/>
  <c r="B56" i="3"/>
  <c r="C60" i="2"/>
  <c r="D60" i="2" s="1"/>
  <c r="B61" i="2"/>
  <c r="E59" i="2"/>
  <c r="I59" i="2"/>
  <c r="M59" i="2"/>
  <c r="Q59" i="2"/>
  <c r="U59" i="2"/>
  <c r="AD55" i="3"/>
  <c r="AE55" i="3"/>
  <c r="AG55" i="3" s="1"/>
  <c r="AF55" i="3"/>
  <c r="AH55" i="3" s="1"/>
  <c r="AC56" i="3"/>
  <c r="W112" i="2"/>
  <c r="X112" i="2"/>
  <c r="V112" i="2"/>
  <c r="L112" i="2"/>
  <c r="U112" i="2"/>
  <c r="M112" i="2"/>
  <c r="W67" i="2" a="1"/>
  <c r="B62" i="2" a="1"/>
  <c r="C61" i="2" a="1"/>
  <c r="K57" i="3" a="1"/>
  <c r="N56" i="3" a="1"/>
  <c r="M56" i="3" a="1"/>
  <c r="L56" i="3" a="1"/>
  <c r="U60" i="2" a="1"/>
  <c r="Q60" i="2" a="1"/>
  <c r="M60" i="2" a="1"/>
  <c r="I60" i="2" a="1"/>
  <c r="E60" i="2" a="1"/>
  <c r="AC57" i="3" a="1"/>
  <c r="AF56" i="3" a="1"/>
  <c r="AE56" i="3" a="1"/>
  <c r="AD56" i="3" a="1"/>
  <c r="B57" i="3" a="1"/>
  <c r="E56" i="3" a="1"/>
  <c r="D56" i="3" a="1"/>
  <c r="C56" i="3" a="1"/>
  <c r="L67" i="2" a="1"/>
  <c r="AA54" i="2"/>
  <c r="AB54" i="2" l="1"/>
  <c r="L67" i="2"/>
  <c r="C56" i="3"/>
  <c r="D56" i="3"/>
  <c r="F56" i="3" s="1"/>
  <c r="E56" i="3"/>
  <c r="G56" i="3" s="1"/>
  <c r="B57" i="3"/>
  <c r="AD56" i="3"/>
  <c r="AE56" i="3"/>
  <c r="AG56" i="3" s="1"/>
  <c r="AF56" i="3"/>
  <c r="AH56" i="3" s="1"/>
  <c r="AC57" i="3"/>
  <c r="E60" i="2"/>
  <c r="I60" i="2"/>
  <c r="M60" i="2"/>
  <c r="Q60" i="2"/>
  <c r="U60" i="2"/>
  <c r="L56" i="3"/>
  <c r="M56" i="3"/>
  <c r="O56" i="3" s="1"/>
  <c r="N56" i="3"/>
  <c r="P56" i="3" s="1"/>
  <c r="K57" i="3"/>
  <c r="C61" i="2"/>
  <c r="D61" i="2" s="1"/>
  <c r="B62" i="2"/>
  <c r="W67" i="2"/>
  <c r="B63" i="2" a="1"/>
  <c r="C62" i="2" a="1"/>
  <c r="AC58" i="3" a="1"/>
  <c r="AF57" i="3" a="1"/>
  <c r="AE57" i="3" a="1"/>
  <c r="AD57" i="3" a="1"/>
  <c r="K58" i="3" a="1"/>
  <c r="N57" i="3" a="1"/>
  <c r="M57" i="3" a="1"/>
  <c r="L57" i="3" a="1"/>
  <c r="B58" i="3" a="1"/>
  <c r="E57" i="3" a="1"/>
  <c r="D57" i="3" a="1"/>
  <c r="C57" i="3" a="1"/>
  <c r="U61" i="2" a="1"/>
  <c r="Q61" i="2" a="1"/>
  <c r="M61" i="2" a="1"/>
  <c r="I61" i="2" a="1"/>
  <c r="E61" i="2" a="1"/>
  <c r="AA46" i="2"/>
  <c r="AB46" i="2" l="1"/>
  <c r="E61" i="2"/>
  <c r="I61" i="2"/>
  <c r="M61" i="2"/>
  <c r="Q61" i="2"/>
  <c r="U61" i="2"/>
  <c r="C57" i="3"/>
  <c r="D57" i="3"/>
  <c r="F57" i="3" s="1"/>
  <c r="E57" i="3"/>
  <c r="G57" i="3" s="1"/>
  <c r="B58" i="3"/>
  <c r="L57" i="3"/>
  <c r="M57" i="3"/>
  <c r="O57" i="3" s="1"/>
  <c r="N57" i="3"/>
  <c r="P57" i="3" s="1"/>
  <c r="K58" i="3"/>
  <c r="AD57" i="3"/>
  <c r="AE57" i="3"/>
  <c r="AG57" i="3" s="1"/>
  <c r="AF57" i="3"/>
  <c r="AH57" i="3" s="1"/>
  <c r="AC58" i="3"/>
  <c r="C62" i="2"/>
  <c r="D62" i="2" s="1"/>
  <c r="B63" i="2"/>
  <c r="B59" i="3" a="1"/>
  <c r="E58" i="3" a="1"/>
  <c r="D58" i="3" a="1"/>
  <c r="C58" i="3" a="1"/>
  <c r="AC59" i="3" a="1"/>
  <c r="AF58" i="3" a="1"/>
  <c r="AE58" i="3" a="1"/>
  <c r="AD58" i="3" a="1"/>
  <c r="B64" i="2" a="1"/>
  <c r="C63" i="2" a="1"/>
  <c r="U62" i="2" a="1"/>
  <c r="Q62" i="2" a="1"/>
  <c r="M62" i="2" a="1"/>
  <c r="I62" i="2" a="1"/>
  <c r="E62" i="2" a="1"/>
  <c r="K59" i="3" a="1"/>
  <c r="N58" i="3" a="1"/>
  <c r="M58" i="3" a="1"/>
  <c r="L58" i="3" a="1"/>
  <c r="AA38" i="2"/>
  <c r="AB38" i="2" l="1"/>
  <c r="L58" i="3"/>
  <c r="M58" i="3"/>
  <c r="O58" i="3" s="1"/>
  <c r="N58" i="3"/>
  <c r="P58" i="3" s="1"/>
  <c r="K59" i="3"/>
  <c r="E62" i="2"/>
  <c r="I62" i="2"/>
  <c r="M62" i="2"/>
  <c r="Q62" i="2"/>
  <c r="U62" i="2"/>
  <c r="C63" i="2"/>
  <c r="D63" i="2" s="1"/>
  <c r="B64" i="2"/>
  <c r="AD58" i="3"/>
  <c r="AE58" i="3"/>
  <c r="AG58" i="3" s="1"/>
  <c r="AF58" i="3"/>
  <c r="AH58" i="3" s="1"/>
  <c r="AC59" i="3"/>
  <c r="C58" i="3"/>
  <c r="D58" i="3"/>
  <c r="F58" i="3" s="1"/>
  <c r="E58" i="3"/>
  <c r="G58" i="3" s="1"/>
  <c r="B59" i="3"/>
  <c r="K60" i="3" a="1"/>
  <c r="N59" i="3" a="1"/>
  <c r="M59" i="3" a="1"/>
  <c r="L59" i="3" a="1"/>
  <c r="AC60" i="3" a="1"/>
  <c r="AF59" i="3" a="1"/>
  <c r="AE59" i="3" a="1"/>
  <c r="AD59" i="3" a="1"/>
  <c r="C64" i="2" a="1"/>
  <c r="B60" i="3" a="1"/>
  <c r="E59" i="3" a="1"/>
  <c r="D59" i="3" a="1"/>
  <c r="C59" i="3" a="1"/>
  <c r="U63" i="2" a="1"/>
  <c r="Q63" i="2" a="1"/>
  <c r="M63" i="2" a="1"/>
  <c r="I63" i="2" a="1"/>
  <c r="E63" i="2" a="1"/>
  <c r="AA30" i="2"/>
  <c r="AB30" i="2" l="1"/>
  <c r="E63" i="2"/>
  <c r="I63" i="2"/>
  <c r="M63" i="2"/>
  <c r="Q63" i="2"/>
  <c r="U63" i="2"/>
  <c r="C59" i="3"/>
  <c r="D59" i="3"/>
  <c r="F59" i="3" s="1"/>
  <c r="E59" i="3"/>
  <c r="G59" i="3" s="1"/>
  <c r="B60" i="3"/>
  <c r="C64" i="2"/>
  <c r="D64" i="2" s="1"/>
  <c r="AD59" i="3"/>
  <c r="AE59" i="3"/>
  <c r="AG59" i="3" s="1"/>
  <c r="AF59" i="3"/>
  <c r="AH59" i="3" s="1"/>
  <c r="AC60" i="3"/>
  <c r="L59" i="3"/>
  <c r="M59" i="3"/>
  <c r="O59" i="3" s="1"/>
  <c r="N59" i="3"/>
  <c r="P59" i="3" s="1"/>
  <c r="K60" i="3"/>
  <c r="AC61" i="3" a="1"/>
  <c r="AF60" i="3" a="1"/>
  <c r="AE60" i="3" a="1"/>
  <c r="AD60" i="3" a="1"/>
  <c r="U64" i="2" a="1"/>
  <c r="Q64" i="2" a="1"/>
  <c r="M64" i="2" a="1"/>
  <c r="I64" i="2" a="1"/>
  <c r="E64" i="2" a="1"/>
  <c r="B61" i="3" a="1"/>
  <c r="E60" i="3" a="1"/>
  <c r="D60" i="3" a="1"/>
  <c r="C60" i="3" a="1"/>
  <c r="K61" i="3" a="1"/>
  <c r="N60" i="3" a="1"/>
  <c r="M60" i="3" a="1"/>
  <c r="L60" i="3" a="1"/>
  <c r="AA22" i="2"/>
  <c r="AB22" i="2" l="1"/>
  <c r="L60" i="3"/>
  <c r="M60" i="3"/>
  <c r="O60" i="3" s="1"/>
  <c r="N60" i="3"/>
  <c r="P60" i="3" s="1"/>
  <c r="K61" i="3"/>
  <c r="C60" i="3"/>
  <c r="D60" i="3"/>
  <c r="F60" i="3" s="1"/>
  <c r="E60" i="3"/>
  <c r="G60" i="3" s="1"/>
  <c r="B61" i="3"/>
  <c r="E64" i="2"/>
  <c r="I64" i="2"/>
  <c r="M64" i="2"/>
  <c r="Q64" i="2"/>
  <c r="U64" i="2"/>
  <c r="AD60" i="3"/>
  <c r="AE60" i="3"/>
  <c r="AG60" i="3" s="1"/>
  <c r="AF60" i="3"/>
  <c r="AH60" i="3" s="1"/>
  <c r="AC61" i="3"/>
  <c r="K62" i="3" a="1"/>
  <c r="N61" i="3" a="1"/>
  <c r="M61" i="3" a="1"/>
  <c r="L61" i="3" a="1"/>
  <c r="S16" i="2" a="1"/>
  <c r="W16" i="2" a="1"/>
  <c r="G16" i="2" a="1"/>
  <c r="AC62" i="3" a="1"/>
  <c r="AF61" i="3" a="1"/>
  <c r="AE61" i="3" a="1"/>
  <c r="AD61" i="3" a="1"/>
  <c r="K16" i="2" a="1"/>
  <c r="B62" i="3" a="1"/>
  <c r="E61" i="3" a="1"/>
  <c r="D61" i="3" a="1"/>
  <c r="C61" i="3" a="1"/>
  <c r="O16" i="2" a="1"/>
  <c r="AA61" i="2"/>
  <c r="AB61" i="2" l="1"/>
  <c r="C61" i="3"/>
  <c r="D61" i="3"/>
  <c r="F61" i="3" s="1"/>
  <c r="E61" i="3"/>
  <c r="G61" i="3" s="1"/>
  <c r="B62" i="3"/>
  <c r="AD61" i="3"/>
  <c r="AE61" i="3"/>
  <c r="AG61" i="3" s="1"/>
  <c r="AF61" i="3"/>
  <c r="AH61" i="3" s="1"/>
  <c r="AC62" i="3"/>
  <c r="L61" i="3"/>
  <c r="M61" i="3"/>
  <c r="O61" i="3" s="1"/>
  <c r="N61" i="3"/>
  <c r="P61" i="3" s="1"/>
  <c r="K62" i="3"/>
  <c r="B63" i="3" a="1"/>
  <c r="E62" i="3" a="1"/>
  <c r="D62" i="3" a="1"/>
  <c r="C62" i="3" a="1"/>
  <c r="K63" i="3" a="1"/>
  <c r="N62" i="3" a="1"/>
  <c r="M62" i="3" a="1"/>
  <c r="L62" i="3" a="1"/>
  <c r="AC63" i="3" a="1"/>
  <c r="AF62" i="3" a="1"/>
  <c r="AE62" i="3" a="1"/>
  <c r="AD62" i="3" a="1"/>
  <c r="AA53" i="2"/>
  <c r="AB53" i="2" l="1"/>
  <c r="AD62" i="3"/>
  <c r="AE62" i="3"/>
  <c r="AG62" i="3" s="1"/>
  <c r="AF62" i="3"/>
  <c r="AH62" i="3" s="1"/>
  <c r="AC63" i="3"/>
  <c r="L62" i="3"/>
  <c r="M62" i="3"/>
  <c r="O62" i="3" s="1"/>
  <c r="N62" i="3"/>
  <c r="P62" i="3" s="1"/>
  <c r="K63" i="3"/>
  <c r="C62" i="3"/>
  <c r="D62" i="3"/>
  <c r="F62" i="3" s="1"/>
  <c r="E62" i="3"/>
  <c r="G62" i="3" s="1"/>
  <c r="B63" i="3"/>
  <c r="AC64" i="3" a="1"/>
  <c r="AF63" i="3" a="1"/>
  <c r="AE63" i="3" a="1"/>
  <c r="AD63" i="3" a="1"/>
  <c r="B64" i="3" a="1"/>
  <c r="E63" i="3" a="1"/>
  <c r="D63" i="3" a="1"/>
  <c r="C63" i="3" a="1"/>
  <c r="K64" i="3" a="1"/>
  <c r="N63" i="3" a="1"/>
  <c r="M63" i="3" a="1"/>
  <c r="L63" i="3" a="1"/>
  <c r="AA45" i="2"/>
  <c r="AB45" i="2" l="1"/>
  <c r="L63" i="3"/>
  <c r="M63" i="3"/>
  <c r="O63" i="3" s="1"/>
  <c r="N63" i="3"/>
  <c r="P63" i="3" s="1"/>
  <c r="K64" i="3"/>
  <c r="C63" i="3"/>
  <c r="D63" i="3"/>
  <c r="F63" i="3" s="1"/>
  <c r="E63" i="3"/>
  <c r="G63" i="3" s="1"/>
  <c r="B64" i="3"/>
  <c r="AD63" i="3"/>
  <c r="AE63" i="3"/>
  <c r="AG63" i="3" s="1"/>
  <c r="AF63" i="3"/>
  <c r="AH63" i="3" s="1"/>
  <c r="AC64" i="3"/>
  <c r="K65" i="3" a="1"/>
  <c r="N64" i="3" a="1"/>
  <c r="M64" i="3" a="1"/>
  <c r="L64" i="3" a="1"/>
  <c r="AC65" i="3" a="1"/>
  <c r="AF64" i="3" a="1"/>
  <c r="AE64" i="3" a="1"/>
  <c r="AD64" i="3" a="1"/>
  <c r="B65" i="3" a="1"/>
  <c r="E64" i="3" a="1"/>
  <c r="D64" i="3" a="1"/>
  <c r="C64" i="3" a="1"/>
  <c r="AA37" i="2"/>
  <c r="AB37" i="2" l="1"/>
  <c r="C64" i="3"/>
  <c r="D64" i="3"/>
  <c r="F64" i="3" s="1"/>
  <c r="E64" i="3"/>
  <c r="G64" i="3" s="1"/>
  <c r="B65" i="3"/>
  <c r="AD64" i="3"/>
  <c r="AE64" i="3"/>
  <c r="AG64" i="3" s="1"/>
  <c r="AF64" i="3"/>
  <c r="AH64" i="3" s="1"/>
  <c r="AC65" i="3"/>
  <c r="L64" i="3"/>
  <c r="M64" i="3"/>
  <c r="O64" i="3" s="1"/>
  <c r="N64" i="3"/>
  <c r="P64" i="3" s="1"/>
  <c r="K65" i="3"/>
  <c r="B66" i="3" a="1"/>
  <c r="E65" i="3" a="1"/>
  <c r="D65" i="3" a="1"/>
  <c r="C65" i="3" a="1"/>
  <c r="K66" i="3" a="1"/>
  <c r="N65" i="3" a="1"/>
  <c r="M65" i="3" a="1"/>
  <c r="L65" i="3" a="1"/>
  <c r="AC66" i="3" a="1"/>
  <c r="AF65" i="3" a="1"/>
  <c r="AE65" i="3" a="1"/>
  <c r="AD65" i="3" a="1"/>
  <c r="AA29" i="2"/>
  <c r="AB29" i="2" l="1"/>
  <c r="AD65" i="3"/>
  <c r="AE65" i="3"/>
  <c r="AG65" i="3" s="1"/>
  <c r="AF65" i="3"/>
  <c r="AH65" i="3" s="1"/>
  <c r="AC66" i="3"/>
  <c r="L65" i="3"/>
  <c r="M65" i="3"/>
  <c r="O65" i="3" s="1"/>
  <c r="N65" i="3"/>
  <c r="P65" i="3" s="1"/>
  <c r="K66" i="3"/>
  <c r="C65" i="3"/>
  <c r="D65" i="3"/>
  <c r="F65" i="3" s="1"/>
  <c r="E65" i="3"/>
  <c r="G65" i="3" s="1"/>
  <c r="B66" i="3"/>
  <c r="AC67" i="3" a="1"/>
  <c r="AF66" i="3" a="1"/>
  <c r="AE66" i="3" a="1"/>
  <c r="AD66" i="3" a="1"/>
  <c r="B67" i="3" a="1"/>
  <c r="E66" i="3" a="1"/>
  <c r="D66" i="3" a="1"/>
  <c r="C66" i="3" a="1"/>
  <c r="K67" i="3" a="1"/>
  <c r="N66" i="3" a="1"/>
  <c r="M66" i="3" a="1"/>
  <c r="L66" i="3" a="1"/>
  <c r="AA21" i="2"/>
  <c r="AB21" i="2" l="1"/>
  <c r="L66" i="3"/>
  <c r="M66" i="3"/>
  <c r="O66" i="3" s="1"/>
  <c r="N66" i="3"/>
  <c r="P66" i="3" s="1"/>
  <c r="K67" i="3"/>
  <c r="C66" i="3"/>
  <c r="D66" i="3"/>
  <c r="F66" i="3" s="1"/>
  <c r="E66" i="3"/>
  <c r="G66" i="3" s="1"/>
  <c r="B67" i="3"/>
  <c r="AD66" i="3"/>
  <c r="AE66" i="3"/>
  <c r="AG66" i="3" s="1"/>
  <c r="AF66" i="3"/>
  <c r="AH66" i="3" s="1"/>
  <c r="AC67" i="3"/>
  <c r="E67" i="3" a="1"/>
  <c r="D67" i="3" a="1"/>
  <c r="C67" i="3" a="1"/>
  <c r="N67" i="3" a="1"/>
  <c r="M67" i="3" a="1"/>
  <c r="L67" i="3" a="1"/>
  <c r="AF67" i="3" a="1"/>
  <c r="AE67" i="3" a="1"/>
  <c r="AD67" i="3" a="1"/>
  <c r="AA60" i="2"/>
  <c r="AB60" i="2" l="1"/>
  <c r="AD67" i="3"/>
  <c r="AE67" i="3"/>
  <c r="AG67" i="3" s="1"/>
  <c r="AF67" i="3"/>
  <c r="AH67" i="3" s="1"/>
  <c r="L67" i="3"/>
  <c r="M67" i="3"/>
  <c r="O67" i="3" s="1"/>
  <c r="N67" i="3"/>
  <c r="P67" i="3" s="1"/>
  <c r="C67" i="3"/>
  <c r="D67" i="3"/>
  <c r="F67" i="3" s="1"/>
  <c r="E67" i="3"/>
  <c r="G67" i="3" s="1"/>
  <c r="AA52" i="2"/>
  <c r="AA44" i="2"/>
  <c r="AA36" i="2"/>
  <c r="AA28" i="2"/>
  <c r="AA20" i="2"/>
  <c r="AA59" i="2"/>
  <c r="AA51" i="2"/>
  <c r="AA43" i="2"/>
  <c r="AA35" i="2"/>
  <c r="AA27" i="2"/>
  <c r="AA19" i="2"/>
  <c r="AA58" i="2"/>
  <c r="AA50" i="2"/>
  <c r="AA42" i="2"/>
  <c r="AA34" i="2"/>
  <c r="AA26" i="2"/>
  <c r="AA18" i="2"/>
  <c r="W57" i="2"/>
  <c r="W49" i="2"/>
  <c r="W41" i="2"/>
  <c r="W33" i="2"/>
  <c r="W25" i="2"/>
  <c r="W17" i="2"/>
  <c r="W16" i="2"/>
  <c r="W64" i="2"/>
  <c r="W56" i="2"/>
  <c r="W48" i="2"/>
  <c r="W40" i="2"/>
  <c r="W32" i="2"/>
  <c r="W24" i="2"/>
  <c r="W63" i="2"/>
  <c r="W55" i="2"/>
  <c r="W47" i="2"/>
  <c r="W39" i="2"/>
  <c r="W31" i="2"/>
  <c r="W23" i="2"/>
  <c r="W62" i="2"/>
  <c r="W54" i="2"/>
  <c r="W46" i="2"/>
  <c r="W38" i="2"/>
  <c r="W30" i="2"/>
  <c r="W22" i="2"/>
  <c r="W61" i="2"/>
  <c r="W53" i="2"/>
  <c r="W45" i="2"/>
  <c r="W37" i="2"/>
  <c r="W29" i="2"/>
  <c r="W21" i="2"/>
  <c r="W20" i="2"/>
  <c r="W60" i="2"/>
  <c r="W52" i="2"/>
  <c r="W44" i="2"/>
  <c r="W36" i="2"/>
  <c r="W28" i="2"/>
  <c r="W19" i="2"/>
  <c r="W59" i="2"/>
  <c r="W51" i="2"/>
  <c r="W43" i="2"/>
  <c r="W35" i="2"/>
  <c r="W27" i="2"/>
  <c r="W18" i="2"/>
  <c r="W58" i="2"/>
  <c r="W50" i="2"/>
  <c r="W42" i="2"/>
  <c r="W34" i="2"/>
  <c r="W26" i="2"/>
  <c r="S57" i="2"/>
  <c r="S49" i="2"/>
  <c r="S41" i="2"/>
  <c r="S33" i="2"/>
  <c r="S25" i="2"/>
  <c r="S17" i="2"/>
  <c r="S19" i="2"/>
  <c r="S64" i="2"/>
  <c r="S56" i="2"/>
  <c r="S48" i="2"/>
  <c r="S40" i="2"/>
  <c r="S32" i="2"/>
  <c r="S24" i="2"/>
  <c r="S16" i="2"/>
  <c r="S63" i="2"/>
  <c r="S55" i="2"/>
  <c r="S47" i="2"/>
  <c r="S39" i="2"/>
  <c r="S31" i="2"/>
  <c r="S23" i="2"/>
  <c r="S62" i="2"/>
  <c r="S54" i="2"/>
  <c r="S46" i="2"/>
  <c r="S38" i="2"/>
  <c r="S30" i="2"/>
  <c r="S22" i="2"/>
  <c r="S61" i="2"/>
  <c r="S53" i="2"/>
  <c r="S45" i="2"/>
  <c r="S37" i="2"/>
  <c r="S29" i="2"/>
  <c r="S21" i="2"/>
  <c r="S35" i="2"/>
  <c r="S60" i="2"/>
  <c r="S52" i="2"/>
  <c r="S44" i="2"/>
  <c r="S36" i="2"/>
  <c r="S28" i="2"/>
  <c r="S20" i="2"/>
  <c r="S18" i="2"/>
  <c r="S59" i="2"/>
  <c r="S51" i="2"/>
  <c r="S43" i="2"/>
  <c r="S27" i="2"/>
  <c r="S58" i="2"/>
  <c r="S50" i="2"/>
  <c r="S42" i="2"/>
  <c r="S34" i="2"/>
  <c r="S26" i="2"/>
  <c r="O57" i="2"/>
  <c r="O49" i="2"/>
  <c r="O41" i="2"/>
  <c r="O33" i="2"/>
  <c r="O25" i="2"/>
  <c r="O17" i="2"/>
  <c r="O19" i="2"/>
  <c r="O64" i="2"/>
  <c r="O56" i="2"/>
  <c r="O48" i="2"/>
  <c r="O40" i="2"/>
  <c r="O32" i="2"/>
  <c r="O24" i="2"/>
  <c r="O16" i="2"/>
  <c r="O63" i="2"/>
  <c r="O55" i="2"/>
  <c r="O47" i="2"/>
  <c r="O39" i="2"/>
  <c r="O31" i="2"/>
  <c r="O23" i="2"/>
  <c r="O62" i="2"/>
  <c r="O54" i="2"/>
  <c r="O46" i="2"/>
  <c r="O38" i="2"/>
  <c r="O30" i="2"/>
  <c r="O22" i="2"/>
  <c r="O61" i="2"/>
  <c r="O53" i="2"/>
  <c r="O45" i="2"/>
  <c r="O37" i="2"/>
  <c r="O29" i="2"/>
  <c r="O21" i="2"/>
  <c r="O27" i="2"/>
  <c r="O60" i="2"/>
  <c r="O52" i="2"/>
  <c r="O44" i="2"/>
  <c r="O36" i="2"/>
  <c r="O28" i="2"/>
  <c r="O20" i="2"/>
  <c r="O18" i="2"/>
  <c r="O59" i="2"/>
  <c r="O51" i="2"/>
  <c r="O43" i="2"/>
  <c r="O35" i="2"/>
  <c r="O58" i="2"/>
  <c r="O50" i="2"/>
  <c r="O42" i="2"/>
  <c r="O34" i="2"/>
  <c r="O26" i="2"/>
  <c r="K57" i="2"/>
  <c r="K49" i="2"/>
  <c r="K41" i="2"/>
  <c r="K33" i="2"/>
  <c r="K25" i="2"/>
  <c r="K17" i="2"/>
  <c r="K16" i="2"/>
  <c r="K26" i="2"/>
  <c r="K64" i="2"/>
  <c r="K56" i="2"/>
  <c r="K48" i="2"/>
  <c r="K40" i="2"/>
  <c r="K32" i="2"/>
  <c r="K24" i="2"/>
  <c r="K22" i="2"/>
  <c r="K63" i="2"/>
  <c r="K55" i="2"/>
  <c r="K47" i="2"/>
  <c r="K39" i="2"/>
  <c r="K31" i="2"/>
  <c r="K23" i="2"/>
  <c r="K62" i="2"/>
  <c r="K54" i="2"/>
  <c r="K46" i="2"/>
  <c r="K38" i="2"/>
  <c r="K30" i="2"/>
  <c r="K61" i="2"/>
  <c r="K53" i="2"/>
  <c r="K45" i="2"/>
  <c r="K37" i="2"/>
  <c r="K29" i="2"/>
  <c r="K21" i="2"/>
  <c r="K20" i="2"/>
  <c r="K18" i="2"/>
  <c r="K60" i="2"/>
  <c r="K52" i="2"/>
  <c r="K44" i="2"/>
  <c r="K36" i="2"/>
  <c r="K28" i="2"/>
  <c r="K19" i="2"/>
  <c r="K59" i="2"/>
  <c r="K51" i="2"/>
  <c r="K43" i="2"/>
  <c r="K35" i="2"/>
  <c r="K27" i="2"/>
  <c r="K58" i="2"/>
  <c r="K50" i="2"/>
  <c r="K42" i="2"/>
  <c r="K34" i="2"/>
  <c r="G57" i="2"/>
  <c r="G49" i="2"/>
  <c r="G41" i="2"/>
  <c r="G33" i="2"/>
  <c r="G25" i="2"/>
  <c r="G17" i="2"/>
  <c r="G16" i="2"/>
  <c r="G26" i="2"/>
  <c r="G64" i="2"/>
  <c r="G56" i="2"/>
  <c r="G48" i="2"/>
  <c r="G40" i="2"/>
  <c r="G32" i="2"/>
  <c r="G24" i="2"/>
  <c r="G22" i="2"/>
  <c r="G63" i="2"/>
  <c r="G55" i="2"/>
  <c r="G47" i="2"/>
  <c r="G39" i="2"/>
  <c r="G31" i="2"/>
  <c r="G23" i="2"/>
  <c r="G34" i="2"/>
  <c r="G62" i="2"/>
  <c r="G54" i="2"/>
  <c r="G46" i="2"/>
  <c r="G38" i="2"/>
  <c r="G30" i="2"/>
  <c r="G61" i="2"/>
  <c r="G53" i="2"/>
  <c r="G45" i="2"/>
  <c r="G37" i="2"/>
  <c r="G29" i="2"/>
  <c r="G21" i="2"/>
  <c r="G19" i="2"/>
  <c r="G42" i="2"/>
  <c r="G60" i="2"/>
  <c r="G52" i="2"/>
  <c r="G44" i="2"/>
  <c r="G36" i="2"/>
  <c r="G28" i="2"/>
  <c r="G20" i="2"/>
  <c r="G50" i="2"/>
  <c r="G59" i="2"/>
  <c r="G51" i="2"/>
  <c r="G43" i="2"/>
  <c r="G35" i="2"/>
  <c r="G27" i="2"/>
  <c r="G58" i="2"/>
  <c r="G18" i="2"/>
  <c r="H18" i="2" l="1"/>
  <c r="H58" i="2"/>
  <c r="H27" i="2"/>
  <c r="H35" i="2"/>
  <c r="H43" i="2"/>
  <c r="H51" i="2"/>
  <c r="H59" i="2"/>
  <c r="H50" i="2"/>
  <c r="H20" i="2"/>
  <c r="H28" i="2"/>
  <c r="H36" i="2"/>
  <c r="H44" i="2"/>
  <c r="H52" i="2"/>
  <c r="H60" i="2"/>
  <c r="H42" i="2"/>
  <c r="H19" i="2"/>
  <c r="H21" i="2"/>
  <c r="H29" i="2"/>
  <c r="H37" i="2"/>
  <c r="H45" i="2"/>
  <c r="H53" i="2"/>
  <c r="H61" i="2"/>
  <c r="H30" i="2"/>
  <c r="H38" i="2"/>
  <c r="H46" i="2"/>
  <c r="H54" i="2"/>
  <c r="H62" i="2"/>
  <c r="H34" i="2"/>
  <c r="H23" i="2"/>
  <c r="H31" i="2"/>
  <c r="H39" i="2"/>
  <c r="H47" i="2"/>
  <c r="H55" i="2"/>
  <c r="H63" i="2"/>
  <c r="H22" i="2"/>
  <c r="H24" i="2"/>
  <c r="H32" i="2"/>
  <c r="H40" i="2"/>
  <c r="H48" i="2"/>
  <c r="H56" i="2"/>
  <c r="H64" i="2"/>
  <c r="H26" i="2"/>
  <c r="H16" i="2"/>
  <c r="H17" i="2"/>
  <c r="H25" i="2"/>
  <c r="H33" i="2"/>
  <c r="H41" i="2"/>
  <c r="H49" i="2"/>
  <c r="H57" i="2"/>
  <c r="L34" i="2"/>
  <c r="L42" i="2"/>
  <c r="L50" i="2"/>
  <c r="L58" i="2"/>
  <c r="L27" i="2"/>
  <c r="L35" i="2"/>
  <c r="L43" i="2"/>
  <c r="L51" i="2"/>
  <c r="L59" i="2"/>
  <c r="L19" i="2"/>
  <c r="L28" i="2"/>
  <c r="L36" i="2"/>
  <c r="L44" i="2"/>
  <c r="L52" i="2"/>
  <c r="L60" i="2"/>
  <c r="L18" i="2"/>
  <c r="L20" i="2"/>
  <c r="L21" i="2"/>
  <c r="L29" i="2"/>
  <c r="L37" i="2"/>
  <c r="L45" i="2"/>
  <c r="L53" i="2"/>
  <c r="L61" i="2"/>
  <c r="L30" i="2"/>
  <c r="L38" i="2"/>
  <c r="L46" i="2"/>
  <c r="L54" i="2"/>
  <c r="L62" i="2"/>
  <c r="L23" i="2"/>
  <c r="L31" i="2"/>
  <c r="L39" i="2"/>
  <c r="L47" i="2"/>
  <c r="L55" i="2"/>
  <c r="L63" i="2"/>
  <c r="L22" i="2"/>
  <c r="L24" i="2"/>
  <c r="L32" i="2"/>
  <c r="L40" i="2"/>
  <c r="L48" i="2"/>
  <c r="L56" i="2"/>
  <c r="L64" i="2"/>
  <c r="L26" i="2"/>
  <c r="L16" i="2"/>
  <c r="L17" i="2"/>
  <c r="L25" i="2"/>
  <c r="L33" i="2"/>
  <c r="L41" i="2"/>
  <c r="L49" i="2"/>
  <c r="L57" i="2"/>
  <c r="P26" i="2"/>
  <c r="P34" i="2"/>
  <c r="P42" i="2"/>
  <c r="P50" i="2"/>
  <c r="P58" i="2"/>
  <c r="P35" i="2"/>
  <c r="P43" i="2"/>
  <c r="P51" i="2"/>
  <c r="P59" i="2"/>
  <c r="P18" i="2"/>
  <c r="P20" i="2"/>
  <c r="P28" i="2"/>
  <c r="P36" i="2"/>
  <c r="P44" i="2"/>
  <c r="P52" i="2"/>
  <c r="P60" i="2"/>
  <c r="P27" i="2"/>
  <c r="P21" i="2"/>
  <c r="P29" i="2"/>
  <c r="P37" i="2"/>
  <c r="P45" i="2"/>
  <c r="P53" i="2"/>
  <c r="P61" i="2"/>
  <c r="P22" i="2"/>
  <c r="P30" i="2"/>
  <c r="P38" i="2"/>
  <c r="P46" i="2"/>
  <c r="P54" i="2"/>
  <c r="P62" i="2"/>
  <c r="P23" i="2"/>
  <c r="P31" i="2"/>
  <c r="P39" i="2"/>
  <c r="P47" i="2"/>
  <c r="P55" i="2"/>
  <c r="P63" i="2"/>
  <c r="P16" i="2"/>
  <c r="P24" i="2"/>
  <c r="P32" i="2"/>
  <c r="P40" i="2"/>
  <c r="P48" i="2"/>
  <c r="P56" i="2"/>
  <c r="P64" i="2"/>
  <c r="P19" i="2"/>
  <c r="P17" i="2"/>
  <c r="P25" i="2"/>
  <c r="P33" i="2"/>
  <c r="P41" i="2"/>
  <c r="P49" i="2"/>
  <c r="P57" i="2"/>
  <c r="T26" i="2"/>
  <c r="T34" i="2"/>
  <c r="T42" i="2"/>
  <c r="T50" i="2"/>
  <c r="T58" i="2"/>
  <c r="T27" i="2"/>
  <c r="T43" i="2"/>
  <c r="T51" i="2"/>
  <c r="T59" i="2"/>
  <c r="T18" i="2"/>
  <c r="T20" i="2"/>
  <c r="T28" i="2"/>
  <c r="T36" i="2"/>
  <c r="T44" i="2"/>
  <c r="T52" i="2"/>
  <c r="T60" i="2"/>
  <c r="T35" i="2"/>
  <c r="T21" i="2"/>
  <c r="T29" i="2"/>
  <c r="T37" i="2"/>
  <c r="T45" i="2"/>
  <c r="T53" i="2"/>
  <c r="T61" i="2"/>
  <c r="T22" i="2"/>
  <c r="T30" i="2"/>
  <c r="T38" i="2"/>
  <c r="T46" i="2"/>
  <c r="T54" i="2"/>
  <c r="T62" i="2"/>
  <c r="T23" i="2"/>
  <c r="T31" i="2"/>
  <c r="T39" i="2"/>
  <c r="T47" i="2"/>
  <c r="T55" i="2"/>
  <c r="T63" i="2"/>
  <c r="T16" i="2"/>
  <c r="T24" i="2"/>
  <c r="T32" i="2"/>
  <c r="T40" i="2"/>
  <c r="T48" i="2"/>
  <c r="T56" i="2"/>
  <c r="T64" i="2"/>
  <c r="T19" i="2"/>
  <c r="T17" i="2"/>
  <c r="T25" i="2"/>
  <c r="T33" i="2"/>
  <c r="T41" i="2"/>
  <c r="T49" i="2"/>
  <c r="T57" i="2"/>
  <c r="X26" i="2"/>
  <c r="X34" i="2"/>
  <c r="X42" i="2"/>
  <c r="X50" i="2"/>
  <c r="X58" i="2"/>
  <c r="X18" i="2"/>
  <c r="X27" i="2"/>
  <c r="X35" i="2"/>
  <c r="X43" i="2"/>
  <c r="X51" i="2"/>
  <c r="X59" i="2"/>
  <c r="X19" i="2"/>
  <c r="X28" i="2"/>
  <c r="X36" i="2"/>
  <c r="X44" i="2"/>
  <c r="X52" i="2"/>
  <c r="X60" i="2"/>
  <c r="X20" i="2"/>
  <c r="X21" i="2"/>
  <c r="X29" i="2"/>
  <c r="X37" i="2"/>
  <c r="X45" i="2"/>
  <c r="X53" i="2"/>
  <c r="X61" i="2"/>
  <c r="X22" i="2"/>
  <c r="X30" i="2"/>
  <c r="X38" i="2"/>
  <c r="X46" i="2"/>
  <c r="X54" i="2"/>
  <c r="X62" i="2"/>
  <c r="X23" i="2"/>
  <c r="X31" i="2"/>
  <c r="X39" i="2"/>
  <c r="X47" i="2"/>
  <c r="X55" i="2"/>
  <c r="X63" i="2"/>
  <c r="X24" i="2"/>
  <c r="X32" i="2"/>
  <c r="X40" i="2"/>
  <c r="X48" i="2"/>
  <c r="X56" i="2"/>
  <c r="X64" i="2"/>
  <c r="X16" i="2"/>
  <c r="X17" i="2"/>
  <c r="X25" i="2"/>
  <c r="X33" i="2"/>
  <c r="X41" i="2"/>
  <c r="X49" i="2"/>
  <c r="X57" i="2"/>
  <c r="AB18" i="2"/>
  <c r="AB26" i="2"/>
  <c r="AB34" i="2"/>
  <c r="AB42" i="2"/>
  <c r="AB50" i="2"/>
  <c r="AB58" i="2"/>
  <c r="AB19" i="2"/>
  <c r="AB27" i="2"/>
  <c r="AB35" i="2"/>
  <c r="AB43" i="2"/>
  <c r="AB51" i="2"/>
  <c r="AB59" i="2"/>
  <c r="AB20" i="2"/>
  <c r="AB28" i="2"/>
  <c r="AB36" i="2"/>
  <c r="AB44" i="2"/>
  <c r="AB52" i="2"/>
  <c r="H14" i="2" a="1"/>
  <c r="L14" i="2" a="1"/>
  <c r="H14" i="2" l="1"/>
  <c r="L14" i="2"/>
  <c r="P14" i="2" a="1"/>
  <c r="P14" i="2"/>
  <c r="T14" i="2" a="1"/>
  <c r="T14" i="2"/>
  <c r="X14" i="2" a="1"/>
  <c r="X14" i="2"/>
  <c r="AB14" i="2" a="1"/>
  <c r="AB14" i="2"/>
  <c r="AI11" i="3" a="1"/>
  <c r="AI11" i="3"/>
  <c r="AJ11" i="3" a="1"/>
  <c r="AJ11" i="3"/>
  <c r="AI12" i="3"/>
  <c r="AJ12" i="3" a="1"/>
  <c r="AJ12" i="3"/>
  <c r="AI13" i="3"/>
  <c r="AJ13" i="3" a="1"/>
  <c r="AJ13" i="3"/>
  <c r="AI14" i="3"/>
  <c r="AJ14" i="3" a="1"/>
  <c r="AJ14" i="3"/>
  <c r="AI15" i="3"/>
  <c r="AJ15" i="3" a="1"/>
  <c r="AJ15" i="3"/>
  <c r="AI16" i="3"/>
  <c r="AJ16" i="3" a="1"/>
  <c r="AJ16" i="3"/>
  <c r="AI17" i="3"/>
  <c r="AJ17" i="3" a="1"/>
  <c r="AJ17" i="3"/>
  <c r="AI18" i="3"/>
  <c r="AJ18" i="3" a="1"/>
  <c r="AJ18" i="3"/>
  <c r="AI19" i="3"/>
  <c r="AJ19" i="3" a="1"/>
  <c r="AJ19" i="3"/>
  <c r="AI20" i="3"/>
  <c r="AJ20" i="3" a="1"/>
  <c r="AJ20" i="3"/>
  <c r="AI21" i="3"/>
  <c r="AJ21" i="3" a="1"/>
  <c r="AJ21" i="3"/>
  <c r="AI22" i="3"/>
  <c r="AJ22" i="3" a="1"/>
  <c r="AJ22" i="3"/>
  <c r="AI23" i="3"/>
  <c r="AJ23" i="3" a="1"/>
  <c r="AJ23" i="3"/>
  <c r="AI24" i="3"/>
  <c r="AJ24" i="3" a="1"/>
  <c r="AJ24" i="3"/>
  <c r="AI25" i="3"/>
  <c r="AJ25" i="3" a="1"/>
  <c r="AJ25" i="3"/>
  <c r="AI26" i="3"/>
  <c r="AJ26" i="3" a="1"/>
  <c r="AJ26" i="3"/>
  <c r="AI27" i="3"/>
  <c r="AJ27" i="3" a="1"/>
  <c r="AJ27" i="3"/>
  <c r="AI28" i="3"/>
  <c r="AJ28" i="3" a="1"/>
  <c r="AJ28" i="3"/>
  <c r="AI29" i="3"/>
  <c r="AJ29" i="3" a="1"/>
  <c r="AJ29" i="3"/>
  <c r="AI30" i="3"/>
  <c r="AJ30" i="3" a="1"/>
  <c r="AJ30" i="3"/>
  <c r="AI31" i="3"/>
  <c r="AJ31" i="3" a="1"/>
  <c r="AJ31" i="3"/>
  <c r="AI32" i="3"/>
  <c r="AJ32" i="3" a="1"/>
  <c r="AJ32" i="3"/>
  <c r="AI33" i="3"/>
  <c r="AJ33" i="3" a="1"/>
  <c r="AJ33" i="3"/>
  <c r="AI34" i="3"/>
  <c r="AJ34" i="3" a="1"/>
  <c r="AJ34" i="3"/>
  <c r="AI35" i="3"/>
  <c r="AJ35" i="3" a="1"/>
  <c r="AJ35" i="3"/>
  <c r="AI36" i="3"/>
  <c r="AJ36" i="3" a="1"/>
  <c r="AJ36" i="3"/>
  <c r="AI37" i="3"/>
  <c r="AJ37" i="3" a="1"/>
  <c r="AJ37" i="3"/>
  <c r="AI38" i="3"/>
  <c r="AJ38" i="3" a="1"/>
  <c r="AJ38" i="3"/>
  <c r="AI39" i="3"/>
  <c r="AJ39" i="3" a="1"/>
  <c r="AJ39" i="3"/>
  <c r="AI40" i="3"/>
  <c r="AJ40" i="3" a="1"/>
  <c r="AJ40" i="3"/>
  <c r="AI41" i="3"/>
  <c r="AJ41" i="3" a="1"/>
  <c r="AJ41" i="3"/>
  <c r="AI42" i="3"/>
  <c r="AJ42" i="3" a="1"/>
  <c r="AJ42" i="3"/>
  <c r="AI43" i="3"/>
  <c r="AJ43" i="3" a="1"/>
  <c r="AJ43" i="3"/>
  <c r="AI44" i="3"/>
  <c r="AJ44" i="3" a="1"/>
  <c r="AJ44" i="3"/>
  <c r="AI45" i="3"/>
  <c r="AJ45" i="3" a="1"/>
  <c r="AJ45" i="3"/>
  <c r="AI46" i="3"/>
  <c r="AJ46" i="3" a="1"/>
  <c r="AJ46" i="3"/>
  <c r="AI47" i="3"/>
  <c r="AJ47" i="3" a="1"/>
  <c r="AJ47" i="3"/>
  <c r="AI48" i="3"/>
  <c r="AJ48" i="3" a="1"/>
  <c r="AJ48" i="3"/>
  <c r="AI49" i="3"/>
  <c r="AJ49" i="3" a="1"/>
  <c r="AJ49" i="3"/>
  <c r="AI50" i="3"/>
  <c r="AJ50" i="3" a="1"/>
  <c r="AJ50" i="3"/>
  <c r="AI51" i="3"/>
  <c r="AJ51" i="3" a="1"/>
  <c r="AJ51" i="3"/>
  <c r="AI52" i="3"/>
  <c r="AJ52" i="3" a="1"/>
  <c r="AJ52" i="3"/>
  <c r="AI53" i="3"/>
  <c r="AJ53" i="3" a="1"/>
  <c r="AJ53" i="3"/>
  <c r="AI54" i="3"/>
  <c r="AJ54" i="3" a="1"/>
  <c r="AJ54" i="3"/>
  <c r="AI55" i="3"/>
  <c r="AJ55" i="3" a="1"/>
  <c r="AJ55" i="3"/>
  <c r="AI56" i="3"/>
  <c r="AJ56" i="3" a="1"/>
  <c r="AJ56" i="3"/>
  <c r="AI57" i="3"/>
  <c r="AJ57" i="3" a="1"/>
  <c r="AJ57" i="3"/>
  <c r="AI58" i="3"/>
  <c r="AJ58" i="3" a="1"/>
  <c r="AJ58" i="3"/>
  <c r="AI59" i="3"/>
  <c r="AJ59" i="3" a="1"/>
  <c r="AJ59" i="3"/>
  <c r="AI60" i="3"/>
  <c r="AJ60" i="3" a="1"/>
  <c r="AJ60" i="3"/>
  <c r="AI61" i="3"/>
  <c r="AJ61" i="3" a="1"/>
  <c r="AJ61" i="3"/>
  <c r="AI62" i="3"/>
  <c r="AJ62" i="3" a="1"/>
  <c r="AJ62" i="3"/>
  <c r="AI63" i="3"/>
  <c r="AJ63" i="3" a="1"/>
  <c r="AJ63" i="3"/>
  <c r="AI64" i="3"/>
  <c r="AJ64" i="3" a="1"/>
  <c r="AJ64" i="3"/>
  <c r="AI65" i="3"/>
  <c r="AJ65" i="3" a="1"/>
  <c r="AJ65" i="3"/>
  <c r="AI66" i="3"/>
  <c r="AJ66" i="3" a="1"/>
  <c r="AJ66" i="3"/>
  <c r="AI67" i="3"/>
  <c r="AJ67" i="3" a="1"/>
  <c r="AJ67" i="3"/>
  <c r="Z11" i="3" a="1"/>
  <c r="Z11" i="3"/>
  <c r="AA11" i="3" a="1"/>
  <c r="AA11" i="3"/>
  <c r="Z12" i="3"/>
  <c r="AA12" i="3" a="1"/>
  <c r="AA12" i="3"/>
  <c r="Z13" i="3"/>
  <c r="AA13" i="3" a="1"/>
  <c r="AA13" i="3"/>
  <c r="Z14" i="3"/>
  <c r="AA14" i="3" a="1"/>
  <c r="AA14" i="3"/>
  <c r="Z15" i="3"/>
  <c r="AA15" i="3" a="1"/>
  <c r="AA15" i="3"/>
  <c r="Z16" i="3"/>
  <c r="AA16" i="3" a="1"/>
  <c r="AA16" i="3"/>
  <c r="Z17" i="3"/>
  <c r="AA17" i="3" a="1"/>
  <c r="AA17" i="3"/>
  <c r="Z18" i="3"/>
  <c r="AA18" i="3" a="1"/>
  <c r="AA18" i="3"/>
  <c r="Z19" i="3"/>
  <c r="AA19" i="3" a="1"/>
  <c r="AA19" i="3"/>
  <c r="Z20" i="3"/>
  <c r="AA20" i="3" a="1"/>
  <c r="AA20" i="3"/>
  <c r="Z21" i="3"/>
  <c r="AA21" i="3" a="1"/>
  <c r="AA21" i="3"/>
  <c r="Z22" i="3"/>
  <c r="AA22" i="3" a="1"/>
  <c r="AA22" i="3"/>
  <c r="Z23" i="3"/>
  <c r="AA23" i="3" a="1"/>
  <c r="AA23" i="3"/>
  <c r="Z24" i="3"/>
  <c r="AA24" i="3" a="1"/>
  <c r="AA24" i="3"/>
  <c r="Z25" i="3"/>
  <c r="AA25" i="3" a="1"/>
  <c r="AA25" i="3"/>
  <c r="Z26" i="3"/>
  <c r="AA26" i="3" a="1"/>
  <c r="AA26" i="3"/>
  <c r="Z27" i="3"/>
  <c r="AA27" i="3" a="1"/>
  <c r="AA27" i="3"/>
  <c r="Z28" i="3"/>
  <c r="AA28" i="3" a="1"/>
  <c r="AA28" i="3"/>
  <c r="Z29" i="3"/>
  <c r="AA29" i="3" a="1"/>
  <c r="AA29" i="3"/>
  <c r="Z30" i="3"/>
  <c r="AA30" i="3" a="1"/>
  <c r="AA30" i="3"/>
  <c r="Z31" i="3"/>
  <c r="AA31" i="3" a="1"/>
  <c r="AA31" i="3"/>
  <c r="Z32" i="3"/>
  <c r="AA32" i="3" a="1"/>
  <c r="AA32" i="3"/>
  <c r="Z33" i="3"/>
  <c r="AA33" i="3" a="1"/>
  <c r="AA33" i="3"/>
  <c r="Z34" i="3"/>
  <c r="AA34" i="3" a="1"/>
  <c r="AA34" i="3"/>
  <c r="Z35" i="3"/>
  <c r="AA35" i="3" a="1"/>
  <c r="AA35" i="3"/>
  <c r="Z36" i="3"/>
  <c r="AA36" i="3" a="1"/>
  <c r="AA36" i="3"/>
  <c r="Z37" i="3"/>
  <c r="AA37" i="3" a="1"/>
  <c r="AA37" i="3"/>
  <c r="Z38" i="3"/>
  <c r="AA38" i="3" a="1"/>
  <c r="AA38" i="3"/>
  <c r="Z39" i="3"/>
  <c r="AA39" i="3" a="1"/>
  <c r="AA39" i="3"/>
  <c r="Z40" i="3"/>
  <c r="AA40" i="3" a="1"/>
  <c r="AA40" i="3"/>
  <c r="Z41" i="3"/>
  <c r="AA41" i="3" a="1"/>
  <c r="AA41" i="3"/>
  <c r="Z42" i="3"/>
  <c r="AA42" i="3" a="1"/>
  <c r="AA42" i="3"/>
  <c r="Z43" i="3"/>
  <c r="AA43" i="3" a="1"/>
  <c r="AA43" i="3"/>
  <c r="Z44" i="3"/>
  <c r="AA44" i="3" a="1"/>
  <c r="AA44" i="3"/>
  <c r="Z45" i="3"/>
  <c r="AA45" i="3" a="1"/>
  <c r="AA45" i="3"/>
  <c r="Z46" i="3"/>
  <c r="AA46" i="3" a="1"/>
  <c r="AA46" i="3"/>
  <c r="Z47" i="3"/>
  <c r="AA47" i="3" a="1"/>
  <c r="AA47" i="3"/>
  <c r="Z48" i="3"/>
  <c r="AA48" i="3" a="1"/>
  <c r="AA48" i="3"/>
  <c r="Z49" i="3"/>
  <c r="AA49" i="3" a="1"/>
  <c r="AA49" i="3"/>
  <c r="Z50" i="3"/>
  <c r="AA50" i="3" a="1"/>
  <c r="AA50" i="3"/>
  <c r="Z51" i="3"/>
  <c r="AA51" i="3" a="1"/>
  <c r="AA51" i="3"/>
  <c r="Z52" i="3"/>
  <c r="AA52" i="3" a="1"/>
  <c r="AA52" i="3"/>
  <c r="Z53" i="3"/>
  <c r="AA53" i="3" a="1"/>
  <c r="AA53" i="3"/>
  <c r="Z54" i="3"/>
  <c r="AA54" i="3" a="1"/>
  <c r="AA54" i="3"/>
  <c r="Q11" i="3" a="1"/>
  <c r="Q11" i="3"/>
  <c r="R11" i="3" a="1"/>
  <c r="R11" i="3"/>
  <c r="Q12" i="3"/>
  <c r="R12" i="3" a="1"/>
  <c r="R12" i="3"/>
  <c r="Q13" i="3"/>
  <c r="R13" i="3" a="1"/>
  <c r="R13" i="3"/>
  <c r="Q14" i="3"/>
  <c r="R14" i="3" a="1"/>
  <c r="R14" i="3"/>
  <c r="Q15" i="3"/>
  <c r="R15" i="3" a="1"/>
  <c r="R15" i="3"/>
  <c r="Q16" i="3"/>
  <c r="R16" i="3" a="1"/>
  <c r="R16" i="3"/>
  <c r="Q17" i="3"/>
  <c r="R17" i="3" a="1"/>
  <c r="R17" i="3"/>
  <c r="Q18" i="3"/>
  <c r="R18" i="3" a="1"/>
  <c r="R18" i="3"/>
  <c r="Q19" i="3"/>
  <c r="R19" i="3" a="1"/>
  <c r="R19" i="3"/>
  <c r="Q20" i="3"/>
  <c r="R20" i="3" a="1"/>
  <c r="R20" i="3"/>
  <c r="Q21" i="3"/>
  <c r="R21" i="3" a="1"/>
  <c r="R21" i="3"/>
  <c r="Q22" i="3"/>
  <c r="R22" i="3" a="1"/>
  <c r="R22" i="3"/>
  <c r="Q23" i="3"/>
  <c r="R23" i="3" a="1"/>
  <c r="R23" i="3"/>
  <c r="Q24" i="3"/>
  <c r="R24" i="3" a="1"/>
  <c r="R24" i="3"/>
  <c r="Q25" i="3"/>
  <c r="R25" i="3" a="1"/>
  <c r="R25" i="3"/>
  <c r="Q26" i="3"/>
  <c r="R26" i="3" a="1"/>
  <c r="R26" i="3"/>
  <c r="Q27" i="3"/>
  <c r="R27" i="3" a="1"/>
  <c r="R27" i="3"/>
  <c r="Q28" i="3"/>
  <c r="R28" i="3" a="1"/>
  <c r="R28" i="3"/>
  <c r="Q29" i="3"/>
  <c r="R29" i="3" a="1"/>
  <c r="R29" i="3"/>
  <c r="Q30" i="3"/>
  <c r="R30" i="3" a="1"/>
  <c r="R30" i="3"/>
  <c r="Q31" i="3"/>
  <c r="R31" i="3" a="1"/>
  <c r="R31" i="3"/>
  <c r="Q32" i="3"/>
  <c r="R32" i="3" a="1"/>
  <c r="R32" i="3"/>
  <c r="Q33" i="3"/>
  <c r="R33" i="3" a="1"/>
  <c r="R33" i="3"/>
  <c r="Q34" i="3"/>
  <c r="R34" i="3" a="1"/>
  <c r="R34" i="3"/>
  <c r="Q35" i="3"/>
  <c r="R35" i="3" a="1"/>
  <c r="R35" i="3"/>
  <c r="Q36" i="3"/>
  <c r="R36" i="3" a="1"/>
  <c r="R36" i="3"/>
  <c r="Q37" i="3"/>
  <c r="R37" i="3" a="1"/>
  <c r="R37" i="3"/>
  <c r="Q38" i="3"/>
  <c r="R38" i="3" a="1"/>
  <c r="R38" i="3"/>
  <c r="Q39" i="3"/>
  <c r="R39" i="3" a="1"/>
  <c r="R39" i="3"/>
  <c r="Q40" i="3"/>
  <c r="R40" i="3" a="1"/>
  <c r="R40" i="3"/>
  <c r="Q41" i="3"/>
  <c r="R41" i="3" a="1"/>
  <c r="R41" i="3"/>
  <c r="Q42" i="3"/>
  <c r="R42" i="3" a="1"/>
  <c r="R42" i="3"/>
  <c r="Q43" i="3"/>
  <c r="R43" i="3" a="1"/>
  <c r="R43" i="3"/>
  <c r="Q44" i="3"/>
  <c r="R44" i="3" a="1"/>
  <c r="R44" i="3"/>
  <c r="Q45" i="3"/>
  <c r="R45" i="3" a="1"/>
  <c r="R45" i="3"/>
  <c r="Q46" i="3"/>
  <c r="R46" i="3" a="1"/>
  <c r="R46" i="3"/>
  <c r="Q47" i="3"/>
  <c r="R47" i="3" a="1"/>
  <c r="R47" i="3"/>
  <c r="Q48" i="3"/>
  <c r="R48" i="3" a="1"/>
  <c r="R48" i="3"/>
  <c r="Q49" i="3"/>
  <c r="R49" i="3" a="1"/>
  <c r="R49" i="3"/>
  <c r="Q50" i="3"/>
  <c r="R50" i="3" a="1"/>
  <c r="R50" i="3"/>
  <c r="Q51" i="3"/>
  <c r="R51" i="3" a="1"/>
  <c r="R51" i="3"/>
  <c r="Q52" i="3"/>
  <c r="R52" i="3" a="1"/>
  <c r="R52" i="3"/>
  <c r="Q53" i="3"/>
  <c r="R53" i="3" a="1"/>
  <c r="R53" i="3"/>
  <c r="Q54" i="3"/>
  <c r="R54" i="3" a="1"/>
  <c r="R54" i="3"/>
  <c r="Q55" i="3"/>
  <c r="R55" i="3" a="1"/>
  <c r="R55" i="3"/>
  <c r="Q56" i="3"/>
  <c r="R56" i="3" a="1"/>
  <c r="R56" i="3"/>
  <c r="Q57" i="3"/>
  <c r="R57" i="3" a="1"/>
  <c r="R57" i="3"/>
  <c r="Q58" i="3"/>
  <c r="R58" i="3" a="1"/>
  <c r="R58" i="3"/>
  <c r="Q59" i="3"/>
  <c r="R59" i="3" a="1"/>
  <c r="R59" i="3"/>
  <c r="Q60" i="3"/>
  <c r="R60" i="3" a="1"/>
  <c r="R60" i="3"/>
  <c r="Q61" i="3"/>
  <c r="R61" i="3" a="1"/>
  <c r="R61" i="3"/>
  <c r="Q62" i="3"/>
  <c r="R62" i="3" a="1"/>
  <c r="R62" i="3"/>
  <c r="Q63" i="3"/>
  <c r="R63" i="3" a="1"/>
  <c r="R63" i="3"/>
  <c r="Q64" i="3"/>
  <c r="R64" i="3" a="1"/>
  <c r="R64" i="3"/>
  <c r="Q65" i="3"/>
  <c r="R65" i="3" a="1"/>
  <c r="R65" i="3"/>
  <c r="Q66" i="3"/>
  <c r="R66" i="3" a="1"/>
  <c r="R66" i="3"/>
  <c r="Q67" i="3"/>
  <c r="R67" i="3" a="1"/>
  <c r="R67" i="3"/>
  <c r="R10" i="3" a="1"/>
  <c r="H11" i="3" a="1"/>
  <c r="H11" i="3"/>
  <c r="I11" i="3" a="1"/>
  <c r="R10" i="3" l="1"/>
  <c r="I11" i="3"/>
  <c r="H12" i="3"/>
  <c r="I12" i="3" a="1"/>
  <c r="I12" i="3"/>
  <c r="H13" i="3"/>
  <c r="I13" i="3" a="1"/>
  <c r="I13" i="3"/>
  <c r="H14" i="3"/>
  <c r="I14" i="3" a="1"/>
  <c r="I14" i="3"/>
  <c r="H15" i="3"/>
  <c r="I15" i="3" a="1"/>
  <c r="I15" i="3"/>
  <c r="H16" i="3"/>
  <c r="I16" i="3" a="1"/>
  <c r="I16" i="3"/>
  <c r="H17" i="3"/>
  <c r="I17" i="3" a="1"/>
  <c r="I17" i="3"/>
  <c r="H18" i="3"/>
  <c r="I18" i="3" a="1"/>
  <c r="I18" i="3"/>
  <c r="H19" i="3"/>
  <c r="I19" i="3" a="1"/>
  <c r="I19" i="3"/>
  <c r="H20" i="3"/>
  <c r="I20" i="3" a="1"/>
  <c r="I20" i="3"/>
  <c r="H21" i="3"/>
  <c r="I21" i="3" a="1"/>
  <c r="I21" i="3"/>
  <c r="H22" i="3"/>
  <c r="I22" i="3" a="1"/>
  <c r="I22" i="3"/>
  <c r="H23" i="3"/>
  <c r="I23" i="3" a="1"/>
  <c r="I23" i="3"/>
  <c r="H24" i="3"/>
  <c r="I24" i="3" a="1"/>
  <c r="I24" i="3"/>
  <c r="H25" i="3"/>
  <c r="I25" i="3" a="1"/>
  <c r="I25" i="3"/>
  <c r="H26" i="3"/>
  <c r="I26" i="3" a="1"/>
  <c r="I26" i="3"/>
  <c r="H27" i="3"/>
  <c r="I27" i="3" a="1"/>
  <c r="I27" i="3"/>
  <c r="H28" i="3"/>
  <c r="I28" i="3" a="1"/>
  <c r="I28" i="3"/>
  <c r="H29" i="3"/>
  <c r="I29" i="3" a="1"/>
  <c r="I29" i="3"/>
  <c r="H30" i="3"/>
  <c r="I30" i="3" a="1"/>
  <c r="I30" i="3"/>
  <c r="H31" i="3"/>
  <c r="I31" i="3" a="1"/>
  <c r="I31" i="3"/>
  <c r="H32" i="3"/>
  <c r="I32" i="3" a="1"/>
  <c r="I32" i="3"/>
  <c r="H33" i="3"/>
  <c r="I33" i="3" a="1"/>
  <c r="I33" i="3"/>
  <c r="H34" i="3"/>
  <c r="I34" i="3" a="1"/>
  <c r="I34" i="3"/>
  <c r="H35" i="3"/>
  <c r="I35" i="3" a="1"/>
  <c r="I35" i="3"/>
  <c r="H36" i="3"/>
  <c r="I36" i="3" a="1"/>
  <c r="I36" i="3"/>
  <c r="H37" i="3"/>
  <c r="I37" i="3" a="1"/>
  <c r="I37" i="3"/>
  <c r="H38" i="3"/>
  <c r="I38" i="3" a="1"/>
  <c r="I38" i="3"/>
  <c r="H39" i="3"/>
  <c r="I39" i="3" a="1"/>
  <c r="I39" i="3"/>
  <c r="H40" i="3"/>
  <c r="I40" i="3" a="1"/>
  <c r="I40" i="3"/>
  <c r="H41" i="3"/>
  <c r="I41" i="3" a="1"/>
  <c r="I41" i="3"/>
  <c r="H42" i="3"/>
  <c r="I42" i="3" a="1"/>
  <c r="I42" i="3"/>
  <c r="H43" i="3"/>
  <c r="I43" i="3" a="1"/>
  <c r="I43" i="3"/>
  <c r="H44" i="3"/>
  <c r="I44" i="3" a="1"/>
  <c r="I44" i="3"/>
  <c r="H45" i="3"/>
  <c r="I45" i="3" a="1"/>
  <c r="I45" i="3"/>
  <c r="H46" i="3"/>
  <c r="I46" i="3" a="1"/>
  <c r="I46" i="3"/>
  <c r="H47" i="3"/>
  <c r="I47" i="3" a="1"/>
  <c r="I47" i="3"/>
  <c r="H48" i="3"/>
  <c r="I48" i="3" a="1"/>
  <c r="I48" i="3"/>
  <c r="H49" i="3"/>
  <c r="I49" i="3" a="1"/>
  <c r="I49" i="3"/>
  <c r="H50" i="3"/>
  <c r="I50" i="3" a="1"/>
  <c r="I50" i="3"/>
  <c r="H51" i="3"/>
  <c r="I51" i="3" a="1"/>
  <c r="I51" i="3"/>
  <c r="H52" i="3"/>
  <c r="I52" i="3" a="1"/>
  <c r="I52" i="3"/>
  <c r="H53" i="3"/>
  <c r="I53" i="3" a="1"/>
  <c r="I53" i="3"/>
  <c r="H54" i="3"/>
  <c r="I54" i="3" a="1"/>
  <c r="I54" i="3"/>
  <c r="H55" i="3"/>
  <c r="I55" i="3" a="1"/>
  <c r="I55" i="3"/>
  <c r="H56" i="3"/>
  <c r="I56" i="3" a="1"/>
  <c r="I56" i="3"/>
  <c r="H57" i="3"/>
  <c r="I57" i="3" a="1"/>
  <c r="I57" i="3"/>
  <c r="H58" i="3"/>
  <c r="I58" i="3" a="1"/>
  <c r="I58" i="3"/>
  <c r="H59" i="3"/>
  <c r="I59" i="3" a="1"/>
  <c r="I59" i="3"/>
  <c r="H60" i="3"/>
  <c r="I60" i="3" a="1"/>
  <c r="I60" i="3"/>
  <c r="H61" i="3"/>
  <c r="I61" i="3" a="1"/>
  <c r="I61" i="3"/>
  <c r="H62" i="3"/>
  <c r="I62" i="3" a="1"/>
  <c r="I62" i="3"/>
  <c r="H63" i="3"/>
  <c r="I63" i="3" a="1"/>
  <c r="I63" i="3"/>
  <c r="H64" i="3"/>
  <c r="I64" i="3" a="1"/>
  <c r="I64" i="3"/>
  <c r="H65" i="3"/>
  <c r="I65" i="3" a="1"/>
  <c r="I65" i="3"/>
  <c r="H66" i="3"/>
  <c r="I66" i="3" a="1"/>
  <c r="I66" i="3"/>
  <c r="H67" i="3"/>
  <c r="I67" i="3" a="1"/>
  <c r="I67" i="3"/>
  <c r="AA10" i="3" a="1"/>
  <c r="AA10" i="3"/>
  <c r="AJ10" i="3" a="1"/>
  <c r="AJ10" i="3"/>
  <c r="I10" i="3" a="1"/>
  <c r="I10" i="3"/>
  <c r="D6" i="3"/>
  <c r="D7" i="3"/>
  <c r="D5" i="3"/>
  <c r="G70" i="3" a="1"/>
  <c r="G70" i="3"/>
  <c r="H100" i="3" a="1"/>
  <c r="H100" i="3"/>
  <c r="H99" i="3" a="1"/>
  <c r="H99" i="3"/>
  <c r="H98" i="3" a="1"/>
  <c r="H98" i="3"/>
  <c r="H97" i="3" a="1"/>
  <c r="H97" i="3"/>
  <c r="H96" i="3" a="1"/>
  <c r="H96" i="3"/>
  <c r="H95" i="3" a="1"/>
  <c r="H95" i="3"/>
  <c r="H94" i="3" a="1"/>
  <c r="H94" i="3"/>
  <c r="H93" i="3" a="1"/>
  <c r="H93" i="3"/>
  <c r="H92" i="3" a="1"/>
  <c r="H92" i="3"/>
  <c r="H91" i="3" a="1"/>
  <c r="H91" i="3"/>
  <c r="H90" i="3" a="1"/>
  <c r="H90" i="3"/>
  <c r="H89" i="3" a="1"/>
  <c r="H89" i="3"/>
  <c r="H88" i="3" a="1"/>
  <c r="H88" i="3"/>
  <c r="H87" i="3" a="1"/>
  <c r="H87" i="3"/>
  <c r="H86" i="3" a="1"/>
  <c r="H86" i="3"/>
  <c r="H72" i="3" a="1"/>
  <c r="H72" i="3"/>
  <c r="H85" i="3" a="1"/>
  <c r="H85" i="3"/>
  <c r="H84" i="3" a="1"/>
  <c r="H84" i="3"/>
  <c r="H83" i="3" a="1"/>
  <c r="H83" i="3"/>
  <c r="H82" i="3" a="1"/>
  <c r="H82" i="3"/>
  <c r="H81" i="3" a="1"/>
  <c r="H81" i="3"/>
  <c r="H80" i="3" a="1"/>
  <c r="H80" i="3"/>
  <c r="H79" i="3" a="1"/>
  <c r="H79" i="3"/>
  <c r="H78" i="3" a="1"/>
  <c r="H78" i="3"/>
  <c r="H77" i="3" a="1"/>
  <c r="H77" i="3"/>
  <c r="H76" i="3" a="1"/>
  <c r="H76" i="3"/>
  <c r="H75" i="3" a="1"/>
  <c r="H75" i="3"/>
  <c r="H74" i="3" a="1"/>
  <c r="H74" i="3"/>
  <c r="H73" i="3" a="1"/>
  <c r="H73" i="3"/>
  <c r="O70" i="3" a="1"/>
  <c r="O70" i="3"/>
  <c r="P100" i="3" a="1"/>
  <c r="P100" i="3"/>
  <c r="P99" i="3" a="1"/>
  <c r="P99" i="3"/>
  <c r="P98" i="3" a="1"/>
  <c r="P98" i="3"/>
  <c r="P97" i="3" a="1"/>
  <c r="P97" i="3"/>
  <c r="P96" i="3" a="1"/>
  <c r="P96" i="3"/>
  <c r="P95" i="3" a="1"/>
  <c r="P95" i="3"/>
  <c r="P94" i="3" a="1"/>
  <c r="P94" i="3"/>
  <c r="P93" i="3" a="1"/>
  <c r="P93" i="3"/>
  <c r="W70" i="3" a="1"/>
  <c r="W70" i="3"/>
  <c r="B7" i="1" a="1"/>
  <c r="X100" i="3" a="1"/>
  <c r="B7" i="1" l="1"/>
  <c r="X100" i="3"/>
  <c r="M6" i="5" a="1"/>
  <c r="M17" i="12" a="1"/>
  <c r="M2" i="12" a="1"/>
  <c r="M16" i="12" a="1"/>
  <c r="M15" i="12" a="1"/>
  <c r="M14" i="12" a="1"/>
  <c r="M13" i="12" a="1"/>
  <c r="M12" i="12" a="1"/>
  <c r="M11" i="12" a="1"/>
  <c r="M10" i="12" a="1"/>
  <c r="M9" i="12" a="1"/>
  <c r="M8" i="12" a="1"/>
  <c r="M7" i="12" a="1"/>
  <c r="M6" i="12" a="1"/>
  <c r="M5" i="12" a="1"/>
  <c r="M4" i="12" a="1"/>
  <c r="O4" i="9" a="1"/>
  <c r="O3" i="9" a="1"/>
  <c r="M7" i="5" a="1"/>
  <c r="M5" i="5" a="1"/>
  <c r="N3" i="11" a="1"/>
  <c r="M3" i="12" a="1"/>
  <c r="O2" i="9" a="1"/>
  <c r="O5" i="9" a="1"/>
  <c r="O6" i="9" a="1"/>
  <c r="O7" i="9" a="1"/>
  <c r="N4" i="11" a="1"/>
  <c r="N2" i="11" a="1"/>
  <c r="N5" i="11" a="1"/>
  <c r="N6" i="11" a="1"/>
  <c r="N7" i="11" a="1"/>
  <c r="M2" i="5" a="1"/>
  <c r="M3" i="5" a="1"/>
  <c r="M4" i="5" a="1"/>
  <c r="X99" i="3" a="1"/>
  <c r="N7" i="11" l="1"/>
  <c r="F7" i="11" s="1"/>
  <c r="N6" i="11"/>
  <c r="F6" i="11" s="1"/>
  <c r="N5" i="11"/>
  <c r="F5" i="11" s="1"/>
  <c r="N2" i="11"/>
  <c r="F2" i="11" s="1"/>
  <c r="N4" i="11"/>
  <c r="F4" i="11" s="1"/>
  <c r="O7" i="9"/>
  <c r="F7" i="9" s="1"/>
  <c r="O6" i="9"/>
  <c r="F6" i="9" s="1"/>
  <c r="O5" i="9"/>
  <c r="F5" i="9" s="1"/>
  <c r="O2" i="9"/>
  <c r="F2" i="9" s="1"/>
  <c r="M3" i="12"/>
  <c r="N3" i="11"/>
  <c r="F3" i="11" s="1"/>
  <c r="M5" i="5"/>
  <c r="E5" i="5" s="1"/>
  <c r="M7" i="5"/>
  <c r="E7" i="5" s="1"/>
  <c r="O3" i="9"/>
  <c r="F3" i="9" s="1"/>
  <c r="O4" i="9"/>
  <c r="F4" i="9" s="1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2" i="12"/>
  <c r="E2" i="12" s="1"/>
  <c r="M17" i="12"/>
  <c r="M6" i="5"/>
  <c r="E6" i="5" s="1"/>
  <c r="B1" i="13"/>
  <c r="B1" i="8"/>
  <c r="M4" i="5"/>
  <c r="E4" i="5" s="1"/>
  <c r="M3" i="5"/>
  <c r="E3" i="5" s="1"/>
  <c r="M2" i="5"/>
  <c r="E2" i="5" s="1"/>
  <c r="X99" i="3"/>
  <c r="O7" i="11" a="1"/>
  <c r="P2" i="9" a="1"/>
  <c r="Q2" i="9" a="1"/>
  <c r="O6" i="11" a="1"/>
  <c r="O5" i="11" a="1"/>
  <c r="O3" i="11" a="1"/>
  <c r="P5" i="9" a="1"/>
  <c r="Q5" i="9" a="1"/>
  <c r="O2" i="11" a="1"/>
  <c r="N5" i="5" a="1"/>
  <c r="O5" i="5" a="1"/>
  <c r="O4" i="11" a="1"/>
  <c r="N7" i="5" a="1"/>
  <c r="O7" i="5" a="1"/>
  <c r="N2" i="12" a="1"/>
  <c r="P7" i="9" a="1"/>
  <c r="Q7" i="9" a="1"/>
  <c r="P3" i="9" a="1"/>
  <c r="Q3" i="9" a="1"/>
  <c r="P6" i="9" a="1"/>
  <c r="Q6" i="9" a="1"/>
  <c r="P4" i="9" a="1"/>
  <c r="Q4" i="9" a="1"/>
  <c r="N6" i="5" a="1"/>
  <c r="O6" i="5" a="1"/>
  <c r="O4" i="5" a="1"/>
  <c r="O3" i="5" a="1"/>
  <c r="O2" i="5" a="1"/>
  <c r="N3" i="5" a="1"/>
  <c r="N2" i="5" a="1"/>
  <c r="N4" i="5" a="1"/>
  <c r="X98" i="3" a="1"/>
  <c r="O6" i="5" l="1"/>
  <c r="N6" i="5"/>
  <c r="Q4" i="9"/>
  <c r="P4" i="9"/>
  <c r="Q6" i="9"/>
  <c r="P6" i="9"/>
  <c r="Q3" i="9"/>
  <c r="P3" i="9"/>
  <c r="Q7" i="9"/>
  <c r="P7" i="9"/>
  <c r="N2" i="12"/>
  <c r="O7" i="5"/>
  <c r="N7" i="5"/>
  <c r="O4" i="11"/>
  <c r="O5" i="5"/>
  <c r="N5" i="5"/>
  <c r="O2" i="11"/>
  <c r="Q5" i="9"/>
  <c r="P5" i="9"/>
  <c r="O3" i="11"/>
  <c r="O5" i="11"/>
  <c r="O6" i="11"/>
  <c r="Q2" i="9"/>
  <c r="P2" i="9"/>
  <c r="O7" i="11"/>
  <c r="E3" i="12"/>
  <c r="O2" i="5"/>
  <c r="O3" i="5"/>
  <c r="O4" i="5"/>
  <c r="N4" i="5"/>
  <c r="N2" i="5"/>
  <c r="N3" i="5"/>
  <c r="X98" i="3"/>
  <c r="W6" i="5" a="1"/>
  <c r="T6" i="5" a="1"/>
  <c r="P6" i="5" a="1"/>
  <c r="Q6" i="5" a="1"/>
  <c r="Y7" i="9" a="1"/>
  <c r="R7" i="9" a="1"/>
  <c r="V7" i="9" a="1"/>
  <c r="S7" i="9" a="1"/>
  <c r="Q2" i="11" a="1"/>
  <c r="P2" i="11" a="1"/>
  <c r="P7" i="11" a="1"/>
  <c r="Q7" i="11" a="1"/>
  <c r="T7" i="5" a="1"/>
  <c r="P7" i="5" a="1"/>
  <c r="W7" i="5" a="1"/>
  <c r="Q7" i="5" a="1"/>
  <c r="Q6" i="11" a="1"/>
  <c r="P6" i="11" a="1"/>
  <c r="Y3" i="9" a="1"/>
  <c r="R3" i="9" a="1"/>
  <c r="V3" i="9" a="1"/>
  <c r="S3" i="9" a="1"/>
  <c r="Y5" i="9" a="1"/>
  <c r="V5" i="9" a="1"/>
  <c r="R5" i="9" a="1"/>
  <c r="S5" i="9" a="1"/>
  <c r="N3" i="12" a="1"/>
  <c r="R4" i="9" a="1"/>
  <c r="V4" i="9" a="1"/>
  <c r="Y4" i="9" a="1"/>
  <c r="S4" i="9" a="1"/>
  <c r="P2" i="12" a="1"/>
  <c r="O2" i="12" a="1"/>
  <c r="Q3" i="11" a="1"/>
  <c r="P3" i="11" a="1"/>
  <c r="R6" i="9" a="1"/>
  <c r="V6" i="9" a="1"/>
  <c r="Y6" i="9" a="1"/>
  <c r="S6" i="9" a="1"/>
  <c r="Q5" i="11" a="1"/>
  <c r="P5" i="11" a="1"/>
  <c r="Q4" i="11" a="1"/>
  <c r="P4" i="11" a="1"/>
  <c r="W5" i="5" a="1"/>
  <c r="P5" i="5" a="1"/>
  <c r="T5" i="5" a="1"/>
  <c r="Q5" i="5" a="1"/>
  <c r="Y2" i="9" a="1"/>
  <c r="R2" i="9" a="1"/>
  <c r="V2" i="9" a="1"/>
  <c r="S2" i="9" a="1"/>
  <c r="B3" i="6" a="1"/>
  <c r="Q2" i="5" a="1"/>
  <c r="Q3" i="5" a="1"/>
  <c r="Q4" i="5" a="1"/>
  <c r="P2" i="5" a="1"/>
  <c r="W2" i="5" a="1"/>
  <c r="T2" i="5" a="1"/>
  <c r="P3" i="5" a="1"/>
  <c r="W3" i="5" a="1"/>
  <c r="T3" i="5" a="1"/>
  <c r="P4" i="5" a="1"/>
  <c r="W4" i="5" a="1"/>
  <c r="T4" i="5" a="1"/>
  <c r="X97" i="3" a="1"/>
  <c r="B3" i="6" l="1"/>
  <c r="S2" i="9"/>
  <c r="T2" i="9" s="1" a="1"/>
  <c r="T2" i="9" s="1"/>
  <c r="U2" i="9" s="1"/>
  <c r="V2" i="9"/>
  <c r="W2" i="9" s="1" a="1"/>
  <c r="W2" i="9" s="1"/>
  <c r="X2" i="9" s="1"/>
  <c r="R2" i="9"/>
  <c r="Y2" i="9"/>
  <c r="Z2" i="9" s="1" a="1"/>
  <c r="Z2" i="9" s="1"/>
  <c r="AA2" i="9" s="1"/>
  <c r="Q5" i="5"/>
  <c r="R5" i="5" s="1" a="1"/>
  <c r="R5" i="5" s="1"/>
  <c r="S5" i="5" s="1"/>
  <c r="T5" i="5"/>
  <c r="U5" i="5" s="1" a="1"/>
  <c r="U5" i="5" s="1"/>
  <c r="V5" i="5" s="1"/>
  <c r="P5" i="5"/>
  <c r="W5" i="5"/>
  <c r="X5" i="5" s="1" a="1"/>
  <c r="X5" i="5" s="1"/>
  <c r="Y5" i="5" s="1"/>
  <c r="P4" i="11"/>
  <c r="Q4" i="11"/>
  <c r="R4" i="11" s="1" a="1"/>
  <c r="R4" i="11" s="1"/>
  <c r="P5" i="11"/>
  <c r="Q5" i="11"/>
  <c r="R5" i="11" s="1" a="1"/>
  <c r="R5" i="11" s="1"/>
  <c r="S6" i="9"/>
  <c r="T6" i="9" s="1" a="1"/>
  <c r="T6" i="9" s="1"/>
  <c r="U6" i="9" s="1"/>
  <c r="Y6" i="9"/>
  <c r="Z6" i="9" s="1" a="1"/>
  <c r="Z6" i="9" s="1"/>
  <c r="AA6" i="9" s="1"/>
  <c r="V6" i="9"/>
  <c r="W6" i="9" s="1" a="1"/>
  <c r="W6" i="9" s="1"/>
  <c r="X6" i="9" s="1"/>
  <c r="R6" i="9"/>
  <c r="P3" i="11"/>
  <c r="Q3" i="11"/>
  <c r="R3" i="11" s="1" a="1"/>
  <c r="R3" i="11" s="1"/>
  <c r="O2" i="12"/>
  <c r="P2" i="12"/>
  <c r="Q2" i="12" s="1" a="1"/>
  <c r="Q2" i="12" s="1"/>
  <c r="S4" i="9"/>
  <c r="T4" i="9" s="1" a="1"/>
  <c r="T4" i="9" s="1"/>
  <c r="U4" i="9" s="1"/>
  <c r="Y4" i="9"/>
  <c r="Z4" i="9" s="1" a="1"/>
  <c r="Z4" i="9" s="1"/>
  <c r="AA4" i="9" s="1"/>
  <c r="V4" i="9"/>
  <c r="W4" i="9" s="1" a="1"/>
  <c r="W4" i="9" s="1"/>
  <c r="X4" i="9" s="1"/>
  <c r="R4" i="9"/>
  <c r="N3" i="12"/>
  <c r="S5" i="9"/>
  <c r="T5" i="9" s="1" a="1"/>
  <c r="T5" i="9" s="1"/>
  <c r="U5" i="9" s="1"/>
  <c r="R5" i="9"/>
  <c r="V5" i="9"/>
  <c r="W5" i="9" s="1" a="1"/>
  <c r="W5" i="9" s="1"/>
  <c r="X5" i="9" s="1"/>
  <c r="Y5" i="9"/>
  <c r="Z5" i="9" s="1" a="1"/>
  <c r="Z5" i="9" s="1"/>
  <c r="AA5" i="9" s="1"/>
  <c r="S3" i="9"/>
  <c r="T3" i="9" s="1" a="1"/>
  <c r="T3" i="9" s="1"/>
  <c r="U3" i="9" s="1"/>
  <c r="V3" i="9"/>
  <c r="W3" i="9" s="1" a="1"/>
  <c r="W3" i="9" s="1"/>
  <c r="X3" i="9" s="1"/>
  <c r="R3" i="9"/>
  <c r="Y3" i="9"/>
  <c r="Z3" i="9" s="1" a="1"/>
  <c r="Z3" i="9" s="1"/>
  <c r="AA3" i="9" s="1"/>
  <c r="P6" i="11"/>
  <c r="Q6" i="11"/>
  <c r="R6" i="11" s="1" a="1"/>
  <c r="R6" i="11" s="1"/>
  <c r="Q7" i="5"/>
  <c r="R7" i="5" s="1" a="1"/>
  <c r="R7" i="5" s="1"/>
  <c r="S7" i="5" s="1"/>
  <c r="W7" i="5"/>
  <c r="X7" i="5" s="1" a="1"/>
  <c r="X7" i="5" s="1"/>
  <c r="Y7" i="5" s="1"/>
  <c r="P7" i="5"/>
  <c r="T7" i="5"/>
  <c r="U7" i="5" s="1" a="1"/>
  <c r="U7" i="5" s="1"/>
  <c r="V7" i="5" s="1"/>
  <c r="Q7" i="11"/>
  <c r="R7" i="11" s="1" a="1"/>
  <c r="R7" i="11" s="1"/>
  <c r="P7" i="11"/>
  <c r="P2" i="11"/>
  <c r="Q2" i="11"/>
  <c r="R2" i="11" s="1" a="1"/>
  <c r="R2" i="11" s="1"/>
  <c r="S7" i="9"/>
  <c r="T7" i="9" s="1" a="1"/>
  <c r="T7" i="9" s="1"/>
  <c r="U7" i="9" s="1"/>
  <c r="V7" i="9"/>
  <c r="W7" i="9" s="1" a="1"/>
  <c r="W7" i="9" s="1"/>
  <c r="X7" i="9" s="1"/>
  <c r="R7" i="9"/>
  <c r="Y7" i="9"/>
  <c r="Z7" i="9" s="1" a="1"/>
  <c r="Z7" i="9" s="1"/>
  <c r="AA7" i="9" s="1"/>
  <c r="Q6" i="5"/>
  <c r="R6" i="5" s="1" a="1"/>
  <c r="R6" i="5" s="1"/>
  <c r="S6" i="5" s="1"/>
  <c r="P6" i="5"/>
  <c r="T6" i="5"/>
  <c r="U6" i="5" s="1" a="1"/>
  <c r="U6" i="5" s="1"/>
  <c r="V6" i="5" s="1"/>
  <c r="W6" i="5"/>
  <c r="X6" i="5" s="1" a="1"/>
  <c r="X6" i="5" s="1"/>
  <c r="Y6" i="5" s="1"/>
  <c r="E4" i="12"/>
  <c r="Q4" i="5"/>
  <c r="R4" i="5" s="1" a="1"/>
  <c r="R4" i="5" s="1"/>
  <c r="S4" i="5" s="1"/>
  <c r="Q3" i="5"/>
  <c r="R3" i="5" s="1" a="1"/>
  <c r="R3" i="5" s="1"/>
  <c r="S3" i="5" s="1"/>
  <c r="Q2" i="5"/>
  <c r="R2" i="5" s="1" a="1"/>
  <c r="R2" i="5" s="1"/>
  <c r="S2" i="5" s="1"/>
  <c r="T4" i="5"/>
  <c r="U4" i="5" s="1" a="1"/>
  <c r="U4" i="5" s="1"/>
  <c r="V4" i="5" s="1"/>
  <c r="W4" i="5"/>
  <c r="X4" i="5" s="1" a="1"/>
  <c r="X4" i="5" s="1"/>
  <c r="Y4" i="5" s="1"/>
  <c r="P4" i="5"/>
  <c r="T3" i="5"/>
  <c r="U3" i="5" s="1" a="1"/>
  <c r="U3" i="5" s="1"/>
  <c r="V3" i="5" s="1"/>
  <c r="W3" i="5"/>
  <c r="X3" i="5" s="1" a="1"/>
  <c r="X3" i="5" s="1"/>
  <c r="Y3" i="5" s="1"/>
  <c r="P3" i="5"/>
  <c r="T2" i="5"/>
  <c r="U2" i="5" s="1" a="1"/>
  <c r="U2" i="5" s="1"/>
  <c r="V2" i="5" s="1"/>
  <c r="W2" i="5"/>
  <c r="X2" i="5" s="1" a="1"/>
  <c r="X2" i="5" s="1"/>
  <c r="Y2" i="5" s="1"/>
  <c r="P2" i="5"/>
  <c r="X97" i="3"/>
  <c r="O3" i="12" a="1"/>
  <c r="P3" i="12" a="1"/>
  <c r="N4" i="12" a="1"/>
  <c r="B17" i="6" a="1"/>
  <c r="X96" i="3" a="1"/>
  <c r="N4" i="12" l="1"/>
  <c r="P3" i="12"/>
  <c r="Q3" i="12" s="1" a="1"/>
  <c r="Q3" i="12" s="1"/>
  <c r="O3" i="12"/>
  <c r="E5" i="12"/>
  <c r="B2" i="8"/>
  <c r="B2" i="13"/>
  <c r="L24" i="6"/>
  <c r="F21" i="6"/>
  <c r="D27" i="6"/>
  <c r="B31" i="6"/>
  <c r="E28" i="6"/>
  <c r="K17" i="6"/>
  <c r="I23" i="6"/>
  <c r="G29" i="6"/>
  <c r="C20" i="6"/>
  <c r="L25" i="6"/>
  <c r="F30" i="6"/>
  <c r="C21" i="6"/>
  <c r="F23" i="6"/>
  <c r="H28" i="6"/>
  <c r="F22" i="6"/>
  <c r="D28" i="6"/>
  <c r="D31" i="6"/>
  <c r="J19" i="6"/>
  <c r="B22" i="6"/>
  <c r="G17" i="6"/>
  <c r="E21" i="6"/>
  <c r="H29" i="6"/>
  <c r="L21" i="6"/>
  <c r="K19" i="6"/>
  <c r="G31" i="6"/>
  <c r="C22" i="6"/>
  <c r="L27" i="6"/>
  <c r="I29" i="6"/>
  <c r="L31" i="6"/>
  <c r="H18" i="6"/>
  <c r="F24" i="6"/>
  <c r="D30" i="6"/>
  <c r="K20" i="6"/>
  <c r="I26" i="6"/>
  <c r="K18" i="6"/>
  <c r="E23" i="6"/>
  <c r="H25" i="6"/>
  <c r="E17" i="6"/>
  <c r="C23" i="6"/>
  <c r="K31" i="6"/>
  <c r="D18" i="6"/>
  <c r="I22" i="6"/>
  <c r="D24" i="6"/>
  <c r="J24" i="6"/>
  <c r="J22" i="6"/>
  <c r="J28" i="6"/>
  <c r="I21" i="6"/>
  <c r="C19" i="6"/>
  <c r="B17" i="6"/>
  <c r="K22" i="6"/>
  <c r="I28" i="6"/>
  <c r="C31" i="6"/>
  <c r="I19" i="6"/>
  <c r="E19" i="6"/>
  <c r="C25" i="6"/>
  <c r="L30" i="6"/>
  <c r="H21" i="6"/>
  <c r="F27" i="6"/>
  <c r="E20" i="6"/>
  <c r="D26" i="6"/>
  <c r="J27" i="6"/>
  <c r="B18" i="6"/>
  <c r="K23" i="6"/>
  <c r="B21" i="6"/>
  <c r="F20" i="6"/>
  <c r="K24" i="6"/>
  <c r="C27" i="6"/>
  <c r="H30" i="6"/>
  <c r="I25" i="6"/>
  <c r="E24" i="6"/>
  <c r="B24" i="6"/>
  <c r="H26" i="6"/>
  <c r="B23" i="6"/>
  <c r="D23" i="6"/>
  <c r="F18" i="6"/>
  <c r="E25" i="6"/>
  <c r="G28" i="6"/>
  <c r="C24" i="6"/>
  <c r="K30" i="6"/>
  <c r="G22" i="6"/>
  <c r="G21" i="6"/>
  <c r="J23" i="6"/>
  <c r="F25" i="6"/>
  <c r="H20" i="6"/>
  <c r="B29" i="6"/>
  <c r="B27" i="6"/>
  <c r="G26" i="6"/>
  <c r="C26" i="6"/>
  <c r="F19" i="6"/>
  <c r="L18" i="6"/>
  <c r="G30" i="6"/>
  <c r="J17" i="6"/>
  <c r="H23" i="6"/>
  <c r="F29" i="6"/>
  <c r="F17" i="6"/>
  <c r="K21" i="6"/>
  <c r="B20" i="6"/>
  <c r="K25" i="6"/>
  <c r="I31" i="6"/>
  <c r="E22" i="6"/>
  <c r="C28" i="6"/>
  <c r="J21" i="6"/>
  <c r="F28" i="6"/>
  <c r="I30" i="6"/>
  <c r="J18" i="6"/>
  <c r="H24" i="6"/>
  <c r="I24" i="6"/>
  <c r="H22" i="6"/>
  <c r="E26" i="6"/>
  <c r="B30" i="6"/>
  <c r="D21" i="6"/>
  <c r="K27" i="6"/>
  <c r="C30" i="6"/>
  <c r="H19" i="6"/>
  <c r="J20" i="6"/>
  <c r="D17" i="6"/>
  <c r="K28" i="6"/>
  <c r="E31" i="6"/>
  <c r="G19" i="6"/>
  <c r="K26" i="6"/>
  <c r="C18" i="6"/>
  <c r="J30" i="6"/>
  <c r="B25" i="6"/>
  <c r="L26" i="6"/>
  <c r="E27" i="6"/>
  <c r="E30" i="6"/>
  <c r="E18" i="6"/>
  <c r="D20" i="6"/>
  <c r="B26" i="6"/>
  <c r="B19" i="6"/>
  <c r="G18" i="6"/>
  <c r="G25" i="6"/>
  <c r="F31" i="6"/>
  <c r="L22" i="6"/>
  <c r="F26" i="6"/>
  <c r="E29" i="6"/>
  <c r="D19" i="6"/>
  <c r="L17" i="6"/>
  <c r="I27" i="6"/>
  <c r="I20" i="6"/>
  <c r="C17" i="6"/>
  <c r="L28" i="6"/>
  <c r="G27" i="6"/>
  <c r="L19" i="6"/>
  <c r="J25" i="6"/>
  <c r="H31" i="6"/>
  <c r="L23" i="6"/>
  <c r="C29" i="6"/>
  <c r="D22" i="6"/>
  <c r="B28" i="6"/>
  <c r="I18" i="6"/>
  <c r="G24" i="6"/>
  <c r="J31" i="6"/>
  <c r="H27" i="6"/>
  <c r="G20" i="6"/>
  <c r="G23" i="6"/>
  <c r="L20" i="6"/>
  <c r="J26" i="6"/>
  <c r="J29" i="6"/>
  <c r="K29" i="6"/>
  <c r="I17" i="6"/>
  <c r="L29" i="6"/>
  <c r="D29" i="6"/>
  <c r="D25" i="6"/>
  <c r="H17" i="6"/>
  <c r="X96" i="3"/>
  <c r="P4" i="12" a="1"/>
  <c r="O4" i="12" a="1"/>
  <c r="N5" i="12" a="1"/>
  <c r="C9" i="8" a="1"/>
  <c r="C6" i="8" a="1"/>
  <c r="C7" i="8" a="1"/>
  <c r="C8" i="8" a="1"/>
  <c r="G4" i="13"/>
  <c r="B36" i="13" a="1"/>
  <c r="G5" i="13" a="1"/>
  <c r="G3" i="13" a="1"/>
  <c r="H2" i="13" a="1"/>
  <c r="X95" i="3" a="1"/>
  <c r="H2" i="13" l="1"/>
  <c r="G2" i="13" s="1" a="1"/>
  <c r="G2" i="13" s="1"/>
  <c r="G3" i="13"/>
  <c r="G5" i="13"/>
  <c r="B43" i="13"/>
  <c r="B44" i="13"/>
  <c r="B45" i="13"/>
  <c r="B46" i="13"/>
  <c r="B47" i="13"/>
  <c r="B48" i="13"/>
  <c r="B49" i="13"/>
  <c r="B36" i="13"/>
  <c r="B42" i="13"/>
  <c r="B51" i="13"/>
  <c r="B52" i="13"/>
  <c r="B53" i="13"/>
  <c r="B54" i="13"/>
  <c r="B55" i="13"/>
  <c r="B56" i="13"/>
  <c r="B57" i="13"/>
  <c r="B74" i="13"/>
  <c r="B85" i="13"/>
  <c r="B87" i="13"/>
  <c r="B50" i="13"/>
  <c r="B59" i="13"/>
  <c r="B60" i="13"/>
  <c r="B61" i="13"/>
  <c r="B62" i="13"/>
  <c r="B63" i="13"/>
  <c r="B64" i="13"/>
  <c r="B65" i="13"/>
  <c r="B71" i="13"/>
  <c r="B84" i="13"/>
  <c r="B88" i="13"/>
  <c r="B90" i="13"/>
  <c r="B38" i="13"/>
  <c r="B39" i="13"/>
  <c r="B41" i="13"/>
  <c r="B58" i="13"/>
  <c r="B67" i="13"/>
  <c r="B68" i="13"/>
  <c r="B69" i="13"/>
  <c r="B70" i="13"/>
  <c r="B72" i="13"/>
  <c r="B73" i="13"/>
  <c r="B66" i="13"/>
  <c r="B75" i="13"/>
  <c r="B76" i="13"/>
  <c r="B77" i="13"/>
  <c r="B78" i="13"/>
  <c r="B79" i="13"/>
  <c r="B80" i="13"/>
  <c r="B81" i="13"/>
  <c r="B83" i="13"/>
  <c r="B86" i="13"/>
  <c r="B89" i="13"/>
  <c r="B37" i="13"/>
  <c r="B40" i="13"/>
  <c r="B82" i="13"/>
  <c r="B91" i="13"/>
  <c r="B92" i="13"/>
  <c r="B93" i="13"/>
  <c r="B94" i="13"/>
  <c r="B95" i="13"/>
  <c r="B96" i="13"/>
  <c r="C8" i="8"/>
  <c r="E17" i="8" s="1" a="1"/>
  <c r="C7" i="8"/>
  <c r="O2" i="8" s="1" a="1"/>
  <c r="C6" i="8"/>
  <c r="E2" i="8" s="1" a="1"/>
  <c r="C9" i="8"/>
  <c r="O17" i="8" s="1" a="1"/>
  <c r="N5" i="12"/>
  <c r="O4" i="12"/>
  <c r="P4" i="12"/>
  <c r="Q4" i="12" s="1" a="1"/>
  <c r="Q4" i="12" s="1"/>
  <c r="E6" i="12"/>
  <c r="X95" i="3"/>
  <c r="C15" i="13" a="1"/>
  <c r="G8" i="13" a="1"/>
  <c r="P5" i="12" a="1"/>
  <c r="O5" i="12" a="1"/>
  <c r="N6" i="12" a="1"/>
  <c r="X94" i="3" a="1"/>
  <c r="N6" i="12" l="1"/>
  <c r="O5" i="12"/>
  <c r="P5" i="12"/>
  <c r="Q5" i="12" s="1" a="1"/>
  <c r="Q5" i="12" s="1"/>
  <c r="G8" i="13"/>
  <c r="C15" i="13"/>
  <c r="R2" i="8"/>
  <c r="S11" i="8"/>
  <c r="Q8" i="8"/>
  <c r="Q6" i="8"/>
  <c r="U3" i="8"/>
  <c r="O13" i="8"/>
  <c r="T8" i="8"/>
  <c r="P2" i="8"/>
  <c r="Q11" i="8"/>
  <c r="O8" i="8"/>
  <c r="R5" i="8"/>
  <c r="S3" i="8"/>
  <c r="T12" i="8"/>
  <c r="R9" i="8"/>
  <c r="R7" i="8"/>
  <c r="O5" i="8"/>
  <c r="O11" i="8"/>
  <c r="U9" i="8"/>
  <c r="Q3" i="8"/>
  <c r="R12" i="8"/>
  <c r="P9" i="8"/>
  <c r="T7" i="8"/>
  <c r="T4" i="8"/>
  <c r="U13" i="8"/>
  <c r="S10" i="8"/>
  <c r="S8" i="8"/>
  <c r="P6" i="8"/>
  <c r="U8" i="8"/>
  <c r="P12" i="8"/>
  <c r="R4" i="8"/>
  <c r="S13" i="8"/>
  <c r="Q10" i="8"/>
  <c r="P11" i="8"/>
  <c r="U5" i="8"/>
  <c r="S2" i="8"/>
  <c r="T11" i="8"/>
  <c r="T9" i="8"/>
  <c r="Q7" i="8"/>
  <c r="O3" i="8"/>
  <c r="Q13" i="8"/>
  <c r="S5" i="8"/>
  <c r="Q2" i="8"/>
  <c r="R11" i="8"/>
  <c r="R13" i="8"/>
  <c r="R10" i="8"/>
  <c r="P7" i="8"/>
  <c r="P5" i="8"/>
  <c r="T2" i="8"/>
  <c r="U11" i="8"/>
  <c r="S7" i="8"/>
  <c r="Q12" i="8"/>
  <c r="P10" i="8"/>
  <c r="U6" i="8"/>
  <c r="Q4" i="8"/>
  <c r="T3" i="8"/>
  <c r="P13" i="8"/>
  <c r="S6" i="8"/>
  <c r="S12" i="8"/>
  <c r="U4" i="8"/>
  <c r="O10" i="8"/>
  <c r="R3" i="8"/>
  <c r="R8" i="8"/>
  <c r="T13" i="8"/>
  <c r="U10" i="8"/>
  <c r="Q9" i="8"/>
  <c r="O6" i="8"/>
  <c r="S9" i="8"/>
  <c r="T6" i="8"/>
  <c r="O2" i="8"/>
  <c r="U12" i="8"/>
  <c r="T10" i="8"/>
  <c r="U7" i="8"/>
  <c r="Q5" i="8"/>
  <c r="R6" i="8"/>
  <c r="T5" i="8"/>
  <c r="U2" i="8"/>
  <c r="P4" i="8"/>
  <c r="O9" i="8"/>
  <c r="O4" i="8"/>
  <c r="S4" i="8"/>
  <c r="P3" i="8"/>
  <c r="O7" i="8"/>
  <c r="P8" i="8"/>
  <c r="O12" i="8"/>
  <c r="E7" i="12"/>
  <c r="F21" i="8"/>
  <c r="G30" i="8"/>
  <c r="H39" i="8"/>
  <c r="F20" i="8"/>
  <c r="G29" i="8"/>
  <c r="H38" i="8"/>
  <c r="F18" i="8"/>
  <c r="G27" i="8"/>
  <c r="H36" i="8"/>
  <c r="I45" i="8"/>
  <c r="K29" i="8"/>
  <c r="G20" i="8"/>
  <c r="H45" i="8"/>
  <c r="F25" i="8"/>
  <c r="G34" i="8"/>
  <c r="H43" i="8"/>
  <c r="G33" i="8"/>
  <c r="E26" i="8"/>
  <c r="J19" i="8"/>
  <c r="K28" i="8"/>
  <c r="E38" i="8"/>
  <c r="I17" i="8"/>
  <c r="J26" i="8"/>
  <c r="K35" i="8"/>
  <c r="E18" i="8"/>
  <c r="G22" i="8"/>
  <c r="H31" i="8"/>
  <c r="I40" i="8"/>
  <c r="G21" i="8"/>
  <c r="H30" i="8"/>
  <c r="I39" i="8"/>
  <c r="G19" i="8"/>
  <c r="H28" i="8"/>
  <c r="I37" i="8"/>
  <c r="G17" i="8"/>
  <c r="F32" i="8"/>
  <c r="J23" i="8"/>
  <c r="F17" i="8"/>
  <c r="G26" i="8"/>
  <c r="H35" i="8"/>
  <c r="I44" i="8"/>
  <c r="I35" i="8"/>
  <c r="H29" i="8"/>
  <c r="K20" i="8"/>
  <c r="E30" i="8"/>
  <c r="F39" i="8"/>
  <c r="J18" i="8"/>
  <c r="K27" i="8"/>
  <c r="E37" i="8"/>
  <c r="H21" i="8"/>
  <c r="H23" i="8"/>
  <c r="I32" i="8"/>
  <c r="J41" i="8"/>
  <c r="H22" i="8"/>
  <c r="I31" i="8"/>
  <c r="J40" i="8"/>
  <c r="H20" i="8"/>
  <c r="I29" i="8"/>
  <c r="J38" i="8"/>
  <c r="I19" i="8"/>
  <c r="H34" i="8"/>
  <c r="F27" i="8"/>
  <c r="G18" i="8"/>
  <c r="H27" i="8"/>
  <c r="I36" i="8"/>
  <c r="J45" i="8"/>
  <c r="K37" i="8"/>
  <c r="J31" i="8"/>
  <c r="E22" i="8"/>
  <c r="F31" i="8"/>
  <c r="G40" i="8"/>
  <c r="K19" i="8"/>
  <c r="E29" i="8"/>
  <c r="F38" i="8"/>
  <c r="K24" i="8"/>
  <c r="I24" i="8"/>
  <c r="J33" i="8"/>
  <c r="K42" i="8"/>
  <c r="I23" i="8"/>
  <c r="J32" i="8"/>
  <c r="K41" i="8"/>
  <c r="I21" i="8"/>
  <c r="J30" i="8"/>
  <c r="K39" i="8"/>
  <c r="J20" i="8"/>
  <c r="J36" i="8"/>
  <c r="I30" i="8"/>
  <c r="H19" i="8"/>
  <c r="I28" i="8"/>
  <c r="J37" i="8"/>
  <c r="H18" i="8"/>
  <c r="F40" i="8"/>
  <c r="G36" i="8"/>
  <c r="F23" i="8"/>
  <c r="G32" i="8"/>
  <c r="H41" i="8"/>
  <c r="E21" i="8"/>
  <c r="F30" i="8"/>
  <c r="G39" i="8"/>
  <c r="G28" i="8"/>
  <c r="E20" i="8"/>
  <c r="F29" i="8"/>
  <c r="G38" i="8"/>
  <c r="E19" i="8"/>
  <c r="F28" i="8"/>
  <c r="G37" i="8"/>
  <c r="E17" i="8"/>
  <c r="F26" i="8"/>
  <c r="G35" i="8"/>
  <c r="H44" i="8"/>
  <c r="I27" i="8"/>
  <c r="K45" i="8"/>
  <c r="E42" i="8"/>
  <c r="E24" i="8"/>
  <c r="F33" i="8"/>
  <c r="G42" i="8"/>
  <c r="E31" i="8"/>
  <c r="I22" i="8"/>
  <c r="I18" i="8"/>
  <c r="J27" i="8"/>
  <c r="K36" i="8"/>
  <c r="E45" i="8"/>
  <c r="I25" i="8"/>
  <c r="J34" i="8"/>
  <c r="K43" i="8"/>
  <c r="G44" i="8"/>
  <c r="J17" i="8"/>
  <c r="E44" i="8"/>
  <c r="F36" i="8"/>
  <c r="E33" i="8"/>
  <c r="E39" i="8"/>
  <c r="K22" i="8"/>
  <c r="G25" i="8"/>
  <c r="G24" i="8"/>
  <c r="K44" i="8"/>
  <c r="I41" i="8"/>
  <c r="F22" i="8"/>
  <c r="K18" i="8"/>
  <c r="F45" i="8"/>
  <c r="E43" i="8"/>
  <c r="F34" i="8"/>
  <c r="G41" i="8"/>
  <c r="J29" i="8"/>
  <c r="J28" i="8"/>
  <c r="H25" i="8"/>
  <c r="J42" i="8"/>
  <c r="E25" i="8"/>
  <c r="F43" i="8"/>
  <c r="E35" i="8"/>
  <c r="E23" i="8"/>
  <c r="J25" i="8"/>
  <c r="K17" i="8"/>
  <c r="F44" i="8"/>
  <c r="E41" i="8"/>
  <c r="I43" i="8"/>
  <c r="K30" i="8"/>
  <c r="H42" i="8"/>
  <c r="I26" i="8"/>
  <c r="G23" i="8"/>
  <c r="K32" i="8"/>
  <c r="K26" i="8"/>
  <c r="J24" i="8"/>
  <c r="G45" i="8"/>
  <c r="F42" i="8"/>
  <c r="E34" i="8"/>
  <c r="E32" i="8"/>
  <c r="J44" i="8"/>
  <c r="H33" i="8"/>
  <c r="H24" i="8"/>
  <c r="H37" i="8"/>
  <c r="H32" i="8"/>
  <c r="I20" i="8"/>
  <c r="I33" i="8"/>
  <c r="K31" i="8"/>
  <c r="H40" i="8"/>
  <c r="E28" i="8"/>
  <c r="K25" i="8"/>
  <c r="J22" i="8"/>
  <c r="G43" i="8"/>
  <c r="F35" i="8"/>
  <c r="K38" i="8"/>
  <c r="F19" i="8"/>
  <c r="I34" i="8"/>
  <c r="G31" i="8"/>
  <c r="K40" i="8"/>
  <c r="J35" i="8"/>
  <c r="E36" i="8"/>
  <c r="F24" i="8"/>
  <c r="I42" i="8"/>
  <c r="J21" i="8"/>
  <c r="J43" i="8"/>
  <c r="K34" i="8"/>
  <c r="E27" i="8"/>
  <c r="K23" i="8"/>
  <c r="K21" i="8"/>
  <c r="I38" i="8"/>
  <c r="E40" i="8"/>
  <c r="J39" i="8"/>
  <c r="K33" i="8"/>
  <c r="F41" i="8"/>
  <c r="F37" i="8"/>
  <c r="H26" i="8"/>
  <c r="H17" i="8"/>
  <c r="P24" i="8"/>
  <c r="Q33" i="8"/>
  <c r="R42" i="8"/>
  <c r="O22" i="8"/>
  <c r="P31" i="8"/>
  <c r="Q40" i="8"/>
  <c r="O21" i="8"/>
  <c r="P30" i="8"/>
  <c r="Q39" i="8"/>
  <c r="O20" i="8"/>
  <c r="Q21" i="8"/>
  <c r="R30" i="8"/>
  <c r="S39" i="8"/>
  <c r="T21" i="8"/>
  <c r="O41" i="8"/>
  <c r="S40" i="8"/>
  <c r="U40" i="8"/>
  <c r="Q34" i="8"/>
  <c r="Q28" i="8"/>
  <c r="U39" i="8"/>
  <c r="P37" i="8"/>
  <c r="T39" i="8"/>
  <c r="S20" i="8"/>
  <c r="O40" i="8"/>
  <c r="Q38" i="8"/>
  <c r="Q25" i="8"/>
  <c r="R34" i="8"/>
  <c r="S43" i="8"/>
  <c r="P23" i="8"/>
  <c r="Q32" i="8"/>
  <c r="R41" i="8"/>
  <c r="P22" i="8"/>
  <c r="Q31" i="8"/>
  <c r="R40" i="8"/>
  <c r="P21" i="8"/>
  <c r="R22" i="8"/>
  <c r="S31" i="8"/>
  <c r="T40" i="8"/>
  <c r="O25" i="8"/>
  <c r="Q43" i="8"/>
  <c r="P45" i="8"/>
  <c r="R45" i="8"/>
  <c r="S36" i="8"/>
  <c r="U32" i="8"/>
  <c r="R19" i="8"/>
  <c r="R39" i="8"/>
  <c r="Q44" i="8"/>
  <c r="U23" i="8"/>
  <c r="Q42" i="8"/>
  <c r="U42" i="8"/>
  <c r="Q17" i="8"/>
  <c r="R26" i="8"/>
  <c r="S35" i="8"/>
  <c r="T44" i="8"/>
  <c r="Q24" i="8"/>
  <c r="R33" i="8"/>
  <c r="S42" i="8"/>
  <c r="Q23" i="8"/>
  <c r="R32" i="8"/>
  <c r="S41" i="8"/>
  <c r="Q22" i="8"/>
  <c r="S23" i="8"/>
  <c r="T32" i="8"/>
  <c r="U41" i="8"/>
  <c r="Q27" i="8"/>
  <c r="S45" i="8"/>
  <c r="Q18" i="8"/>
  <c r="Q19" i="8"/>
  <c r="U38" i="8"/>
  <c r="R37" i="8"/>
  <c r="T22" i="8"/>
  <c r="T41" i="8"/>
  <c r="T23" i="8"/>
  <c r="Q26" i="8"/>
  <c r="S44" i="8"/>
  <c r="R29" i="8"/>
  <c r="R18" i="8"/>
  <c r="S27" i="8"/>
  <c r="T36" i="8"/>
  <c r="U45" i="8"/>
  <c r="R25" i="8"/>
  <c r="S34" i="8"/>
  <c r="T43" i="8"/>
  <c r="R24" i="8"/>
  <c r="S33" i="8"/>
  <c r="T42" i="8"/>
  <c r="R23" i="8"/>
  <c r="T24" i="8"/>
  <c r="U33" i="8"/>
  <c r="O43" i="8"/>
  <c r="S29" i="8"/>
  <c r="P17" i="8"/>
  <c r="U24" i="8"/>
  <c r="S22" i="8"/>
  <c r="P41" i="8"/>
  <c r="O42" i="8"/>
  <c r="T25" i="8"/>
  <c r="O44" i="8"/>
  <c r="R28" i="8"/>
  <c r="S28" i="8"/>
  <c r="R21" i="8"/>
  <c r="Q36" i="8"/>
  <c r="S19" i="8"/>
  <c r="T28" i="8"/>
  <c r="U37" i="8"/>
  <c r="R17" i="8"/>
  <c r="S26" i="8"/>
  <c r="T35" i="8"/>
  <c r="U44" i="8"/>
  <c r="S25" i="8"/>
  <c r="T34" i="8"/>
  <c r="U43" i="8"/>
  <c r="S24" i="8"/>
  <c r="U25" i="8"/>
  <c r="O23" i="8"/>
  <c r="P32" i="8"/>
  <c r="Q41" i="8"/>
  <c r="U20" i="8"/>
  <c r="O30" i="8"/>
  <c r="P39" i="8"/>
  <c r="U19" i="8"/>
  <c r="O29" i="8"/>
  <c r="P38" i="8"/>
  <c r="U18" i="8"/>
  <c r="P20" i="8"/>
  <c r="Q29" i="8"/>
  <c r="R38" i="8"/>
  <c r="P19" i="8"/>
  <c r="T38" i="8"/>
  <c r="O36" i="8"/>
  <c r="S38" i="8"/>
  <c r="O32" i="8"/>
  <c r="U22" i="8"/>
  <c r="Q35" i="8"/>
  <c r="U34" i="8"/>
  <c r="P35" i="8"/>
  <c r="O18" i="8"/>
  <c r="T37" i="8"/>
  <c r="T33" i="8"/>
  <c r="T20" i="8"/>
  <c r="T27" i="8"/>
  <c r="U35" i="8"/>
  <c r="O35" i="8"/>
  <c r="R36" i="8"/>
  <c r="R27" i="8"/>
  <c r="O28" i="8"/>
  <c r="R44" i="8"/>
  <c r="U21" i="8"/>
  <c r="U28" i="8"/>
  <c r="O37" i="8"/>
  <c r="P36" i="8"/>
  <c r="P42" i="8"/>
  <c r="T29" i="8"/>
  <c r="Q30" i="8"/>
  <c r="U30" i="8"/>
  <c r="T26" i="8"/>
  <c r="O33" i="8"/>
  <c r="P28" i="8"/>
  <c r="T30" i="8"/>
  <c r="U29" i="8"/>
  <c r="U36" i="8"/>
  <c r="O45" i="8"/>
  <c r="Q37" i="8"/>
  <c r="P18" i="8"/>
  <c r="R43" i="8"/>
  <c r="S32" i="8"/>
  <c r="P33" i="8"/>
  <c r="O31" i="8"/>
  <c r="O38" i="8"/>
  <c r="T17" i="8"/>
  <c r="P44" i="8"/>
  <c r="P29" i="8"/>
  <c r="T45" i="8"/>
  <c r="O17" i="8"/>
  <c r="R35" i="8"/>
  <c r="S18" i="8"/>
  <c r="O34" i="8"/>
  <c r="R31" i="8"/>
  <c r="U27" i="8"/>
  <c r="S37" i="8"/>
  <c r="O39" i="8"/>
  <c r="S17" i="8"/>
  <c r="U17" i="8"/>
  <c r="Q45" i="8"/>
  <c r="P27" i="8"/>
  <c r="Q20" i="8"/>
  <c r="O26" i="8"/>
  <c r="O24" i="8"/>
  <c r="O27" i="8"/>
  <c r="P26" i="8"/>
  <c r="P34" i="8"/>
  <c r="P43" i="8"/>
  <c r="P40" i="8"/>
  <c r="T18" i="8"/>
  <c r="O19" i="8"/>
  <c r="S21" i="8"/>
  <c r="T31" i="8"/>
  <c r="R20" i="8"/>
  <c r="S30" i="8"/>
  <c r="U26" i="8"/>
  <c r="U31" i="8"/>
  <c r="T19" i="8"/>
  <c r="P25" i="8"/>
  <c r="J5" i="8"/>
  <c r="G7" i="8"/>
  <c r="H8" i="8"/>
  <c r="K7" i="8"/>
  <c r="L5" i="8"/>
  <c r="G4" i="8"/>
  <c r="I4" i="8"/>
  <c r="I3" i="8"/>
  <c r="J10" i="8"/>
  <c r="J4" i="8"/>
  <c r="I6" i="8"/>
  <c r="F2" i="8"/>
  <c r="G9" i="8"/>
  <c r="J8" i="8"/>
  <c r="K6" i="8"/>
  <c r="F5" i="8"/>
  <c r="G6" i="8"/>
  <c r="H4" i="8"/>
  <c r="K2" i="8"/>
  <c r="I5" i="8"/>
  <c r="H7" i="8"/>
  <c r="E3" i="8"/>
  <c r="F10" i="8"/>
  <c r="I9" i="8"/>
  <c r="J7" i="8"/>
  <c r="E6" i="8"/>
  <c r="E8" i="8"/>
  <c r="G5" i="8"/>
  <c r="G8" i="8"/>
  <c r="M3" i="8"/>
  <c r="H2" i="8"/>
  <c r="H10" i="8"/>
  <c r="I8" i="8"/>
  <c r="M6" i="8"/>
  <c r="L9" i="8"/>
  <c r="F6" i="8"/>
  <c r="H5" i="8"/>
  <c r="M9" i="8"/>
  <c r="K4" i="8"/>
  <c r="E5" i="8"/>
  <c r="I7" i="8"/>
  <c r="L6" i="8"/>
  <c r="M4" i="8"/>
  <c r="H3" i="8"/>
  <c r="I10" i="8"/>
  <c r="J2" i="8"/>
  <c r="K9" i="8"/>
  <c r="L2" i="8"/>
  <c r="M10" i="8"/>
  <c r="F3" i="8"/>
  <c r="K3" i="8"/>
  <c r="M8" i="8"/>
  <c r="L4" i="8"/>
  <c r="E4" i="8"/>
  <c r="K10" i="8"/>
  <c r="F7" i="8"/>
  <c r="H6" i="8"/>
  <c r="L7" i="8"/>
  <c r="M5" i="8"/>
  <c r="E10" i="8"/>
  <c r="K5" i="8"/>
  <c r="H9" i="8"/>
  <c r="E9" i="8"/>
  <c r="F8" i="8"/>
  <c r="E2" i="8"/>
  <c r="J6" i="8"/>
  <c r="G10" i="8"/>
  <c r="E7" i="8"/>
  <c r="L10" i="8"/>
  <c r="L8" i="8"/>
  <c r="K8" i="8"/>
  <c r="M2" i="8"/>
  <c r="G3" i="8"/>
  <c r="I2" i="8"/>
  <c r="M7" i="8"/>
  <c r="F4" i="8"/>
  <c r="J3" i="8"/>
  <c r="J9" i="8"/>
  <c r="L3" i="8"/>
  <c r="F9" i="8"/>
  <c r="G2" i="8"/>
  <c r="X94" i="3"/>
  <c r="P6" i="12" a="1"/>
  <c r="O6" i="12" a="1"/>
  <c r="C6" i="13" a="1"/>
  <c r="N7" i="12" a="1"/>
  <c r="X93" i="3" a="1"/>
  <c r="F1" i="8" l="1"/>
  <c r="N7" i="12"/>
  <c r="C6" i="13"/>
  <c r="O6" i="12"/>
  <c r="P6" i="12"/>
  <c r="Q6" i="12" s="1" a="1"/>
  <c r="Q6" i="12" s="1"/>
  <c r="Q16" i="8"/>
  <c r="Q1" i="8"/>
  <c r="E8" i="12"/>
  <c r="G1" i="8"/>
  <c r="P1" i="8"/>
  <c r="P16" i="8"/>
  <c r="G16" i="8"/>
  <c r="F16" i="8"/>
  <c r="X93" i="3"/>
  <c r="G15" i="13" a="1"/>
  <c r="N8" i="12" a="1"/>
  <c r="P7" i="12" a="1"/>
  <c r="O7" i="12" a="1"/>
  <c r="X92" i="3" a="1"/>
  <c r="G15" i="13" l="1"/>
  <c r="O7" i="12"/>
  <c r="P7" i="12"/>
  <c r="Q7" i="12" s="1" a="1"/>
  <c r="Q7" i="12" s="1"/>
  <c r="N8" i="12"/>
  <c r="E9" i="12"/>
  <c r="X92" i="3"/>
  <c r="P8" i="12" a="1"/>
  <c r="O8" i="12" a="1"/>
  <c r="N9" i="12" a="1"/>
  <c r="X91" i="3" a="1"/>
  <c r="N9" i="12" l="1"/>
  <c r="O8" i="12"/>
  <c r="P8" i="12"/>
  <c r="Q8" i="12" s="1" a="1"/>
  <c r="Q8" i="12" s="1"/>
  <c r="E10" i="12"/>
  <c r="X91" i="3"/>
  <c r="P9" i="12" a="1"/>
  <c r="O9" i="12" a="1"/>
  <c r="N10" i="12" a="1"/>
  <c r="X90" i="3" a="1"/>
  <c r="N10" i="12" l="1"/>
  <c r="O9" i="12"/>
  <c r="P9" i="12"/>
  <c r="Q9" i="12" s="1" a="1"/>
  <c r="Q9" i="12" s="1"/>
  <c r="E11" i="12"/>
  <c r="X90" i="3"/>
  <c r="N11" i="12" a="1"/>
  <c r="P10" i="12" a="1"/>
  <c r="O10" i="12" a="1"/>
  <c r="X89" i="3" a="1"/>
  <c r="O10" i="12" l="1"/>
  <c r="P10" i="12"/>
  <c r="Q10" i="12" s="1" a="1"/>
  <c r="Q10" i="12" s="1"/>
  <c r="N11" i="12"/>
  <c r="E12" i="12"/>
  <c r="X89" i="3"/>
  <c r="P11" i="12" a="1"/>
  <c r="O11" i="12" a="1"/>
  <c r="N12" i="12" a="1"/>
  <c r="X88" i="3" a="1"/>
  <c r="N12" i="12" l="1"/>
  <c r="O11" i="12"/>
  <c r="P11" i="12"/>
  <c r="Q11" i="12" s="1" a="1"/>
  <c r="Q11" i="12" s="1"/>
  <c r="E13" i="12"/>
  <c r="X88" i="3"/>
  <c r="P12" i="12" a="1"/>
  <c r="O12" i="12" a="1"/>
  <c r="N13" i="12" a="1"/>
  <c r="X87" i="3" a="1"/>
  <c r="N13" i="12" l="1"/>
  <c r="O12" i="12"/>
  <c r="P12" i="12"/>
  <c r="Q12" i="12" s="1" a="1"/>
  <c r="Q12" i="12" s="1"/>
  <c r="E14" i="12"/>
  <c r="X87" i="3"/>
  <c r="P13" i="12" a="1"/>
  <c r="O13" i="12" a="1"/>
  <c r="N14" i="12" a="1"/>
  <c r="X86" i="3" a="1"/>
  <c r="N14" i="12" l="1"/>
  <c r="O13" i="12"/>
  <c r="P13" i="12"/>
  <c r="Q13" i="12" s="1" a="1"/>
  <c r="Q13" i="12" s="1"/>
  <c r="E15" i="12"/>
  <c r="X86" i="3"/>
  <c r="P14" i="12" a="1"/>
  <c r="O14" i="12" a="1"/>
  <c r="N15" i="12" a="1"/>
  <c r="X72" i="3" a="1"/>
  <c r="N15" i="12" l="1"/>
  <c r="O14" i="12"/>
  <c r="P14" i="12"/>
  <c r="Q14" i="12" s="1" a="1"/>
  <c r="Q14" i="12" s="1"/>
  <c r="E16" i="12"/>
  <c r="X72" i="3"/>
  <c r="P15" i="12" a="1"/>
  <c r="O15" i="12" a="1"/>
  <c r="N16" i="12" a="1"/>
  <c r="X85" i="3" a="1"/>
  <c r="N16" i="12" l="1"/>
  <c r="O15" i="12"/>
  <c r="P15" i="12"/>
  <c r="Q15" i="12" s="1" a="1"/>
  <c r="Q15" i="12" s="1"/>
  <c r="E17" i="12"/>
  <c r="X85" i="3"/>
  <c r="P16" i="12" a="1"/>
  <c r="O16" i="12" a="1"/>
  <c r="N17" i="12" a="1"/>
  <c r="X84" i="3" a="1"/>
  <c r="N17" i="12" l="1"/>
  <c r="O16" i="12"/>
  <c r="P16" i="12"/>
  <c r="Q16" i="12" s="1" a="1"/>
  <c r="Q16" i="12" s="1"/>
  <c r="X84" i="3"/>
  <c r="P17" i="12" a="1"/>
  <c r="O17" i="12" a="1"/>
  <c r="X83" i="3" a="1"/>
  <c r="O17" i="12" l="1"/>
  <c r="P17" i="12"/>
  <c r="Q17" i="12" s="1" a="1"/>
  <c r="Q17" i="12" s="1"/>
  <c r="X83" i="3"/>
  <c r="X82" i="3" a="1"/>
  <c r="X82" i="3"/>
  <c r="X81" i="3" a="1"/>
  <c r="X81" i="3"/>
  <c r="X80" i="3" a="1"/>
  <c r="X80" i="3"/>
  <c r="X79" i="3" a="1"/>
  <c r="X79" i="3"/>
  <c r="X78" i="3" a="1"/>
  <c r="X78" i="3"/>
  <c r="X77" i="3" a="1"/>
  <c r="X77" i="3"/>
  <c r="X76" i="3" a="1"/>
  <c r="X76" i="3"/>
  <c r="X75" i="3" a="1"/>
  <c r="X75" i="3"/>
  <c r="X74" i="3" a="1"/>
  <c r="X74" i="3"/>
  <c r="X73" i="3" a="1"/>
  <c r="X73" i="3"/>
  <c r="P92" i="3" a="1"/>
  <c r="P92" i="3"/>
  <c r="P91" i="3" a="1"/>
  <c r="P91" i="3"/>
  <c r="P90" i="3" a="1"/>
  <c r="P90" i="3"/>
  <c r="P89" i="3" a="1"/>
  <c r="P89" i="3"/>
  <c r="P88" i="3" a="1"/>
  <c r="P88" i="3"/>
  <c r="P87" i="3" a="1"/>
  <c r="P87" i="3"/>
  <c r="P72" i="3" a="1"/>
  <c r="P72" i="3"/>
  <c r="P86" i="3" a="1"/>
  <c r="P86" i="3"/>
  <c r="P85" i="3" a="1"/>
  <c r="P85" i="3"/>
  <c r="P84" i="3" a="1"/>
  <c r="P84" i="3"/>
  <c r="P83" i="3" a="1"/>
  <c r="P83" i="3"/>
  <c r="P82" i="3" a="1"/>
  <c r="P82" i="3"/>
  <c r="P81" i="3" a="1"/>
  <c r="P81" i="3"/>
  <c r="P80" i="3" a="1"/>
  <c r="P80" i="3"/>
  <c r="P79" i="3" a="1"/>
  <c r="P79" i="3"/>
  <c r="P78" i="3" a="1"/>
  <c r="P78" i="3"/>
  <c r="P77" i="3" a="1"/>
  <c r="P77" i="3"/>
  <c r="P76" i="3" a="1"/>
  <c r="P76" i="3"/>
  <c r="P75" i="3" a="1"/>
  <c r="P75" i="3"/>
  <c r="P74" i="3" a="1"/>
  <c r="P74" i="3"/>
  <c r="P73" i="3" a="1"/>
  <c r="P73" i="3"/>
  <c r="F11" i="13" a="1"/>
  <c r="G12" i="13"/>
  <c r="F12" i="13"/>
  <c r="G11" i="13"/>
  <c r="F11" i="13"/>
  <c r="G7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tc={F5E58993-FF94-41D8-B77E-F22115EAA9A7}</author>
  </authors>
  <commentList>
    <comment ref="F3" authorId="0" shapeId="0" xr:uid="{F5E58993-FF94-41D8-B77E-F22115EAA9A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time spread in units/year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<sst xmlns="http://schemas.openxmlformats.org/spreadsheetml/2006/main" count="923" uniqueCount="292">
  <si>
    <t>Value Date</t>
  </si>
  <si>
    <t>ZAR</t>
  </si>
  <si>
    <t>Spots</t>
  </si>
  <si>
    <t>EUR</t>
  </si>
  <si>
    <t>AUD</t>
  </si>
  <si>
    <t>XAU</t>
  </si>
  <si>
    <t>XAG</t>
  </si>
  <si>
    <t>USD/ZAR</t>
  </si>
  <si>
    <t>EUR/USD</t>
  </si>
  <si>
    <t>AUD/USD</t>
  </si>
  <si>
    <t>XAU/USD</t>
  </si>
  <si>
    <t>XAG/USD</t>
  </si>
  <si>
    <t>XPD/USD</t>
  </si>
  <si>
    <t>XPT/USD</t>
  </si>
  <si>
    <t>Pair</t>
  </si>
  <si>
    <t>BBG</t>
  </si>
  <si>
    <t>Override</t>
  </si>
  <si>
    <t>Used</t>
  </si>
  <si>
    <t>/USD</t>
  </si>
  <si>
    <t>CCY</t>
  </si>
  <si>
    <t>Curves</t>
  </si>
  <si>
    <t>USD</t>
  </si>
  <si>
    <t>USD.LIBOR.3M</t>
  </si>
  <si>
    <t>Instruments</t>
  </si>
  <si>
    <t>ON</t>
  </si>
  <si>
    <t>TN</t>
  </si>
  <si>
    <t>1w</t>
  </si>
  <si>
    <t>2w</t>
  </si>
  <si>
    <t>1m</t>
  </si>
  <si>
    <t>2m</t>
  </si>
  <si>
    <t>3m</t>
  </si>
  <si>
    <t>6m</t>
  </si>
  <si>
    <t>9m</t>
  </si>
  <si>
    <t>12m</t>
  </si>
  <si>
    <t>18m</t>
  </si>
  <si>
    <t>2y</t>
  </si>
  <si>
    <t>3y</t>
  </si>
  <si>
    <t>5y</t>
  </si>
  <si>
    <t>Swaps</t>
  </si>
  <si>
    <t>Objects</t>
  </si>
  <si>
    <t>Ccy</t>
  </si>
  <si>
    <t>Inverted?</t>
  </si>
  <si>
    <t>USD Curve</t>
  </si>
  <si>
    <t>1W</t>
  </si>
  <si>
    <t>1M</t>
  </si>
  <si>
    <t>2M</t>
  </si>
  <si>
    <t>3M</t>
  </si>
  <si>
    <t>Depo Tenor</t>
  </si>
  <si>
    <t>Object</t>
  </si>
  <si>
    <t>PillarDate</t>
  </si>
  <si>
    <t>LIBOR Spot</t>
  </si>
  <si>
    <t>Future</t>
  </si>
  <si>
    <t>ZAR.JIBAR.3M</t>
  </si>
  <si>
    <t>Rate Indices</t>
  </si>
  <si>
    <t>(object)</t>
  </si>
  <si>
    <t>Contangos</t>
  </si>
  <si>
    <t>XPT</t>
  </si>
  <si>
    <t>XPD</t>
  </si>
  <si>
    <t>4y</t>
  </si>
  <si>
    <t>Metal Spot</t>
  </si>
  <si>
    <t>(Date)</t>
  </si>
  <si>
    <t>ZAR Swap</t>
  </si>
  <si>
    <t>Ticker</t>
  </si>
  <si>
    <t>SAONBOR</t>
  </si>
  <si>
    <t>JIBA1M</t>
  </si>
  <si>
    <t>JIBA3M</t>
  </si>
  <si>
    <t>SAFR0CF</t>
  </si>
  <si>
    <t>SAFR0FI</t>
  </si>
  <si>
    <t>3x6</t>
  </si>
  <si>
    <t>6x9</t>
  </si>
  <si>
    <t>Tenor</t>
  </si>
  <si>
    <t>1y</t>
  </si>
  <si>
    <t>ZAR Fund</t>
  </si>
  <si>
    <t>7y</t>
  </si>
  <si>
    <t>FOX Name</t>
  </si>
  <si>
    <t>Swap.ZAR.&lt;Tenor&gt;.FUNDING.3M/JIBAR-SAFEX.3M.BBA</t>
  </si>
  <si>
    <t>Rate</t>
  </si>
  <si>
    <t>ZAR.FUNDING.3M</t>
  </si>
  <si>
    <t>FX Matrix</t>
  </si>
  <si>
    <t>Fx Pairs</t>
  </si>
  <si>
    <t>F-Model</t>
  </si>
  <si>
    <t>Calibration Info</t>
  </si>
  <si>
    <t>Curve Objects</t>
  </si>
  <si>
    <t>Curve</t>
  </si>
  <si>
    <t>Date</t>
  </si>
  <si>
    <t>Fx Vols</t>
  </si>
  <si>
    <t>ATM</t>
  </si>
  <si>
    <t>USDZAR</t>
  </si>
  <si>
    <t>RR</t>
  </si>
  <si>
    <t>BF</t>
  </si>
  <si>
    <t>EURUSD</t>
  </si>
  <si>
    <t>AUDUSD</t>
  </si>
  <si>
    <t>ATM Bump</t>
  </si>
  <si>
    <t>RR/BF</t>
  </si>
  <si>
    <t>PM Vols</t>
  </si>
  <si>
    <t>XAUUSD</t>
  </si>
  <si>
    <t>XAGUSD</t>
  </si>
  <si>
    <t>XPTUSD</t>
  </si>
  <si>
    <t>XPDUSD</t>
  </si>
  <si>
    <t>3m Date</t>
  </si>
  <si>
    <t>Cash Date</t>
  </si>
  <si>
    <t>Label</t>
  </si>
  <si>
    <t>S 0003</t>
  </si>
  <si>
    <t>Code</t>
  </si>
  <si>
    <t>LA</t>
  </si>
  <si>
    <t>AH</t>
  </si>
  <si>
    <t>Settle</t>
  </si>
  <si>
    <t>Live</t>
  </si>
  <si>
    <t>Forwards</t>
  </si>
  <si>
    <t>CA</t>
  </si>
  <si>
    <t>ZS</t>
  </si>
  <si>
    <t>NI</t>
  </si>
  <si>
    <t>PB</t>
  </si>
  <si>
    <t>SN</t>
  </si>
  <si>
    <t>Bump</t>
  </si>
  <si>
    <t>Vols</t>
  </si>
  <si>
    <t>LMECode</t>
  </si>
  <si>
    <t>Asset</t>
  </si>
  <si>
    <t>Skew</t>
  </si>
  <si>
    <t>LP</t>
  </si>
  <si>
    <t>LX</t>
  </si>
  <si>
    <t>LN</t>
  </si>
  <si>
    <t>Fixings</t>
  </si>
  <si>
    <t>Start Date</t>
  </si>
  <si>
    <t>End Date</t>
  </si>
  <si>
    <t>ZAR L130 Curncy</t>
  </si>
  <si>
    <t>GOLDLNAM Index</t>
  </si>
  <si>
    <t>SLVRLN Index</t>
  </si>
  <si>
    <t>PLTMLNAM Index</t>
  </si>
  <si>
    <t>PLDMLNAM Index</t>
  </si>
  <si>
    <t>CO</t>
  </si>
  <si>
    <t>Expiry</t>
  </si>
  <si>
    <t>Bid/Mid/Ask</t>
  </si>
  <si>
    <t>PX_MID</t>
  </si>
  <si>
    <t>Set Sprd</t>
  </si>
  <si>
    <t>Live Sprd</t>
  </si>
  <si>
    <t>QS</t>
  </si>
  <si>
    <t>XB</t>
  </si>
  <si>
    <t>CL</t>
  </si>
  <si>
    <t>Ref</t>
  </si>
  <si>
    <t>Scale</t>
  </si>
  <si>
    <t>Flat Bump</t>
  </si>
  <si>
    <t>Time Bump</t>
  </si>
  <si>
    <t>Flat Price</t>
  </si>
  <si>
    <t>Basis Curves</t>
  </si>
  <si>
    <t>Dated</t>
  </si>
  <si>
    <t>Period</t>
  </si>
  <si>
    <t>Start</t>
  </si>
  <si>
    <t>End</t>
  </si>
  <si>
    <t>Price</t>
  </si>
  <si>
    <t>BBG Ticker</t>
  </si>
  <si>
    <t>3.5Fuel</t>
  </si>
  <si>
    <t>Fwd</t>
  </si>
  <si>
    <t>Swap Fwd</t>
  </si>
  <si>
    <t>Basis Swap</t>
  </si>
  <si>
    <t>Sing180</t>
  </si>
  <si>
    <t>A-Model</t>
  </si>
  <si>
    <t>(Input Surface)</t>
  </si>
  <si>
    <t>Contract</t>
  </si>
  <si>
    <t>AssetId</t>
  </si>
  <si>
    <t>Strike</t>
  </si>
  <si>
    <t>Call/Put</t>
  </si>
  <si>
    <t>Nominal</t>
  </si>
  <si>
    <t>PV</t>
  </si>
  <si>
    <t>Currency</t>
  </si>
  <si>
    <t>(swapObj)</t>
  </si>
  <si>
    <t>(optObj)</t>
  </si>
  <si>
    <t>(used)</t>
  </si>
  <si>
    <t>Put</t>
  </si>
  <si>
    <t>DiscoCurve</t>
  </si>
  <si>
    <t>Vol</t>
  </si>
  <si>
    <t>PaymentLag</t>
  </si>
  <si>
    <t>SpotLag</t>
  </si>
  <si>
    <t>2b</t>
  </si>
  <si>
    <t>(deltaObj)</t>
  </si>
  <si>
    <t>Delta</t>
  </si>
  <si>
    <t>(%)</t>
  </si>
  <si>
    <t>(/Unit)</t>
  </si>
  <si>
    <t>(fxVegaObjj)</t>
  </si>
  <si>
    <t>FxVega</t>
  </si>
  <si>
    <t>(VegaObjj)</t>
  </si>
  <si>
    <t>CommVega</t>
  </si>
  <si>
    <t>Tag</t>
  </si>
  <si>
    <t>A</t>
  </si>
  <si>
    <t>ClientA</t>
  </si>
  <si>
    <t>Portfolio</t>
  </si>
  <si>
    <t>(Objects)</t>
  </si>
  <si>
    <t>Correlations</t>
  </si>
  <si>
    <t>Asset/Fx</t>
  </si>
  <si>
    <t>Asset/Asset</t>
  </si>
  <si>
    <t>Model</t>
  </si>
  <si>
    <t>FixingCal</t>
  </si>
  <si>
    <t>AssetStatic</t>
  </si>
  <si>
    <t>0b</t>
  </si>
  <si>
    <t>ICE</t>
  </si>
  <si>
    <t>NYMEX</t>
  </si>
  <si>
    <t>LON</t>
  </si>
  <si>
    <t>IxFx</t>
  </si>
  <si>
    <t>USD+ZAR</t>
  </si>
  <si>
    <t>AUD+USD</t>
  </si>
  <si>
    <t>EUR+USD</t>
  </si>
  <si>
    <t>ClientB</t>
  </si>
  <si>
    <t>FxDelta</t>
  </si>
  <si>
    <t>FxVega(ZAR)</t>
  </si>
  <si>
    <t>Metrics</t>
  </si>
  <si>
    <t>AssetDelta</t>
  </si>
  <si>
    <t>AssetVega(ZAR)</t>
  </si>
  <si>
    <t>Fx Delta</t>
  </si>
  <si>
    <t>Fx Vega</t>
  </si>
  <si>
    <t>Asset Delta</t>
  </si>
  <si>
    <t>Asset Vega</t>
  </si>
  <si>
    <t>Calculate</t>
  </si>
  <si>
    <t>On</t>
  </si>
  <si>
    <t>Off</t>
  </si>
  <si>
    <t>Settings</t>
  </si>
  <si>
    <t>Paths</t>
  </si>
  <si>
    <t>Timesteps</t>
  </si>
  <si>
    <t>RandomGen</t>
  </si>
  <si>
    <t>Parallel</t>
  </si>
  <si>
    <t>LowMem</t>
  </si>
  <si>
    <t>PathCorrection</t>
  </si>
  <si>
    <t>MersenneTwister</t>
  </si>
  <si>
    <t>Black</t>
  </si>
  <si>
    <t>Credit Static</t>
  </si>
  <si>
    <t>Rating Grade</t>
  </si>
  <si>
    <t>1 YR PD</t>
  </si>
  <si>
    <t>Lower Bound</t>
  </si>
  <si>
    <t>Upper Bound</t>
  </si>
  <si>
    <t>AAA</t>
  </si>
  <si>
    <t>AA+</t>
  </si>
  <si>
    <t>AA</t>
  </si>
  <si>
    <t>AA-</t>
  </si>
  <si>
    <t>A+</t>
  </si>
  <si>
    <t>A-</t>
  </si>
  <si>
    <t>BBB+</t>
  </si>
  <si>
    <t>BBB(upper)</t>
  </si>
  <si>
    <t>BBB</t>
  </si>
  <si>
    <t>BBB-(upper)</t>
  </si>
  <si>
    <t>BBB-</t>
  </si>
  <si>
    <t>BB+(upper)</t>
  </si>
  <si>
    <t>BB+</t>
  </si>
  <si>
    <t>BB(upper)</t>
  </si>
  <si>
    <t>BB</t>
  </si>
  <si>
    <t>BB-(upper)</t>
  </si>
  <si>
    <t>BB-</t>
  </si>
  <si>
    <t>B+(upper)</t>
  </si>
  <si>
    <t>B+</t>
  </si>
  <si>
    <t>B(upper)</t>
  </si>
  <si>
    <t>B</t>
  </si>
  <si>
    <t>B-(upper)</t>
  </si>
  <si>
    <t>B-</t>
  </si>
  <si>
    <t>CCC</t>
  </si>
  <si>
    <t>D</t>
  </si>
  <si>
    <t>Rating</t>
  </si>
  <si>
    <t>Risk Weight</t>
  </si>
  <si>
    <t>CVA Weight</t>
  </si>
  <si>
    <t>Client</t>
  </si>
  <si>
    <t>PD</t>
  </si>
  <si>
    <t>HedgeSet</t>
  </si>
  <si>
    <t>Gold</t>
  </si>
  <si>
    <t>Precious</t>
  </si>
  <si>
    <t>FX</t>
  </si>
  <si>
    <t>Metals</t>
  </si>
  <si>
    <t>Energy</t>
  </si>
  <si>
    <t>CCFs:</t>
  </si>
  <si>
    <t>Equity</t>
  </si>
  <si>
    <t>Credit Settings</t>
  </si>
  <si>
    <t>HazzardCurve</t>
  </si>
  <si>
    <t>Regressor</t>
  </si>
  <si>
    <t>MultiLinear</t>
  </si>
  <si>
    <t>DiscountCurve</t>
  </si>
  <si>
    <t>Regression Dates</t>
  </si>
  <si>
    <t>LGD</t>
  </si>
  <si>
    <t>Confidence Interval</t>
  </si>
  <si>
    <t>Sim Settings</t>
  </si>
  <si>
    <t>Spot EAD (B3)</t>
  </si>
  <si>
    <t>Spot CCR Capital (B2/SM)</t>
  </si>
  <si>
    <t>Spot CVA Capital (B2.5/SM)</t>
  </si>
  <si>
    <t>B2/B3 Split Date</t>
  </si>
  <si>
    <t>PV CCR Capital (B2/SM)</t>
  </si>
  <si>
    <t>PV CVA Capital (B2.5/SM)</t>
  </si>
  <si>
    <t>Split Capital</t>
  </si>
  <si>
    <t>EPE</t>
  </si>
  <si>
    <t>CVA</t>
  </si>
  <si>
    <t>Summary</t>
  </si>
  <si>
    <t>FVA</t>
  </si>
  <si>
    <t>CCR Cap</t>
  </si>
  <si>
    <t>CVA Cap</t>
  </si>
  <si>
    <t>Cost-of-capital</t>
  </si>
  <si>
    <t>Charges</t>
  </si>
  <si>
    <t>PFE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</si>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</sst>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"/>
    <numFmt numFmtId="165" formatCode="_-* #,##0.0000_-;\-* #,##0.0000_-;_-* &quot;-&quot;??_-;_-@_-"/>
    <numFmt numFmtId="166" formatCode="_-* #,##0_-;\-* #,##0_-;_-* &quot;-&quot;??_-;_-@_-"/>
    <numFmt numFmtId="168" formatCode="0.0%"/>
    <numFmt numFmtId="170" formatCode="mmmyy"/>
    <numFmt numFmtId="172" formatCode="0.00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1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3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10" fontId="0" fillId="0" borderId="0" xfId="2" applyNumberFormat="1" applyFont="1"/>
    <xf numFmtId="0" fontId="3" fillId="0" borderId="0" xfId="0" applyFont="1" applyAlignment="1">
      <alignment horizontal="right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2" applyNumberFormat="1" applyFont="1" applyAlignment="1">
      <alignment horizontal="center"/>
    </xf>
    <xf numFmtId="2" fontId="0" fillId="0" borderId="0" xfId="2" applyNumberFormat="1" applyFont="1" applyAlignment="1">
      <alignment horizontal="center"/>
    </xf>
    <xf numFmtId="2" fontId="0" fillId="3" borderId="0" xfId="0" applyNumberFormat="1" applyFill="1"/>
    <xf numFmtId="1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/>
    <xf numFmtId="165" fontId="0" fillId="0" borderId="0" xfId="1" applyNumberFormat="1" applyFont="1"/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9" fontId="0" fillId="2" borderId="0" xfId="0" applyNumberFormat="1" applyFill="1" applyAlignment="1">
      <alignment horizontal="center"/>
    </xf>
    <xf numFmtId="10" fontId="0" fillId="0" borderId="0" xfId="0" applyNumberFormat="1"/>
    <xf numFmtId="10" fontId="0" fillId="3" borderId="0" xfId="2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2" fontId="0" fillId="0" borderId="6" xfId="0" applyNumberFormat="1" applyBorder="1"/>
    <xf numFmtId="2" fontId="0" fillId="2" borderId="0" xfId="0" applyNumberFormat="1" applyFill="1" applyBorder="1"/>
    <xf numFmtId="2" fontId="0" fillId="0" borderId="0" xfId="0" applyNumberFormat="1" applyBorder="1"/>
    <xf numFmtId="2" fontId="0" fillId="0" borderId="7" xfId="0" applyNumberFormat="1" applyBorder="1"/>
    <xf numFmtId="0" fontId="0" fillId="2" borderId="0" xfId="0" applyFill="1" applyBorder="1"/>
    <xf numFmtId="2" fontId="0" fillId="0" borderId="8" xfId="0" applyNumberFormat="1" applyBorder="1"/>
    <xf numFmtId="0" fontId="0" fillId="2" borderId="9" xfId="0" applyFill="1" applyBorder="1"/>
    <xf numFmtId="2" fontId="0" fillId="0" borderId="9" xfId="0" applyNumberForma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3" xfId="0" applyBorder="1"/>
    <xf numFmtId="2" fontId="0" fillId="3" borderId="6" xfId="0" applyNumberFormat="1" applyFill="1" applyBorder="1"/>
    <xf numFmtId="10" fontId="0" fillId="0" borderId="15" xfId="2" applyNumberFormat="1" applyFont="1" applyBorder="1" applyAlignment="1">
      <alignment horizontal="center"/>
    </xf>
    <xf numFmtId="9" fontId="3" fillId="0" borderId="12" xfId="0" applyNumberFormat="1" applyFont="1" applyBorder="1" applyAlignment="1">
      <alignment horizontal="center"/>
    </xf>
    <xf numFmtId="9" fontId="3" fillId="0" borderId="3" xfId="0" applyNumberFormat="1" applyFont="1" applyBorder="1" applyAlignment="1">
      <alignment horizontal="center"/>
    </xf>
    <xf numFmtId="9" fontId="0" fillId="2" borderId="0" xfId="0" applyNumberFormat="1" applyFill="1"/>
    <xf numFmtId="10" fontId="0" fillId="0" borderId="6" xfId="0" applyNumberFormat="1" applyBorder="1"/>
    <xf numFmtId="10" fontId="0" fillId="0" borderId="0" xfId="0" applyNumberFormat="1" applyBorder="1"/>
    <xf numFmtId="9" fontId="3" fillId="0" borderId="8" xfId="0" applyNumberFormat="1" applyFont="1" applyBorder="1" applyAlignment="1">
      <alignment horizontal="center"/>
    </xf>
    <xf numFmtId="9" fontId="3" fillId="0" borderId="9" xfId="0" applyNumberFormat="1" applyFont="1" applyBorder="1" applyAlignment="1">
      <alignment horizontal="center"/>
    </xf>
    <xf numFmtId="9" fontId="3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9" fontId="0" fillId="2" borderId="0" xfId="0" applyNumberFormat="1" applyFill="1" applyBorder="1"/>
    <xf numFmtId="10" fontId="0" fillId="0" borderId="0" xfId="2" applyNumberFormat="1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center"/>
    </xf>
    <xf numFmtId="0" fontId="0" fillId="0" borderId="18" xfId="0" applyBorder="1"/>
    <xf numFmtId="0" fontId="2" fillId="0" borderId="18" xfId="0" applyFont="1" applyBorder="1" applyAlignment="1">
      <alignment horizontal="right"/>
    </xf>
    <xf numFmtId="9" fontId="0" fillId="2" borderId="18" xfId="0" applyNumberFormat="1" applyFill="1" applyBorder="1"/>
    <xf numFmtId="0" fontId="0" fillId="0" borderId="19" xfId="0" applyBorder="1"/>
    <xf numFmtId="0" fontId="2" fillId="0" borderId="20" xfId="0" applyFont="1" applyBorder="1" applyAlignment="1">
      <alignment horizontal="right"/>
    </xf>
    <xf numFmtId="9" fontId="3" fillId="0" borderId="22" xfId="0" applyNumberFormat="1" applyFont="1" applyBorder="1" applyAlignment="1">
      <alignment horizontal="center"/>
    </xf>
    <xf numFmtId="9" fontId="3" fillId="0" borderId="23" xfId="0" applyNumberFormat="1" applyFont="1" applyBorder="1" applyAlignment="1">
      <alignment horizontal="center"/>
    </xf>
    <xf numFmtId="10" fontId="0" fillId="0" borderId="20" xfId="2" applyNumberFormat="1" applyFont="1" applyBorder="1" applyAlignment="1">
      <alignment horizontal="center"/>
    </xf>
    <xf numFmtId="10" fontId="0" fillId="0" borderId="24" xfId="0" applyNumberFormat="1" applyBorder="1"/>
    <xf numFmtId="10" fontId="0" fillId="0" borderId="25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7" xfId="0" applyNumberFormat="1" applyBorder="1"/>
    <xf numFmtId="10" fontId="0" fillId="0" borderId="2" xfId="0" applyNumberFormat="1" applyBorder="1"/>
    <xf numFmtId="10" fontId="0" fillId="0" borderId="28" xfId="0" applyNumberFormat="1" applyBorder="1"/>
    <xf numFmtId="0" fontId="0" fillId="0" borderId="0" xfId="0" applyBorder="1" applyAlignment="1">
      <alignment horizontal="center"/>
    </xf>
    <xf numFmtId="15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0" fontId="2" fillId="0" borderId="0" xfId="0" applyFont="1" applyAlignment="1">
      <alignment horizontal="left" indent="1"/>
    </xf>
    <xf numFmtId="17" fontId="0" fillId="0" borderId="0" xfId="0" applyNumberFormat="1"/>
    <xf numFmtId="14" fontId="0" fillId="0" borderId="0" xfId="0" applyNumberFormat="1"/>
    <xf numFmtId="14" fontId="0" fillId="0" borderId="0" xfId="0" applyNumberFormat="1"/>
    <xf numFmtId="15" fontId="2" fillId="0" borderId="0" xfId="0" applyNumberFormat="1" applyFont="1" applyAlignment="1">
      <alignment horizontal="center"/>
    </xf>
    <xf numFmtId="15" fontId="3" fillId="0" borderId="0" xfId="0" applyNumberFormat="1" applyFont="1"/>
    <xf numFmtId="15" fontId="3" fillId="0" borderId="0" xfId="0" applyNumberFormat="1" applyFont="1" applyAlignment="1">
      <alignment horizontal="center"/>
    </xf>
    <xf numFmtId="9" fontId="3" fillId="0" borderId="0" xfId="2" applyFont="1" applyAlignment="1">
      <alignment horizontal="center"/>
    </xf>
    <xf numFmtId="14" fontId="3" fillId="0" borderId="0" xfId="0" applyNumberFormat="1" applyFont="1" applyAlignment="1">
      <alignment horizontal="center"/>
    </xf>
    <xf numFmtId="10" fontId="0" fillId="0" borderId="6" xfId="2" applyNumberFormat="1" applyFont="1" applyBorder="1"/>
    <xf numFmtId="10" fontId="0" fillId="0" borderId="0" xfId="2" applyNumberFormat="1" applyFont="1" applyBorder="1"/>
    <xf numFmtId="10" fontId="0" fillId="0" borderId="7" xfId="2" applyNumberFormat="1" applyFont="1" applyBorder="1"/>
    <xf numFmtId="10" fontId="0" fillId="0" borderId="8" xfId="2" applyNumberFormat="1" applyFont="1" applyBorder="1"/>
    <xf numFmtId="10" fontId="0" fillId="0" borderId="9" xfId="2" applyNumberFormat="1" applyFont="1" applyBorder="1"/>
    <xf numFmtId="10" fontId="0" fillId="0" borderId="10" xfId="2" applyNumberFormat="1" applyFont="1" applyBorder="1"/>
    <xf numFmtId="0" fontId="3" fillId="0" borderId="14" xfId="0" applyFont="1" applyBorder="1" applyAlignment="1">
      <alignment horizontal="center"/>
    </xf>
    <xf numFmtId="10" fontId="0" fillId="0" borderId="15" xfId="2" applyNumberFormat="1" applyFont="1" applyBorder="1"/>
    <xf numFmtId="10" fontId="0" fillId="0" borderId="16" xfId="2" applyNumberFormat="1" applyFont="1" applyBorder="1"/>
    <xf numFmtId="15" fontId="3" fillId="0" borderId="0" xfId="0" applyNumberFormat="1" applyFont="1" applyAlignment="1"/>
    <xf numFmtId="166" fontId="0" fillId="0" borderId="0" xfId="1" applyNumberFormat="1" applyFont="1"/>
    <xf numFmtId="0" fontId="4" fillId="4" borderId="2" xfId="0" applyFont="1" applyFill="1" applyBorder="1" applyAlignment="1">
      <alignment horizontal="center"/>
    </xf>
    <xf numFmtId="15" fontId="4" fillId="4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15" fontId="3" fillId="0" borderId="4" xfId="0" applyNumberFormat="1" applyFont="1" applyBorder="1" applyAlignment="1">
      <alignment horizontal="center"/>
    </xf>
    <xf numFmtId="15" fontId="3" fillId="0" borderId="5" xfId="0" applyNumberFormat="1" applyFont="1" applyBorder="1" applyAlignment="1">
      <alignment horizontal="center"/>
    </xf>
    <xf numFmtId="15" fontId="3" fillId="0" borderId="0" xfId="0" applyNumberFormat="1" applyFont="1" applyAlignment="1">
      <alignment horizontal="center"/>
    </xf>
    <xf numFmtId="15" fontId="3" fillId="0" borderId="1" xfId="0" applyNumberFormat="1" applyFont="1" applyBorder="1" applyAlignment="1">
      <alignment horizontal="center"/>
    </xf>
    <xf numFmtId="43" fontId="4" fillId="4" borderId="2" xfId="1" applyFont="1" applyFill="1" applyBorder="1" applyAlignment="1">
      <alignment horizontal="center"/>
    </xf>
    <xf numFmtId="168" fontId="0" fillId="0" borderId="0" xfId="2" applyNumberFormat="1" applyFont="1"/>
    <xf numFmtId="43" fontId="0" fillId="0" borderId="0" xfId="1" applyNumberFormat="1" applyFont="1"/>
    <xf numFmtId="170" fontId="0" fillId="0" borderId="0" xfId="0" applyNumberFormat="1"/>
    <xf numFmtId="170" fontId="0" fillId="2" borderId="0" xfId="0" applyNumberFormat="1" applyFill="1"/>
    <xf numFmtId="15" fontId="0" fillId="2" borderId="0" xfId="0" applyNumberFormat="1" applyFill="1"/>
    <xf numFmtId="43" fontId="0" fillId="2" borderId="0" xfId="1" applyFont="1" applyFill="1"/>
    <xf numFmtId="0" fontId="0" fillId="5" borderId="0" xfId="0" applyFill="1"/>
    <xf numFmtId="0" fontId="0" fillId="5" borderId="0" xfId="0" applyFill="1" applyAlignment="1">
      <alignment horizontal="center"/>
    </xf>
    <xf numFmtId="2" fontId="0" fillId="5" borderId="0" xfId="0" applyNumberFormat="1" applyFill="1"/>
    <xf numFmtId="0" fontId="0" fillId="6" borderId="0" xfId="0" applyFill="1"/>
    <xf numFmtId="15" fontId="0" fillId="6" borderId="0" xfId="0" applyNumberFormat="1" applyFill="1"/>
    <xf numFmtId="43" fontId="0" fillId="6" borderId="0" xfId="1" applyFont="1" applyFill="1"/>
    <xf numFmtId="43" fontId="0" fillId="6" borderId="0" xfId="1" applyFont="1" applyFill="1" applyAlignment="1">
      <alignment horizontal="center"/>
    </xf>
    <xf numFmtId="43" fontId="0" fillId="0" borderId="4" xfId="1" applyFont="1" applyBorder="1"/>
    <xf numFmtId="43" fontId="0" fillId="0" borderId="1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0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0" borderId="9" xfId="1" applyFont="1" applyBorder="1"/>
    <xf numFmtId="43" fontId="0" fillId="0" borderId="10" xfId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7" borderId="29" xfId="0" applyFont="1" applyFill="1" applyBorder="1" applyAlignment="1">
      <alignment horizontal="center" vertical="center" wrapText="1"/>
    </xf>
    <xf numFmtId="0" fontId="6" fillId="7" borderId="30" xfId="0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 vertical="center" wrapText="1"/>
    </xf>
    <xf numFmtId="0" fontId="7" fillId="8" borderId="32" xfId="0" applyFont="1" applyFill="1" applyBorder="1" applyAlignment="1">
      <alignment horizontal="center" vertical="center" wrapText="1"/>
    </xf>
    <xf numFmtId="0" fontId="7" fillId="8" borderId="24" xfId="0" applyFont="1" applyFill="1" applyBorder="1" applyAlignment="1">
      <alignment horizontal="center" vertical="center" wrapText="1"/>
    </xf>
    <xf numFmtId="0" fontId="8" fillId="9" borderId="33" xfId="0" applyFont="1" applyFill="1" applyBorder="1" applyAlignment="1">
      <alignment vertical="center"/>
    </xf>
    <xf numFmtId="172" fontId="9" fillId="9" borderId="31" xfId="2" applyNumberFormat="1" applyFont="1" applyFill="1" applyBorder="1" applyAlignment="1">
      <alignment horizontal="right" vertical="center"/>
    </xf>
    <xf numFmtId="172" fontId="10" fillId="9" borderId="31" xfId="2" applyNumberFormat="1" applyFont="1" applyFill="1" applyBorder="1" applyAlignment="1">
      <alignment horizontal="right" vertical="center"/>
    </xf>
    <xf numFmtId="0" fontId="8" fillId="9" borderId="34" xfId="0" applyFont="1" applyFill="1" applyBorder="1" applyAlignment="1">
      <alignment vertical="center"/>
    </xf>
    <xf numFmtId="172" fontId="9" fillId="9" borderId="28" xfId="2" applyNumberFormat="1" applyFont="1" applyFill="1" applyBorder="1" applyAlignment="1">
      <alignment horizontal="right" vertical="center"/>
    </xf>
    <xf numFmtId="172" fontId="10" fillId="9" borderId="28" xfId="2" applyNumberFormat="1" applyFont="1" applyFill="1" applyBorder="1" applyAlignment="1">
      <alignment horizontal="right" vertical="center" wrapText="1"/>
    </xf>
    <xf numFmtId="172" fontId="10" fillId="9" borderId="28" xfId="2" applyNumberFormat="1" applyFont="1" applyFill="1" applyBorder="1" applyAlignment="1">
      <alignment horizontal="right" vertical="center"/>
    </xf>
    <xf numFmtId="172" fontId="0" fillId="0" borderId="0" xfId="2" applyNumberFormat="1" applyFont="1" applyAlignment="1">
      <alignment horizontal="center"/>
    </xf>
    <xf numFmtId="9" fontId="0" fillId="0" borderId="0" xfId="2" applyNumberFormat="1" applyFont="1" applyAlignment="1">
      <alignment horizontal="center"/>
    </xf>
    <xf numFmtId="168" fontId="0" fillId="0" borderId="0" xfId="2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0" applyNumberFormat="1"/>
  </cellXfs>
  <cellStyles count="5">
    <cellStyle name="Comma" xfId="1" builtinId="3"/>
    <cellStyle name="Normal" xfId="0" builtinId="0"/>
    <cellStyle name="Normal 129" xfId="4" xr:uid="{6A1FD557-0F78-4680-A608-BD8BD0677CB1}"/>
    <cellStyle name="Normal 131" xfId="3" xr:uid="{D3B2E963-66DF-40BF-A606-2506F54E376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46.78</v>
        <stp/>
        <stp>##V3_BDPV12</stp>
        <stp>COU4 Comdty</stp>
        <stp>PX_SETTLE</stp>
        <stp>[QwackPricer.xlsb.xlsx]Energy!R61C4</stp>
        <tr r="D61" s="3"/>
      </tp>
      <tp>
        <v>46.96</v>
        <stp/>
        <stp>##V3_BDPV12</stp>
        <stp>COV4 Comdty</stp>
        <stp>PX_SETTLE</stp>
        <stp>[QwackPricer.xlsb.xlsx]Energy!R62C4</stp>
        <tr r="D62" s="3"/>
      </tp>
      <tp>
        <v>16.889694213867188</v>
        <stp/>
        <stp>##V3_BDPV12</stp>
        <stp>LA JUL23 25DP VOL LME Comdty</stp>
        <stp>PX_LAST</stp>
        <stp>[QwackPricer.xlsb.xlsx]Base!R107C5</stp>
        <tr r="E107" s="2"/>
      </tp>
      <tp>
        <v>18.019563674926758</v>
        <stp/>
        <stp>##V3_BDPV12</stp>
        <stp>LA JUL23 10DP VOL LME Comdty</stp>
        <stp>PX_LAST</stp>
        <stp>[QwackPricer.xlsb.xlsx]Base!R107C4</stp>
        <tr r="D107" s="2"/>
      </tp>
      <tp>
        <v>37.31</v>
        <stp/>
        <stp>##V3_BDPV12</stp>
        <stp>COQ1 Comdty</stp>
        <stp>PX_SETTLE</stp>
        <stp>[QwackPricer.xlsb.xlsx]Energy!R24C4</stp>
        <tr r="D24" s="3"/>
      </tp>
      <tp>
        <v>18.029560089111328</v>
        <stp/>
        <stp>##V3_BDPV12</stp>
        <stp>LA JUN23 10DP VOL LME Comdty</stp>
        <stp>PX_LAST</stp>
        <stp>[QwackPricer.xlsb.xlsx]Base!R106C4</stp>
        <tr r="D106" s="2"/>
      </tp>
      <tp>
        <v>16.12986946105957</v>
        <stp/>
        <stp>##V3_BDPV12</stp>
        <stp>LA JAN23 10DC VOL LME Comdty</stp>
        <stp>PX_LAST</stp>
        <stp>[QwackPricer.xlsb.xlsx]Base!R101C8</stp>
        <tr r="H101" s="2"/>
      </tp>
      <tp>
        <v>16.899690628051758</v>
        <stp/>
        <stp>##V3_BDPV12</stp>
        <stp>LA JUN23 25DP VOL LME Comdty</stp>
        <stp>PX_LAST</stp>
        <stp>[QwackPricer.xlsb.xlsx]Base!R106C5</stp>
        <tr r="E106" s="2"/>
      </tp>
      <tp>
        <v>15.939827919006348</v>
        <stp/>
        <stp>##V3_BDPV12</stp>
        <stp>LA JAN23 25DC VOL LME Comdty</stp>
        <stp>PX_LAST</stp>
        <stp>[QwackPricer.xlsb.xlsx]Base!R101C7</stp>
        <tr r="G101" s="2"/>
      </tp>
      <tp>
        <v>5.0000000000000001E-3</v>
        <stp/>
        <stp>##V3_BDPV12</stp>
        <stp>AUDON Curncy</stp>
        <stp>PX_LAST</stp>
        <stp>[QwackPricer.xlsb.xlsx]FX-IR!R32C5</stp>
        <tr r="E32" s="1"/>
      </tp>
      <tp>
        <v>31.57</v>
        <stp/>
        <stp>##V3_BDPV12</stp>
        <stp>COU0 Comdty</stp>
        <stp>PX_SETTLE</stp>
        <stp>[QwackPricer.xlsb.xlsx]Energy!R13C4</stp>
        <tr r="D13" s="3"/>
      </tp>
      <tp>
        <v>44.34</v>
        <stp/>
        <stp>##V3_BDPV12</stp>
        <stp>COV3 Comdty</stp>
        <stp>PX_SETTLE</stp>
        <stp>[QwackPricer.xlsb.xlsx]Energy!R50C4</stp>
        <tr r="D50" s="3"/>
      </tp>
      <tp>
        <v>15.909824371337891</v>
        <stp/>
        <stp>##V3_BDPV12</stp>
        <stp>LA OCT23 25DC VOL LME Comdty</stp>
        <stp>PX_LAST</stp>
        <stp>[QwackPricer.xlsb.xlsx]Base!R110C7</stp>
        <tr r="G110" s="2"/>
      </tp>
      <tp>
        <v>16.099872589111328</v>
        <stp/>
        <stp>##V3_BDPV12</stp>
        <stp>LA OCT23 10DC VOL LME Comdty</stp>
        <stp>PX_LAST</stp>
        <stp>[QwackPricer.xlsb.xlsx]Base!R110C8</stp>
        <tr r="H110" s="2"/>
      </tp>
      <tp>
        <v>2E-3</v>
        <stp/>
        <stp>##V3_BDPV12</stp>
        <stp>AUDTN Curncy</stp>
        <stp>PX_LAST</stp>
        <stp>[QwackPricer.xlsb.xlsx]FX-IR!R33C5</stp>
        <tr r="E33" s="1"/>
      </tp>
      <tp>
        <v>40.89</v>
        <stp/>
        <stp>##V3_BDPV12</stp>
        <stp>COQ2 Comdty</stp>
        <stp>PX_SETTLE</stp>
        <stp>[QwackPricer.xlsb.xlsx]Energy!R36C4</stp>
        <tr r="D36" s="3"/>
      </tp>
      <tp>
        <v>16.129875183105469</v>
        <stp/>
        <stp>##V3_BDPV12</stp>
        <stp>LA MAR23 10DC VOL LME Comdty</stp>
        <stp>PX_LAST</stp>
        <stp>[QwackPricer.xlsb.xlsx]Base!R103C8</stp>
        <tr r="H103" s="2"/>
      </tp>
      <tp>
        <v>15.939828872680664</v>
        <stp/>
        <stp>##V3_BDPV12</stp>
        <stp>LA MAR23 25DC VOL LME Comdty</stp>
        <stp>PX_LAST</stp>
        <stp>[QwackPricer.xlsb.xlsx]Base!R103C7</stp>
        <tr r="G103" s="2"/>
      </tp>
      <tp>
        <v>37.64</v>
        <stp/>
        <stp>##V3_BDPV12</stp>
        <stp>COU1 Comdty</stp>
        <stp>PX_SETTLE</stp>
        <stp>[QwackPricer.xlsb.xlsx]Energy!R25C4</stp>
        <tr r="D25" s="3"/>
      </tp>
      <tp>
        <v>37.93</v>
        <stp/>
        <stp>##V3_BDPV12</stp>
        <stp>COV1 Comdty</stp>
        <stp>PX_SETTLE</stp>
        <stp>[QwackPricer.xlsb.xlsx]Energy!R26C4</stp>
        <tr r="D26" s="3"/>
      </tp>
      <tp>
        <v>16.129863739013672</v>
        <stp/>
        <stp>##V3_BDPV12</stp>
        <stp>LA DEC22 10DC VOL LME Comdty</stp>
        <stp>PX_LAST</stp>
        <stp>[QwackPricer.xlsb.xlsx]Base!R100C8</stp>
        <tr r="H100" s="2"/>
      </tp>
      <tp>
        <v>15.939826011657715</v>
        <stp/>
        <stp>##V3_BDPV12</stp>
        <stp>LA DEC22 25DC VOL LME Comdty</stp>
        <stp>PX_LAST</stp>
        <stp>[QwackPricer.xlsb.xlsx]Base!R100C7</stp>
        <tr r="G100" s="2"/>
      </tp>
      <tp>
        <v>41.660000000000004</v>
        <stp/>
        <stp>##V3_BDPV12</stp>
        <stp>COX2 Comdty</stp>
        <stp>PX_SETTLE</stp>
        <stp>[QwackPricer.xlsb.xlsx]Energy!R39C4</stp>
        <tr r="D39" s="3"/>
      </tp>
      <tp>
        <v>46.58</v>
        <stp/>
        <stp>##V3_BDPV12</stp>
        <stp>COQ4 Comdty</stp>
        <stp>PX_SETTLE</stp>
        <stp>[QwackPricer.xlsb.xlsx]Energy!R60C4</stp>
        <tr r="D60" s="3"/>
      </tp>
      <tp>
        <v>15.93982982635498</v>
        <stp/>
        <stp>##V3_BDPV12</stp>
        <stp>LA MAY23 25DC VOL LME Comdty</stp>
        <stp>PX_LAST</stp>
        <stp>[QwackPricer.xlsb.xlsx]Base!R105C7</stp>
        <tr r="G105" s="2"/>
      </tp>
      <tp>
        <v>16.129878997802734</v>
        <stp/>
        <stp>##V3_BDPV12</stp>
        <stp>LA MAY23 10DC VOL LME Comdty</stp>
        <stp>PX_LAST</stp>
        <stp>[QwackPricer.xlsb.xlsx]Base!R105C8</stp>
        <tr r="H105" s="2"/>
      </tp>
      <tp t="s">
        <v>43598{%f},2719.5{%f};43599{%f},2715{%f};43600{%f},2730{%f};43601{%f},2781{%f};43602{%f},2755{%f};43605{%f},2705{%f};43606{%f},2723{%f};43607{%f},2713{%f};43608{%f},2668{%f};43609{%f},2705{%f};43613{%f},2738{%f};43614{%f},2680{%f};43615{%f},2705{%f};43616{%f},2685{%f};43619{%f},2615.5{%f};43620{%f},2636{%f};43621{%f},2605.5{%f};43622{%f},2637{%f};43623{%f},2621{%f};43626{%f},2620.5{%f};43627{%f},2670{%f};43628{%f},2640.5{%f};43629{%f},2604{%f};43630{%f},2575{%f};43633{%f},2549{%f};43634{%f},2589{%f};43635{%f},2607.5{%f};43636{%f},2586{%f};43637{%f},2542.5{%f};43640{%f},2578{%f};43641{%f},2644{%f};43642{%f},2623{%f};43643{%f},2518{%f};43644{%f},2580.5{%f};43647{%f},2546{%f};43648{%f},2491{%f};43649{%f},2507{%f};43650{%f},2440{%f};43651{%f},2404{%f};43654{%f},2392{%f};43655{%f},2372{%f};43656{%f},2381{%f};43657{%f},2404{%f};43658{%f},2426.5{%f};43661{%f},2461{%f};43662{%f},2463{%f};43663{%f},2469.5{%f};43664{%f},2477{%f};43665{%f},2427{%f};43668{%f},2398.5{%f};43669{%f},2408{%f};43670{%f},2456{%f};43671{%f},2436{%f};43672{%f},2423{%f};43675{%f},2472{%f};43676{%f},2474{%f};43677{%f},2425.5{%f};43678{%f},2396{%f};43679{%f},2352{%f};43682{%f},2321{%f};43683{%f},2328{%f};43684{%f},2258{%f};43685{%f},2272{%f};43686{%f},2262.5{%f};43689{%f},2239{%f};43690{%f},2263{%f};43691{%f},2269{%f};43692{%f},2262{%f};43693{%f},2264.5{%f};43696{%f},2238{%f};43697{%f},2226{%f};43698{%f},2257{%f};43699{%f},2247{%f};43700{%f},2261{%f};43704{%f},2270{%f};43705{%f},2261{%f};43706{%f},2285{%f};43707{%f},2246{%f};43710{%f},2238.5{%f};43711{%f},2211{%f};43712{%f},2268{%f};43713{%f},2351{%f};43714{%f},2312{%f};43717{%f},2311.5{%f};43718{%f},2298{%f};43719{%f},2364.5{%f};43720{%f},2357{%f};43721{%f},2382{%f};43724{%f},2389{%f};43725{%f},2344.5{%f};43726{%f},2321{%f};43727{%f},2299{%f};43728{%f},2310{%f};43731{%f},2302{%f};43732{%f},2314{%f};43733{%f},2288.5{%f};43734{%f},2338{%f};43735{%f},2336{%f};43738{%f},2377{%f};43739{%f},2380{%f};43740{%f},2315.5{%f};43741{%f},2324{%f};43742{%f},2345{%f};43745{%f},2327{%f};43746{%f},2294.5{%f};43747{%f},2322{%f};43748{%f},2400{%f};43749{%f},2440.5{%f};43752{%f},2432{%f};43753{%f},2436{%f};43754{%f},2441{%f};43755{%f},2457{%f};43756{%f},2489{%f};43759{%f},2500{%f};43760{%f},2503{%f};43761{%f},2510{%f};43762{%f},2518.5{%f};43763{%f},2544{%f};43766{%f},2577{%f};43767{%f},2586{%f};43768{%f},2563.5{%f};43769{%f},2543{%f};43770{%f},2541{%f};43773{%f},2586{%f};43774{%f},2595{%f};43775{%f},2528{%f};43776{%f},2542{%f};43777{%f},2507{%f};43780{%f},2538{%f};43781{%f},2542.5{%f};43782{%f},2482{%f};43783{%f},2458{%f};43784{%f},2427{%f};43787{%f},2384{%f};43788{%f},2362{%f};43789{%f},2360.5{%f};43790{%f},2328{%f};43791{%f},2315{%f};43794{%f},2335{%f};43795{%f},2301{%f};43796{%f},2335{%f};43797{%f},2312.5{%f};43798{%f},2312.5{%f};43801{%f},2285.5{%f};43802{%f},2221.5{%f};43803{%f},2256.5{%f};43804{%f},2255{%f};43805{%f},2250{%f};43808{%f},2233{%f};43809{%f},2222{%f};43810{%f},2222{%f};43811{%f},2229{%f};43812{%f},2279{%f};43815{%f},2269{%f};43816{%f},2297{%f};43817{%f},2307{%f};43818{%f},2324{%f};43819{%f},2341{%f};43822{%f},2308{%f};43823{%f},2277{%f};43826{%f},2296{%f};43829{%f},2315{%f};43830{%f},2293{%f};43832{%f},2299{%f};43833{%f},2284{%f};43836{%f},2335{%f};43837{%f},2346{%f};43838{%f},2406{%f};43839{%f},2419{%f};43840{%f},2382{%f};43843{%f},2366.5{%f};43844{%f},2364{%f};43845{%f},2390{%f};43846{%f},2438{%f};43847{%f},2434{%f};43850{%f},2461{%f};43851{%f},2455{%f};43852{%f},2466.5{%f};43853{%f},2386{%f};43854{%f},2354.5{%f};43857{%f},2293{%f};43858{%f},2270{%f};43859{%f},2256{%f};43860{%f},2235.5{%f};43861{%f},2219{%f};43864{%f},2200{%f};43865{%f},2217.5{%f};43866{%f},2222.5{%f};43867{%f},2206{%f};43868{%f},2152.5{%f};43871{%f},2128{%f};43872{%f},2145{%f};43873{%f},2140{%f};43874{%f},2157{%f};43875{%f},2138{%f};43878{%f},2153.5{%f};43879{%f},2128{%f};43880{%f},2126.5{%f};43881{%f},2100{%f};43882{%f},2086.5{%f};43885{%f},2039{%f};43886{%f},2038{%f};43887{%f},2014{%f};43888{%f},1999{%f};43889{%f},2018.5{%f};43892{%f},2009{%f};43893{%f},1986{%f};43894{%f},1964{%f};43895{%f},2002{%f};43896{%f},1978{%f};43899{%f},1925.5{%f};43900{%f},2000{%f};43901{%f},1978.5{%f};43902{%f},1927{%f};43903{%f},1986.5{%f};43906{%f},1932{%f};43907{%f},1900{%f};43908{%f},1820{%f};43909{%f},1841{%f};43910{%f},1880{%f};43913{%f},1814{%f};43914{%f},1822{%f};43915{%f},1773.5{%f};43916{%f},1831.5{%f};43917{%f},1848.5{%f};43920{%f},1837{%f};43921{%f},1867.5{%f};43922{%f},1843{%f};43923{%f},1845{%f};43924{%f},1862{%f};43927{%f},1854.5{%f};43928{%f},1932{%f};43929{%f},1890{%f};43930{%f},1884{%f};43935{%f},1906{%f};43936{%f},1908.5{%f};43937{%f},1923.5{%f};43938{%f},1933.5{%f};43941{%f},1940.5{%f};43942{%f},1876{%f};43943{%f},1898{%f};43944{%f},1855{%f};43945{%f},1864{%f};43948{%f},1891.5{%f};43949{%f},1915{%f};43950{%f},1930{%f};43951{%f},1929.5{%f};43952{%f},1899{%f};43955{%f},1882{%f};43956{%f},1897.5{%f};43957{%f},1945.5{%f};43958{%f},2000{%f};43962{%f},1999{%f}##BDH_RS##</v>
        <stp/>
        <stp>##V3_BDHV12</stp>
        <stp>LOZSDY Comdty</stp>
        <stp>PX_SETTLE</stp>
        <stp>13/05/2019</stp>
        <stp>12/05/2020</stp>
        <stp>[QwackPricer.xlsb.xlsx]Base!R119C3</stp>
        <stp>Array=true</stp>
        <tr r="C119" s="2"/>
      </tp>
      <tp t="s">
        <v>43598{%f},6042.5{%f};43599{%f},6007{%f};43600{%f},6002{%f};43601{%f},6089{%f};43602{%f},6025{%f};43605{%f},5985{%f};43606{%f},6004{%f};43607{%f},5920{%f};43608{%f},5860{%f};43609{%f},5919{%f};43613{%f},5956.5{%f};43614{%f},5864.5{%f};43615{%f},5823{%f};43616{%f},5780.5{%f};43619{%f},5796{%f};43620{%f},5804{%f};43621{%f},5832.5{%f};43622{%f},5805{%f};43623{%f},5770{%f};43626{%f},5788{%f};43627{%f},5905{%f};43628{%f},5828.5{%f};43629{%f},5797.5{%f};43630{%f},5805.5{%f};43633{%f},5756{%f};43634{%f},5848.5{%f};43635{%f},5895{%f};43636{%f},5962{%f};43637{%f},5941{%f};43640{%f},5917{%f};43641{%f},5985.5{%f};43642{%f},6006{%f};43643{%f},5953.5{%f};43644{%f},5972{%f};43647{%f},5999{%f};43648{%f},5910{%f};43649{%f},5874{%f};43650{%f},5900{%f};43651{%f},5857{%f};43654{%f},5912{%f};43655{%f},5805{%f};43656{%f},5862.5{%f};43657{%f},5925{%f};43658{%f},5950{%f};43661{%f},5997.5{%f};43662{%f},5959{%f};43663{%f},5922{%f};43664{%f},5948{%f};43665{%f},6066{%f};43668{%f},6007.5{%f};43669{%f},5968.5{%f};43670{%f},5980{%f};43671{%f},6010{%f};43672{%f},5945{%f};43675{%f},5949.5{%f};43676{%f},5943{%f};43677{%f},5926{%f};43678{%f},5876{%f};43679{%f},5769{%f};43682{%f},5647{%f};43683{%f},5667{%f};43684{%f},5673.5{%f};43685{%f},5723{%f};43686{%f},5744{%f};43689{%f},5724.5{%f};43690{%f},5697{%f};43691{%f},5732{%f};43692{%f},5696.5{%f};43693{%f},5710{%f};43696{%f},5755.5{%f};43697{%f},5698{%f};43698{%f},5696.5{%f};43699{%f},5668{%f};43700{%f},5675{%f};43704{%f},5662{%f};43705{%f},5653{%f};43706{%f},5722{%f};43707{%f},5678{%f};43710{%f},5610.5{%f};43711{%f},5537{%f};43712{%f},5663{%f};43713{%f},5777{%f};43714{%f},5787.5{%f};43717{%f},5771{%f};43718{%f},5738{%f};43719{%f},5765{%f};43720{%f},5842.5{%f};43721{%f},5870{%f};43724{%f},5877{%f};43725{%f},5762{%f};43726{%f},5745{%f};43727{%f},5758.5{%f};43728{%f},5777.5{%f};43731{%f},5695{%f};43732{%f},5761{%f};43733{%f},5718.5{%f};43734{%f},5757{%f};43735{%f},5714{%f};43738{%f},5728{%f};43739{%f},5610{%f};43740{%f},5629{%f};43741{%f},5626{%f};43742{%f},5599{%f};43745{%f},5626{%f};43746{%f},5650.5{%f};43747{%f},5660{%f};43748{%f},5698.5{%f};43749{%f},5763{%f};43752{%f},5718.5{%f};43753{%f},5745{%f};43754{%f},5684{%f};43755{%f},5726.5{%f};43756{%f},5751{%f};43759{%f},5820{%f};43760{%f},5794{%f};43761{%f},5773{%f};43762{%f},5869{%f};43763{%f},5867.5{%f};43766{%f},5888.5{%f};43767{%f},5879.5{%f};43768{%f},5883{%f};43769{%f},5825{%f};43770{%f},5797{%f};43773{%f},5846.5{%f};43774{%f},5880{%f};43775{%f},5913.5{%f};43776{%f},5941{%f};43777{%f},5951.5{%f};43780{%f},5857{%f};43781{%f},5838{%f};43782{%f},5823{%f};43783{%f},5835{%f};43784{%f},5812{%f};43787{%f},5828{%f};43788{%f},5821.5{%f};43789{%f},5873{%f};43790{%f},5813{%f};43791{%f},5834{%f};43794{%f},5872.5{%f};43795{%f},5856{%f};43796{%f},5925.5{%f};43797{%f},5881.5{%f};43798{%f},5854{%f};43801{%f},5855.5{%f};43802{%f},5812{%f};43803{%f},5823{%f};43804{%f},5855{%f};43805{%f},5867.5{%f};43808{%f},5985{%f};43809{%f},6055{%f};43810{%f},6083{%f};43811{%f},6097{%f};43812{%f},6154{%f};43815{%f},6155.5{%f};43816{%f},6175{%f};43817{%f},6126.5{%f};43818{%f},6161{%f};43819{%f},6155.5{%f};43822{%f},6153{%f};43823{%f},6184.5{%f};43826{%f},6211{%f};43829{%f},6183.5{%f};43830{%f},6156{%f};43832{%f},6165.5{%f};43833{%f},6077{%f};43836{%f},6097.5{%f};43837{%f},6134.5{%f};43838{%f},6154{%f};43839{%f},6156{%f};43840{%f},6157{%f};43843{%f},6177{%f};43844{%f},6247{%f};43845{%f},6232{%f};43846{%f},6300.5{%f};43847{%f},6276.5{%f};43850{%f},6245{%f};43851{%f},6158.5{%f};43852{%f},6103.5{%f};43853{%f},6050{%f};43854{%f},5968{%f};43857{%f},5779{%f};43858{%f},5715{%f};43859{%f},5698{%f};43860{%f},5621{%f};43861{%f},5570{%f};43864{%f},5595{%f};43865{%f},5652{%f};43866{%f},5714{%f};43867{%f},5726{%f};43868{%f},5653{%f};43871{%f},5659.5{%f};43872{%f},5696{%f};43873{%f},5747{%f};43874{%f},5716{%f};43875{%f},5737{%f};43878{%f},5802{%f};43879{%f},5728{%f};43880{%f},5745.5{%f};43881{%f},5730{%f};43882{%f},5702{%f};43885{%f},5657.5{%f};43886{%f},5663.5{%f};43887{%f},5614{%f};43888{%f},5618{%f};43889{%f},5573{%f};43892{%f},5640{%f};43893{%f},5668{%f};43894{%f},5694.5{%f};43895{%f},5667.5{%f};43896{%f},5624{%f};43899{%f},5483{%f};43900{%f},5598{%f};43901{%f},5552{%f};43902{%f},5386.5{%f};43903{%f},5530.5{%f};43906{%f},5211{%f};43907{%f},5205{%f};43908{%f},4860.5{%f};43909{%f},4685{%f};43910{%f},4855{%f};43913{%f},4617.5{%f};43914{%f},4789.5{%f};43915{%f},4754{%f};43916{%f},4775.5{%f};43917{%f},4774{%f};43920{%f},4763{%f};43921{%f},4797{%f};43922{%f},4772{%f};43923{%f},4821.5{%f};43924{%f},4863.5{%f};43927{%f},4867{%f};43928{%f},5067.5{%f};43929{%f},4976{%f};43930{%f},4963.5{%f};43935{%f},5119{%f};43936{%f},5054.5{%f};43937{%f},5098.5{%f};43938{%f},5175.5{%f};43941{%f},5169.5{%f};43942{%f},4994.5{%f};43943{%f},5034{%f};43944{%f},5120.5{%f};43945{%f},5118{%f};43948{%f},5165.5{%f};43949{%f},5169.5{%f};43950{%f},5184{%f};43951{%f},5231{%f};43952{%f},5061{%f};43955{%f},5058{%f};43956{%f},5111.5{%f};43957{%f},5199.5{%f};43958{%f},5227.5{%f};43962{%f},5231{%f}##BDH_RS##</v>
        <stp/>
        <stp>##V3_BDHV12</stp>
        <stp>LOCADY Comdty</stp>
        <stp>PX_SETTLE</stp>
        <stp>13/05/2019</stp>
        <stp>12/05/2020</stp>
        <stp>[QwackPricer.xlsb.xlsx]Base!R118C3</stp>
        <stp>Array=true</stp>
        <tr r="C118" s="2"/>
      </tp>
      <tp t="s">
        <v>43598{%f},1765.5{%f};43599{%f},1792{%f};43600{%f},1802{%f};43601{%f},1832{%f};43602{%f},1805{%f};43605{%f},1786{%f};43606{%f},1766{%f};43607{%f},1747{%f};43608{%f},1740{%f};43609{%f},1761.5{%f};43613{%f},1773{%f};43614{%f},1770{%f};43615{%f},1762{%f};43616{%f},1761{%f};43619{%f},1763.5{%f};43620{%f},1751.5{%f};43621{%f},1766{%f};43622{%f},1742.5{%f};43623{%f},1733{%f};43626{%f},1720.5{%f};43627{%f},1754.5{%f};43628{%f},1753.5{%f};43629{%f},1756{%f};43630{%f},1737.5{%f};43633{%f},1719.5{%f};43634{%f},1733{%f};43635{%f},1746.5{%f};43636{%f},1778{%f};43637{%f},1743.5{%f};43640{%f},1747.5{%f};43641{%f},1776.5{%f};43642{%f},1803{%f};43643{%f},1782{%f};43644{%f},1773.5{%f};43647{%f},1778{%f};43648{%f},1755.5{%f};43649{%f},1754.5{%f};43650{%f},1771.5{%f};43651{%f},1779.5{%f};43654{%f},1783{%f};43655{%f},1783{%f};43656{%f},1811.5{%f};43657{%f},1807{%f};43658{%f},1799.5{%f};43661{%f},1810{%f};43662{%f},1818{%f};43663{%f},1819{%f};43664{%f},1827.5{%f};43665{%f},1833{%f};43668{%f},1808{%f};43669{%f},1795{%f};43670{%f},1795.5{%f};43671{%f},1795.5{%f};43672{%f},1778{%f};43675{%f},1774.5{%f};43676{%f},1781.5{%f};43677{%f},1776.5{%f};43678{%f},1757{%f};43679{%f},1749{%f};43682{%f},1739.5{%f};43683{%f},1740.5{%f};43684{%f},1728{%f};43685{%f},1737.5{%f};43686{%f},1746{%f};43689{%f},1743{%f};43690{%f},1731{%f};43691{%f},1741{%f};43692{%f},1742.5{%f};43693{%f},1755.5{%f};43696{%f},1762.5{%f};43697{%f},1756.5{%f};43698{%f},1751{%f};43699{%f},1739{%f};43700{%f},1746{%f};43704{%f},1744{%f};43705{%f},1724{%f};43706{%f},1713.5{%f};43707{%f},1712.5{%f};43710{%f},1716.5{%f};43711{%f},1714.5{%f};43712{%f},1734.5{%f};43713{%f},1754.5{%f};43714{%f},1761.5{%f};43717{%f},1769{%f};43718{%f},1776{%f};43719{%f},1792.5{%f};43720{%f},1774{%f};43721{%f},1768{%f};43724{%f},1770.5{%f};43725{%f},1746.5{%f};43726{%f},1751{%f};43727{%f},1762.5{%f};43728{%f},1766{%f};43731{%f},1756{%f};43732{%f},1751.5{%f};43733{%f},1736{%f};43734{%f},1724{%f};43735{%f},1713{%f};43738{%f},1703.5{%f};43739{%f},1705.5{%f};43740{%f},1697{%f};43741{%f},1697{%f};43742{%f},1701.5{%f};43745{%f},1713{%f};43746{%f},1732{%f};43747{%f},1729{%f};43748{%f},1738{%f};43749{%f},1721{%f};43752{%f},1704.5{%f};43753{%f},1702{%f};43754{%f},1703.5{%f};43755{%f},1726{%f};43756{%f},1729{%f};43759{%f},1735.5{%f};43760{%f},1707.5{%f};43761{%f},1712{%f};43762{%f},1715{%f};43763{%f},1710.5{%f};43766{%f},1727{%f};43767{%f},1737.5{%f};43768{%f},1746.5{%f};43769{%f},1742.5{%f};43770{%f},1766{%f};43773{%f},1787{%f};43774{%f},1813.5{%f};43775{%f},1817.5{%f};43776{%f},1817.5{%f};43777{%f},1827.5{%f};43780{%f},1805{%f};43781{%f},1765.5{%f};43782{%f},1768{%f};43783{%f},1756{%f};43784{%f},1741{%f};43787{%f},1744{%f};43788{%f},1734.5{%f};43789{%f},1748{%f};43790{%f},1753{%f};43791{%f},1750{%f};43794{%f},1753{%f};43795{%f},1750.5{%f};43796{%f},1770.5{%f};43797{%f},1765{%f};43798{%f},1785.5{%f};43801{%f},1789.5{%f};43802{%f},1802{%f};43803{%f},1771{%f};43804{%f},1756{%f};43805{%f},1750.5{%f};43808{%f},1766{%f};43809{%f},1750{%f};43810{%f},1751.5{%f};43811{%f},1755{%f};43812{%f},1763.5{%f};43815{%f},1763{%f};43816{%f},1754{%f};43817{%f},1758{%f};43818{%f},1765.5{%f};43819{%f},1770.5{%f};43822{%f},1771.5{%f};43823{%f},1790.5{%f};43826{%f},1789{%f};43829{%f},1791{%f};43830{%f},1800{%f};43832{%f},1772{%f};43833{%f},1758{%f};43836{%f},1791{%f};43837{%f},1794{%f};43838{%f},1771.5{%f};43839{%f},1771{%f};43840{%f},1771.5{%f};43843{%f},1766.5{%f};43844{%f},1767.5{%f};43845{%f},1778.5{%f};43846{%f},1794{%f};43847{%f},1796{%f};43850{%f},1807{%f};43851{%f},1810.5{%f};43852{%f},1807.5{%f};43853{%f},1781.5{%f};43854{%f},1775.5{%f};43857{%f},1755.5{%f};43858{%f},1744.5{%f};43859{%f},1732.5{%f};43860{%f},1722.5{%f};43861{%f},1709.5{%f};43864{%f},1694.5{%f};43865{%f},1687{%f};43866{%f},1688{%f};43867{%f},1698{%f};43868{%f},1693.5{%f};43871{%f},1676{%f};43872{%f},1689.5{%f};43873{%f},1707{%f};43874{%f},1701.5{%f};43875{%f},1704.5{%f};43878{%f},1678.5{%f};43879{%f},1681{%f};43880{%f},1686{%f};43881{%f},1687{%f};43882{%f},1677{%f};43885{%f},1672.5{%f};43886{%f},1685{%f};43887{%f},1676.5{%f};43888{%f},1671{%f};43889{%f},1663{%f};43892{%f},1684.5{%f};43893{%f},1706{%f};43894{%f},1723.5{%f};43895{%f},1715{%f};43896{%f},1687{%f};43899{%f},1643.5{%f};43900{%f},1689{%f};43901{%f},1670.5{%f};43902{%f},1643{%f};43903{%f},1677{%f};43906{%f},1640.5{%f};43907{%f},1628{%f};43908{%f},1602.5{%f};43909{%f},1581{%f};43910{%f},1580.5{%f};43913{%f},1536{%f};43914{%f},1532.5{%f};43915{%f},1507.5{%f};43916{%f},1507.5{%f};43917{%f},1506{%f};43920{%f},1495{%f};43921{%f},1489{%f};43922{%f},1463.5{%f};43923{%f},1448.5{%f};43924{%f},1452{%f};43927{%f},1424.5{%f};43928{%f},1455.5{%f};43929{%f},1421.5{%f};43930{%f},1428.5{%f};43935{%f},1456{%f};43936{%f},1469.5{%f};43937{%f},1476{%f};43938{%f},1482.5{%f};43941{%f},1451.5{%f};43942{%f},1443.5{%f};43943{%f},1461.5{%f};43944{%f},1473.5{%f};43945{%f},1473{%f};43948{%f},1472.5{%f};43949{%f},1465{%f};43950{%f},1464{%f};43951{%f},1460.5{%f};43952{%f},1440{%f};43955{%f},1437{%f};43956{%f},1438.5{%f};43957{%f},1443{%f};43958{%f},1450{%f};43962{%f},1454.5{%f}##BDH_RS##</v>
        <stp/>
        <stp>##V3_BDHV12</stp>
        <stp>LOAHDY Comdty</stp>
        <stp>PX_SETTLE</stp>
        <stp>13/05/2019</stp>
        <stp>12/05/2020</stp>
        <stp>[QwackPricer.xlsb.xlsx]Base!R117C3</stp>
        <stp>Array=true</stp>
        <tr r="C117" s="2"/>
      </tp>
      <tp>
        <v>0.185</v>
        <stp/>
        <stp>##V3_BDPV12</stp>
        <stp>EURON Curncy</stp>
        <stp>PX_LAST</stp>
        <stp>[QwackPricer.xlsb.xlsx]FX-IR!R32C4</stp>
        <tr r="D32" s="1"/>
      </tp>
      <tp>
        <v>32.4</v>
        <stp/>
        <stp>##V3_BDPV12</stp>
        <stp>COV0 Comdty</stp>
        <stp>PX_SETTLE</stp>
        <stp>[QwackPricer.xlsb.xlsx]Energy!R14C4</stp>
        <tr r="D14" s="3"/>
      </tp>
      <tp>
        <v>38.49</v>
        <stp/>
        <stp>##V3_BDPV12</stp>
        <stp>COZ1 Comdty</stp>
        <stp>PX_SETTLE</stp>
        <stp>[QwackPricer.xlsb.xlsx]Energy!R28C4</stp>
        <tr r="D28" s="3"/>
      </tp>
      <tp>
        <v>41.14</v>
        <stp/>
        <stp>##V3_BDPV12</stp>
        <stp>COU2 Comdty</stp>
        <stp>PX_SETTLE</stp>
        <stp>[QwackPricer.xlsb.xlsx]Energy!R37C4</stp>
        <tr r="D37" s="3"/>
      </tp>
      <tp>
        <v>16.089870452880859</v>
        <stp/>
        <stp>##V3_BDPV12</stp>
        <stp>LA DEC23 10DC VOL LME Comdty</stp>
        <stp>PX_LAST</stp>
        <stp>[QwackPricer.xlsb.xlsx]Base!R112C8</stp>
        <tr r="H112" s="2"/>
      </tp>
      <tp>
        <v>16.129873275756836</v>
        <stp/>
        <stp>##V3_BDPV12</stp>
        <stp>LA FEB23 10DC VOL LME Comdty</stp>
        <stp>PX_LAST</stp>
        <stp>[QwackPricer.xlsb.xlsx]Base!R102C8</stp>
        <tr r="H102" s="2"/>
      </tp>
      <tp>
        <v>15.939828872680664</v>
        <stp/>
        <stp>##V3_BDPV12</stp>
        <stp>LA FEB23 25DC VOL LME Comdty</stp>
        <stp>PX_LAST</stp>
        <stp>[QwackPricer.xlsb.xlsx]Base!R102C7</stp>
        <tr r="G102" s="2"/>
      </tp>
      <tp>
        <v>15.899822235107422</v>
        <stp/>
        <stp>##V3_BDPV12</stp>
        <stp>LA DEC23 25DC VOL LME Comdty</stp>
        <stp>PX_LAST</stp>
        <stp>[QwackPricer.xlsb.xlsx]Base!R112C7</stp>
        <tr r="G112" s="2"/>
      </tp>
      <tp>
        <v>15.660052299499512</v>
        <stp/>
        <stp>##V3_BDPV12</stp>
        <stp>LA SEP23 50D VOL LME Comdty</stp>
        <stp>PX_LAST</stp>
        <stp>[QwackPricer.xlsb.xlsx]Base!R109C6</stp>
        <tr r="F109" s="2"/>
      </tp>
      <tp>
        <v>18.069553375244141</v>
        <stp/>
        <stp>##V3_BDPV12</stp>
        <stp>LA APR23 10DP VOL LME Comdty</stp>
        <stp>PX_LAST</stp>
        <stp>[QwackPricer.xlsb.xlsx]Base!R104C4</stp>
        <tr r="D104" s="2"/>
      </tp>
      <tp>
        <v>16.919679641723633</v>
        <stp/>
        <stp>##V3_BDPV12</stp>
        <stp>LA APR23 25DP VOL LME Comdty</stp>
        <stp>PX_LAST</stp>
        <stp>[QwackPricer.xlsb.xlsx]Base!R104C5</stp>
        <tr r="E104" s="2"/>
      </tp>
      <tp t="s">
        <v>43598{%f},19465{%f};43599{%f},19890{%f};43600{%f},19850{%f};43601{%f},19675{%f};43602{%f},19625{%f};43605{%f},19675{%f};43606{%f},19750{%f};43607{%f},19650{%f};43608{%f},19720{%f};43609{%f},19530{%f};43613{%f},19475{%f};43614{%f},18965{%f};43615{%f},18900{%f};43616{%f},18860{%f};43619{%f},19000{%f};43620{%f},19250{%f};43621{%f},19110{%f};43622{%f},19110{%f};43623{%f},19630{%f};43626{%f},19280{%f};43627{%f},19360{%f};43628{%f},19325{%f};43629{%f},19500{%f};43630{%f},19550{%f};43633{%f},19125{%f};43634{%f},18975{%f};43635{%f},19000{%f};43636{%f},19400{%f};43637{%f},19130{%f};43640{%f},19075{%f};43641{%f},19030{%f};43642{%f},19000{%f};43643{%f},18875{%f};43644{%f},18805{%f};43647{%f},18900{%f};43648{%f},18500{%f};43649{%f},18125{%f};43650{%f},18550{%f};43651{%f},18350{%f};43654{%f},18425{%f};43655{%f},18305{%f};43656{%f},18050{%f};43657{%f},17900{%f};43658{%f},18200{%f};43661{%f},18010{%f};43662{%f},17990{%f};43663{%f},17805{%f};43664{%f},17850{%f};43665{%f},17780{%f};43668{%f},17820{%f};43669{%f},17600{%f};43670{%f},17650{%f};43671{%f},17755{%f};43672{%f},17830{%f};43675{%f},17555{%f};43676{%f},17575{%f};43677{%f},17275{%f};43678{%f},17275{%f};43679{%f},17300{%f};43682{%f},16830{%f};43683{%f},17100{%f};43684{%f},17025{%f};43685{%f},16950{%f};43686{%f},16900{%f};43689{%f},17025{%f};43690{%f},16950{%f};43691{%f},17075{%f};43692{%f},16880{%f};43693{%f},16805{%f};43696{%f},16390{%f};43697{%f},16425{%f};43698{%f},16175{%f};43699{%f},15900{%f};43700{%f},16050{%f};43704{%f},15725{%f};43705{%f},15830{%f};43706{%f},15710{%f};43707{%f},15800{%f};43710{%f},17165{%f};43711{%f},16555{%f};43712{%f},16960{%f};43713{%f},17200{%f};43714{%f},17075{%f};43717{%f},17225{%f};43718{%f},17350{%f};43719{%f},17400{%f};43720{%f},17460{%f};43721{%f},17275{%f};43724{%f},16750{%f};43725{%f},16710{%f};43726{%f},16850{%f};43727{%f},16525{%f};43728{%f},16425{%f};43731{%f},16600{%f};43732{%f},16500{%f};43733{%f},16530{%f};43734{%f},16700{%f};43735{%f},16325{%f};43738{%f},16055{%f};43739{%f},16200{%f};43740{%f},16300{%f};43741{%f},16450{%f};43742{%f},16350{%f};43745{%f},16550{%f};43746{%f},16380{%f};43747{%f},16375{%f};43748{%f},16400{%f};43749{%f},16455{%f};43752{%f},16600{%f};43753{%f},16500{%f};43754{%f},16625{%f};43755{%f},17075{%f};43756{%f},16875{%f};43759{%f},16825{%f};43760{%f},16730{%f};43761{%f},16705{%f};43762{%f},16700{%f};43763{%f},16600{%f};43766{%f},16900{%f};43767{%f},16725{%f};43768{%f},16800{%f};43769{%f},16750{%f};43770{%f},16575{%f};43773{%f},16450{%f};43774{%f},16575{%f};43775{%f},16410{%f};43776{%f},16600{%f};43777{%f},16675{%f};43780{%f},16525{%f};43781{%f},16460{%f};43782{%f},16325{%f};43783{%f},16185{%f};43784{%f},16275{%f};43787{%f},16160{%f};43788{%f},15975{%f};43789{%f},16025{%f};43790{%f},16325{%f};43791{%f},16360{%f};43794{%f},16350{%f};43795{%f},16330{%f};43796{%f},16375{%f};43797{%f},16450{%f};43798{%f},16350{%f};43801{%f},16500{%f};43802{%f},16750{%f};43803{%f},16850{%f};43804{%f},16900{%f};43805{%f},16875{%f};43808{%f},17120{%f};43809{%f},17320{%f};43810{%f},17425{%f};43811{%f},17185{%f};43812{%f},17200{%f};43815{%f},17180{%f};43816{%f},17200{%f};43817{%f},17250{%f};43818{%f},17300{%f};43819{%f},17260{%f};43822{%f},17375{%f};43823{%f},17250{%f};43826{%f},17100{%f};43829{%f},16975{%f};43830{%f},16850{%f};43832{%f},17150{%f};43833{%f},16750{%f};43836{%f},16875{%f};43837{%f},16940{%f};43838{%f},16975{%f};43839{%f},17250{%f};43840{%f},17275{%f};43843{%f},17275{%f};43844{%f},17320{%f};43845{%f},17430{%f};43846{%f},17705{%f};43847{%f},17775{%f};43850{%f},17775{%f};43851{%f},17675{%f};43852{%f},17575{%f};43853{%f},17135{%f};43854{%f},16900{%f};43857{%f},16565{%f};43858{%f},16345{%f};43859{%f},16325{%f};43860{%f},16275{%f};43861{%f},16275{%f};43864{%f},16350{%f};43865{%f},16155{%f};43866{%f},16335{%f};43867{%f},16575{%f};43868{%f},16325{%f};43871{%f},16350{%f};43872{%f},16380{%f};43873{%f},16475{%f};43874{%f},16530{%f};43875{%f},16525{%f};43878{%f},16630{%f};43879{%f},16520{%f};43880{%f},16550{%f};43881{%f},16600{%f};43882{%f},16525{%f};43885{%f},16510{%f};43886{%f},16650{%f};43887{%f},16570{%f};43888{%f},16350{%f};43889{%f},16225{%f};43892{%f},16425{%f};43893{%f},16750{%f};43894{%f},17000{%f};43895{%f},17000{%f};43896{%f},16910{%f};43899{%f},16560{%f};43900{%f},16805{%f};43901{%f},16725{%f};43902{%f},16235{%f};43903{%f},16400{%f};43906{%f},15400{%f};43907{%f},14545{%f};43908{%f},14075{%f};43909{%f},13400{%f};43910{%f},14500{%f};43913{%f},13975{%f};43914{%f},13450{%f};43915{%f},13720{%f};43916{%f},14135{%f};43917{%f},14355{%f};43920{%f},14305{%f};43921{%f},14401{%f};43922{%f},14591{%f};43923{%f},14550{%f};43924{%f},14465{%f};43927{%f},14407{%f};43928{%f},14929{%f};43929{%f},14667{%f};43930{%f},15171{%f};43935{%f},15425{%f};43936{%f},15340{%f};43937{%f},15175{%f};43938{%f},15203{%f};43941{%f},15180{%f};43942{%f},14730{%f};43943{%f},14990{%f};43944{%f},15185{%f};43945{%f},15200{%f};43948{%f},15511{%f};43949{%f},15540{%f};43950{%f},15327{%f};43951{%f},15201{%f};43952{%f},15169{%f};43955{%f},15265{%f};43956{%f},15380{%f};43957{%f},15060{%f};43958{%f},15298{%f};43962{%f},15400{%f}##BDH_RS##</v>
        <stp/>
        <stp>##V3_BDHV12</stp>
        <stp>LOSNDY Comdty</stp>
        <stp>PX_SETTLE</stp>
        <stp>13/05/2019</stp>
        <stp>12/05/2020</stp>
        <stp>[QwackPricer.xlsb.xlsx]Base!R122C3</stp>
        <stp>Array=true</stp>
        <tr r="C122" s="2"/>
      </tp>
      <tp t="s">
        <v>43598{%f},1785{%f};43599{%f},1768{%f};43600{%f},1780{%f};43601{%f},1826{%f};43602{%f},1809{%f};43605{%f},1797{%f};43606{%f},1795.5{%f};43607{%f},1787{%f};43608{%f},1781{%f};43609{%f},1816.5{%f};43613{%f},1809{%f};43614{%f},1798{%f};43615{%f},1797.5{%f};43616{%f},1782.5{%f};43619{%f},1791{%f};43620{%f},1834{%f};43621{%f},1881.5{%f};43622{%f},1945{%f};43623{%f},1837{%f};43626{%f},1888{%f};43627{%f},1949{%f};43628{%f},1918{%f};43629{%f},1903{%f};43630{%f},1882{%f};43633{%f},1873.5{%f};43634{%f},1886{%f};43635{%f},1897{%f};43636{%f},1916{%f};43637{%f},1894{%f};43640{%f},1887.5{%f};43641{%f},1901.5{%f};43642{%f},1919.5{%f};43643{%f},1912.5{%f};43644{%f},1914{%f};43647{%f},1922.5{%f};43648{%f},1877{%f};43649{%f},1874{%f};43650{%f},1875.5{%f};43651{%f},1863{%f};43654{%f},1884{%f};43655{%f},1901.5{%f};43656{%f},1955{%f};43657{%f},1950{%f};43658{%f},1972{%f};43661{%f},1974.5{%f};43662{%f},1977.5{%f};43663{%f},1977.5{%f};43664{%f},2020{%f};43665{%f},2071.5{%f};43668{%f},2001{%f};43669{%f},2024.5{%f};43670{%f},2068{%f};43671{%f},2123.5{%f};43672{%f},2075{%f};43675{%f},2030{%f};43676{%f},2003{%f};43677{%f},1982{%f};43678{%f},1974{%f};43679{%f},1950.5{%f};43682{%f},1939{%f};43683{%f},2007{%f};43684{%f},2004.5{%f};43685{%f},2070{%f};43686{%f},2086{%f};43689{%f},2103.5{%f};43690{%f},2044{%f};43691{%f},2040.5{%f};43692{%f},2045{%f};43693{%f},2050{%f};43696{%f},2031.5{%f};43697{%f},2046{%f};43698{%f},2085{%f};43699{%f},2068{%f};43700{%f},2082.5{%f};43704{%f},2095.5{%f};43705{%f},2084{%f};43706{%f},2061.5{%f};43707{%f},2039{%f};43710{%f},2020{%f};43711{%f},1996{%f};43712{%f},2030{%f};43713{%f},2065{%f};43714{%f},2036{%f};43717{%f},2085{%f};43718{%f},2104{%f};43719{%f},2102{%f};43720{%f},2086{%f};43721{%f},2094{%f};43724{%f},2104{%f};43725{%f},2056{%f};43726{%f},2054{%f};43727{%f},2079{%f};43728{%f},2107{%f};43731{%f},2086{%f};43732{%f},2054.5{%f};43733{%f},2067.5{%f};43734{%f},2109{%f};43735{%f},2068{%f};43738{%f},2085{%f};43739{%f},2114{%f};43740{%f},2077{%f};43741{%f},2096{%f};43742{%f},2148{%f};43745{%f},2188{%f};43746{%f},2177{%f};43747{%f},2129{%f};43748{%f},2162{%f};43749{%f},2177{%f};43752{%f},2129{%f};43753{%f},2144{%f};43754{%f},2173{%f};43755{%f},2190{%f};43756{%f},2211{%f};43759{%f},2202{%f};43760{%f},2235{%f};43761{%f},2236{%f};43762{%f},2242{%f};43763{%f},2244.5{%f};43766{%f},2232{%f};43767{%f},2267{%f};43768{%f},2255.5{%f};43769{%f},2210{%f};43770{%f},2176{%f};43773{%f},2176{%f};43774{%f},2173{%f};43775{%f},2138{%f};43776{%f},2105{%f};43777{%f},2101{%f};43780{%f},2115{%f};43781{%f},2078.5{%f};43782{%f},2037{%f};43783{%f},2023.5{%f};43784{%f},2004{%f};43787{%f},1976{%f};43788{%f},1967.5{%f};43789{%f},1997{%f};43790{%f},1972.5{%f};43791{%f},1958{%f};43794{%f},1945{%f};43795{%f},1908{%f};43796{%f},1946{%f};43797{%f},1926{%f};43798{%f},1947{%f};43801{%f},1912{%f};43802{%f},1883.5{%f};43803{%f},1900{%f};43804{%f},1893{%f};43805{%f},1881{%f};43808{%f},1866{%f};43809{%f},1893{%f};43810{%f},1903{%f};43811{%f},1920{%f};43812{%f},1934{%f};43815{%f},1873.5{%f};43816{%f},1873{%f};43817{%f},1872{%f};43818{%f},1896.5{%f};43819{%f},1909{%f};43822{%f},1905{%f};43823{%f},1905{%f};43826{%f},1910{%f};43829{%f},1932{%f};43830{%f},1923.5{%f};43832{%f},1904{%f};43833{%f},1889.5{%f};43836{%f},1900{%f};43837{%f},1905{%f};43838{%f},1908.5{%f};43839{%f},1902{%f};43840{%f},1922{%f};43843{%f},1891.5{%f};43844{%f},1897{%f};43845{%f},1960.5{%f};43846{%f},2027{%f};43847{%f},1977{%f};43850{%f},1982{%f};43851{%f},1952{%f};43852{%f},1974{%f};43853{%f},1989{%f};43854{%f},1960{%f};43857{%f},1901{%f};43858{%f},1915{%f};43859{%f},1886{%f};43860{%f},1836{%f};43861{%f},1874.5{%f};43864{%f},1879{%f};43865{%f},1854.5{%f};43866{%f},1843.5{%f};43867{%f},1844{%f};43868{%f},1835{%f};43871{%f},1810{%f};43872{%f},1820{%f};43873{%f},1861{%f};43874{%f},1877{%f};43875{%f},1875{%f};43878{%f},1911{%f};43879{%f},1901{%f};43880{%f},1920{%f};43881{%f},1939{%f};43882{%f},1881{%f};43885{%f},1864{%f};43886{%f},1922{%f};43887{%f},1870{%f};43888{%f},1870{%f};43889{%f},1869{%f};43892{%f},1905{%f};43893{%f},1900{%f};43894{%f},1887{%f};43895{%f},1860{%f};43896{%f},1880{%f};43899{%f},1849.5{%f};43900{%f},1859.5{%f};43901{%f},1813{%f};43902{%f},1749{%f};43903{%f},1781{%f};43906{%f},1685{%f};43907{%f},1693{%f};43908{%f},1616{%f};43909{%f},1661{%f};43910{%f},1673.5{%f};43913{%f},1608.5{%f};43914{%f},1617{%f};43915{%f},1589{%f};43916{%f},1659{%f};43917{%f},1690{%f};43920{%f},1694{%f};43921{%f},1712{%f};43922{%f},1692.5{%f};43923{%f},1684.5{%f};43924{%f},1661{%f};43927{%f},1629.5{%f};43928{%f},1692.5{%f};43929{%f},1698{%f};43930{%f},1684.5{%f};43935{%f},1685{%f};43936{%f},1664{%f};43937{%f},1675{%f};43938{%f},1651.5{%f};43941{%f},1650.5{%f};43942{%f},1632{%f};43943{%f},1640.5{%f};43944{%f},1632.5{%f};43945{%f},1601{%f};43948{%f},1608{%f};43949{%f},1623.5{%f};43950{%f},1614.5{%f};43951{%f},1610{%f};43952{%f},1583{%f};43955{%f},1592.5{%f};43956{%f},1611{%f};43957{%f},1618.5{%f};43958{%f},1619.5{%f};43962{%f},1629.5{%f}##BDH_RS##</v>
        <stp/>
        <stp>##V3_BDHV12</stp>
        <stp>LOPBDY Comdty</stp>
        <stp>PX_SETTLE</stp>
        <stp>13/05/2019</stp>
        <stp>12/05/2020</stp>
        <stp>[QwackPricer.xlsb.xlsx]Base!R121C3</stp>
        <stp>Array=true</stp>
        <tr r="C121" s="2"/>
      </tp>
      <tp t="s">
        <v>43598{%f},11730{%f};43599{%f},11820{%f};43600{%f},11930{%f};43601{%f},12215{%f};43602{%f},12025{%f};43605{%f},11915{%f};43606{%f},12030{%f};43607{%f},11965{%f};43608{%f},11870{%f};43609{%f},12155{%f};43613{%f},12235{%f};43614{%f},12040{%f};43615{%f},11980{%f};43616{%f},12040{%f};43619{%f},11860{%f};43620{%f},11800{%f};43621{%f},11765{%f};43622{%f},11710{%f};43623{%f},11580{%f};43626{%f},11600{%f};43627{%f},11825{%f};43628{%f},11745{%f};43629{%f},11920{%f};43630{%f},11895{%f};43633{%f},11745{%f};43634{%f},11705{%f};43635{%f},11865{%f};43636{%f},12245{%f};43637{%f},12135{%f};43640{%f},12065{%f};43641{%f},12210{%f};43642{%f},12400{%f};43643{%f},12665{%f};43644{%f},12665{%f};43647{%f},12340{%f};43648{%f},12025{%f};43649{%f},12185{%f};43650{%f},12305{%f};43651{%f},12300{%f};43654{%f},12525{%f};43655{%f},12560{%f};43656{%f},12790{%f};43657{%f},13090{%f};43658{%f},13205{%f};43661{%f},13350{%f};43662{%f},13920{%f};43663{%f},14230{%f};43664{%f},14685{%f};43665{%f},14425{%f};43668{%f},14310{%f};43669{%f},14305{%f};43670{%f},14475{%f};43671{%f},13995{%f};43672{%f},14060{%f};43675{%f},13990{%f};43676{%f},14205{%f};43677{%f},14360{%f};43678{%f},14290{%f};43679{%f},14520{%f};43682{%f},14860{%f};43683{%f},15020{%f};43684{%f},14740{%f};43685{%f},15495{%f};43686{%f},15620{%f};43689{%f},15635{%f};43690{%f},15725{%f};43691{%f},16050{%f};43692{%f},15990{%f};43693{%f},16090{%f};43696{%f},16005{%f};43697{%f},15860{%f};43698{%f},15755{%f};43699{%f},15780{%f};43700{%f},15755{%f};43704{%f},15905{%f};43705{%f},16025{%f};43706{%f},16345{%f};43707{%f},17860{%f};43710{%f},18625{%f};43711{%f},17925{%f};43712{%f},17910{%f};43713{%f},17540{%f};43714{%f},17500{%f};43717{%f},17895{%f};43718{%f},18065{%f};43719{%f},18330{%f};43720{%f},18200{%f};43721{%f},17820{%f};43724{%f},17295{%f};43725{%f},17000{%f};43726{%f},17230{%f};43727{%f},17270{%f};43728{%f},17960{%f};43731{%f},17760{%f};43732{%f},17270{%f};43733{%f},17195{%f};43734{%f},17365{%f};43735{%f},17410{%f};43738{%f},17570{%f};43739{%f},17410{%f};43740{%f},17670{%f};43741{%f},17785{%f};43742{%f},17905{%f};43745{%f},17950{%f};43746{%f},17560{%f};43747{%f},17745{%f};43748{%f},17750{%f};43749{%f},18000{%f};43752{%f},17405{%f};43753{%f},17070{%f};43754{%f},17005{%f};43755{%f},16325{%f};43756{%f},16475{%f};43759{%f},16200{%f};43760{%f},16025{%f};43761{%f},16395{%f};43762{%f},16950{%f};43763{%f},16890{%f};43766{%f},16680{%f};43767{%f},16680{%f};43768{%f},16900{%f};43769{%f},16835{%f};43770{%f},16750{%f};43773{%f},16595{%f};43774{%f},16235{%f};43775{%f},16390{%f};43776{%f},16305{%f};43777{%f},16190{%f};43780{%f},15730{%f};43781{%f},15500{%f};43782{%f},15530{%f};43783{%f},15355{%f};43784{%f},14990{%f};43787{%f},14760{%f};43788{%f},14475{%f};43789{%f},14310{%f};43790{%f},14410{%f};43791{%f},14400{%f};43794{%f},14570{%f};43795{%f},14370{%f};43796{%f},14445{%f};43797{%f},14070{%f};43798{%f},13810{%f};43801{%f},13625{%f};43802{%f},13600{%f};43803{%f},13250{%f};43804{%f},13165{%f};43805{%f},13420{%f};43808{%f},13200{%f};43809{%f},13070{%f};43810{%f},13535{%f};43811{%f},13810{%f};43812{%f},14145{%f};43815{%f},14085{%f};43816{%f},14090{%f};43817{%f},13850{%f};43818{%f},14035{%f};43819{%f},14220{%f};43822{%f},14395{%f};43823{%f},14290{%f};43826{%f},14000{%f};43829{%f},14225{%f};43830{%f},14000{%f};43832{%f},14075{%f};43833{%f},13740{%f};43836{%f},13795{%f};43837{%f},13860{%f};43838{%f},13810{%f};43839{%f},14125{%f};43840{%f},14050{%f};43843{%f},14190{%f};43844{%f},13680{%f};43845{%f},13950{%f};43846{%f},14290{%f};43847{%f},13840{%f};43850{%f},13845{%f};43851{%f},13750{%f};43852{%f},13645{%f};43853{%f},13300{%f};43854{%f},12990{%f};43857{%f},12650{%f};43858{%f},12740{%f};43859{%f},12630{%f};43860{%f},12535{%f};43861{%f},12675{%f};43864{%f},12750{%f};43865{%f},12800{%f};43866{%f},13005{%f};43867{%f},13010{%f};43868{%f},12770{%f};43871{%f},12880{%f};43872{%f},13100{%f};43873{%f},13050{%f};43874{%f},13065{%f};43875{%f},13035{%f};43878{%f},13070{%f};43879{%f},12880{%f};43880{%f},12700{%f};43881{%f},12685{%f};43882{%f},12440{%f};43885{%f},12360{%f};43886{%f},12540{%f};43887{%f},12290{%f};43888{%f},12280{%f};43889{%f},12160{%f};43892{%f},12440{%f};43893{%f},12555{%f};43894{%f},12700{%f};43895{%f},12800{%f};43896{%f},12710{%f};43899{%f},12415{%f};43900{%f},12835{%f};43901{%f},12435{%f};43902{%f},11855{%f};43903{%f},12565{%f};43906{%f},11775{%f};43907{%f},11830{%f};43908{%f},11420{%f};43909{%f},11235{%f};43910{%f},11370{%f};43913{%f},11055{%f};43914{%f},11075{%f};43915{%f},11175{%f};43916{%f},11221{%f};43917{%f},11225{%f};43920{%f},11280{%f};43921{%f},11235{%f};43922{%f},11220{%f};43923{%f},11185{%f};43924{%f},11192{%f};43927{%f},11162{%f};43928{%f},11350{%f};43929{%f},11425{%f};43930{%f},11457{%f};43935{%f},11723{%f};43936{%f},11712{%f};43937{%f},11657{%f};43938{%f},11887{%f};43941{%f},12255{%f};43942{%f},12085{%f};43943{%f},11895{%f};43944{%f},12010{%f};43945{%f},12073{%f};43948{%f},12256{%f};43949{%f},12251{%f};43950{%f},12135{%f};43951{%f},12134{%f};43952{%f},11853{%f};43955{%f},11785{%f};43956{%f},11805{%f};43957{%f},12199{%f};43958{%f},12247{%f};43962{%f},12188{%f}##BDH_RS##</v>
        <stp/>
        <stp>##V3_BDHV12</stp>
        <stp>LONIDY Comdty</stp>
        <stp>PX_SETTLE</stp>
        <stp>13/05/2019</stp>
        <stp>12/05/2020</stp>
        <stp>[QwackPricer.xlsb.xlsx]Base!R120C3</stp>
        <stp>Array=true</stp>
        <tr r="C120" s="2"/>
      </tp>
      <tp>
        <v>0.19</v>
        <stp/>
        <stp>##V3_BDPV12</stp>
        <stp>EURTN Curncy</stp>
        <stp>PX_LAST</stp>
        <stp>[QwackPricer.xlsb.xlsx]FX-IR!R33C4</stp>
        <tr r="D33" s="1"/>
      </tp>
      <tp>
        <v>30.650000000000002</v>
        <stp/>
        <stp>##V3_BDPV12</stp>
        <stp>COQ0 Comdty</stp>
        <stp>PX_SETTLE</stp>
        <stp>[QwackPricer.xlsb.xlsx]Energy!R12C4</stp>
        <tr r="D12" s="3"/>
      </tp>
      <tp>
        <v>33.93</v>
        <stp/>
        <stp>##V3_BDPV12</stp>
        <stp>COZ0 Comdty</stp>
        <stp>PX_SETTLE</stp>
        <stp>[QwackPricer.xlsb.xlsx]Energy!R16C4</stp>
        <tr r="D16" s="3"/>
      </tp>
      <tp>
        <v>44.14</v>
        <stp/>
        <stp>##V3_BDPV12</stp>
        <stp>COU3 Comdty</stp>
        <stp>PX_SETTLE</stp>
        <stp>[QwackPricer.xlsb.xlsx]Energy!R49C4</stp>
        <tr r="D49" s="3"/>
      </tp>
      <tp>
        <v>33.21</v>
        <stp/>
        <stp>##V3_BDPV12</stp>
        <stp>COX0 Comdty</stp>
        <stp>PX_SETTLE</stp>
        <stp>[QwackPricer.xlsb.xlsx]Energy!R15C4</stp>
        <tr r="D15" s="3"/>
      </tp>
      <tp>
        <v>41.4</v>
        <stp/>
        <stp>##V3_BDPV12</stp>
        <stp>COV2 Comdty</stp>
        <stp>PX_SETTLE</stp>
        <stp>[QwackPricer.xlsb.xlsx]Energy!R38C4</stp>
        <tr r="D38" s="3"/>
      </tp>
      <tp>
        <v>47.31</v>
        <stp/>
        <stp>##V3_BDPV12</stp>
        <stp>COZ4 Comdty</stp>
        <stp>PX_SETTLE</stp>
        <stp>[QwackPricer.xlsb.xlsx]Energy!R64C4</stp>
        <tr r="D64" s="3"/>
      </tp>
      <tp>
        <v>38.200000000000003</v>
        <stp/>
        <stp>##V3_BDPV12</stp>
        <stp>COX1 Comdty</stp>
        <stp>PX_SETTLE</stp>
        <stp>[QwackPricer.xlsb.xlsx]Energy!R27C4</stp>
        <tr r="D27" s="3"/>
      </tp>
      <tp>
        <v>44.730000000000004</v>
        <stp/>
        <stp>##V3_BDPV12</stp>
        <stp>COZ3 Comdty</stp>
        <stp>PX_SETTLE</stp>
        <stp>[QwackPricer.xlsb.xlsx]Energy!R52C4</stp>
        <tr r="D52" s="3"/>
      </tp>
      <tp>
        <v>44.550000000000004</v>
        <stp/>
        <stp>##V3_BDPV12</stp>
        <stp>COX3 Comdty</stp>
        <stp>PX_SETTLE</stp>
        <stp>[QwackPricer.xlsb.xlsx]Energy!R51C4</stp>
        <tr r="D51" s="3"/>
      </tp>
      <tp>
        <v>43.95</v>
        <stp/>
        <stp>##V3_BDPV12</stp>
        <stp>COQ3 Comdty</stp>
        <stp>PX_SETTLE</stp>
        <stp>[QwackPricer.xlsb.xlsx]Energy!R48C4</stp>
        <tr r="D48" s="3"/>
      </tp>
      <tp>
        <v>15.919825553894043</v>
        <stp/>
        <stp>##V3_BDPV12</stp>
        <stp>LA SEP23 25DC VOL LME Comdty</stp>
        <stp>PX_LAST</stp>
        <stp>[QwackPricer.xlsb.xlsx]Base!R109C7</stp>
        <tr r="G109" s="2"/>
      </tp>
      <tp>
        <v>16.109874725341797</v>
        <stp/>
        <stp>##V3_BDPV12</stp>
        <stp>LA SEP23 10DC VOL LME Comdty</stp>
        <stp>PX_LAST</stp>
        <stp>[QwackPricer.xlsb.xlsx]Base!R109C8</stp>
        <tr r="H109" s="2"/>
      </tp>
      <tp>
        <v>41.910000000000004</v>
        <stp/>
        <stp>##V3_BDPV12</stp>
        <stp>COZ2 Comdty</stp>
        <stp>PX_SETTLE</stp>
        <stp>[QwackPricer.xlsb.xlsx]Energy!R40C4</stp>
        <tr r="D40" s="3"/>
      </tp>
      <tp>
        <v>18.029563903808594</v>
        <stp/>
        <stp>##V3_BDPV12</stp>
        <stp>LA AUG23 10DP VOL LME Comdty</stp>
        <stp>PX_LAST</stp>
        <stp>[QwackPricer.xlsb.xlsx]Base!R108C4</stp>
        <tr r="D108" s="2"/>
      </tp>
      <tp>
        <v>16.889698028564453</v>
        <stp/>
        <stp>##V3_BDPV12</stp>
        <stp>LA AUG23 25DP VOL LME Comdty</stp>
        <stp>PX_LAST</stp>
        <stp>[QwackPricer.xlsb.xlsx]Base!R108C5</stp>
        <tr r="E108" s="2"/>
      </tp>
      <tp>
        <v>47.14</v>
        <stp/>
        <stp>##V3_BDPV12</stp>
        <stp>COX4 Comdty</stp>
        <stp>PX_SETTLE</stp>
        <stp>[QwackPricer.xlsb.xlsx]Energy!R63C4</stp>
        <tr r="D63" s="3"/>
      </tp>
      <tp>
        <v>16.099870681762695</v>
        <stp/>
        <stp>##V3_BDPV12</stp>
        <stp>LA NOV23 10DC VOL LME Comdty</stp>
        <stp>PX_LAST</stp>
        <stp>[QwackPricer.xlsb.xlsx]Base!R111C8</stp>
        <tr r="H111" s="2"/>
      </tp>
      <tp>
        <v>15.909823417663574</v>
        <stp/>
        <stp>##V3_BDPV12</stp>
        <stp>LA NOV23 25DC VOL LME Comdty</stp>
        <stp>PX_LAST</stp>
        <stp>[QwackPricer.xlsb.xlsx]Base!R111C7</stp>
        <tr r="G111" s="2"/>
      </tp>
      <tp>
        <v>-8.8000000000000007</v>
        <stp/>
        <stp>##V3_BDPV12</stp>
        <stp>FROSM N20 Index</stp>
        <stp>PX_LAST</stp>
        <stp>[QwackPricer.xlsb.xlsx]Energy!R74C14</stp>
        <tr r="N74" s="3"/>
      </tp>
      <tp>
        <v>-8.67</v>
        <stp/>
        <stp>##V3_BDPV12</stp>
        <stp>FROSM N22 Index</stp>
        <stp>PX_LAST</stp>
        <stp>[QwackPricer.xlsb.xlsx]Energy!R98C14</stp>
        <tr r="N98" s="3"/>
      </tp>
      <tp>
        <v>-9.9</v>
        <stp/>
        <stp>##V3_BDPV12</stp>
        <stp>FROSM N21 Index</stp>
        <stp>PX_LAST</stp>
        <stp>[QwackPricer.xlsb.xlsx]Energy!R86C14</stp>
        <tr r="N86" s="3"/>
      </tp>
      <tp>
        <v>-8.94</v>
        <stp/>
        <stp>##V3_BDPV12</stp>
        <stp>FROSM M20 Index</stp>
        <stp>PX_LAST</stp>
        <stp>[QwackPricer.xlsb.xlsx]Energy!R73C14</stp>
        <tr r="N73" s="3"/>
      </tp>
      <tp>
        <v>-8.7899999999999991</v>
        <stp/>
        <stp>##V3_BDPV12</stp>
        <stp>FROSM M22 Index</stp>
        <stp>PX_LAST</stp>
        <stp>[QwackPricer.xlsb.xlsx]Energy!R97C14</stp>
        <tr r="N97" s="3"/>
      </tp>
      <tp>
        <v>-9.9</v>
        <stp/>
        <stp>##V3_BDPV12</stp>
        <stp>FROSM M21 Index</stp>
        <stp>PX_LAST</stp>
        <stp>[QwackPricer.xlsb.xlsx]Energy!R85C14</stp>
        <tr r="N85" s="3"/>
      </tp>
      <tp>
        <v>-9.7799999999999994</v>
        <stp/>
        <stp>##V3_BDPV12</stp>
        <stp>FROSM K20 Index</stp>
        <stp>PX_LAST</stp>
        <stp>[QwackPricer.xlsb.xlsx]Energy!R72C14</stp>
        <tr r="N72" s="3"/>
      </tp>
      <tp>
        <v>-8.92</v>
        <stp/>
        <stp>##V3_BDPV12</stp>
        <stp>FROSM K22 Index</stp>
        <stp>PX_LAST</stp>
        <stp>[QwackPricer.xlsb.xlsx]Energy!R96C14</stp>
        <tr r="N96" s="3"/>
      </tp>
      <tp>
        <v>-9.94</v>
        <stp/>
        <stp>##V3_BDPV12</stp>
        <stp>FROSM K21 Index</stp>
        <stp>PX_LAST</stp>
        <stp>[QwackPricer.xlsb.xlsx]Energy!R84C14</stp>
        <tr r="N84" s="3"/>
      </tp>
      <tp>
        <v>-9.0299999999999994</v>
        <stp/>
        <stp>##V3_BDPV12</stp>
        <stp>FROSM J22 Index</stp>
        <stp>PX_LAST</stp>
        <stp>[QwackPricer.xlsb.xlsx]Energy!R95C14</stp>
        <tr r="N95" s="3"/>
      </tp>
      <tp>
        <v>-9.9600000000000009</v>
        <stp/>
        <stp>##V3_BDPV12</stp>
        <stp>FROSM J21 Index</stp>
        <stp>PX_LAST</stp>
        <stp>[QwackPricer.xlsb.xlsx]Energy!R83C14</stp>
        <tr r="N83" s="3"/>
      </tp>
      <tp>
        <v>-9.1300000000000008</v>
        <stp/>
        <stp>##V3_BDPV12</stp>
        <stp>FROSM H22 Index</stp>
        <stp>PX_LAST</stp>
        <stp>[QwackPricer.xlsb.xlsx]Energy!R94C14</stp>
        <tr r="N94" s="3"/>
      </tp>
      <tp>
        <v>-9.9600000000000009</v>
        <stp/>
        <stp>##V3_BDPV12</stp>
        <stp>FROSM H21 Index</stp>
        <stp>PX_LAST</stp>
        <stp>[QwackPricer.xlsb.xlsx]Energy!R82C14</stp>
        <tr r="N82" s="3"/>
      </tp>
      <tp>
        <v>-9.26</v>
        <stp/>
        <stp>##V3_BDPV12</stp>
        <stp>FROSM G22 Index</stp>
        <stp>PX_LAST</stp>
        <stp>[QwackPricer.xlsb.xlsx]Energy!R93C14</stp>
        <tr r="N93" s="3"/>
      </tp>
      <tp>
        <v>-9.9700000000000006</v>
        <stp/>
        <stp>##V3_BDPV12</stp>
        <stp>FROSM G21 Index</stp>
        <stp>PX_LAST</stp>
        <stp>[QwackPricer.xlsb.xlsx]Energy!R81C14</stp>
        <tr r="N81" s="3"/>
      </tp>
      <tp>
        <v>-9.56</v>
        <stp/>
        <stp>##V3_BDPV12</stp>
        <stp>FROSM F22 Index</stp>
        <stp>PX_LAST</stp>
        <stp>[QwackPricer.xlsb.xlsx]Energy!R92C14</stp>
        <tr r="N92" s="3"/>
      </tp>
      <tp>
        <v>-10.039999999999999</v>
        <stp/>
        <stp>##V3_BDPV12</stp>
        <stp>FROSM F21 Index</stp>
        <stp>PX_LAST</stp>
        <stp>[QwackPricer.xlsb.xlsx]Energy!R80C14</stp>
        <tr r="N80" s="3"/>
      </tp>
      <tp>
        <v>18.089546203613281</v>
        <stp/>
        <stp>##V3_BDPV12</stp>
        <stp>LA MAR23 10DP VOL LME Comdty</stp>
        <stp>PX_LAST</stp>
        <stp>[QwackPricer.xlsb.xlsx]Base!R103C4</stp>
        <tr r="D103" s="2"/>
      </tp>
      <tp>
        <v>-10.01</v>
        <stp/>
        <stp>##V3_BDPV12</stp>
        <stp>FROSM Z20 Index</stp>
        <stp>PX_LAST</stp>
        <stp>[QwackPricer.xlsb.xlsx]Energy!R79C14</stp>
        <tr r="N79" s="3"/>
      </tp>
      <tp>
        <v>-9.91</v>
        <stp/>
        <stp>##V3_BDPV12</stp>
        <stp>FROSM Z21 Index</stp>
        <stp>PX_LAST</stp>
        <stp>[QwackPricer.xlsb.xlsx]Energy!R91C14</stp>
        <tr r="N91" s="3"/>
      </tp>
      <tp>
        <v>16.92967414855957</v>
        <stp/>
        <stp>##V3_BDPV12</stp>
        <stp>LA MAR23 25DP VOL LME Comdty</stp>
        <stp>PX_LAST</stp>
        <stp>[QwackPricer.xlsb.xlsx]Base!R103C5</stp>
        <tr r="E103" s="2"/>
      </tp>
      <tp>
        <v>-9.85</v>
        <stp/>
        <stp>##V3_BDPV12</stp>
        <stp>FROSM X20 Index</stp>
        <stp>PX_LAST</stp>
        <stp>[QwackPricer.xlsb.xlsx]Energy!R78C14</stp>
        <tr r="N78" s="3"/>
      </tp>
      <tp>
        <v>-9.84</v>
        <stp/>
        <stp>##V3_BDPV12</stp>
        <stp>FROSM X21 Index</stp>
        <stp>PX_LAST</stp>
        <stp>[QwackPricer.xlsb.xlsx]Energy!R90C14</stp>
        <tr r="N90" s="3"/>
      </tp>
      <tp>
        <v>-9.6300000000000008</v>
        <stp/>
        <stp>##V3_BDPV12</stp>
        <stp>FROSM V20 Index</stp>
        <stp>PX_LAST</stp>
        <stp>[QwackPricer.xlsb.xlsx]Energy!R77C14</stp>
        <tr r="N77" s="3"/>
      </tp>
      <tp>
        <v>-9.8699999999999992</v>
        <stp/>
        <stp>##V3_BDPV12</stp>
        <stp>FROSM V21 Index</stp>
        <stp>PX_LAST</stp>
        <stp>[QwackPricer.xlsb.xlsx]Energy!R89C14</stp>
        <tr r="N89" s="3"/>
      </tp>
      <tp>
        <v>-9.27</v>
        <stp/>
        <stp>##V3_BDPV12</stp>
        <stp>FROSM U20 Index</stp>
        <stp>PX_LAST</stp>
        <stp>[QwackPricer.xlsb.xlsx]Energy!R76C14</stp>
        <tr r="N76" s="3"/>
      </tp>
      <tp>
        <v>-9.8800000000000008</v>
        <stp/>
        <stp>##V3_BDPV12</stp>
        <stp>FROSM U21 Index</stp>
        <stp>PX_LAST</stp>
        <stp>[QwackPricer.xlsb.xlsx]Energy!R88C14</stp>
        <tr r="N88" s="3"/>
      </tp>
      <tp>
        <v>15.680050849914551</v>
        <stp/>
        <stp>##V3_BDPV12</stp>
        <stp>LA JUN23 50D VOL LME Comdty</stp>
        <stp>PX_LAST</stp>
        <stp>[QwackPricer.xlsb.xlsx]Base!R106C6</stp>
        <tr r="F106" s="2"/>
      </tp>
      <tp>
        <v>-8.98</v>
        <stp/>
        <stp>##V3_BDPV12</stp>
        <stp>FROSM Q20 Index</stp>
        <stp>PX_LAST</stp>
        <stp>[QwackPricer.xlsb.xlsx]Energy!R75C14</stp>
        <tr r="N75" s="3"/>
      </tp>
      <tp>
        <v>-8.5500000000000007</v>
        <stp/>
        <stp>##V3_BDPV12</stp>
        <stp>FROSM Q22 Index</stp>
        <stp>PX_LAST</stp>
        <stp>[QwackPricer.xlsb.xlsx]Energy!R99C14</stp>
        <tr r="N99" s="3"/>
      </tp>
      <tp>
        <v>-9.89</v>
        <stp/>
        <stp>##V3_BDPV12</stp>
        <stp>FROSM Q21 Index</stp>
        <stp>PX_LAST</stp>
        <stp>[QwackPricer.xlsb.xlsx]Energy!R87C14</stp>
        <tr r="N87" s="3"/>
      </tp>
      <tp>
        <v>42.4</v>
        <stp/>
        <stp>##V3_BDPV12</stp>
        <stp>COG3 Comdty</stp>
        <stp>PX_SETTLE</stp>
        <stp>[QwackPricer.xlsb.xlsx]Energy!R42C4</stp>
        <tr r="D42" s="3"/>
      </tp>
      <tp>
        <v>44.95</v>
        <stp/>
        <stp>##V3_BDPV12</stp>
        <stp>COF4 Comdty</stp>
        <stp>PX_SETTLE</stp>
        <stp>[QwackPricer.xlsb.xlsx]Energy!R53C4</stp>
        <tr r="D53" s="3"/>
      </tp>
      <tp>
        <v>46.14</v>
        <stp/>
        <stp>##V3_BDPV12</stp>
        <stp>COM4 Comdty</stp>
        <stp>PX_SETTLE</stp>
        <stp>[QwackPricer.xlsb.xlsx]Energy!R58C4</stp>
        <tr r="D58" s="3"/>
      </tp>
      <tp>
        <v>16.86970329284668</v>
        <stp/>
        <stp>##V3_BDPV12</stp>
        <stp>LA OCT23 25DP VOL LME Comdty</stp>
        <stp>PX_LAST</stp>
        <stp>[QwackPricer.xlsb.xlsx]Base!R110C5</stp>
        <tr r="E110" s="2"/>
      </tp>
      <tp>
        <v>18.009567260742188</v>
        <stp/>
        <stp>##V3_BDPV12</stp>
        <stp>LA OCT23 10DP VOL LME Comdty</stp>
        <stp>PX_LAST</stp>
        <stp>[QwackPricer.xlsb.xlsx]Base!R110C4</stp>
        <tr r="D110" s="2"/>
      </tp>
      <tp>
        <v>15.670050621032715</v>
        <stp/>
        <stp>##V3_BDPV12</stp>
        <stp>LA JUL23 50D VOL LME Comdty</stp>
        <stp>PX_LAST</stp>
        <stp>[QwackPricer.xlsb.xlsx]Base!R107C6</stp>
        <tr r="F107" s="2"/>
      </tp>
      <tp>
        <v>29.78</v>
        <stp/>
        <stp>##V3_BDPV12</stp>
        <stp>FS1SM Q20 Index</stp>
        <stp>PX_LAST</stp>
        <stp>[QwackPricer.xlsb.xlsx]Energy!R75C22</stp>
        <tr r="V75" s="3"/>
      </tp>
      <tp>
        <v>42.29</v>
        <stp/>
        <stp>##V3_BDPV12</stp>
        <stp>FS1SM Q22 Index</stp>
        <stp>PX_LAST</stp>
        <stp>[QwackPricer.xlsb.xlsx]Energy!R99C22</stp>
        <tr r="V99" s="3"/>
      </tp>
      <tp>
        <v>39.9</v>
        <stp/>
        <stp>##V3_BDPV12</stp>
        <stp>FS1SM Q21 Index</stp>
        <stp>PX_LAST</stp>
        <stp>[QwackPricer.xlsb.xlsx]Energy!R87C22</stp>
        <tr r="V87" s="3"/>
      </tp>
      <tp>
        <v>34.020000000000003</v>
        <stp/>
        <stp>##V3_BDPV12</stp>
        <stp>FS1SM V20 Index</stp>
        <stp>PX_LAST</stp>
        <stp>[QwackPricer.xlsb.xlsx]Energy!R77C22</stp>
        <tr r="V77" s="3"/>
      </tp>
      <tp>
        <v>40.78</v>
        <stp/>
        <stp>##V3_BDPV12</stp>
        <stp>FS1SM V21 Index</stp>
        <stp>PX_LAST</stp>
        <stp>[QwackPricer.xlsb.xlsx]Energy!R89C22</stp>
        <tr r="V89" s="3"/>
      </tp>
      <tp>
        <v>31.24</v>
        <stp/>
        <stp>##V3_BDPV12</stp>
        <stp>FS1SM U20 Index</stp>
        <stp>PX_LAST</stp>
        <stp>[QwackPricer.xlsb.xlsx]Energy!R76C22</stp>
        <tr r="V76" s="3"/>
      </tp>
      <tp>
        <v>40.28</v>
        <stp/>
        <stp>##V3_BDPV12</stp>
        <stp>FS1SM U21 Index</stp>
        <stp>PX_LAST</stp>
        <stp>[QwackPricer.xlsb.xlsx]Energy!R88C22</stp>
        <tr r="V88" s="3"/>
      </tp>
      <tp>
        <v>35.53</v>
        <stp/>
        <stp>##V3_BDPV12</stp>
        <stp>FS1SM Z20 Index</stp>
        <stp>PX_LAST</stp>
        <stp>[QwackPricer.xlsb.xlsx]Energy!R79C22</stp>
        <tr r="V79" s="3"/>
      </tp>
      <tp>
        <v>41.98</v>
        <stp/>
        <stp>##V3_BDPV12</stp>
        <stp>FS1SM Z21 Index</stp>
        <stp>PX_LAST</stp>
        <stp>[QwackPricer.xlsb.xlsx]Energy!R91C22</stp>
        <tr r="V91" s="3"/>
      </tp>
      <tp>
        <v>34.770000000000003</v>
        <stp/>
        <stp>##V3_BDPV12</stp>
        <stp>FS1SM X20 Index</stp>
        <stp>PX_LAST</stp>
        <stp>[QwackPricer.xlsb.xlsx]Energy!R78C22</stp>
        <tr r="V78" s="3"/>
      </tp>
      <tp>
        <v>41.48</v>
        <stp/>
        <stp>##V3_BDPV12</stp>
        <stp>FS1SM X21 Index</stp>
        <stp>PX_LAST</stp>
        <stp>[QwackPricer.xlsb.xlsx]Energy!R90C22</stp>
        <tr r="V90" s="3"/>
      </tp>
      <tp>
        <v>41.86</v>
        <stp/>
        <stp>##V3_BDPV12</stp>
        <stp>FS1SM F22 Index</stp>
        <stp>PX_LAST</stp>
        <stp>[QwackPricer.xlsb.xlsx]Energy!R92C22</stp>
        <tr r="V92" s="3"/>
      </tp>
      <tp>
        <v>35.53</v>
        <stp/>
        <stp>##V3_BDPV12</stp>
        <stp>FS1SM F21 Index</stp>
        <stp>PX_LAST</stp>
        <stp>[QwackPricer.xlsb.xlsx]Energy!R80C22</stp>
        <tr r="V80" s="3"/>
      </tp>
      <tp>
        <v>43.13</v>
        <stp/>
        <stp>##V3_BDPV12</stp>
        <stp>FS1SM G22 Index</stp>
        <stp>PX_LAST</stp>
        <stp>[QwackPricer.xlsb.xlsx]Energy!R93C22</stp>
        <tr r="V93" s="3"/>
      </tp>
      <tp>
        <v>37.76</v>
        <stp/>
        <stp>##V3_BDPV12</stp>
        <stp>FS1SM G21 Index</stp>
        <stp>PX_LAST</stp>
        <stp>[QwackPricer.xlsb.xlsx]Energy!R81C22</stp>
        <tr r="V81" s="3"/>
      </tp>
      <tp>
        <v>42.59</v>
        <stp/>
        <stp>##V3_BDPV12</stp>
        <stp>FS1SM J22 Index</stp>
        <stp>PX_LAST</stp>
        <stp>[QwackPricer.xlsb.xlsx]Energy!R95C22</stp>
        <tr r="V95" s="3"/>
      </tp>
      <tp>
        <v>37.25</v>
        <stp/>
        <stp>##V3_BDPV12</stp>
        <stp>FS1SM J21 Index</stp>
        <stp>PX_LAST</stp>
        <stp>[QwackPricer.xlsb.xlsx]Energy!R83C22</stp>
        <tr r="V83" s="3"/>
      </tp>
      <tp>
        <v>22.79</v>
        <stp/>
        <stp>##V3_BDPV12</stp>
        <stp>FS1SM K20 Index</stp>
        <stp>PX_LAST</stp>
        <stp>[QwackPricer.xlsb.xlsx]Energy!R72C22</stp>
        <tr r="V72" s="3"/>
      </tp>
      <tp>
        <v>42.42</v>
        <stp/>
        <stp>##V3_BDPV12</stp>
        <stp>FS1SM K22 Index</stp>
        <stp>PX_LAST</stp>
        <stp>[QwackPricer.xlsb.xlsx]Energy!R96C22</stp>
        <tr r="V96" s="3"/>
      </tp>
      <tp>
        <v>39.770000000000003</v>
        <stp/>
        <stp>##V3_BDPV12</stp>
        <stp>FS1SM K21 Index</stp>
        <stp>PX_LAST</stp>
        <stp>[QwackPricer.xlsb.xlsx]Energy!R84C22</stp>
        <tr r="V84" s="3"/>
      </tp>
      <tp>
        <v>42.76</v>
        <stp/>
        <stp>##V3_BDPV12</stp>
        <stp>FS1SM H22 Index</stp>
        <stp>PX_LAST</stp>
        <stp>[QwackPricer.xlsb.xlsx]Energy!R94C22</stp>
        <tr r="V94" s="3"/>
      </tp>
      <tp>
        <v>37.46</v>
        <stp/>
        <stp>##V3_BDPV12</stp>
        <stp>FS1SM H21 Index</stp>
        <stp>PX_LAST</stp>
        <stp>[QwackPricer.xlsb.xlsx]Energy!R82C22</stp>
        <tr r="V82" s="3"/>
      </tp>
      <tp>
        <v>28.11</v>
        <stp/>
        <stp>##V3_BDPV12</stp>
        <stp>FS1SM N20 Index</stp>
        <stp>PX_LAST</stp>
        <stp>[QwackPricer.xlsb.xlsx]Energy!R74C22</stp>
        <tr r="V74" s="3"/>
      </tp>
      <tp>
        <v>42.09</v>
        <stp/>
        <stp>##V3_BDPV12</stp>
        <stp>FS1SM N22 Index</stp>
        <stp>PX_LAST</stp>
        <stp>[QwackPricer.xlsb.xlsx]Energy!R98C22</stp>
        <tr r="V98" s="3"/>
      </tp>
      <tp>
        <v>39.65</v>
        <stp/>
        <stp>##V3_BDPV12</stp>
        <stp>FS1SM N21 Index</stp>
        <stp>PX_LAST</stp>
        <stp>[QwackPricer.xlsb.xlsx]Energy!R86C22</stp>
        <tr r="V86" s="3"/>
      </tp>
      <tp>
        <v>25.05</v>
        <stp/>
        <stp>##V3_BDPV12</stp>
        <stp>FS1SM M20 Index</stp>
        <stp>PX_LAST</stp>
        <stp>[QwackPricer.xlsb.xlsx]Energy!R73C22</stp>
        <tr r="V73" s="3"/>
      </tp>
      <tp>
        <v>42.26</v>
        <stp/>
        <stp>##V3_BDPV12</stp>
        <stp>FS1SM M22 Index</stp>
        <stp>PX_LAST</stp>
        <stp>[QwackPricer.xlsb.xlsx]Energy!R97C22</stp>
        <tr r="V97" s="3"/>
      </tp>
      <tp>
        <v>39.61</v>
        <stp/>
        <stp>##V3_BDPV12</stp>
        <stp>FS1SM M21 Index</stp>
        <stp>PX_LAST</stp>
        <stp>[QwackPricer.xlsb.xlsx]Energy!R85C22</stp>
        <tr r="V85" s="3"/>
      </tp>
      <tp>
        <v>15.680049896240234</v>
        <stp/>
        <stp>##V3_BDPV12</stp>
        <stp>LA MAR23 50D VOL LME Comdty</stp>
        <stp>PX_LAST</stp>
        <stp>[QwackPricer.xlsb.xlsx]Base!R103C6</stp>
        <tr r="F103" s="2"/>
      </tp>
      <tp>
        <v>18.129539489746094</v>
        <stp/>
        <stp>##V3_BDPV12</stp>
        <stp>LA JAN23 10DP VOL LME Comdty</stp>
        <stp>PX_LAST</stp>
        <stp>[QwackPricer.xlsb.xlsx]Base!R101C4</stp>
        <tr r="D101" s="2"/>
      </tp>
      <tp>
        <v>16.119880676269531</v>
        <stp/>
        <stp>##V3_BDPV12</stp>
        <stp>LA JUN23 10DC VOL LME Comdty</stp>
        <stp>PX_LAST</stp>
        <stp>[QwackPricer.xlsb.xlsx]Base!R106C8</stp>
        <tr r="H106" s="2"/>
      </tp>
      <tp>
        <v>16.959663391113281</v>
        <stp/>
        <stp>##V3_BDPV12</stp>
        <stp>LA JAN23 25DP VOL LME Comdty</stp>
        <stp>PX_LAST</stp>
        <stp>[QwackPricer.xlsb.xlsx]Base!R101C5</stp>
        <tr r="E101" s="2"/>
      </tp>
      <tp>
        <v>15.939830780029297</v>
        <stp/>
        <stp>##V3_BDPV12</stp>
        <stp>LA JUN23 25DC VOL LME Comdty</stp>
        <stp>PX_LAST</stp>
        <stp>[QwackPricer.xlsb.xlsx]Base!R106C7</stp>
        <tr r="G106" s="2"/>
      </tp>
      <tp>
        <v>39.04</v>
        <stp/>
        <stp>##V3_BDPV12</stp>
        <stp>COG2 Comdty</stp>
        <stp>PX_SETTLE</stp>
        <stp>[QwackPricer.xlsb.xlsx]Energy!R30C4</stp>
        <tr r="D30" s="3"/>
      </tp>
      <tp>
        <v>42.15</v>
        <stp/>
        <stp>##V3_BDPV12</stp>
        <stp>COF3 Comdty</stp>
        <stp>PX_SETTLE</stp>
        <stp>[QwackPricer.xlsb.xlsx]Energy!R41C4</stp>
        <tr r="D41" s="3"/>
      </tp>
      <tp>
        <v>46.36</v>
        <stp/>
        <stp>##V3_BDPV12</stp>
        <stp>CON4 Comdty</stp>
        <stp>PX_SETTLE</stp>
        <stp>[QwackPricer.xlsb.xlsx]Energy!R59C4</stp>
        <tr r="D59" s="3"/>
      </tp>
      <tp>
        <v>15.650053024291992</v>
        <stp/>
        <stp>##V3_BDPV12</stp>
        <stp>LA NOV23 50D VOL LME Comdty</stp>
        <stp>PX_LAST</stp>
        <stp>[QwackPricer.xlsb.xlsx]Base!R111C6</stp>
        <tr r="F111" s="2"/>
      </tp>
      <tp>
        <v>15.929829597473145</v>
        <stp/>
        <stp>##V3_BDPV12</stp>
        <stp>LA JUL23 25DC VOL LME Comdty</stp>
        <stp>PX_LAST</stp>
        <stp>[QwackPricer.xlsb.xlsx]Base!R107C7</stp>
        <tr r="G107" s="2"/>
      </tp>
      <tp>
        <v>15.650053024291992</v>
        <stp/>
        <stp>##V3_BDPV12</stp>
        <stp>LA OCT23 50D VOL LME Comdty</stp>
        <stp>PX_LAST</stp>
        <stp>[QwackPricer.xlsb.xlsx]Base!R110C6</stp>
        <tr r="F110" s="2"/>
      </tp>
      <tp>
        <v>16.109878540039063</v>
        <stp/>
        <stp>##V3_BDPV12</stp>
        <stp>LA JUL23 10DC VOL LME Comdty</stp>
        <stp>PX_LAST</stp>
        <stp>[QwackPricer.xlsb.xlsx]Base!R107C8</stp>
        <tr r="H107" s="2"/>
      </tp>
      <tp>
        <v>15.680049896240234</v>
        <stp/>
        <stp>##V3_BDPV12</stp>
        <stp>LA MAY23 50D VOL LME Comdty</stp>
        <stp>PX_LAST</stp>
        <stp>[QwackPricer.xlsb.xlsx]Base!R105C6</stp>
        <tr r="F105" s="2"/>
      </tp>
      <tp>
        <v>34.51</v>
        <stp/>
        <stp>##V3_BDPV12</stp>
        <stp>COF1 Comdty</stp>
        <stp>PX_SETTLE</stp>
        <stp>[QwackPricer.xlsb.xlsx]Energy!R17C4</stp>
        <tr r="D17" s="3"/>
      </tp>
      <tp>
        <v>35.51</v>
        <stp/>
        <stp>##V3_BDPV12</stp>
        <stp>COH1 Comdty</stp>
        <stp>PX_SETTLE</stp>
        <stp>[QwackPricer.xlsb.xlsx]Energy!R19C4</stp>
        <tr r="D19" s="3"/>
      </tp>
      <tp>
        <v>17.989572525024414</v>
        <stp/>
        <stp>##V3_BDPV12</stp>
        <stp>LA DEC23 10DP VOL LME Comdty</stp>
        <stp>PX_LAST</stp>
        <stp>[QwackPricer.xlsb.xlsx]Base!R112C4</stp>
        <tr r="D112" s="2"/>
      </tp>
      <tp>
        <v>18.109542846679688</v>
        <stp/>
        <stp>##V3_BDPV12</stp>
        <stp>LA FEB23 10DP VOL LME Comdty</stp>
        <stp>PX_LAST</stp>
        <stp>[QwackPricer.xlsb.xlsx]Base!R102C4</stp>
        <tr r="D102" s="2"/>
      </tp>
      <tp>
        <v>47.69</v>
        <stp/>
        <stp>##V3_BDPV12</stp>
        <stp>COG5 Comdty</stp>
        <stp>PX_SETTLE</stp>
        <stp>[QwackPricer.xlsb.xlsx]Energy!R66C4</stp>
        <tr r="D66" s="3"/>
      </tp>
      <tp>
        <v>16.939668655395508</v>
        <stp/>
        <stp>##V3_BDPV12</stp>
        <stp>LA FEB23 25DP VOL LME Comdty</stp>
        <stp>PX_LAST</stp>
        <stp>[QwackPricer.xlsb.xlsx]Base!R102C5</stp>
        <tr r="E102" s="2"/>
      </tp>
      <tp>
        <v>16.859710693359375</v>
        <stp/>
        <stp>##V3_BDPV12</stp>
        <stp>LA DEC23 25DP VOL LME Comdty</stp>
        <stp>PX_LAST</stp>
        <stp>[QwackPricer.xlsb.xlsx]Base!R112C5</stp>
        <tr r="E112" s="2"/>
      </tp>
      <tp>
        <v>16.119876861572266</v>
        <stp/>
        <stp>##V3_BDPV12</stp>
        <stp>LA APR23 10DC VOL LME Comdty</stp>
        <stp>PX_LAST</stp>
        <stp>[QwackPricer.xlsb.xlsx]Base!R104C8</stp>
        <tr r="H104" s="2"/>
      </tp>
      <tp>
        <v>15.93982982635498</v>
        <stp/>
        <stp>##V3_BDPV12</stp>
        <stp>LA APR23 25DC VOL LME Comdty</stp>
        <stp>PX_LAST</stp>
        <stp>[QwackPricer.xlsb.xlsx]Base!R104C7</stp>
        <tr r="G104" s="2"/>
      </tp>
      <tp>
        <v>15.670050621032715</v>
        <stp/>
        <stp>##V3_BDPV12</stp>
        <stp>LA AUG23 50D VOL LME Comdty</stp>
        <stp>PX_LAST</stp>
        <stp>[QwackPricer.xlsb.xlsx]Base!R108C6</stp>
        <tr r="F108" s="2"/>
      </tp>
      <tp>
        <v>16.909685134887695</v>
        <stp/>
        <stp>##V3_BDPV12</stp>
        <stp>LA MAY23 25DP VOL LME Comdty</stp>
        <stp>PX_LAST</stp>
        <stp>[QwackPricer.xlsb.xlsx]Base!R105C5</stp>
        <tr r="E105" s="2"/>
      </tp>
      <tp>
        <v>18.05955696105957</v>
        <stp/>
        <stp>##V3_BDPV12</stp>
        <stp>LA MAY23 10DP VOL LME Comdty</stp>
        <stp>PX_LAST</stp>
        <stp>[QwackPricer.xlsb.xlsx]Base!R105C4</stp>
        <tr r="D105" s="2"/>
      </tp>
      <tp>
        <v>18.1495361328125</v>
        <stp/>
        <stp>##V3_BDPV12</stp>
        <stp>LA DEC22 10DP VOL LME Comdty</stp>
        <stp>PX_LAST</stp>
        <stp>[QwackPricer.xlsb.xlsx]Base!R100C4</stp>
        <tr r="D100" s="2"/>
      </tp>
      <tp>
        <v>45.19</v>
        <stp/>
        <stp>##V3_BDPV12</stp>
        <stp>COG4 Comdty</stp>
        <stp>PX_SETTLE</stp>
        <stp>[QwackPricer.xlsb.xlsx]Energy!R54C4</stp>
        <tr r="D54" s="3"/>
      </tp>
      <tp>
        <v>47.480000000000004</v>
        <stp/>
        <stp>##V3_BDPV12</stp>
        <stp>COF5 Comdty</stp>
        <stp>PX_SETTLE</stp>
        <stp>[QwackPricer.xlsb.xlsx]Energy!R65C4</stp>
        <tr r="D65" s="3"/>
      </tp>
      <tp>
        <v>16.969659805297852</v>
        <stp/>
        <stp>##V3_BDPV12</stp>
        <stp>LA DEC22 25DP VOL LME Comdty</stp>
        <stp>PX_LAST</stp>
        <stp>[QwackPricer.xlsb.xlsx]Base!R100C5</stp>
        <tr r="E100" s="2"/>
      </tp>
      <tp>
        <v>15.690051078796387</v>
        <stp/>
        <stp>##V3_BDPV12</stp>
        <stp>LA JAN23 50D VOL LME Comdty</stp>
        <stp>PX_LAST</stp>
        <stp>[QwackPricer.xlsb.xlsx]Base!R101C6</stp>
        <tr r="F101" s="2"/>
      </tp>
      <tp>
        <v>23</v>
        <stp/>
        <stp>##V3_BDPV12</stp>
        <stp>ZARTN Curncy</stp>
        <stp>PX_LAST</stp>
        <stp>[QwackPricer.xlsb.xlsx]FX-IR!R33C3</stp>
        <tr r="C33" s="1"/>
      </tp>
      <tp>
        <v>45.660000000000004</v>
        <stp/>
        <stp>##V3_BDPV12</stp>
        <stp>COJ4 Comdty</stp>
        <stp>PX_SETTLE</stp>
        <stp>[QwackPricer.xlsb.xlsx]Energy!R56C4</stp>
        <tr r="D56" s="3"/>
      </tp>
      <tp>
        <v>45.910000000000004</v>
        <stp/>
        <stp>##V3_BDPV12</stp>
        <stp>COK4 Comdty</stp>
        <stp>PX_SETTLE</stp>
        <stp>[QwackPricer.xlsb.xlsx]Energy!R57C4</stp>
        <tr r="D57" s="3"/>
      </tp>
      <tp>
        <v>15.680050849914551</v>
        <stp/>
        <stp>##V3_BDPV12</stp>
        <stp>LA FEB23 50D VOL LME Comdty</stp>
        <stp>PX_LAST</stp>
        <stp>[QwackPricer.xlsb.xlsx]Base!R102C6</stp>
        <tr r="F102" s="2"/>
      </tp>
      <tp>
        <v>23</v>
        <stp/>
        <stp>##V3_BDPV12</stp>
        <stp>ZARON Curncy</stp>
        <stp>PX_LAST</stp>
        <stp>[QwackPricer.xlsb.xlsx]FX-IR!R32C3</stp>
        <tr r="C32" s="1"/>
      </tp>
      <tp>
        <v>36.97</v>
        <stp/>
        <stp>##V3_BDPV12</stp>
        <stp>CON1 Comdty</stp>
        <stp>PX_SETTLE</stp>
        <stp>[QwackPricer.xlsb.xlsx]Energy!R23C4</stp>
        <tr r="D23" s="3"/>
      </tp>
      <tp>
        <v>45.42</v>
        <stp/>
        <stp>##V3_BDPV12</stp>
        <stp>COH4 Comdty</stp>
        <stp>PX_SETTLE</stp>
        <stp>[QwackPricer.xlsb.xlsx]Energy!R55C4</stp>
        <tr r="D55" s="3"/>
      </tp>
      <tp>
        <v>15.690051078796387</v>
        <stp/>
        <stp>##V3_BDPV12</stp>
        <stp>LA DEC22 50D VOL LME Comdty</stp>
        <stp>PX_LAST</stp>
        <stp>[QwackPricer.xlsb.xlsx]Base!R100C6</stp>
        <tr r="F100" s="2"/>
      </tp>
      <tp>
        <v>15.680049896240234</v>
        <stp/>
        <stp>##V3_BDPV12</stp>
        <stp>LA APR23 50D VOL LME Comdty</stp>
        <stp>PX_LAST</stp>
        <stp>[QwackPricer.xlsb.xlsx]Base!R104C6</stp>
        <tr r="F104" s="2"/>
      </tp>
      <tp>
        <v>42.980000000000004</v>
        <stp/>
        <stp>##V3_BDPV12</stp>
        <stp>COJ3 Comdty</stp>
        <stp>PX_SETTLE</stp>
        <stp>[QwackPricer.xlsb.xlsx]Energy!R44C4</stp>
        <tr r="D44" s="3"/>
      </tp>
      <tp>
        <v>43.27</v>
        <stp/>
        <stp>##V3_BDPV12</stp>
        <stp>COK3 Comdty</stp>
        <stp>PX_SETTLE</stp>
        <stp>[QwackPricer.xlsb.xlsx]Energy!R45C4</stp>
        <tr r="D45" s="3"/>
      </tp>
      <tp>
        <v>15.640055656433105</v>
        <stp/>
        <stp>##V3_BDPV12</stp>
        <stp>LA DEC23 50D VOL LME Comdty</stp>
        <stp>PX_LAST</stp>
        <stp>[QwackPricer.xlsb.xlsx]Base!R112C6</stp>
        <tr r="F112" s="2"/>
      </tp>
      <tp>
        <v>29.63</v>
        <stp/>
        <stp>##V3_BDPV12</stp>
        <stp>CON0 Comdty</stp>
        <stp>PX_SETTLE</stp>
        <stp>[QwackPricer.xlsb.xlsx]Energy!R11C4</stp>
        <tr r="D11" s="3"/>
      </tp>
      <tp>
        <v>36.65</v>
        <stp/>
        <stp>##V3_BDPV12</stp>
        <stp>COM1 Comdty</stp>
        <stp>PX_SETTLE</stp>
        <stp>[QwackPricer.xlsb.xlsx]Energy!R22C4</stp>
        <tr r="D22" s="3"/>
      </tp>
      <tp>
        <v>35.01</v>
        <stp/>
        <stp>##V3_BDPV12</stp>
        <stp>COG1 Comdty</stp>
        <stp>PX_SETTLE</stp>
        <stp>[QwackPricer.xlsb.xlsx]Energy!R18C4</stp>
        <tr r="D18" s="3"/>
      </tp>
      <tp>
        <v>38.74</v>
        <stp/>
        <stp>##V3_BDPV12</stp>
        <stp>COF2 Comdty</stp>
        <stp>PX_SETTLE</stp>
        <stp>[QwackPricer.xlsb.xlsx]Energy!R29C4</stp>
        <tr r="D29" s="3"/>
      </tp>
      <tp>
        <v>47.89</v>
        <stp/>
        <stp>##V3_BDPV12</stp>
        <stp>COH5 Comdty</stp>
        <stp>PX_SETTLE</stp>
        <stp>[QwackPricer.xlsb.xlsx]Energy!R67C4</stp>
        <tr r="D67" s="3"/>
      </tp>
      <tp>
        <v>16.119876861572266</v>
        <stp/>
        <stp>##V3_BDPV12</stp>
        <stp>LA AUG23 10DC VOL LME Comdty</stp>
        <stp>PX_LAST</stp>
        <stp>[QwackPricer.xlsb.xlsx]Base!R108C8</stp>
        <tr r="H108" s="2"/>
      </tp>
      <tp>
        <v>39.71</v>
        <stp/>
        <stp>##V3_BDPV12</stp>
        <stp>COJ2 Comdty</stp>
        <stp>PX_SETTLE</stp>
        <stp>[QwackPricer.xlsb.xlsx]Energy!R32C4</stp>
        <tr r="D32" s="3"/>
      </tp>
      <tp>
        <v>40.04</v>
        <stp/>
        <stp>##V3_BDPV12</stp>
        <stp>COK2 Comdty</stp>
        <stp>PX_SETTLE</stp>
        <stp>[QwackPricer.xlsb.xlsx]Energy!R33C4</stp>
        <tr r="D33" s="3"/>
      </tp>
      <tp>
        <v>15.939827919006348</v>
        <stp/>
        <stp>##V3_BDPV12</stp>
        <stp>LA AUG23 25DC VOL LME Comdty</stp>
        <stp>PX_LAST</stp>
        <stp>[QwackPricer.xlsb.xlsx]Base!R108C7</stp>
        <tr r="G108" s="2"/>
      </tp>
      <tp>
        <v>17.999568939208984</v>
        <stp/>
        <stp>##V3_BDPV12</stp>
        <stp>LA NOV23 10DP VOL LME Comdty</stp>
        <stp>PX_LAST</stp>
        <stp>[QwackPricer.xlsb.xlsx]Base!R111C4</stp>
        <tr r="D111" s="2"/>
      </tp>
      <tp>
        <v>16.869707107543945</v>
        <stp/>
        <stp>##V3_BDPV12</stp>
        <stp>LA NOV23 25DP VOL LME Comdty</stp>
        <stp>PX_LAST</stp>
        <stp>[QwackPricer.xlsb.xlsx]Base!R111C5</stp>
        <tr r="E111" s="2"/>
      </tp>
      <tp>
        <v>4.4329999999999998</v>
        <stp/>
        <stp>##V3_BDPV12</stp>
        <stp>JIBA1M Curncy</stp>
        <stp>PX_LAST</stp>
        <stp>[QwackPricer.xlsb.xlsx]FX-IR!R65C9</stp>
        <tr r="I65" s="1"/>
      </tp>
      <tp>
        <v>39.369999999999997</v>
        <stp/>
        <stp>##V3_BDPV12</stp>
        <stp>COH2 Comdty</stp>
        <stp>PX_SETTLE</stp>
        <stp>[QwackPricer.xlsb.xlsx]Energy!R31C4</stp>
        <tr r="D31" s="3"/>
      </tp>
      <tp>
        <v>40.36</v>
        <stp/>
        <stp>##V3_BDPV12</stp>
        <stp>COM2 Comdty</stp>
        <stp>PX_SETTLE</stp>
        <stp>[QwackPricer.xlsb.xlsx]Energy!R34C4</stp>
        <tr r="D34" s="3"/>
      </tp>
      <tp>
        <v>43.75</v>
        <stp/>
        <stp>##V3_BDPV12</stp>
        <stp>CON3 Comdty</stp>
        <stp>PX_SETTLE</stp>
        <stp>[QwackPricer.xlsb.xlsx]Energy!R47C4</stp>
        <tr r="D47" s="3"/>
      </tp>
      <tp>
        <v>35.880000000000003</v>
        <stp/>
        <stp>##V3_BDPV12</stp>
        <stp>COJ1 Comdty</stp>
        <stp>PX_SETTLE</stp>
        <stp>[QwackPricer.xlsb.xlsx]Energy!R20C4</stp>
        <tr r="D20" s="3"/>
      </tp>
      <tp>
        <v>36.28</v>
        <stp/>
        <stp>##V3_BDPV12</stp>
        <stp>COK1 Comdty</stp>
        <stp>PX_SETTLE</stp>
        <stp>[QwackPricer.xlsb.xlsx]Energy!R21C4</stp>
        <tr r="D21" s="3"/>
      </tp>
      <tp>
        <v>16.87969970703125</v>
        <stp/>
        <stp>##V3_BDPV12</stp>
        <stp>LA SEP23 25DP VOL LME Comdty</stp>
        <stp>PX_LAST</stp>
        <stp>[QwackPricer.xlsb.xlsx]Base!R109C5</stp>
        <tr r="E109" s="2"/>
      </tp>
      <tp>
        <v>18.019565582275391</v>
        <stp/>
        <stp>##V3_BDPV12</stp>
        <stp>LA SEP23 10DP VOL LME Comdty</stp>
        <stp>PX_LAST</stp>
        <stp>[QwackPricer.xlsb.xlsx]Base!R109C4</stp>
        <tr r="D109" s="2"/>
      </tp>
      <tp>
        <v>40.630000000000003</v>
        <stp/>
        <stp>##V3_BDPV12</stp>
        <stp>CON2 Comdty</stp>
        <stp>PX_SETTLE</stp>
        <stp>[QwackPricer.xlsb.xlsx]Energy!R35C4</stp>
        <tr r="D35" s="3"/>
      </tp>
      <tp>
        <v>42.660000000000004</v>
        <stp/>
        <stp>##V3_BDPV12</stp>
        <stp>COH3 Comdty</stp>
        <stp>PX_SETTLE</stp>
        <stp>[QwackPricer.xlsb.xlsx]Energy!R43C4</stp>
        <tr r="D43" s="3"/>
      </tp>
      <tp>
        <v>43.550000000000004</v>
        <stp/>
        <stp>##V3_BDPV12</stp>
        <stp>COM3 Comdty</stp>
        <stp>PX_SETTLE</stp>
        <stp>[QwackPricer.xlsb.xlsx]Energy!R46C4</stp>
        <tr r="D46" s="3"/>
      </tp>
      <tp>
        <v>4.5330000000000004</v>
        <stp/>
        <stp>##V3_BDPV12</stp>
        <stp>JIBA3M Curncy</stp>
        <stp>PX_LAST</stp>
        <stp>[QwackPricer.xlsb.xlsx]FX-IR!R66C9</stp>
        <tr r="I66" s="1"/>
      </tp>
      <tp>
        <v>24.519386291503906</v>
        <stp/>
        <stp>##V3_BDPV12</stp>
        <stp>LP NOV23 10DP VOL LME Comdty</stp>
        <stp>PX_LAST</stp>
        <stp>[QwackPricer.xlsb.xlsx]Base!R111C15</stp>
        <tr r="O111" s="2"/>
      </tp>
      <tp>
        <v>20.170001983642578</v>
        <stp/>
        <stp>##V3_BDPV12</stp>
        <stp>LP NOV23 10DC VOL LME Comdty</stp>
        <stp>PX_LAST</stp>
        <stp>[QwackPricer.xlsb.xlsx]Base!R111C19</stp>
        <tr r="S111" s="2"/>
      </tp>
      <tp>
        <v>28.1</v>
        <stp/>
        <stp>##V3_BDPV12</stp>
        <stp>CLU0 Comdty</stp>
        <stp>PX_SETTLE</stp>
        <stp>[QwackPricer.xlsb.xlsx]Energy!R14C31</stp>
        <tr r="AE14" s="3"/>
      </tp>
      <tp>
        <v>26.76</v>
        <stp/>
        <stp>##V3_BDPV12</stp>
        <stp>CLQ0 Comdty</stp>
        <stp>PX_SETTLE</stp>
        <stp>[QwackPricer.xlsb.xlsx]Energy!R13C31</stp>
        <tr r="AE13" s="3"/>
      </tp>
      <tp>
        <v>29.05</v>
        <stp/>
        <stp>##V3_BDPV12</stp>
        <stp>CLV0 Comdty</stp>
        <stp>PX_SETTLE</stp>
        <stp>[QwackPricer.xlsb.xlsx]Energy!R15C31</stp>
        <tr r="AE15" s="3"/>
      </tp>
      <tp>
        <v>30.57</v>
        <stp/>
        <stp>##V3_BDPV12</stp>
        <stp>CLZ0 Comdty</stp>
        <stp>PX_SETTLE</stp>
        <stp>[QwackPricer.xlsb.xlsx]Energy!R17C31</stp>
        <tr r="AE17" s="3"/>
      </tp>
      <tp>
        <v>29.87</v>
        <stp/>
        <stp>##V3_BDPV12</stp>
        <stp>CLX0 Comdty</stp>
        <stp>PX_SETTLE</stp>
        <stp>[QwackPricer.xlsb.xlsx]Energy!R16C31</stp>
        <tr r="AE16" s="3"/>
      </tp>
      <tp>
        <v>24.14</v>
        <stp/>
        <stp>##V3_BDPV12</stp>
        <stp>CLM0 Comdty</stp>
        <stp>PX_SETTLE</stp>
        <stp>[QwackPricer.xlsb.xlsx]Energy!R11C31</stp>
        <tr r="AE11" s="3"/>
      </tp>
      <tp>
        <v>25.080000000000002</v>
        <stp/>
        <stp>##V3_BDPV12</stp>
        <stp>CLN0 Comdty</stp>
        <stp>PX_SETTLE</stp>
        <stp>[QwackPricer.xlsb.xlsx]Energy!R12C31</stp>
        <tr r="AE12" s="3"/>
      </tp>
      <tp>
        <v>13.33</v>
        <stp/>
        <stp>##V3_BDPV12</stp>
        <stp>EUR2m Curncy</stp>
        <stp>PX_LAST</stp>
        <stp>[QwackPricer.xlsb.xlsx]FX-IR!R37C4</stp>
        <tr r="D37" s="1"/>
      </tp>
      <tp>
        <v>286.75</v>
        <stp/>
        <stp>##V3_BDPV12</stp>
        <stp>QSU0 Comdty</stp>
        <stp>PX_SETTLE</stp>
        <stp>[QwackPricer.xlsb.xlsx]Energy!R14C13</stp>
        <tr r="M14" s="3"/>
      </tp>
      <tp>
        <v>279.75</v>
        <stp/>
        <stp>##V3_BDPV12</stp>
        <stp>QSQ0 Comdty</stp>
        <stp>PX_SETTLE</stp>
        <stp>[QwackPricer.xlsb.xlsx]Energy!R13C13</stp>
        <tr r="M13" s="3"/>
      </tp>
      <tp>
        <v>295</v>
        <stp/>
        <stp>##V3_BDPV12</stp>
        <stp>QSV0 Comdty</stp>
        <stp>PX_SETTLE</stp>
        <stp>[QwackPricer.xlsb.xlsx]Energy!R15C13</stp>
        <tr r="M15" s="3"/>
      </tp>
      <tp>
        <v>304.25</v>
        <stp/>
        <stp>##V3_BDPV12</stp>
        <stp>QSZ0 Comdty</stp>
        <stp>PX_SETTLE</stp>
        <stp>[QwackPricer.xlsb.xlsx]Energy!R17C13</stp>
        <tr r="M17" s="3"/>
      </tp>
      <tp>
        <v>300.5</v>
        <stp/>
        <stp>##V3_BDPV12</stp>
        <stp>QSX0 Comdty</stp>
        <stp>PX_SETTLE</stp>
        <stp>[QwackPricer.xlsb.xlsx]Energy!R16C13</stp>
        <tr r="M16" s="3"/>
      </tp>
      <tp>
        <v>258</v>
        <stp/>
        <stp>##V3_BDPV12</stp>
        <stp>QSM0 Comdty</stp>
        <stp>PX_SETTLE</stp>
        <stp>[QwackPricer.xlsb.xlsx]Energy!R11C13</stp>
        <tr r="M11" s="3"/>
      </tp>
      <tp>
        <v>271.75</v>
        <stp/>
        <stp>##V3_BDPV12</stp>
        <stp>QSN0 Comdty</stp>
        <stp>PX_SETTLE</stp>
        <stp>[QwackPricer.xlsb.xlsx]Energy!R12C13</stp>
        <tr r="M12" s="3"/>
      </tp>
    </main>
    <main first="bloomberg.rtd">
      <tp>
        <v>94.41</v>
        <stp/>
        <stp>##V3_BDPV12</stp>
        <stp>XBU0 Comdty</stp>
        <stp>PX_SETTLE</stp>
        <stp>[QwackPricer.xlsb.xlsx]Energy!R14C22</stp>
        <tr r="V14" s="3"/>
      </tp>
      <tp>
        <v>94.52</v>
        <stp/>
        <stp>##V3_BDPV12</stp>
        <stp>XBQ0 Comdty</stp>
        <stp>PX_SETTLE</stp>
        <stp>[QwackPricer.xlsb.xlsx]Energy!R13C22</stp>
        <tr r="V13" s="3"/>
      </tp>
      <tp>
        <v>86.3</v>
        <stp/>
        <stp>##V3_BDPV12</stp>
        <stp>XBV0 Comdty</stp>
        <stp>PX_SETTLE</stp>
        <stp>[QwackPricer.xlsb.xlsx]Energy!R15C22</stp>
        <tr r="V15" s="3"/>
      </tp>
      <tp>
        <v>85.72</v>
        <stp/>
        <stp>##V3_BDPV12</stp>
        <stp>XBZ0 Comdty</stp>
        <stp>PX_SETTLE</stp>
        <stp>[QwackPricer.xlsb.xlsx]Energy!R17C22</stp>
        <tr r="V17" s="3"/>
      </tp>
      <tp>
        <v>85.93</v>
        <stp/>
        <stp>##V3_BDPV12</stp>
        <stp>XBX0 Comdty</stp>
        <stp>PX_SETTLE</stp>
        <stp>[QwackPricer.xlsb.xlsx]Energy!R16C22</stp>
        <tr r="V16" s="3"/>
      </tp>
      <tp>
        <v>92.42</v>
        <stp/>
        <stp>##V3_BDPV12</stp>
        <stp>XBM0 Comdty</stp>
        <stp>PX_SETTLE</stp>
        <stp>[QwackPricer.xlsb.xlsx]Energy!R11C22</stp>
        <tr r="V11" s="3"/>
      </tp>
      <tp>
        <v>93.89</v>
        <stp/>
        <stp>##V3_BDPV12</stp>
        <stp>XBN0 Comdty</stp>
        <stp>PX_SETTLE</stp>
        <stp>[QwackPricer.xlsb.xlsx]Energy!R12C22</stp>
        <tr r="V12" s="3"/>
      </tp>
      <tp>
        <v>33.524999999999999</v>
        <stp/>
        <stp>##V3_BDPV12</stp>
        <stp>CLQ1 Comdty</stp>
        <stp>PX_MID</stp>
        <stp>[QwackPricer.xlsb.xlsx]Energy!R25C32</stp>
        <tr r="AF25" s="3"/>
      </tp>
      <tp t="s">
        <v>#N/A N/A</v>
        <stp/>
        <stp>##V3_BDPV12</stp>
        <stp>CLU4 Comdty</stp>
        <stp>PX_MID</stp>
        <stp>[QwackPricer.xlsb.xlsx]Energy!R62C32</stp>
        <tr r="AF62" s="3"/>
      </tp>
      <tp t="s">
        <v>#N/A N/A</v>
        <stp/>
        <stp>##V3_BDPV12</stp>
        <stp>CLV3 Comdty</stp>
        <stp>PX_MID</stp>
        <stp>[QwackPricer.xlsb.xlsx]Energy!R51C32</stp>
        <tr r="AF51" s="3"/>
      </tp>
      <tp t="s">
        <v>#N/A N/A</v>
        <stp/>
        <stp>##V3_BDPV12</stp>
        <stp>CLQ2 Comdty</stp>
        <stp>PX_MID</stp>
        <stp>[QwackPricer.xlsb.xlsx]Energy!R37C32</stp>
        <tr r="AF37" s="3"/>
      </tp>
      <tp t="s">
        <v>#N/A N/A</v>
        <stp/>
        <stp>##V3_BDPV12</stp>
        <stp>CLV4 Comdty</stp>
        <stp>PX_MID</stp>
        <stp>[QwackPricer.xlsb.xlsx]Energy!R63C32</stp>
        <tr r="AF63" s="3"/>
      </tp>
      <tp>
        <v>27.05</v>
        <stp/>
        <stp>##V3_BDPV12</stp>
        <stp>CLQ0 Comdty</stp>
        <stp>PX_MID</stp>
        <stp>[QwackPricer.xlsb.xlsx]Energy!R13C32</stp>
        <tr r="AF13" s="3"/>
      </tp>
      <tp t="s">
        <v>#N/A N/A</v>
        <stp/>
        <stp>##V3_BDPV12</stp>
        <stp>CLU3 Comdty</stp>
        <stp>PX_MID</stp>
        <stp>[QwackPricer.xlsb.xlsx]Energy!R50C32</stp>
        <tr r="AF50" s="3"/>
      </tp>
      <tp t="s">
        <v>#N/A N/A</v>
        <stp/>
        <stp>##V3_BDPV12</stp>
        <stp>CLQ4 Comdty</stp>
        <stp>PX_MID</stp>
        <stp>[QwackPricer.xlsb.xlsx]Energy!R61C32</stp>
        <tr r="AF61" s="3"/>
      </tp>
      <tp>
        <v>29.065000000000001</v>
        <stp/>
        <stp>##V3_BDPV12</stp>
        <stp>CLV0 Comdty</stp>
        <stp>PX_MID</stp>
        <stp>[QwackPricer.xlsb.xlsx]Energy!R15C32</stp>
        <tr r="AF15" s="3"/>
      </tp>
      <tp>
        <v>33.79</v>
        <stp/>
        <stp>##V3_BDPV12</stp>
        <stp>CLU1 Comdty</stp>
        <stp>PX_MID</stp>
        <stp>[QwackPricer.xlsb.xlsx]Energy!R26C32</stp>
        <tr r="AF26" s="3"/>
      </tp>
      <tp t="s">
        <v>#N/A N/A</v>
        <stp/>
        <stp>##V3_BDPV12</stp>
        <stp>CLU2 Comdty</stp>
        <stp>PX_MID</stp>
        <stp>[QwackPricer.xlsb.xlsx]Energy!R38C32</stp>
        <tr r="AF38" s="3"/>
      </tp>
      <tp t="s">
        <v>#N/A N/A</v>
        <stp/>
        <stp>##V3_BDPV12</stp>
        <stp>CLQ3 Comdty</stp>
        <stp>PX_MID</stp>
        <stp>[QwackPricer.xlsb.xlsx]Energy!R49C32</stp>
        <tr r="AF49" s="3"/>
      </tp>
      <tp t="s">
        <v>#N/A N/A</v>
        <stp/>
        <stp>##V3_BDPV12</stp>
        <stp>CLV2 Comdty</stp>
        <stp>PX_MID</stp>
        <stp>[QwackPricer.xlsb.xlsx]Energy!R39C32</stp>
        <tr r="AF39" s="3"/>
      </tp>
      <tp>
        <v>28.2</v>
        <stp/>
        <stp>##V3_BDPV12</stp>
        <stp>CLU0 Comdty</stp>
        <stp>PX_MID</stp>
        <stp>[QwackPricer.xlsb.xlsx]Energy!R14C32</stp>
        <tr r="AF14" s="3"/>
      </tp>
      <tp>
        <v>34.06</v>
        <stp/>
        <stp>##V3_BDPV12</stp>
        <stp>CLV1 Comdty</stp>
        <stp>PX_MID</stp>
        <stp>[QwackPricer.xlsb.xlsx]Energy!R27C32</stp>
        <tr r="AF27" s="3"/>
      </tp>
      <tp>
        <v>30.525000000000002</v>
        <stp/>
        <stp>##V3_BDPV12</stp>
        <stp>CLZ0 Comdty</stp>
        <stp>PX_MID</stp>
        <stp>[QwackPricer.xlsb.xlsx]Energy!R17C32</stp>
        <tr r="AF17" s="3"/>
      </tp>
      <tp>
        <v>34.335000000000001</v>
        <stp/>
        <stp>##V3_BDPV12</stp>
        <stp>CLX1 Comdty</stp>
        <stp>PX_MID</stp>
        <stp>[QwackPricer.xlsb.xlsx]Energy!R28C32</stp>
        <tr r="AF28" s="3"/>
      </tp>
      <tp>
        <v>29.84</v>
        <stp/>
        <stp>##V3_BDPV12</stp>
        <stp>CLX0 Comdty</stp>
        <stp>PX_MID</stp>
        <stp>[QwackPricer.xlsb.xlsx]Energy!R16C32</stp>
        <tr r="AF16" s="3"/>
      </tp>
      <tp>
        <v>34.58</v>
        <stp/>
        <stp>##V3_BDPV12</stp>
        <stp>CLZ1 Comdty</stp>
        <stp>PX_MID</stp>
        <stp>[QwackPricer.xlsb.xlsx]Energy!R29C32</stp>
        <tr r="AF29" s="3"/>
      </tp>
      <tp>
        <v>39.975000000000001</v>
        <stp/>
        <stp>##V3_BDPV12</stp>
        <stp>CLZ3 Comdty</stp>
        <stp>PX_MID</stp>
        <stp>[QwackPricer.xlsb.xlsx]Energy!R53C32</stp>
        <tr r="AF53" s="3"/>
      </tp>
      <tp t="s">
        <v>#N/A N/A</v>
        <stp/>
        <stp>##V3_BDPV12</stp>
        <stp>CLX4 Comdty</stp>
        <stp>PX_MID</stp>
        <stp>[QwackPricer.xlsb.xlsx]Energy!R64C32</stp>
        <tr r="AF64" s="3"/>
      </tp>
      <tp>
        <v>37.395000000000003</v>
        <stp/>
        <stp>##V3_BDPV12</stp>
        <stp>CLZ2 Comdty</stp>
        <stp>PX_MID</stp>
        <stp>[QwackPricer.xlsb.xlsx]Energy!R41C32</stp>
        <tr r="AF41" s="3"/>
      </tp>
      <tp t="s">
        <v>#N/A N/A</v>
        <stp/>
        <stp>##V3_BDPV12</stp>
        <stp>CLX3 Comdty</stp>
        <stp>PX_MID</stp>
        <stp>[QwackPricer.xlsb.xlsx]Energy!R52C32</stp>
        <tr r="AF52" s="3"/>
      </tp>
      <tp>
        <v>42.384999999999998</v>
        <stp/>
        <stp>##V3_BDPV12</stp>
        <stp>CLZ4 Comdty</stp>
        <stp>PX_MID</stp>
        <stp>[QwackPricer.xlsb.xlsx]Energy!R65C32</stp>
        <tr r="AF65" s="3"/>
      </tp>
      <tp t="s">
        <v>#N/A N/A</v>
        <stp/>
        <stp>##V3_BDPV12</stp>
        <stp>CLX2 Comdty</stp>
        <stp>PX_MID</stp>
        <stp>[QwackPricer.xlsb.xlsx]Energy!R40C32</stp>
        <tr r="AF40" s="3"/>
      </tp>
      <tp t="s">
        <v>#N/A N/A</v>
        <stp/>
        <stp>##V3_BDPV12</stp>
        <stp>CLF4 Comdty</stp>
        <stp>PX_MID</stp>
        <stp>[QwackPricer.xlsb.xlsx]Energy!R54C32</stp>
        <tr r="AF54" s="3"/>
      </tp>
      <tp t="s">
        <v>#N/A N/A</v>
        <stp/>
        <stp>##V3_BDPV12</stp>
        <stp>CLG3 Comdty</stp>
        <stp>PX_MID</stp>
        <stp>[QwackPricer.xlsb.xlsx]Energy!R43C32</stp>
        <tr r="AF43" s="3"/>
      </tp>
      <tp t="s">
        <v>#N/A N/A</v>
        <stp/>
        <stp>##V3_BDPV12</stp>
        <stp>CLF3 Comdty</stp>
        <stp>PX_MID</stp>
        <stp>[QwackPricer.xlsb.xlsx]Energy!R42C32</stp>
        <tr r="AF42" s="3"/>
      </tp>
      <tp t="s">
        <v>#N/A N/A</v>
        <stp/>
        <stp>##V3_BDPV12</stp>
        <stp>CLG4 Comdty</stp>
        <stp>PX_MID</stp>
        <stp>[QwackPricer.xlsb.xlsx]Energy!R55C32</stp>
        <tr r="AF55" s="3"/>
      </tp>
      <tp t="s">
        <v>#N/A N/A</v>
        <stp/>
        <stp>##V3_BDPV12</stp>
        <stp>CLG5 Comdty</stp>
        <stp>PX_MID</stp>
        <stp>[QwackPricer.xlsb.xlsx]Energy!R67C32</stp>
        <tr r="AF67" s="3"/>
      </tp>
      <tp t="s">
        <v>#N/A N/A</v>
        <stp/>
        <stp>##V3_BDPV12</stp>
        <stp>CLF5 Comdty</stp>
        <stp>PX_MID</stp>
        <stp>[QwackPricer.xlsb.xlsx]Energy!R66C32</stp>
        <tr r="AF66" s="3"/>
      </tp>
      <tp>
        <v>31.09</v>
        <stp/>
        <stp>##V3_BDPV12</stp>
        <stp>CLF1 Comdty</stp>
        <stp>PX_MID</stp>
        <stp>[QwackPricer.xlsb.xlsx]Energy!R18C32</stp>
        <tr r="AF18" s="3"/>
      </tp>
      <tp>
        <v>31.57</v>
        <stp/>
        <stp>##V3_BDPV12</stp>
        <stp>CLG1 Comdty</stp>
        <stp>PX_MID</stp>
        <stp>[QwackPricer.xlsb.xlsx]Energy!R19C32</stp>
        <tr r="AF19" s="3"/>
      </tp>
      <tp>
        <v>34.835000000000001</v>
        <stp/>
        <stp>##V3_BDPV12</stp>
        <stp>CLF2 Comdty</stp>
        <stp>PX_MID</stp>
        <stp>[QwackPricer.xlsb.xlsx]Energy!R30C32</stp>
        <tr r="AF30" s="3"/>
      </tp>
      <tp>
        <v>35.045000000000002</v>
        <stp/>
        <stp>##V3_BDPV12</stp>
        <stp>CLG2 Comdty</stp>
        <stp>PX_MID</stp>
        <stp>[QwackPricer.xlsb.xlsx]Energy!R31C32</stp>
        <tr r="AF31" s="3"/>
      </tp>
      <tp>
        <v>35.28</v>
        <stp/>
        <stp>##V3_BDPV12</stp>
        <stp>CLH2 Comdty</stp>
        <stp>PX_MID</stp>
        <stp>[QwackPricer.xlsb.xlsx]Energy!R32C32</stp>
        <tr r="AF32" s="3"/>
      </tp>
      <tp>
        <v>31.984999999999999</v>
        <stp/>
        <stp>##V3_BDPV12</stp>
        <stp>CLH1 Comdty</stp>
        <stp>PX_MID</stp>
        <stp>[QwackPricer.xlsb.xlsx]Energy!R20C32</stp>
        <tr r="AF20" s="3"/>
      </tp>
      <tp t="s">
        <v>#N/A N/A</v>
        <stp/>
        <stp>##V3_BDPV12</stp>
        <stp>CLN3 Comdty</stp>
        <stp>PX_MID</stp>
        <stp>[QwackPricer.xlsb.xlsx]Energy!R48C32</stp>
        <tr r="AF48" s="3"/>
      </tp>
      <tp>
        <v>38.619999999999997</v>
        <stp/>
        <stp>##V3_BDPV12</stp>
        <stp>CLM3 Comdty</stp>
        <stp>PX_MID</stp>
        <stp>[QwackPricer.xlsb.xlsx]Energy!R47C32</stp>
        <tr r="AF47" s="3"/>
      </tp>
      <tp>
        <v>35.535000000000004</v>
        <stp/>
        <stp>##V3_BDPV12</stp>
        <stp>CLJ2 Comdty</stp>
        <stp>PX_MID</stp>
        <stp>[QwackPricer.xlsb.xlsx]Energy!R33C32</stp>
        <tr r="AF33" s="3"/>
      </tp>
      <tp>
        <v>32.660000000000004</v>
        <stp/>
        <stp>##V3_BDPV12</stp>
        <stp>CLK1 Comdty</stp>
        <stp>PX_MID</stp>
        <stp>[QwackPricer.xlsb.xlsx]Energy!R22C32</stp>
        <tr r="AF22" s="3"/>
      </tp>
      <tp t="s">
        <v>#N/A N/A</v>
        <stp/>
        <stp>##V3_BDPV12</stp>
        <stp>CLN4 Comdty</stp>
        <stp>PX_MID</stp>
        <stp>[QwackPricer.xlsb.xlsx]Energy!R60C32</stp>
        <tr r="AF60" s="3"/>
      </tp>
      <tp t="s">
        <v>#N/A N/A</v>
        <stp/>
        <stp>##V3_BDPV12</stp>
        <stp>CLK2 Comdty</stp>
        <stp>PX_MID</stp>
        <stp>[QwackPricer.xlsb.xlsx]Energy!R34C32</stp>
        <tr r="AF34" s="3"/>
      </tp>
      <tp>
        <v>32.340000000000003</v>
        <stp/>
        <stp>##V3_BDPV12</stp>
        <stp>CLJ1 Comdty</stp>
        <stp>PX_MID</stp>
        <stp>[QwackPricer.xlsb.xlsx]Energy!R21C32</stp>
        <tr r="AF21" s="3"/>
      </tp>
      <tp t="s">
        <v>#N/A N/A</v>
        <stp/>
        <stp>##V3_BDPV12</stp>
        <stp>CLM4 Comdty</stp>
        <stp>PX_MID</stp>
        <stp>[QwackPricer.xlsb.xlsx]Energy!R59C32</stp>
        <tr r="AF59" s="3"/>
      </tp>
      <tp t="s">
        <v>#N/A N/A</v>
        <stp/>
        <stp>##V3_BDPV12</stp>
        <stp>CLK3 Comdty</stp>
        <stp>PX_MID</stp>
        <stp>[QwackPricer.xlsb.xlsx]Energy!R46C32</stp>
        <tr r="AF46" s="3"/>
      </tp>
      <tp>
        <v>32.954999999999998</v>
        <stp/>
        <stp>##V3_BDPV12</stp>
        <stp>CLM1 Comdty</stp>
        <stp>PX_MID</stp>
        <stp>[QwackPricer.xlsb.xlsx]Energy!R23C32</stp>
        <tr r="AF23" s="3"/>
      </tp>
      <tp>
        <v>25.650000000000002</v>
        <stp/>
        <stp>##V3_BDPV12</stp>
        <stp>CLN0 Comdty</stp>
        <stp>PX_MID</stp>
        <stp>[QwackPricer.xlsb.xlsx]Energy!R12C32</stp>
        <tr r="AF12" s="3"/>
      </tp>
      <tp t="s">
        <v>#N/A N/A</v>
        <stp/>
        <stp>##V3_BDPV12</stp>
        <stp>CLJ4 Comdty</stp>
        <stp>PX_MID</stp>
        <stp>[QwackPricer.xlsb.xlsx]Energy!R57C32</stp>
        <tr r="AF57" s="3"/>
      </tp>
      <tp t="s">
        <v>#N/A N/A</v>
        <stp/>
        <stp>##V3_BDPV12</stp>
        <stp>CLJ3 Comdty</stp>
        <stp>PX_MID</stp>
        <stp>[QwackPricer.xlsb.xlsx]Energy!R45C32</stp>
        <tr r="AF45" s="3"/>
      </tp>
      <tp>
        <v>36.020000000000003</v>
        <stp/>
        <stp>##V3_BDPV12</stp>
        <stp>CLM2 Comdty</stp>
        <stp>PX_MID</stp>
        <stp>[QwackPricer.xlsb.xlsx]Energy!R35C32</stp>
        <tr r="AF35" s="3"/>
      </tp>
      <tp t="s">
        <v>#N/A N/A</v>
        <stp/>
        <stp>##V3_BDPV12</stp>
        <stp>CLK4 Comdty</stp>
        <stp>PX_MID</stp>
        <stp>[QwackPricer.xlsb.xlsx]Energy!R58C32</stp>
        <tr r="AF58" s="3"/>
      </tp>
      <tp t="s">
        <v>#N/A N/A</v>
        <stp/>
        <stp>##V3_BDPV12</stp>
        <stp>CLN2 Comdty</stp>
        <stp>PX_MID</stp>
        <stp>[QwackPricer.xlsb.xlsx]Energy!R36C32</stp>
        <tr r="AF36" s="3"/>
      </tp>
      <tp t="s">
        <v>#N/A N/A</v>
        <stp/>
        <stp>##V3_BDPV12</stp>
        <stp>CLH4 Comdty</stp>
        <stp>PX_MID</stp>
        <stp>[QwackPricer.xlsb.xlsx]Energy!R56C32</stp>
        <tr r="AF56" s="3"/>
      </tp>
      <tp>
        <v>33.28</v>
        <stp/>
        <stp>##V3_BDPV12</stp>
        <stp>CLN1 Comdty</stp>
        <stp>PX_MID</stp>
        <stp>[QwackPricer.xlsb.xlsx]Energy!R24C32</stp>
        <tr r="AF24" s="3"/>
      </tp>
      <tp t="s">
        <v>#N/A N/A</v>
        <stp/>
        <stp>##V3_BDPV12</stp>
        <stp>CLH3 Comdty</stp>
        <stp>PX_MID</stp>
        <stp>[QwackPricer.xlsb.xlsx]Energy!R44C32</stp>
        <tr r="AF44" s="3"/>
      </tp>
      <tp>
        <v>24.754999999999999</v>
        <stp/>
        <stp>##V3_BDPV12</stp>
        <stp>CLM0 Comdty</stp>
        <stp>PX_MID</stp>
        <stp>[QwackPricer.xlsb.xlsx]Energy!R11C32</stp>
        <tr r="AF11" s="3"/>
      </tp>
      <tp>
        <v>33.590000000000003</v>
        <stp/>
        <stp>##V3_BDPV12</stp>
        <stp>CLQ1 Comdty</stp>
        <stp>PX_SETTLE</stp>
        <stp>[QwackPricer.xlsb.xlsx]Energy!R25C31</stp>
        <tr r="AE25" s="3"/>
      </tp>
      <tp>
        <v>34.43</v>
        <stp/>
        <stp>##V3_BDPV12</stp>
        <stp>CLX1 Comdty</stp>
        <stp>PX_SETTLE</stp>
        <stp>[QwackPricer.xlsb.xlsx]Energy!R28C31</stp>
        <tr r="AE28" s="3"/>
      </tp>
      <tp>
        <v>34.15</v>
        <stp/>
        <stp>##V3_BDPV12</stp>
        <stp>CLV1 Comdty</stp>
        <stp>PX_SETTLE</stp>
        <stp>[QwackPricer.xlsb.xlsx]Energy!R27C31</stp>
        <tr r="AE27" s="3"/>
      </tp>
      <tp>
        <v>33.869999999999997</v>
        <stp/>
        <stp>##V3_BDPV12</stp>
        <stp>CLU1 Comdty</stp>
        <stp>PX_SETTLE</stp>
        <stp>[QwackPricer.xlsb.xlsx]Energy!R26C31</stp>
        <tr r="AE26" s="3"/>
      </tp>
      <tp>
        <v>34.71</v>
        <stp/>
        <stp>##V3_BDPV12</stp>
        <stp>CLZ1 Comdty</stp>
        <stp>PX_SETTLE</stp>
        <stp>[QwackPricer.xlsb.xlsx]Energy!R29C31</stp>
        <tr r="AE29" s="3"/>
      </tp>
      <tp>
        <v>33.049999999999997</v>
        <stp/>
        <stp>##V3_BDPV12</stp>
        <stp>CLM1 Comdty</stp>
        <stp>PX_SETTLE</stp>
        <stp>[QwackPricer.xlsb.xlsx]Energy!R23C31</stp>
        <tr r="AE23" s="3"/>
      </tp>
      <tp>
        <v>32.06</v>
        <stp/>
        <stp>##V3_BDPV12</stp>
        <stp>CLH1 Comdty</stp>
        <stp>PX_SETTLE</stp>
        <stp>[QwackPricer.xlsb.xlsx]Energy!R20C31</stp>
        <tr r="AE20" s="3"/>
      </tp>
      <tp>
        <v>32.75</v>
        <stp/>
        <stp>##V3_BDPV12</stp>
        <stp>CLK1 Comdty</stp>
        <stp>PX_SETTLE</stp>
        <stp>[QwackPricer.xlsb.xlsx]Energy!R22C31</stp>
        <tr r="AE22" s="3"/>
      </tp>
      <tp>
        <v>33.32</v>
        <stp/>
        <stp>##V3_BDPV12</stp>
        <stp>CLN1 Comdty</stp>
        <stp>PX_SETTLE</stp>
        <stp>[QwackPricer.xlsb.xlsx]Energy!R24C31</stp>
        <tr r="AE24" s="3"/>
      </tp>
      <tp>
        <v>32.42</v>
        <stp/>
        <stp>##V3_BDPV12</stp>
        <stp>CLJ1 Comdty</stp>
        <stp>PX_SETTLE</stp>
        <stp>[QwackPricer.xlsb.xlsx]Energy!R21C31</stp>
        <tr r="AE21" s="3"/>
      </tp>
      <tp>
        <v>31.150000000000002</v>
        <stp/>
        <stp>##V3_BDPV12</stp>
        <stp>CLF1 Comdty</stp>
        <stp>PX_SETTLE</stp>
        <stp>[QwackPricer.xlsb.xlsx]Energy!R18C31</stp>
        <tr r="AE18" s="3"/>
      </tp>
      <tp>
        <v>31.64</v>
        <stp/>
        <stp>##V3_BDPV12</stp>
        <stp>CLG1 Comdty</stp>
        <stp>PX_SETTLE</stp>
        <stp>[QwackPricer.xlsb.xlsx]Energy!R19C31</stp>
        <tr r="AE19" s="3"/>
      </tp>
      <tp>
        <v>6.59</v>
        <stp/>
        <stp>##V3_BDPV12</stp>
        <stp>EUR1m Curncy</stp>
        <stp>PX_LAST</stp>
        <stp>[QwackPricer.xlsb.xlsx]FX-IR!R36C4</stp>
        <tr r="D36" s="1"/>
      </tp>
      <tp>
        <v>22.6396484375</v>
        <stp/>
        <stp>##V3_BDPV12</stp>
        <stp>LP OCT23 25DP VOL LME Comdty</stp>
        <stp>PX_LAST</stp>
        <stp>[QwackPricer.xlsb.xlsx]Base!R110C16</stp>
        <tr r="P110" s="2"/>
      </tp>
      <tp>
        <v>20.250001907348633</v>
        <stp/>
        <stp>##V3_BDPV12</stp>
        <stp>LP OCT23 25DC VOL LME Comdty</stp>
        <stp>PX_LAST</stp>
        <stp>[QwackPricer.xlsb.xlsx]Base!R110C18</stp>
        <tr r="R110" s="2"/>
      </tp>
      <tp>
        <v>342.25</v>
        <stp/>
        <stp>##V3_BDPV12</stp>
        <stp>QSQ1 Comdty</stp>
        <stp>PX_SETTLE</stp>
        <stp>[QwackPricer.xlsb.xlsx]Energy!R25C13</stp>
        <tr r="M25" s="3"/>
      </tp>
      <tp>
        <v>350.5</v>
        <stp/>
        <stp>##V3_BDPV12</stp>
        <stp>QSX1 Comdty</stp>
        <stp>PX_SETTLE</stp>
        <stp>[QwackPricer.xlsb.xlsx]Energy!R28C13</stp>
        <tr r="M28" s="3"/>
      </tp>
      <tp>
        <v>349.75</v>
        <stp/>
        <stp>##V3_BDPV12</stp>
        <stp>QSV1 Comdty</stp>
        <stp>PX_SETTLE</stp>
        <stp>[QwackPricer.xlsb.xlsx]Energy!R27C13</stp>
        <tr r="M27" s="3"/>
      </tp>
      <tp>
        <v>346</v>
        <stp/>
        <stp>##V3_BDPV12</stp>
        <stp>QSU1 Comdty</stp>
        <stp>PX_SETTLE</stp>
        <stp>[QwackPricer.xlsb.xlsx]Energy!R26C13</stp>
        <tr r="M26" s="3"/>
      </tp>
      <tp>
        <v>350.75</v>
        <stp/>
        <stp>##V3_BDPV12</stp>
        <stp>QSZ1 Comdty</stp>
        <stp>PX_SETTLE</stp>
        <stp>[QwackPricer.xlsb.xlsx]Energy!R29C13</stp>
        <tr r="M29" s="3"/>
      </tp>
      <tp>
        <v>333.25</v>
        <stp/>
        <stp>##V3_BDPV12</stp>
        <stp>QSM1 Comdty</stp>
        <stp>PX_SETTLE</stp>
        <stp>[QwackPricer.xlsb.xlsx]Energy!R23C13</stp>
        <tr r="M23" s="3"/>
      </tp>
      <tp>
        <v>320.5</v>
        <stp/>
        <stp>##V3_BDPV12</stp>
        <stp>QSH1 Comdty</stp>
        <stp>PX_SETTLE</stp>
        <stp>[QwackPricer.xlsb.xlsx]Energy!R20C13</stp>
        <tr r="M20" s="3"/>
      </tp>
      <tp>
        <v>330</v>
        <stp/>
        <stp>##V3_BDPV12</stp>
        <stp>QSK1 Comdty</stp>
        <stp>PX_SETTLE</stp>
        <stp>[QwackPricer.xlsb.xlsx]Energy!R22C13</stp>
        <tr r="M22" s="3"/>
      </tp>
      <tp>
        <v>337.75</v>
        <stp/>
        <stp>##V3_BDPV12</stp>
        <stp>QSN1 Comdty</stp>
        <stp>PX_SETTLE</stp>
        <stp>[QwackPricer.xlsb.xlsx]Energy!R24C13</stp>
        <tr r="M24" s="3"/>
      </tp>
      <tp>
        <v>325.5</v>
        <stp/>
        <stp>##V3_BDPV12</stp>
        <stp>QSJ1 Comdty</stp>
        <stp>PX_SETTLE</stp>
        <stp>[QwackPricer.xlsb.xlsx]Energy!R21C13</stp>
        <tr r="M21" s="3"/>
      </tp>
      <tp>
        <v>309.5</v>
        <stp/>
        <stp>##V3_BDPV12</stp>
        <stp>QSF1 Comdty</stp>
        <stp>PX_SETTLE</stp>
        <stp>[QwackPricer.xlsb.xlsx]Energy!R18C13</stp>
        <tr r="M18" s="3"/>
      </tp>
      <tp>
        <v>315</v>
        <stp/>
        <stp>##V3_BDPV12</stp>
        <stp>QSG1 Comdty</stp>
        <stp>PX_SETTLE</stp>
        <stp>[QwackPricer.xlsb.xlsx]Energy!R19C13</stp>
        <tr r="M19" s="3"/>
      </tp>
      <tp>
        <v>105.24000000000001</v>
        <stp/>
        <stp>##V3_BDPV12</stp>
        <stp>XBQ1 Comdty</stp>
        <stp>PX_SETTLE</stp>
        <stp>[QwackPricer.xlsb.xlsx]Energy!R25C22</stp>
        <tr r="V25" s="3"/>
      </tp>
      <tp>
        <v>92.87</v>
        <stp/>
        <stp>##V3_BDPV12</stp>
        <stp>XBX1 Comdty</stp>
        <stp>PX_SETTLE</stp>
        <stp>[QwackPricer.xlsb.xlsx]Energy!R28C22</stp>
        <tr r="V28" s="3"/>
      </tp>
      <tp>
        <v>94.49</v>
        <stp/>
        <stp>##V3_BDPV12</stp>
        <stp>XBV1 Comdty</stp>
        <stp>PX_SETTLE</stp>
        <stp>[QwackPricer.xlsb.xlsx]Energy!R27C22</stp>
        <tr r="V27" s="3"/>
      </tp>
      <tp>
        <v>104.02</v>
        <stp/>
        <stp>##V3_BDPV12</stp>
        <stp>XBU1 Comdty</stp>
        <stp>PX_SETTLE</stp>
        <stp>[QwackPricer.xlsb.xlsx]Energy!R26C22</stp>
        <tr r="V26" s="3"/>
      </tp>
      <tp>
        <v>91.39</v>
        <stp/>
        <stp>##V3_BDPV12</stp>
        <stp>XBZ1 Comdty</stp>
        <stp>PX_SETTLE</stp>
        <stp>[QwackPricer.xlsb.xlsx]Energy!R29C22</stp>
        <tr r="V29" s="3"/>
      </tp>
      <tp>
        <v>106.13</v>
        <stp/>
        <stp>##V3_BDPV12</stp>
        <stp>XBM1 Comdty</stp>
        <stp>PX_SETTLE</stp>
        <stp>[QwackPricer.xlsb.xlsx]Energy!R23C22</stp>
        <tr r="V23" s="3"/>
      </tp>
      <tp>
        <v>89.53</v>
        <stp/>
        <stp>##V3_BDPV12</stp>
        <stp>XBH1 Comdty</stp>
        <stp>PX_SETTLE</stp>
        <stp>[QwackPricer.xlsb.xlsx]Energy!R20C22</stp>
        <tr r="V20" s="3"/>
      </tp>
      <tp>
        <v>106.02</v>
        <stp/>
        <stp>##V3_BDPV12</stp>
        <stp>XBK1 Comdty</stp>
        <stp>PX_SETTLE</stp>
        <stp>[QwackPricer.xlsb.xlsx]Energy!R22C22</stp>
        <tr r="V22" s="3"/>
      </tp>
      <tp>
        <v>105.77</v>
        <stp/>
        <stp>##V3_BDPV12</stp>
        <stp>XBN1 Comdty</stp>
        <stp>PX_SETTLE</stp>
        <stp>[QwackPricer.xlsb.xlsx]Energy!R24C22</stp>
        <tr r="V24" s="3"/>
      </tp>
      <tp>
        <v>104.75</v>
        <stp/>
        <stp>##V3_BDPV12</stp>
        <stp>XBJ1 Comdty</stp>
        <stp>PX_SETTLE</stp>
        <stp>[QwackPricer.xlsb.xlsx]Energy!R21C22</stp>
        <tr r="V21" s="3"/>
      </tp>
      <tp>
        <v>86.25</v>
        <stp/>
        <stp>##V3_BDPV12</stp>
        <stp>XBF1 Comdty</stp>
        <stp>PX_SETTLE</stp>
        <stp>[QwackPricer.xlsb.xlsx]Energy!R18C22</stp>
        <tr r="V18" s="3"/>
      </tp>
      <tp>
        <v>87.55</v>
        <stp/>
        <stp>##V3_BDPV12</stp>
        <stp>XBG1 Comdty</stp>
        <stp>PX_SETTLE</stp>
        <stp>[QwackPricer.xlsb.xlsx]Energy!R19C22</stp>
        <tr r="V19" s="3"/>
      </tp>
      <tp>
        <v>15255</v>
        <stp/>
        <stp>##V3_BDPV12</stp>
        <stp>LMSNDS03 Comdty</stp>
        <stp>PX_LAST</stp>
        <stp>[QwackPricer.xlsb.xlsx]Base!R11C3</stp>
        <tr r="C11" s="2"/>
      </tp>
      <tp>
        <v>24.529388427734375</v>
        <stp/>
        <stp>##V3_BDPV12</stp>
        <stp>LP OCT23 10DP VOL LME Comdty</stp>
        <stp>PX_LAST</stp>
        <stp>[QwackPricer.xlsb.xlsx]Base!R110C15</stp>
        <tr r="O110" s="2"/>
      </tp>
      <tp>
        <v>20.179998397827148</v>
        <stp/>
        <stp>##V3_BDPV12</stp>
        <stp>LP OCT23 10DC VOL LME Comdty</stp>
        <stp>PX_LAST</stp>
        <stp>[QwackPricer.xlsb.xlsx]Base!R110C19</stp>
        <tr r="S110" s="2"/>
      </tp>
      <tp>
        <v>36.6</v>
        <stp/>
        <stp>##V3_BDPV12</stp>
        <stp>CLQ2 Comdty</stp>
        <stp>PX_SETTLE</stp>
        <stp>[QwackPricer.xlsb.xlsx]Energy!R37C31</stp>
        <tr r="AE37" s="3"/>
      </tp>
      <tp>
        <v>36.82</v>
        <stp/>
        <stp>##V3_BDPV12</stp>
        <stp>CLU2 Comdty</stp>
        <stp>PX_SETTLE</stp>
        <stp>[QwackPricer.xlsb.xlsx]Energy!R38C31</stp>
        <tr r="AE38" s="3"/>
      </tp>
      <tp>
        <v>37.050000000000004</v>
        <stp/>
        <stp>##V3_BDPV12</stp>
        <stp>CLV2 Comdty</stp>
        <stp>PX_SETTLE</stp>
        <stp>[QwackPricer.xlsb.xlsx]Energy!R39C31</stp>
        <tr r="AE39" s="3"/>
      </tp>
      <tp>
        <v>34.950000000000003</v>
        <stp/>
        <stp>##V3_BDPV12</stp>
        <stp>CLF2 Comdty</stp>
        <stp>PX_SETTLE</stp>
        <stp>[QwackPricer.xlsb.xlsx]Energy!R30C31</stp>
        <tr r="AE30" s="3"/>
      </tp>
      <tp>
        <v>35.19</v>
        <stp/>
        <stp>##V3_BDPV12</stp>
        <stp>CLG2 Comdty</stp>
        <stp>PX_SETTLE</stp>
        <stp>[QwackPricer.xlsb.xlsx]Energy!R31C31</stp>
        <tr r="AE31" s="3"/>
      </tp>
      <tp>
        <v>35.92</v>
        <stp/>
        <stp>##V3_BDPV12</stp>
        <stp>CLK2 Comdty</stp>
        <stp>PX_SETTLE</stp>
        <stp>[QwackPricer.xlsb.xlsx]Energy!R34C31</stp>
        <tr r="AE34" s="3"/>
      </tp>
      <tp>
        <v>36.17</v>
        <stp/>
        <stp>##V3_BDPV12</stp>
        <stp>CLM2 Comdty</stp>
        <stp>PX_SETTLE</stp>
        <stp>[QwackPricer.xlsb.xlsx]Energy!R35C31</stp>
        <tr r="AE35" s="3"/>
      </tp>
      <tp>
        <v>36.380000000000003</v>
        <stp/>
        <stp>##V3_BDPV12</stp>
        <stp>CLN2 Comdty</stp>
        <stp>PX_SETTLE</stp>
        <stp>[QwackPricer.xlsb.xlsx]Energy!R36C31</stp>
        <tr r="AE36" s="3"/>
      </tp>
      <tp>
        <v>35.67</v>
        <stp/>
        <stp>##V3_BDPV12</stp>
        <stp>CLJ2 Comdty</stp>
        <stp>PX_SETTLE</stp>
        <stp>[QwackPricer.xlsb.xlsx]Energy!R33C31</stp>
        <tr r="AE33" s="3"/>
      </tp>
      <tp>
        <v>35.42</v>
        <stp/>
        <stp>##V3_BDPV12</stp>
        <stp>CLH2 Comdty</stp>
        <stp>PX_SETTLE</stp>
        <stp>[QwackPricer.xlsb.xlsx]Energy!R32C31</stp>
        <tr r="AE32" s="3"/>
      </tp>
      <tp>
        <v>37.29</v>
        <stp/>
        <stp>##V3_BDPV12</stp>
        <stp>CLX2 Comdty</stp>
        <stp>PX_SETTLE</stp>
        <stp>[QwackPricer.xlsb.xlsx]Energy!R40C31</stp>
        <tr r="AE40" s="3"/>
      </tp>
      <tp>
        <v>37.51</v>
        <stp/>
        <stp>##V3_BDPV12</stp>
        <stp>CLZ2 Comdty</stp>
        <stp>PX_SETTLE</stp>
        <stp>[QwackPricer.xlsb.xlsx]Energy!R41C31</stp>
        <tr r="AE41" s="3"/>
      </tp>
      <tp>
        <v>386.5</v>
        <stp/>
        <stp>##V3_BDPV12</stp>
        <stp>QSX2 Comdty</stp>
        <stp>PX_SETTLE</stp>
        <stp>[QwackPricer.xlsb.xlsx]Energy!R40C13</stp>
        <tr r="M40" s="3"/>
      </tp>
      <tp>
        <v>386.25</v>
        <stp/>
        <stp>##V3_BDPV12</stp>
        <stp>QSZ2 Comdty</stp>
        <stp>PX_SETTLE</stp>
        <stp>[QwackPricer.xlsb.xlsx]Energy!R41C13</stp>
        <tr r="M41" s="3"/>
      </tp>
      <tp>
        <v>380.5</v>
        <stp/>
        <stp>##V3_BDPV12</stp>
        <stp>QSQ2 Comdty</stp>
        <stp>PX_SETTLE</stp>
        <stp>[QwackPricer.xlsb.xlsx]Energy!R37C13</stp>
        <tr r="M37" s="3"/>
      </tp>
      <tp>
        <v>383.5</v>
        <stp/>
        <stp>##V3_BDPV12</stp>
        <stp>QSU2 Comdty</stp>
        <stp>PX_SETTLE</stp>
        <stp>[QwackPricer.xlsb.xlsx]Energy!R38C13</stp>
        <tr r="M38" s="3"/>
      </tp>
      <tp>
        <v>386.75</v>
        <stp/>
        <stp>##V3_BDPV12</stp>
        <stp>QSV2 Comdty</stp>
        <stp>PX_SETTLE</stp>
        <stp>[QwackPricer.xlsb.xlsx]Energy!R39C13</stp>
        <tr r="M39" s="3"/>
      </tp>
      <tp>
        <v>354.75</v>
        <stp/>
        <stp>##V3_BDPV12</stp>
        <stp>QSF2 Comdty</stp>
        <stp>PX_SETTLE</stp>
        <stp>[QwackPricer.xlsb.xlsx]Energy!R30C13</stp>
        <tr r="M30" s="3"/>
      </tp>
      <tp>
        <v>359.25</v>
        <stp/>
        <stp>##V3_BDPV12</stp>
        <stp>QSG2 Comdty</stp>
        <stp>PX_SETTLE</stp>
        <stp>[QwackPricer.xlsb.xlsx]Energy!R31C13</stp>
        <tr r="M31" s="3"/>
      </tp>
      <tp>
        <v>369</v>
        <stp/>
        <stp>##V3_BDPV12</stp>
        <stp>QSK2 Comdty</stp>
        <stp>PX_SETTLE</stp>
        <stp>[QwackPricer.xlsb.xlsx]Energy!R34C13</stp>
        <tr r="M34" s="3"/>
      </tp>
      <tp>
        <v>371.25</v>
        <stp/>
        <stp>##V3_BDPV12</stp>
        <stp>QSM2 Comdty</stp>
        <stp>PX_SETTLE</stp>
        <stp>[QwackPricer.xlsb.xlsx]Energy!R35C13</stp>
        <tr r="M35" s="3"/>
      </tp>
      <tp>
        <v>376</v>
        <stp/>
        <stp>##V3_BDPV12</stp>
        <stp>QSN2 Comdty</stp>
        <stp>PX_SETTLE</stp>
        <stp>[QwackPricer.xlsb.xlsx]Energy!R36C13</stp>
        <tr r="M36" s="3"/>
      </tp>
      <tp>
        <v>366.5</v>
        <stp/>
        <stp>##V3_BDPV12</stp>
        <stp>QSJ2 Comdty</stp>
        <stp>PX_SETTLE</stp>
        <stp>[QwackPricer.xlsb.xlsx]Energy!R33C13</stp>
        <tr r="M33" s="3"/>
      </tp>
      <tp>
        <v>363.25</v>
        <stp/>
        <stp>##V3_BDPV12</stp>
        <stp>QSH2 Comdty</stp>
        <stp>PX_SETTLE</stp>
        <stp>[QwackPricer.xlsb.xlsx]Energy!R32C13</stp>
        <tr r="M32" s="3"/>
      </tp>
      <tp>
        <v>99.11</v>
        <stp/>
        <stp>##V3_BDPV12</stp>
        <stp>XBX2 Comdty</stp>
        <stp>PX_SETTLE</stp>
        <stp>[QwackPricer.xlsb.xlsx]Energy!R40C22</stp>
        <tr r="V40" s="3"/>
      </tp>
      <tp>
        <v>98.350000000000009</v>
        <stp/>
        <stp>##V3_BDPV12</stp>
        <stp>XBZ2 Comdty</stp>
        <stp>PX_SETTLE</stp>
        <stp>[QwackPricer.xlsb.xlsx]Energy!R41C22</stp>
        <tr r="V41" s="3"/>
      </tp>
      <tp>
        <v>115.21000000000001</v>
        <stp/>
        <stp>##V3_BDPV12</stp>
        <stp>XBQ2 Comdty</stp>
        <stp>PX_SETTLE</stp>
        <stp>[QwackPricer.xlsb.xlsx]Energy!R37C22</stp>
        <tr r="V37" s="3"/>
      </tp>
      <tp>
        <v>112.72</v>
        <stp/>
        <stp>##V3_BDPV12</stp>
        <stp>XBU2 Comdty</stp>
        <stp>PX_SETTLE</stp>
        <stp>[QwackPricer.xlsb.xlsx]Energy!R38C22</stp>
        <tr r="V38" s="3"/>
      </tp>
      <tp>
        <v>101.08</v>
        <stp/>
        <stp>##V3_BDPV12</stp>
        <stp>XBV2 Comdty</stp>
        <stp>PX_SETTLE</stp>
        <stp>[QwackPricer.xlsb.xlsx]Energy!R39C22</stp>
        <tr r="V39" s="3"/>
      </tp>
      <tp>
        <v>91.61</v>
        <stp/>
        <stp>##V3_BDPV12</stp>
        <stp>XBF2 Comdty</stp>
        <stp>PX_SETTLE</stp>
        <stp>[QwackPricer.xlsb.xlsx]Energy!R30C22</stp>
        <tr r="V30" s="3"/>
      </tp>
      <tp>
        <v>92.11</v>
        <stp/>
        <stp>##V3_BDPV12</stp>
        <stp>XBG2 Comdty</stp>
        <stp>PX_SETTLE</stp>
        <stp>[QwackPricer.xlsb.xlsx]Energy!R31C22</stp>
        <tr r="V31" s="3"/>
      </tp>
      <tp>
        <v>113.53</v>
        <stp/>
        <stp>##V3_BDPV12</stp>
        <stp>XBK2 Comdty</stp>
        <stp>PX_SETTLE</stp>
        <stp>[QwackPricer.xlsb.xlsx]Energy!R34C22</stp>
        <tr r="V34" s="3"/>
      </tp>
      <tp>
        <v>114.69</v>
        <stp/>
        <stp>##V3_BDPV12</stp>
        <stp>XBM2 Comdty</stp>
        <stp>PX_SETTLE</stp>
        <stp>[QwackPricer.xlsb.xlsx]Energy!R35C22</stp>
        <tr r="V35" s="3"/>
      </tp>
      <tp>
        <v>115.75</v>
        <stp/>
        <stp>##V3_BDPV12</stp>
        <stp>XBN2 Comdty</stp>
        <stp>PX_SETTLE</stp>
        <stp>[QwackPricer.xlsb.xlsx]Energy!R36C22</stp>
        <tr r="V36" s="3"/>
      </tp>
      <tp>
        <v>112.03</v>
        <stp/>
        <stp>##V3_BDPV12</stp>
        <stp>XBJ2 Comdty</stp>
        <stp>PX_SETTLE</stp>
        <stp>[QwackPricer.xlsb.xlsx]Energy!R33C22</stp>
        <tr r="V33" s="3"/>
      </tp>
      <tp>
        <v>94.39</v>
        <stp/>
        <stp>##V3_BDPV12</stp>
        <stp>XBH2 Comdty</stp>
        <stp>PX_SETTLE</stp>
        <stp>[QwackPricer.xlsb.xlsx]Energy!R32C22</stp>
        <tr r="V32" s="3"/>
      </tp>
      <tp>
        <v>39.090000000000003</v>
        <stp/>
        <stp>##V3_BDPV12</stp>
        <stp>CLQ3 Comdty</stp>
        <stp>PX_SETTLE</stp>
        <stp>[QwackPricer.xlsb.xlsx]Energy!R49C31</stp>
        <tr r="AE49" s="3"/>
      </tp>
      <tp>
        <v>37.700000000000003</v>
        <stp/>
        <stp>##V3_BDPV12</stp>
        <stp>CLF3 Comdty</stp>
        <stp>PX_SETTLE</stp>
        <stp>[QwackPricer.xlsb.xlsx]Energy!R42C31</stp>
        <tr r="AE42" s="3"/>
      </tp>
      <tp>
        <v>37.92</v>
        <stp/>
        <stp>##V3_BDPV12</stp>
        <stp>CLG3 Comdty</stp>
        <stp>PX_SETTLE</stp>
        <stp>[QwackPricer.xlsb.xlsx]Energy!R43C31</stp>
        <tr r="AE43" s="3"/>
      </tp>
      <tp>
        <v>38.89</v>
        <stp/>
        <stp>##V3_BDPV12</stp>
        <stp>CLN3 Comdty</stp>
        <stp>PX_SETTLE</stp>
        <stp>[QwackPricer.xlsb.xlsx]Energy!R48C31</stp>
        <tr r="AE48" s="3"/>
      </tp>
      <tp>
        <v>38.119999999999997</v>
        <stp/>
        <stp>##V3_BDPV12</stp>
        <stp>CLH3 Comdty</stp>
        <stp>PX_SETTLE</stp>
        <stp>[QwackPricer.xlsb.xlsx]Energy!R44C31</stp>
        <tr r="AE44" s="3"/>
      </tp>
      <tp>
        <v>38.5</v>
        <stp/>
        <stp>##V3_BDPV12</stp>
        <stp>CLK3 Comdty</stp>
        <stp>PX_SETTLE</stp>
        <stp>[QwackPricer.xlsb.xlsx]Energy!R46C31</stp>
        <tr r="AE46" s="3"/>
      </tp>
      <tp>
        <v>38.31</v>
        <stp/>
        <stp>##V3_BDPV12</stp>
        <stp>CLJ3 Comdty</stp>
        <stp>PX_SETTLE</stp>
        <stp>[QwackPricer.xlsb.xlsx]Energy!R45C31</stp>
        <tr r="AE45" s="3"/>
      </tp>
      <tp>
        <v>38.71</v>
        <stp/>
        <stp>##V3_BDPV12</stp>
        <stp>CLM3 Comdty</stp>
        <stp>PX_SETTLE</stp>
        <stp>[QwackPricer.xlsb.xlsx]Energy!R47C31</stp>
        <tr r="AE47" s="3"/>
      </tp>
      <tp>
        <v>39.31</v>
        <stp/>
        <stp>##V3_BDPV12</stp>
        <stp>CLU3 Comdty</stp>
        <stp>PX_SETTLE</stp>
        <stp>[QwackPricer.xlsb.xlsx]Energy!R50C31</stp>
        <tr r="AE50" s="3"/>
      </tp>
      <tp>
        <v>39.54</v>
        <stp/>
        <stp>##V3_BDPV12</stp>
        <stp>CLV3 Comdty</stp>
        <stp>PX_SETTLE</stp>
        <stp>[QwackPricer.xlsb.xlsx]Energy!R51C31</stp>
        <tr r="AE51" s="3"/>
      </tp>
      <tp>
        <v>39.99</v>
        <stp/>
        <stp>##V3_BDPV12</stp>
        <stp>CLZ3 Comdty</stp>
        <stp>PX_SETTLE</stp>
        <stp>[QwackPricer.xlsb.xlsx]Energy!R53C31</stp>
        <tr r="AE53" s="3"/>
      </tp>
      <tp>
        <v>39.770000000000003</v>
        <stp/>
        <stp>##V3_BDPV12</stp>
        <stp>CLX3 Comdty</stp>
        <stp>PX_SETTLE</stp>
        <stp>[QwackPricer.xlsb.xlsx]Energy!R52C31</stp>
        <tr r="AE52" s="3"/>
      </tp>
      <tp>
        <v>-0.57999999999999996</v>
        <stp/>
        <stp>##V3_BDPV12</stp>
        <stp>AUD9m Curncy</stp>
        <stp>PX_LAST</stp>
        <stp>[QwackPricer.xlsb.xlsx]FX-IR!R40C5</stp>
        <tr r="E40" s="1"/>
      </tp>
      <tp>
        <v>22.639656066894531</v>
        <stp/>
        <stp>##V3_BDPV12</stp>
        <stp>LP NOV23 25DP VOL LME Comdty</stp>
        <stp>PX_LAST</stp>
        <stp>[QwackPricer.xlsb.xlsx]Base!R111C16</stp>
        <tr r="P111" s="2"/>
      </tp>
      <tp>
        <v>20.240007400512695</v>
        <stp/>
        <stp>##V3_BDPV12</stp>
        <stp>LP NOV23 25DC VOL LME Comdty</stp>
        <stp>PX_LAST</stp>
        <stp>[QwackPricer.xlsb.xlsx]Base!R111C18</stp>
        <tr r="R111" s="2"/>
      </tp>
      <tp>
        <v>414.25</v>
        <stp/>
        <stp>##V3_BDPV12</stp>
        <stp>QSU3 Comdty</stp>
        <stp>PX_SETTLE</stp>
        <stp>[QwackPricer.xlsb.xlsx]Energy!R50C13</stp>
        <tr r="M50" s="3"/>
      </tp>
      <tp>
        <v>416.5</v>
        <stp/>
        <stp>##V3_BDPV12</stp>
        <stp>QSV3 Comdty</stp>
        <stp>PX_SETTLE</stp>
        <stp>[QwackPricer.xlsb.xlsx]Energy!R51C13</stp>
        <tr r="M51" s="3"/>
      </tp>
      <tp>
        <v>420.75</v>
        <stp/>
        <stp>##V3_BDPV12</stp>
        <stp>QSZ3 Comdty</stp>
        <stp>PX_SETTLE</stp>
        <stp>[QwackPricer.xlsb.xlsx]Energy!R53C13</stp>
        <tr r="M53" s="3"/>
      </tp>
      <tp>
        <v>418.75</v>
        <stp/>
        <stp>##V3_BDPV12</stp>
        <stp>QSX3 Comdty</stp>
        <stp>PX_SETTLE</stp>
        <stp>[QwackPricer.xlsb.xlsx]Energy!R52C13</stp>
        <tr r="M52" s="3"/>
      </tp>
      <tp>
        <v>412</v>
        <stp/>
        <stp>##V3_BDPV12</stp>
        <stp>QSQ3 Comdty</stp>
        <stp>PX_SETTLE</stp>
        <stp>[QwackPricer.xlsb.xlsx]Energy!R49C13</stp>
        <tr r="M49" s="3"/>
      </tp>
      <tp>
        <v>390.25</v>
        <stp/>
        <stp>##V3_BDPV12</stp>
        <stp>QSF3 Comdty</stp>
        <stp>PX_SETTLE</stp>
        <stp>[QwackPricer.xlsb.xlsx]Energy!R42C13</stp>
        <tr r="M42" s="3"/>
      </tp>
      <tp>
        <v>393.75</v>
        <stp/>
        <stp>##V3_BDPV12</stp>
        <stp>QSG3 Comdty</stp>
        <stp>PX_SETTLE</stp>
        <stp>[QwackPricer.xlsb.xlsx]Energy!R43C13</stp>
        <tr r="M43" s="3"/>
      </tp>
      <tp>
        <v>409.5</v>
        <stp/>
        <stp>##V3_BDPV12</stp>
        <stp>QSN3 Comdty</stp>
        <stp>PX_SETTLE</stp>
        <stp>[QwackPricer.xlsb.xlsx]Energy!R48C13</stp>
        <tr r="M48" s="3"/>
      </tp>
      <tp>
        <v>397.25</v>
        <stp/>
        <stp>##V3_BDPV12</stp>
        <stp>QSH3 Comdty</stp>
        <stp>PX_SETTLE</stp>
        <stp>[QwackPricer.xlsb.xlsx]Energy!R44C13</stp>
        <tr r="M44" s="3"/>
      </tp>
      <tp>
        <v>403.75</v>
        <stp/>
        <stp>##V3_BDPV12</stp>
        <stp>QSK3 Comdty</stp>
        <stp>PX_SETTLE</stp>
        <stp>[QwackPricer.xlsb.xlsx]Energy!R46C13</stp>
        <tr r="M46" s="3"/>
      </tp>
      <tp>
        <v>400.5</v>
        <stp/>
        <stp>##V3_BDPV12</stp>
        <stp>QSJ3 Comdty</stp>
        <stp>PX_SETTLE</stp>
        <stp>[QwackPricer.xlsb.xlsx]Energy!R45C13</stp>
        <tr r="M45" s="3"/>
      </tp>
      <tp>
        <v>407</v>
        <stp/>
        <stp>##V3_BDPV12</stp>
        <stp>QSM3 Comdty</stp>
        <stp>PX_SETTLE</stp>
        <stp>[QwackPricer.xlsb.xlsx]Energy!R47C13</stp>
        <tr r="M47" s="3"/>
      </tp>
      <tp>
        <v>115.91</v>
        <stp/>
        <stp>##V3_BDPV12</stp>
        <stp>XBU3 Comdty</stp>
        <stp>PX_SETTLE</stp>
        <stp>[QwackPricer.xlsb.xlsx]Energy!R50C22</stp>
        <tr r="V50" s="3"/>
      </tp>
      <tp>
        <v>102.91</v>
        <stp/>
        <stp>##V3_BDPV12</stp>
        <stp>XBV3 Comdty</stp>
        <stp>PX_SETTLE</stp>
        <stp>[QwackPricer.xlsb.xlsx]Energy!R51C22</stp>
        <tr r="V51" s="3"/>
      </tp>
      <tp>
        <v>98.210000000000008</v>
        <stp/>
        <stp>##V3_BDPV12</stp>
        <stp>XBZ3 Comdty</stp>
        <stp>PX_SETTLE</stp>
        <stp>[QwackPricer.xlsb.xlsx]Energy!R53C22</stp>
        <tr r="V53" s="3"/>
      </tp>
      <tp>
        <v>99.54</v>
        <stp/>
        <stp>##V3_BDPV12</stp>
        <stp>XBX3 Comdty</stp>
        <stp>PX_SETTLE</stp>
        <stp>[QwackPricer.xlsb.xlsx]Energy!R52C22</stp>
        <tr r="V52" s="3"/>
      </tp>
      <tp>
        <v>119.76</v>
        <stp/>
        <stp>##V3_BDPV12</stp>
        <stp>XBQ3 Comdty</stp>
        <stp>PX_SETTLE</stp>
        <stp>[QwackPricer.xlsb.xlsx]Energy!R49C22</stp>
        <tr r="V49" s="3"/>
      </tp>
      <tp>
        <v>98.53</v>
        <stp/>
        <stp>##V3_BDPV12</stp>
        <stp>XBF3 Comdty</stp>
        <stp>PX_SETTLE</stp>
        <stp>[QwackPricer.xlsb.xlsx]Energy!R42C22</stp>
        <tr r="V42" s="3"/>
      </tp>
      <tp>
        <v>99.62</v>
        <stp/>
        <stp>##V3_BDPV12</stp>
        <stp>XBG3 Comdty</stp>
        <stp>PX_SETTLE</stp>
        <stp>[QwackPricer.xlsb.xlsx]Energy!R43C22</stp>
        <tr r="V43" s="3"/>
      </tp>
      <tp>
        <v>121.67</v>
        <stp/>
        <stp>##V3_BDPV12</stp>
        <stp>XBN3 Comdty</stp>
        <stp>PX_SETTLE</stp>
        <stp>[QwackPricer.xlsb.xlsx]Energy!R48C22</stp>
        <tr r="V48" s="3"/>
      </tp>
      <tp>
        <v>101.83</v>
        <stp/>
        <stp>##V3_BDPV12</stp>
        <stp>XBH3 Comdty</stp>
        <stp>PX_SETTLE</stp>
        <stp>[QwackPricer.xlsb.xlsx]Energy!R44C22</stp>
        <tr r="V44" s="3"/>
      </tp>
      <tp>
        <v>123.31</v>
        <stp/>
        <stp>##V3_BDPV12</stp>
        <stp>XBK3 Comdty</stp>
        <stp>PX_SETTLE</stp>
        <stp>[QwackPricer.xlsb.xlsx]Energy!R46C22</stp>
        <tr r="V46" s="3"/>
      </tp>
      <tp>
        <v>121.48</v>
        <stp/>
        <stp>##V3_BDPV12</stp>
        <stp>XBJ3 Comdty</stp>
        <stp>PX_SETTLE</stp>
        <stp>[QwackPricer.xlsb.xlsx]Energy!R45C22</stp>
        <tr r="V45" s="3"/>
      </tp>
      <tp>
        <v>122.57000000000001</v>
        <stp/>
        <stp>##V3_BDPV12</stp>
        <stp>XBM3 Comdty</stp>
        <stp>PX_SETTLE</stp>
        <stp>[QwackPricer.xlsb.xlsx]Energy!R47C22</stp>
        <tr r="V47" s="3"/>
      </tp>
      <tp>
        <v>1652</v>
        <stp/>
        <stp>##V3_BDPV12</stp>
        <stp>LMPBDS03 Comdty</stp>
        <stp>PX_LAST</stp>
        <stp>[QwackPricer.xlsb.xlsx]Base!R10C3</stp>
        <tr r="C10" s="2"/>
      </tp>
      <tp>
        <v>24.03936767578125</v>
        <stp/>
        <stp>##V3_BDPV12</stp>
        <stp>LP MAR23 10DP VOL LME Comdty</stp>
        <stp>PX_LAST</stp>
        <stp>[QwackPricer.xlsb.xlsx]Base!R103C15</stp>
        <tr r="O103" s="2"/>
      </tp>
      <tp>
        <v>20.679765701293945</v>
        <stp/>
        <stp>##V3_BDPV12</stp>
        <stp>LP APR23 10DC VOL LME Comdty</stp>
        <stp>PX_LAST</stp>
        <stp>[QwackPricer.xlsb.xlsx]Base!R104C19</stp>
        <tr r="S104" s="2"/>
      </tp>
      <tp>
        <v>20.629791259765625</v>
        <stp/>
        <stp>##V3_BDPV12</stp>
        <stp>LP MAR23 10DC VOL LME Comdty</stp>
        <stp>PX_LAST</stp>
        <stp>[QwackPricer.xlsb.xlsx]Base!R103C19</stp>
        <tr r="S103" s="2"/>
      </tp>
      <tp>
        <v>24.029376983642578</v>
        <stp/>
        <stp>##V3_BDPV12</stp>
        <stp>LP APR23 10DP VOL LME Comdty</stp>
        <stp>PX_LAST</stp>
        <stp>[QwackPricer.xlsb.xlsx]Base!R104C15</stp>
        <tr r="O104" s="2"/>
      </tp>
      <tp>
        <v>41.93</v>
        <stp/>
        <stp>##V3_BDPV12</stp>
        <stp>CLV4 Comdty</stp>
        <stp>PX_SETTLE</stp>
        <stp>[QwackPricer.xlsb.xlsx]Energy!R63C31</stp>
        <tr r="AE63" s="3"/>
      </tp>
      <tp>
        <v>41.7</v>
        <stp/>
        <stp>##V3_BDPV12</stp>
        <stp>CLU4 Comdty</stp>
        <stp>PX_SETTLE</stp>
        <stp>[QwackPricer.xlsb.xlsx]Energy!R62C31</stp>
        <tr r="AE62" s="3"/>
      </tp>
      <tp>
        <v>41.51</v>
        <stp/>
        <stp>##V3_BDPV12</stp>
        <stp>CLQ4 Comdty</stp>
        <stp>PX_SETTLE</stp>
        <stp>[QwackPricer.xlsb.xlsx]Energy!R61C31</stp>
        <tr r="AE61" s="3"/>
      </tp>
      <tp>
        <v>42.160000000000004</v>
        <stp/>
        <stp>##V3_BDPV12</stp>
        <stp>CLX4 Comdty</stp>
        <stp>PX_SETTLE</stp>
        <stp>[QwackPricer.xlsb.xlsx]Energy!R64C31</stp>
        <tr r="AE64" s="3"/>
      </tp>
      <tp>
        <v>42.38</v>
        <stp/>
        <stp>##V3_BDPV12</stp>
        <stp>CLZ4 Comdty</stp>
        <stp>PX_SETTLE</stp>
        <stp>[QwackPricer.xlsb.xlsx]Energy!R65C31</stp>
        <tr r="AE65" s="3"/>
      </tp>
      <tp>
        <v>41.31</v>
        <stp/>
        <stp>##V3_BDPV12</stp>
        <stp>CLN4 Comdty</stp>
        <stp>PX_SETTLE</stp>
        <stp>[QwackPricer.xlsb.xlsx]Energy!R60C31</stp>
        <tr r="AE60" s="3"/>
      </tp>
      <tp>
        <v>41.14</v>
        <stp/>
        <stp>##V3_BDPV12</stp>
        <stp>CLM4 Comdty</stp>
        <stp>PX_SETTLE</stp>
        <stp>[QwackPricer.xlsb.xlsx]Energy!R59C31</stp>
        <tr r="AE59" s="3"/>
      </tp>
      <tp>
        <v>40.160000000000004</v>
        <stp/>
        <stp>##V3_BDPV12</stp>
        <stp>CLF4 Comdty</stp>
        <stp>PX_SETTLE</stp>
        <stp>[QwackPricer.xlsb.xlsx]Energy!R54C31</stp>
        <tr r="AE54" s="3"/>
      </tp>
      <tp>
        <v>40.340000000000003</v>
        <stp/>
        <stp>##V3_BDPV12</stp>
        <stp>CLG4 Comdty</stp>
        <stp>PX_SETTLE</stp>
        <stp>[QwackPricer.xlsb.xlsx]Energy!R55C31</stp>
        <tr r="AE55" s="3"/>
      </tp>
      <tp>
        <v>40.950000000000003</v>
        <stp/>
        <stp>##V3_BDPV12</stp>
        <stp>CLK4 Comdty</stp>
        <stp>PX_SETTLE</stp>
        <stp>[QwackPricer.xlsb.xlsx]Energy!R58C31</stp>
        <tr r="AE58" s="3"/>
      </tp>
      <tp>
        <v>40.71</v>
        <stp/>
        <stp>##V3_BDPV12</stp>
        <stp>CLJ4 Comdty</stp>
        <stp>PX_SETTLE</stp>
        <stp>[QwackPricer.xlsb.xlsx]Energy!R57C31</stp>
        <tr r="AE57" s="3"/>
      </tp>
      <tp>
        <v>40.53</v>
        <stp/>
        <stp>##V3_BDPV12</stp>
        <stp>CLH4 Comdty</stp>
        <stp>PX_SETTLE</stp>
        <stp>[QwackPricer.xlsb.xlsx]Energy!R56C31</stp>
        <tr r="AE56" s="3"/>
      </tp>
      <tp>
        <v>0.72</v>
        <stp/>
        <stp>##V3_BDPV12</stp>
        <stp>AUD2m Curncy</stp>
        <stp>PX_LAST</stp>
        <stp>[QwackPricer.xlsb.xlsx]FX-IR!R37C5</stp>
        <tr r="E37" s="1"/>
      </tp>
      <tp>
        <v>446.75</v>
        <stp/>
        <stp>##V3_BDPV12</stp>
        <stp>QSV4 Comdty</stp>
        <stp>PX_SETTLE</stp>
        <stp>[QwackPricer.xlsb.xlsx]Energy!R63C13</stp>
        <tr r="M63" s="3"/>
      </tp>
      <tp>
        <v>444.25</v>
        <stp/>
        <stp>##V3_BDPV12</stp>
        <stp>QSU4 Comdty</stp>
        <stp>PX_SETTLE</stp>
        <stp>[QwackPricer.xlsb.xlsx]Energy!R62C13</stp>
        <tr r="M62" s="3"/>
      </tp>
      <tp>
        <v>441.75</v>
        <stp/>
        <stp>##V3_BDPV12</stp>
        <stp>QSQ4 Comdty</stp>
        <stp>PX_SETTLE</stp>
        <stp>[QwackPricer.xlsb.xlsx]Energy!R61C13</stp>
        <tr r="M61" s="3"/>
      </tp>
      <tp>
        <v>449</v>
        <stp/>
        <stp>##V3_BDPV12</stp>
        <stp>QSX4 Comdty</stp>
        <stp>PX_SETTLE</stp>
        <stp>[QwackPricer.xlsb.xlsx]Energy!R64C13</stp>
        <tr r="M64" s="3"/>
      </tp>
      <tp>
        <v>451.25</v>
        <stp/>
        <stp>##V3_BDPV12</stp>
        <stp>QSZ4 Comdty</stp>
        <stp>PX_SETTLE</stp>
        <stp>[QwackPricer.xlsb.xlsx]Energy!R65C13</stp>
        <tr r="M65" s="3"/>
      </tp>
      <tp>
        <v>439.25</v>
        <stp/>
        <stp>##V3_BDPV12</stp>
        <stp>QSN4 Comdty</stp>
        <stp>PX_SETTLE</stp>
        <stp>[QwackPricer.xlsb.xlsx]Energy!R60C13</stp>
        <tr r="M60" s="3"/>
      </tp>
      <tp>
        <v>436.75</v>
        <stp/>
        <stp>##V3_BDPV12</stp>
        <stp>QSM4 Comdty</stp>
        <stp>PX_SETTLE</stp>
        <stp>[QwackPricer.xlsb.xlsx]Energy!R59C13</stp>
        <tr r="M59" s="3"/>
      </tp>
      <tp>
        <v>423.5</v>
        <stp/>
        <stp>##V3_BDPV12</stp>
        <stp>QSF4 Comdty</stp>
        <stp>PX_SETTLE</stp>
        <stp>[QwackPricer.xlsb.xlsx]Energy!R54C13</stp>
        <tr r="M54" s="3"/>
      </tp>
      <tp>
        <v>426.25</v>
        <stp/>
        <stp>##V3_BDPV12</stp>
        <stp>QSG4 Comdty</stp>
        <stp>PX_SETTLE</stp>
        <stp>[QwackPricer.xlsb.xlsx]Energy!R55C13</stp>
        <tr r="M55" s="3"/>
      </tp>
      <tp>
        <v>434.5</v>
        <stp/>
        <stp>##V3_BDPV12</stp>
        <stp>QSK4 Comdty</stp>
        <stp>PX_SETTLE</stp>
        <stp>[QwackPricer.xlsb.xlsx]Energy!R58C13</stp>
        <tr r="M58" s="3"/>
      </tp>
      <tp>
        <v>431.75</v>
        <stp/>
        <stp>##V3_BDPV12</stp>
        <stp>QSJ4 Comdty</stp>
        <stp>PX_SETTLE</stp>
        <stp>[QwackPricer.xlsb.xlsx]Energy!R57C13</stp>
        <tr r="M57" s="3"/>
      </tp>
      <tp>
        <v>429</v>
        <stp/>
        <stp>##V3_BDPV12</stp>
        <stp>QSH4 Comdty</stp>
        <stp>PX_SETTLE</stp>
        <stp>[QwackPricer.xlsb.xlsx]Energy!R56C13</stp>
        <tr r="M56" s="3"/>
      </tp>
      <tp>
        <v>97.93</v>
        <stp/>
        <stp>##V3_BDPV12</stp>
        <stp>XBF4 Comdty</stp>
        <stp>PX_SETTLE</stp>
        <stp>[QwackPricer.xlsb.xlsx]Energy!R54C22</stp>
        <tr r="V54" s="3"/>
      </tp>
      <tp>
        <v>-2.0099999999999998</v>
        <stp/>
        <stp>##V3_BDPV12</stp>
        <stp>AUD12m Curncy</stp>
        <stp>PX_LAST</stp>
        <stp>[QwackPricer.xlsb.xlsx]FX-IR!R41C5</stp>
        <tr r="E41" s="1"/>
      </tp>
      <tp>
        <v>89.85</v>
        <stp/>
        <stp>##V3_BDPV12</stp>
        <stp>EUR12m Curncy</stp>
        <stp>PX_LAST</stp>
        <stp>[QwackPricer.xlsb.xlsx]FX-IR!R41C4</stp>
        <tr r="D41" s="1"/>
      </tp>
      <tp>
        <v>42.54</v>
        <stp/>
        <stp>##V3_BDPV12</stp>
        <stp>CLF5 Comdty</stp>
        <stp>PX_SETTLE</stp>
        <stp>[QwackPricer.xlsb.xlsx]Energy!R66C31</stp>
        <tr r="AE66" s="3"/>
      </tp>
      <tp>
        <v>42.71</v>
        <stp/>
        <stp>##V3_BDPV12</stp>
        <stp>CLG5 Comdty</stp>
        <stp>PX_SETTLE</stp>
        <stp>[QwackPricer.xlsb.xlsx]Energy!R67C31</stp>
        <tr r="AE67" s="3"/>
      </tp>
      <tp>
        <v>0.44</v>
        <stp/>
        <stp>##V3_BDPV12</stp>
        <stp>AUD1m Curncy</stp>
        <stp>PX_LAST</stp>
        <stp>[QwackPricer.xlsb.xlsx]FX-IR!R36C5</stp>
        <tr r="E36" s="1"/>
      </tp>
      <tp>
        <v>20.24998664855957</v>
        <stp/>
        <stp>##V3_BDPV12</stp>
        <stp>LP SEP23 25DC VOL LME Comdty</stp>
        <stp>PX_LAST</stp>
        <stp>[QwackPricer.xlsb.xlsx]Base!R109C18</stp>
        <tr r="R109" s="2"/>
      </tp>
      <tp>
        <v>22.639642715454102</v>
        <stp/>
        <stp>##V3_BDPV12</stp>
        <stp>LP SEP23 25DP VOL LME Comdty</stp>
        <stp>PX_LAST</stp>
        <stp>[QwackPricer.xlsb.xlsx]Base!R109C16</stp>
        <tr r="P109" s="2"/>
      </tp>
      <tp>
        <v>453.25</v>
        <stp/>
        <stp>##V3_BDPV12</stp>
        <stp>QSF5 Comdty</stp>
        <stp>PX_SETTLE</stp>
        <stp>[QwackPricer.xlsb.xlsx]Energy!R66C13</stp>
        <tr r="M66" s="3"/>
      </tp>
      <tp>
        <v>455.25</v>
        <stp/>
        <stp>##V3_BDPV12</stp>
        <stp>QSG5 Comdty</stp>
        <stp>PX_SETTLE</stp>
        <stp>[QwackPricer.xlsb.xlsx]Energy!R67C13</stp>
        <tr r="M67" s="3"/>
      </tp>
      <tp>
        <v>20.179990768432617</v>
        <stp/>
        <stp>##V3_BDPV12</stp>
        <stp>LP SEP23 10DC VOL LME Comdty</stp>
        <stp>PX_LAST</stp>
        <stp>[QwackPricer.xlsb.xlsx]Base!R109C19</stp>
        <tr r="S109" s="2"/>
      </tp>
      <tp>
        <v>24.529401779174805</v>
        <stp/>
        <stp>##V3_BDPV12</stp>
        <stp>LP SEP23 10DP VOL LME Comdty</stp>
        <stp>PX_LAST</stp>
        <stp>[QwackPricer.xlsb.xlsx]Base!R109C15</stp>
        <tr r="O109" s="2"/>
      </tp>
      <tp>
        <v>157</v>
        <stp/>
        <stp>##V3_BDPV12</stp>
        <stp>ZAR1w Curncy</stp>
        <stp>PX_LAST</stp>
        <stp>[QwackPricer.xlsb.xlsx]FX-IR!R34C3</stp>
        <tr r="C34" s="1"/>
      </tp>
      <tp>
        <v>20.450202941894531</v>
        <stp/>
        <stp>##V3_BDPV12</stp>
        <stp>LP NOV23 50D VOL LME Comdty</stp>
        <stp>PX_LAST</stp>
        <stp>[QwackPricer.xlsb.xlsx]Base!R111C17</stp>
        <tr r="Q111" s="2"/>
      </tp>
      <tp>
        <v>68.56</v>
        <stp/>
        <stp>##V3_BDPV12</stp>
        <stp>EUR9m Curncy</stp>
        <stp>PX_LAST</stp>
        <stp>[QwackPricer.xlsb.xlsx]FX-IR!R40C4</stp>
        <tr r="D40" s="1"/>
      </tp>
      <tp>
        <v>22.229612350463867</v>
        <stp/>
        <stp>##V3_BDPV12</stp>
        <stp>LP MAR23 25DP VOL LME Comdty</stp>
        <stp>PX_LAST</stp>
        <stp>[QwackPricer.xlsb.xlsx]Base!R103C16</stp>
        <tr r="P103" s="2"/>
      </tp>
      <tp>
        <v>20.369752883911133</v>
        <stp/>
        <stp>##V3_BDPV12</stp>
        <stp>LP APR23 25DC VOL LME Comdty</stp>
        <stp>PX_LAST</stp>
        <stp>[QwackPricer.xlsb.xlsx]Base!R104C18</stp>
        <tr r="R104" s="2"/>
      </tp>
      <tp>
        <v>22.239620208740234</v>
        <stp/>
        <stp>##V3_BDPV12</stp>
        <stp>LP APR23 25DP VOL LME Comdty</stp>
        <stp>PX_LAST</stp>
        <stp>[QwackPricer.xlsb.xlsx]Base!R104C16</stp>
        <tr r="P104" s="2"/>
      </tp>
      <tp>
        <v>20.359781265258789</v>
        <stp/>
        <stp>##V3_BDPV12</stp>
        <stp>LP MAR23 25DC VOL LME Comdty</stp>
        <stp>PX_LAST</stp>
        <stp>[QwackPricer.xlsb.xlsx]Base!R103C18</stp>
        <tr r="R103" s="2"/>
      </tp>
      <tp>
        <v>295</v>
        <stp/>
        <stp>##V3_BDPV12</stp>
        <stp>ZAR2w Curncy</stp>
        <stp>PX_LAST</stp>
        <stp>[QwackPricer.xlsb.xlsx]FX-IR!R35C3</stp>
        <tr r="C35" s="1"/>
      </tp>
      <tp>
        <v>-5.98</v>
        <stp/>
        <stp>##V3_BDPV12</stp>
        <stp>AUD18m Curncy</stp>
        <stp>PX_LAST</stp>
        <stp>[QwackPricer.xlsb.xlsx]FX-IR!R42C5</stp>
        <tr r="E42" s="1"/>
      </tp>
      <tp>
        <v>136.71</v>
        <stp/>
        <stp>##V3_BDPV12</stp>
        <stp>EUR18m Curncy</stp>
        <stp>PX_LAST</stp>
        <stp>[QwackPricer.xlsb.xlsx]FX-IR!R42C4</stp>
        <tr r="D42" s="1"/>
      </tp>
      <tp>
        <v>23911</v>
        <stp/>
        <stp>##V3_BDPV12</stp>
        <stp>ZAR3y Curncy</stp>
        <stp>PX_LAST</stp>
        <stp>[QwackPricer.xlsb.xlsx]FX-IR!R44C3</stp>
        <tr r="C44" s="1"/>
      </tp>
      <tp>
        <v>20.240142822265625</v>
        <stp/>
        <stp>##V3_BDPV12</stp>
        <stp>LP MAY23 50D VOL LME Comdty</stp>
        <stp>PX_LAST</stp>
        <stp>[QwackPricer.xlsb.xlsx]Base!R105C17</stp>
        <tr r="Q105" s="2"/>
      </tp>
      <tp>
        <v>20.250141143798828</v>
        <stp/>
        <stp>##V3_BDPV12</stp>
        <stp>LP MAR23 50D VOL LME Comdty</stp>
        <stp>PX_LAST</stp>
        <stp>[QwackPricer.xlsb.xlsx]Base!R103C17</stp>
        <tr r="Q103" s="2"/>
      </tp>
      <tp>
        <v>20.270137786865234</v>
        <stp/>
        <stp>##V3_BDPV12</stp>
        <stp>LP JAN23 50D VOL LME Comdty</stp>
        <stp>PX_LAST</stp>
        <stp>[QwackPricer.xlsb.xlsx]Base!R101C17</stp>
        <tr r="Q101" s="2"/>
      </tp>
      <tp>
        <v>50512</v>
        <stp/>
        <stp>##V3_BDPV12</stp>
        <stp>ZAR5y Curncy</stp>
        <stp>PX_LAST</stp>
        <stp>[QwackPricer.xlsb.xlsx]FX-IR!R45C3</stp>
        <tr r="C45" s="1"/>
      </tp>
      <tp>
        <v>0.42</v>
        <stp/>
        <stp>##V3_BDPV12</stp>
        <stp>AUD6m Curncy</stp>
        <stp>PX_LAST</stp>
        <stp>[QwackPricer.xlsb.xlsx]FX-IR!R39C5</stp>
        <tr r="E39" s="1"/>
      </tp>
      <tp>
        <v>20.460201263427734</v>
        <stp/>
        <stp>##V3_BDPV12</stp>
        <stp>LP OCT23 50D VOL LME Comdty</stp>
        <stp>PX_LAST</stp>
        <stp>[QwackPricer.xlsb.xlsx]Base!R110C17</stp>
        <tr r="Q110" s="2"/>
      </tp>
      <tp>
        <v>0.87</v>
        <stp/>
        <stp>##V3_BDPV12</stp>
        <stp>AUD3m Curncy</stp>
        <stp>PX_LAST</stp>
        <stp>[QwackPricer.xlsb.xlsx]FX-IR!R38C5</stp>
        <tr r="E38" s="1"/>
      </tp>
      <tp>
        <v>22.249626159667969</v>
        <stp/>
        <stp>##V3_BDPV12</stp>
        <stp>LP MAY23 25DP VOL LME Comdty</stp>
        <stp>PX_LAST</stp>
        <stp>[QwackPricer.xlsb.xlsx]Base!R105C16</stp>
        <tr r="P105" s="2"/>
      </tp>
      <tp>
        <v>20.379734039306641</v>
        <stp/>
        <stp>##V3_BDPV12</stp>
        <stp>LP MAY23 25DC VOL LME Comdty</stp>
        <stp>PX_LAST</stp>
        <stp>[QwackPricer.xlsb.xlsx]Base!R105C18</stp>
        <tr r="R105" s="2"/>
      </tp>
      <tp>
        <v>20.460199356079102</v>
        <stp/>
        <stp>##V3_BDPV12</stp>
        <stp>LP SEP23 50D VOL LME Comdty</stp>
        <stp>PX_LAST</stp>
        <stp>[QwackPricer.xlsb.xlsx]Base!R109C17</stp>
        <tr r="Q109" s="2"/>
      </tp>
      <tp>
        <v>20.200130462646484</v>
        <stp/>
        <stp>##V3_BDPV12</stp>
        <stp>LP DEC22 50D VOL LME Comdty</stp>
        <stp>PX_LAST</stp>
        <stp>[QwackPricer.xlsb.xlsx]Base!R100C17</stp>
        <tr r="Q100" s="2"/>
      </tp>
      <tp>
        <v>20.450204849243164</v>
        <stp/>
        <stp>##V3_BDPV12</stp>
        <stp>LP DEC23 50D VOL LME Comdty</stp>
        <stp>PX_LAST</stp>
        <stp>[QwackPricer.xlsb.xlsx]Base!R112C17</stp>
        <tr r="Q112" s="2"/>
      </tp>
      <tp>
        <v>20.250139236450195</v>
        <stp/>
        <stp>##V3_BDPV12</stp>
        <stp>LP FEB23 50D VOL LME Comdty</stp>
        <stp>PX_LAST</stp>
        <stp>[QwackPricer.xlsb.xlsx]Base!R102C17</stp>
        <tr r="Q102" s="2"/>
      </tp>
      <tp>
        <v>-0.5</v>
        <stp/>
        <stp>##V3_BDPV12</stp>
        <stp>XPDSR1w  Curncy</stp>
        <stp>PX_LAST</stp>
        <stp>[QwackPricer.xlsb.xlsx]FX-IR!R50C6</stp>
        <tr r="F50" s="1"/>
      </tp>
      <tp>
        <v>-1</v>
        <stp/>
        <stp>##V3_BDPV12</stp>
        <stp>XPTSR1w  Curncy</stp>
        <stp>PX_LAST</stp>
        <stp>[QwackPricer.xlsb.xlsx]FX-IR!R50C5</stp>
        <tr r="E50" s="1"/>
      </tp>
      <tp>
        <v>0.55000000000000004</v>
        <stp/>
        <stp>##V3_BDPV12</stp>
        <stp>XAGSR1w  Curncy</stp>
        <stp>PX_LAST</stp>
        <stp>[QwackPricer.xlsb.xlsx]FX-IR!R50C4</stp>
        <tr r="D50" s="1"/>
      </tp>
      <tp>
        <v>0.25</v>
        <stp/>
        <stp>##V3_BDPV12</stp>
        <stp>XAUSR1w  Curncy</stp>
        <stp>PX_LAST</stp>
        <stp>[QwackPricer.xlsb.xlsx]FX-IR!R50C3</stp>
        <tr r="C50" s="1"/>
      </tp>
      <tp>
        <v>42.68</v>
        <stp/>
        <stp>##V3_BDPV12</stp>
        <stp>EUR6m Curncy</stp>
        <stp>PX_LAST</stp>
        <stp>[QwackPricer.xlsb.xlsx]FX-IR!R39C4</stp>
        <tr r="D39" s="1"/>
      </tp>
      <tp>
        <v>24.029378890991211</v>
        <stp/>
        <stp>##V3_BDPV12</stp>
        <stp>LP MAY23 10DP VOL LME Comdty</stp>
        <stp>PX_LAST</stp>
        <stp>[QwackPricer.xlsb.xlsx]Base!R105C15</stp>
        <tr r="O105" s="2"/>
      </tp>
      <tp>
        <v>20.739757537841797</v>
        <stp/>
        <stp>##V3_BDPV12</stp>
        <stp>LP MAY23 10DC VOL LME Comdty</stp>
        <stp>PX_LAST</stp>
        <stp>[QwackPricer.xlsb.xlsx]Base!R105C19</stp>
        <tr r="S105" s="2"/>
      </tp>
      <tp>
        <v>20.48</v>
        <stp/>
        <stp>##V3_BDPV12</stp>
        <stp>EUR3m Curncy</stp>
        <stp>PX_LAST</stp>
        <stp>[QwackPricer.xlsb.xlsx]FX-IR!R38C4</stp>
        <tr r="D38" s="1"/>
      </tp>
      <tp>
        <v>13976</v>
        <stp/>
        <stp>##V3_BDPV12</stp>
        <stp>ZAR2y Curncy</stp>
        <stp>PX_LAST</stp>
        <stp>[QwackPricer.xlsb.xlsx]FX-IR!R43C3</stp>
        <tr r="C43" s="1"/>
      </tp>
      <tp>
        <v>185.51</v>
        <stp/>
        <stp>##V3_BDPV12</stp>
        <stp>EUR2y Curncy</stp>
        <stp>PX_LAST</stp>
        <stp>[QwackPricer.xlsb.xlsx]FX-IR!R43C4</stp>
        <tr r="D43" s="1"/>
      </tp>
      <tp>
        <v>1663</v>
        <stp/>
        <stp>##V3_BDPV12</stp>
        <stp>ZAR3m Curncy</stp>
        <stp>PX_LAST</stp>
        <stp>[QwackPricer.xlsb.xlsx]FX-IR!R38C3</stp>
        <tr r="C38" s="1"/>
      </tp>
      <tp>
        <v>6001</v>
        <stp/>
        <stp>##V3_BDPV12</stp>
        <stp>ZAR12m Curncy</stp>
        <stp>PX_LAST</stp>
        <stp>[QwackPricer.xlsb.xlsx]FX-IR!R41C3</stp>
        <tr r="C41" s="1"/>
      </tp>
      <tp>
        <v>151</v>
        <stp/>
        <stp>##V3_BDPV12</stp>
        <stp>LMSNDS 0003 Comdty</stp>
        <stp>PX_SETTLE</stp>
        <stp>[QwackPricer.xlsb.xlsx]Base!R16C25</stp>
        <tr r="Y16" s="2"/>
      </tp>
      <tp>
        <v>-19.2</v>
        <stp/>
        <stp>##V3_BDPV12</stp>
        <stp>LMPBDS 0003 Comdty</stp>
        <stp>PX_SETTLE</stp>
        <stp>[QwackPricer.xlsb.xlsx]Base!R16C21</stp>
        <tr r="U16" s="2"/>
      </tp>
      <tp>
        <v>20.189968109130859</v>
        <stp/>
        <stp>##V3_BDPV12</stp>
        <stp>LP AUG23 10DC VOL LME Comdty</stp>
        <stp>PX_LAST</stp>
        <stp>[QwackPricer.xlsb.xlsx]Base!R108C19</stp>
        <tr r="S108" s="2"/>
      </tp>
      <tp>
        <v>24.539407730102539</v>
        <stp/>
        <stp>##V3_BDPV12</stp>
        <stp>LP AUG23 10DP VOL LME Comdty</stp>
        <stp>PX_LAST</stp>
        <stp>[QwackPricer.xlsb.xlsx]Base!R108C15</stp>
        <tr r="O108" s="2"/>
      </tp>
      <tp>
        <v>-64.5</v>
        <stp/>
        <stp>##V3_BDPV12</stp>
        <stp>LMNIDS 0003 Comdty</stp>
        <stp>PX_SETTLE</stp>
        <stp>[QwackPricer.xlsb.xlsx]Base!R16C17</stp>
        <tr r="Q16" s="2"/>
      </tp>
      <tp>
        <v>-1.25</v>
        <stp/>
        <stp>##V3_BDPV12</stp>
        <stp>LMZSDS 0003 Comdty</stp>
        <stp>PX_SETTLE</stp>
        <stp>[QwackPricer.xlsb.xlsx]Base!R16C13</stp>
        <tr r="M16" s="2"/>
      </tp>
      <tp>
        <v>3170</v>
        <stp/>
        <stp>##V3_BDPV12</stp>
        <stp>ZAR6m Curncy</stp>
        <stp>PX_LAST</stp>
        <stp>[QwackPricer.xlsb.xlsx]FX-IR!R39C3</stp>
        <tr r="C39" s="1"/>
      </tp>
      <tp>
        <v>-83.51</v>
        <stp/>
        <stp>##V3_BDPV12</stp>
        <stp>AUD5y Curncy</stp>
        <stp>PX_LAST</stp>
        <stp>[QwackPricer.xlsb.xlsx]FX-IR!R45C5</stp>
        <tr r="E45" s="1"/>
      </tp>
      <tp>
        <v>20.259960174560547</v>
        <stp/>
        <stp>##V3_BDPV12</stp>
        <stp>LP AUG23 25DC VOL LME Comdty</stp>
        <stp>PX_LAST</stp>
        <stp>[QwackPricer.xlsb.xlsx]Base!R108C18</stp>
        <tr r="R108" s="2"/>
      </tp>
      <tp>
        <v>22.649633407592773</v>
        <stp/>
        <stp>##V3_BDPV12</stp>
        <stp>LP AUG23 25DP VOL LME Comdty</stp>
        <stp>PX_LAST</stp>
        <stp>[QwackPricer.xlsb.xlsx]Base!R108C16</stp>
        <tr r="P108" s="2"/>
      </tp>
      <tp t="s">
        <v>#N/A N/A</v>
        <stp/>
        <stp>##V3_BDPV12</stp>
        <stp>QSQ3 Comdty</stp>
        <stp>PX_MID</stp>
        <stp>[QwackPricer.xlsb.xlsx]Energy!R49C14</stp>
        <tr r="N49" s="3"/>
      </tp>
      <tp t="s">
        <v>#N/A N/A</v>
        <stp/>
        <stp>##V3_BDPV12</stp>
        <stp>QSV2 Comdty</stp>
        <stp>PX_MID</stp>
        <stp>[QwackPricer.xlsb.xlsx]Energy!R39C14</stp>
        <tr r="N39" s="3"/>
      </tp>
      <tp>
        <v>286.625</v>
        <stp/>
        <stp>##V3_BDPV12</stp>
        <stp>QSU0 Comdty</stp>
        <stp>PX_MID</stp>
        <stp>[QwackPricer.xlsb.xlsx]Energy!R14C14</stp>
        <tr r="N14" s="3"/>
      </tp>
      <tp>
        <v>349.75</v>
        <stp/>
        <stp>##V3_BDPV12</stp>
        <stp>QSV1 Comdty</stp>
        <stp>PX_MID</stp>
        <stp>[QwackPricer.xlsb.xlsx]Energy!R27C14</stp>
        <tr r="N27" s="3"/>
      </tp>
      <tp t="s">
        <v>#N/A N/A</v>
        <stp/>
        <stp>##V3_BDPV12</stp>
        <stp>QSQ4 Comdty</stp>
        <stp>PX_MID</stp>
        <stp>[QwackPricer.xlsb.xlsx]Energy!R61C14</stp>
        <tr r="N61" s="3"/>
      </tp>
      <tp>
        <v>295</v>
        <stp/>
        <stp>##V3_BDPV12</stp>
        <stp>QSV0 Comdty</stp>
        <stp>PX_MID</stp>
        <stp>[QwackPricer.xlsb.xlsx]Energy!R15C14</stp>
        <tr r="N15" s="3"/>
      </tp>
      <tp>
        <v>350.375</v>
        <stp/>
        <stp>##V3_BDPV12</stp>
        <stp>QSU1 Comdty</stp>
        <stp>PX_MID</stp>
        <stp>[QwackPricer.xlsb.xlsx]Energy!R26C14</stp>
        <tr r="N26" s="3"/>
      </tp>
      <tp t="s">
        <v>#N/A N/A</v>
        <stp/>
        <stp>##V3_BDPV12</stp>
        <stp>QSU2 Comdty</stp>
        <stp>PX_MID</stp>
        <stp>[QwackPricer.xlsb.xlsx]Energy!R38C14</stp>
        <tr r="N38" s="3"/>
      </tp>
      <tp t="s">
        <v>#N/A N/A</v>
        <stp/>
        <stp>##V3_BDPV12</stp>
        <stp>QSV4 Comdty</stp>
        <stp>PX_MID</stp>
        <stp>[QwackPricer.xlsb.xlsx]Energy!R63C14</stp>
        <tr r="N63" s="3"/>
      </tp>
      <tp>
        <v>279.125</v>
        <stp/>
        <stp>##V3_BDPV12</stp>
        <stp>QSQ0 Comdty</stp>
        <stp>PX_MID</stp>
        <stp>[QwackPricer.xlsb.xlsx]Energy!R13C14</stp>
        <tr r="N13" s="3"/>
      </tp>
      <tp t="s">
        <v>#N/A N/A</v>
        <stp/>
        <stp>##V3_BDPV12</stp>
        <stp>QSU3 Comdty</stp>
        <stp>PX_MID</stp>
        <stp>[QwackPricer.xlsb.xlsx]Energy!R50C14</stp>
        <tr r="N50" s="3"/>
      </tp>
      <tp>
        <v>342.25</v>
        <stp/>
        <stp>##V3_BDPV12</stp>
        <stp>QSQ1 Comdty</stp>
        <stp>PX_MID</stp>
        <stp>[QwackPricer.xlsb.xlsx]Energy!R25C14</stp>
        <tr r="N25" s="3"/>
      </tp>
      <tp t="s">
        <v>#N/A N/A</v>
        <stp/>
        <stp>##V3_BDPV12</stp>
        <stp>QSU4 Comdty</stp>
        <stp>PX_MID</stp>
        <stp>[QwackPricer.xlsb.xlsx]Energy!R62C14</stp>
        <tr r="N62" s="3"/>
      </tp>
      <tp t="s">
        <v>#N/A N/A</v>
        <stp/>
        <stp>##V3_BDPV12</stp>
        <stp>QSV3 Comdty</stp>
        <stp>PX_MID</stp>
        <stp>[QwackPricer.xlsb.xlsx]Energy!R51C14</stp>
        <tr r="N51" s="3"/>
      </tp>
      <tp t="s">
        <v>#N/A N/A</v>
        <stp/>
        <stp>##V3_BDPV12</stp>
        <stp>QSQ2 Comdty</stp>
        <stp>PX_MID</stp>
        <stp>[QwackPricer.xlsb.xlsx]Energy!R37C14</stp>
        <tr r="N37" s="3"/>
      </tp>
      <tp t="s">
        <v>#N/A N/A</v>
        <stp/>
        <stp>##V3_BDPV12</stp>
        <stp>QSX3 Comdty</stp>
        <stp>PX_MID</stp>
        <stp>[QwackPricer.xlsb.xlsx]Energy!R52C14</stp>
        <tr r="N52" s="3"/>
      </tp>
      <tp>
        <v>453.125</v>
        <stp/>
        <stp>##V3_BDPV12</stp>
        <stp>QSZ4 Comdty</stp>
        <stp>PX_MID</stp>
        <stp>[QwackPricer.xlsb.xlsx]Energy!R65C14</stp>
        <tr r="N65" s="3"/>
      </tp>
      <tp t="s">
        <v>#N/A N/A</v>
        <stp/>
        <stp>##V3_BDPV12</stp>
        <stp>QSX2 Comdty</stp>
        <stp>PX_MID</stp>
        <stp>[QwackPricer.xlsb.xlsx]Energy!R40C14</stp>
        <tr r="N40" s="3"/>
      </tp>
      <tp>
        <v>419.875</v>
        <stp/>
        <stp>##V3_BDPV12</stp>
        <stp>QSZ3 Comdty</stp>
        <stp>PX_MID</stp>
        <stp>[QwackPricer.xlsb.xlsx]Energy!R53C14</stp>
        <tr r="N53" s="3"/>
      </tp>
      <tp t="s">
        <v>#N/A N/A</v>
        <stp/>
        <stp>##V3_BDPV12</stp>
        <stp>QSX4 Comdty</stp>
        <stp>PX_MID</stp>
        <stp>[QwackPricer.xlsb.xlsx]Energy!R64C14</stp>
        <tr r="N64" s="3"/>
      </tp>
      <tp>
        <v>386.625</v>
        <stp/>
        <stp>##V3_BDPV12</stp>
        <stp>QSZ2 Comdty</stp>
        <stp>PX_MID</stp>
        <stp>[QwackPricer.xlsb.xlsx]Energy!R41C14</stp>
        <tr r="N41" s="3"/>
      </tp>
      <tp>
        <v>300.625</v>
        <stp/>
        <stp>##V3_BDPV12</stp>
        <stp>QSX0 Comdty</stp>
        <stp>PX_MID</stp>
        <stp>[QwackPricer.xlsb.xlsx]Energy!R16C14</stp>
        <tr r="N16" s="3"/>
      </tp>
      <tp>
        <v>351</v>
        <stp/>
        <stp>##V3_BDPV12</stp>
        <stp>QSZ1 Comdty</stp>
        <stp>PX_MID</stp>
        <stp>[QwackPricer.xlsb.xlsx]Energy!R29C14</stp>
        <tr r="N29" s="3"/>
      </tp>
      <tp>
        <v>304.375</v>
        <stp/>
        <stp>##V3_BDPV12</stp>
        <stp>QSZ0 Comdty</stp>
        <stp>PX_MID</stp>
        <stp>[QwackPricer.xlsb.xlsx]Energy!R17C14</stp>
        <tr r="N17" s="3"/>
      </tp>
      <tp>
        <v>350.625</v>
        <stp/>
        <stp>##V3_BDPV12</stp>
        <stp>QSX1 Comdty</stp>
        <stp>PX_MID</stp>
        <stp>[QwackPricer.xlsb.xlsx]Energy!R28C14</stp>
        <tr r="N28" s="3"/>
      </tp>
      <tp t="s">
        <v>#N/A N/A</v>
        <stp/>
        <stp>##V3_BDPV12</stp>
        <stp>QSF2 Comdty</stp>
        <stp>PX_MID</stp>
        <stp>[QwackPricer.xlsb.xlsx]Energy!R30C14</stp>
        <tr r="N30" s="3"/>
      </tp>
      <tp t="s">
        <v>#N/A N/A</v>
        <stp/>
        <stp>##V3_BDPV12</stp>
        <stp>QSG2 Comdty</stp>
        <stp>PX_MID</stp>
        <stp>[QwackPricer.xlsb.xlsx]Energy!R31C14</stp>
        <tr r="N31" s="3"/>
      </tp>
      <tp>
        <v>309.75</v>
        <stp/>
        <stp>##V3_BDPV12</stp>
        <stp>QSF1 Comdty</stp>
        <stp>PX_MID</stp>
        <stp>[QwackPricer.xlsb.xlsx]Energy!R18C14</stp>
        <tr r="N18" s="3"/>
      </tp>
      <tp>
        <v>315.25</v>
        <stp/>
        <stp>##V3_BDPV12</stp>
        <stp>QSG1 Comdty</stp>
        <stp>PX_MID</stp>
        <stp>[QwackPricer.xlsb.xlsx]Energy!R19C14</stp>
        <tr r="N19" s="3"/>
      </tp>
      <tp t="s">
        <v>#N/A N/A</v>
        <stp/>
        <stp>##V3_BDPV12</stp>
        <stp>QSG5 Comdty</stp>
        <stp>PX_MID</stp>
        <stp>[QwackPricer.xlsb.xlsx]Energy!R67C14</stp>
        <tr r="N67" s="3"/>
      </tp>
      <tp t="s">
        <v>#N/A N/A</v>
        <stp/>
        <stp>##V3_BDPV12</stp>
        <stp>QSF5 Comdty</stp>
        <stp>PX_MID</stp>
        <stp>[QwackPricer.xlsb.xlsx]Energy!R66C14</stp>
        <tr r="N66" s="3"/>
      </tp>
      <tp t="s">
        <v>#N/A N/A</v>
        <stp/>
        <stp>##V3_BDPV12</stp>
        <stp>QSF4 Comdty</stp>
        <stp>PX_MID</stp>
        <stp>[QwackPricer.xlsb.xlsx]Energy!R54C14</stp>
        <tr r="N54" s="3"/>
      </tp>
      <tp t="s">
        <v>#N/A N/A</v>
        <stp/>
        <stp>##V3_BDPV12</stp>
        <stp>QSG3 Comdty</stp>
        <stp>PX_MID</stp>
        <stp>[QwackPricer.xlsb.xlsx]Energy!R43C14</stp>
        <tr r="N43" s="3"/>
      </tp>
      <tp t="s">
        <v>#N/A N/A</v>
        <stp/>
        <stp>##V3_BDPV12</stp>
        <stp>QSF3 Comdty</stp>
        <stp>PX_MID</stp>
        <stp>[QwackPricer.xlsb.xlsx]Energy!R42C14</stp>
        <tr r="N42" s="3"/>
      </tp>
      <tp t="s">
        <v>#N/A N/A</v>
        <stp/>
        <stp>##V3_BDPV12</stp>
        <stp>QSG4 Comdty</stp>
        <stp>PX_MID</stp>
        <stp>[QwackPricer.xlsb.xlsx]Energy!R55C14</stp>
        <tr r="N55" s="3"/>
      </tp>
      <tp t="s">
        <v>#N/A N/A</v>
        <stp/>
        <stp>##V3_BDPV12</stp>
        <stp>QSN2 Comdty</stp>
        <stp>PX_MID</stp>
        <stp>[QwackPricer.xlsb.xlsx]Energy!R36C14</stp>
        <tr r="N36" s="3"/>
      </tp>
      <tp t="s">
        <v>#N/A N/A</v>
        <stp/>
        <stp>##V3_BDPV12</stp>
        <stp>QSH4 Comdty</stp>
        <stp>PX_MID</stp>
        <stp>[QwackPricer.xlsb.xlsx]Energy!R56C14</stp>
        <tr r="N56" s="3"/>
      </tp>
      <tp>
        <v>337.875</v>
        <stp/>
        <stp>##V3_BDPV12</stp>
        <stp>QSN1 Comdty</stp>
        <stp>PX_MID</stp>
        <stp>[QwackPricer.xlsb.xlsx]Energy!R24C14</stp>
        <tr r="N24" s="3"/>
      </tp>
      <tp t="s">
        <v>#N/A N/A</v>
        <stp/>
        <stp>##V3_BDPV12</stp>
        <stp>QSH3 Comdty</stp>
        <stp>PX_MID</stp>
        <stp>[QwackPricer.xlsb.xlsx]Energy!R44C14</stp>
        <tr r="N44" s="3"/>
      </tp>
      <tp>
        <v>256.625</v>
        <stp/>
        <stp>##V3_BDPV12</stp>
        <stp>QSM0 Comdty</stp>
        <stp>PX_MID</stp>
        <stp>[QwackPricer.xlsb.xlsx]Energy!R11C14</stp>
        <tr r="N11" s="3"/>
      </tp>
      <tp t="s">
        <v>#N/A N/A</v>
        <stp/>
        <stp>##V3_BDPV12</stp>
        <stp>QSK3 Comdty</stp>
        <stp>PX_MID</stp>
        <stp>[QwackPricer.xlsb.xlsx]Energy!R46C14</stp>
        <tr r="N46" s="3"/>
      </tp>
      <tp>
        <v>333.25</v>
        <stp/>
        <stp>##V3_BDPV12</stp>
        <stp>QSM1 Comdty</stp>
        <stp>PX_MID</stp>
        <stp>[QwackPricer.xlsb.xlsx]Energy!R23C14</stp>
        <tr r="N23" s="3"/>
      </tp>
      <tp>
        <v>270.375</v>
        <stp/>
        <stp>##V3_BDPV12</stp>
        <stp>QSN0 Comdty</stp>
        <stp>PX_MID</stp>
        <stp>[QwackPricer.xlsb.xlsx]Energy!R12C14</stp>
        <tr r="N12" s="3"/>
      </tp>
      <tp t="s">
        <v>#N/A N/A</v>
        <stp/>
        <stp>##V3_BDPV12</stp>
        <stp>QSJ4 Comdty</stp>
        <stp>PX_MID</stp>
        <stp>[QwackPricer.xlsb.xlsx]Energy!R57C14</stp>
        <tr r="N57" s="3"/>
      </tp>
      <tp t="s">
        <v>#N/A N/A</v>
        <stp/>
        <stp>##V3_BDPV12</stp>
        <stp>QSJ3 Comdty</stp>
        <stp>PX_MID</stp>
        <stp>[QwackPricer.xlsb.xlsx]Energy!R45C14</stp>
        <tr r="N45" s="3"/>
      </tp>
      <tp>
        <v>372.125</v>
        <stp/>
        <stp>##V3_BDPV12</stp>
        <stp>QSM2 Comdty</stp>
        <stp>PX_MID</stp>
        <stp>[QwackPricer.xlsb.xlsx]Energy!R35C14</stp>
        <tr r="N35" s="3"/>
      </tp>
      <tp t="s">
        <v>#N/A N/A</v>
        <stp/>
        <stp>##V3_BDPV12</stp>
        <stp>QSK4 Comdty</stp>
        <stp>PX_MID</stp>
        <stp>[QwackPricer.xlsb.xlsx]Energy!R58C14</stp>
        <tr r="N58" s="3"/>
      </tp>
      <tp>
        <v>408.375</v>
        <stp/>
        <stp>##V3_BDPV12</stp>
        <stp>QSM3 Comdty</stp>
        <stp>PX_MID</stp>
        <stp>[QwackPricer.xlsb.xlsx]Energy!R47C14</stp>
        <tr r="N47" s="3"/>
      </tp>
      <tp t="s">
        <v>#N/A N/A</v>
        <stp/>
        <stp>##V3_BDPV12</stp>
        <stp>QSJ2 Comdty</stp>
        <stp>PX_MID</stp>
        <stp>[QwackPricer.xlsb.xlsx]Energy!R33C14</stp>
        <tr r="N33" s="3"/>
      </tp>
      <tp>
        <v>329.875</v>
        <stp/>
        <stp>##V3_BDPV12</stp>
        <stp>QSK1 Comdty</stp>
        <stp>PX_MID</stp>
        <stp>[QwackPricer.xlsb.xlsx]Energy!R22C14</stp>
        <tr r="N22" s="3"/>
      </tp>
      <tp t="s">
        <v>#N/A N/A</v>
        <stp/>
        <stp>##V3_BDPV12</stp>
        <stp>QSN4 Comdty</stp>
        <stp>PX_MID</stp>
        <stp>[QwackPricer.xlsb.xlsx]Energy!R60C14</stp>
        <tr r="N60" s="3"/>
      </tp>
      <tp t="s">
        <v>#N/A N/A</v>
        <stp/>
        <stp>##V3_BDPV12</stp>
        <stp>QSK2 Comdty</stp>
        <stp>PX_MID</stp>
        <stp>[QwackPricer.xlsb.xlsx]Energy!R34C14</stp>
        <tr r="N34" s="3"/>
      </tp>
      <tp>
        <v>325.625</v>
        <stp/>
        <stp>##V3_BDPV12</stp>
        <stp>QSJ1 Comdty</stp>
        <stp>PX_MID</stp>
        <stp>[QwackPricer.xlsb.xlsx]Energy!R21C14</stp>
        <tr r="N21" s="3"/>
      </tp>
      <tp t="s">
        <v>#N/A N/A</v>
        <stp/>
        <stp>##V3_BDPV12</stp>
        <stp>QSM4 Comdty</stp>
        <stp>PX_MID</stp>
        <stp>[QwackPricer.xlsb.xlsx]Energy!R59C14</stp>
        <tr r="N59" s="3"/>
      </tp>
      <tp t="s">
        <v>#N/A N/A</v>
        <stp/>
        <stp>##V3_BDPV12</stp>
        <stp>QSH2 Comdty</stp>
        <stp>PX_MID</stp>
        <stp>[QwackPricer.xlsb.xlsx]Energy!R32C14</stp>
        <tr r="N32" s="3"/>
      </tp>
      <tp>
        <v>320.75</v>
        <stp/>
        <stp>##V3_BDPV12</stp>
        <stp>QSH1 Comdty</stp>
        <stp>PX_MID</stp>
        <stp>[QwackPricer.xlsb.xlsx]Energy!R20C14</stp>
        <tr r="N20" s="3"/>
      </tp>
      <tp t="s">
        <v>#N/A N/A</v>
        <stp/>
        <stp>##V3_BDPV12</stp>
        <stp>QSN3 Comdty</stp>
        <stp>PX_MID</stp>
        <stp>[QwackPricer.xlsb.xlsx]Energy!R48C14</stp>
        <tr r="N48" s="3"/>
      </tp>
      <tp>
        <v>-32.36</v>
        <stp/>
        <stp>##V3_BDPV12</stp>
        <stp>AUD3y Curncy</stp>
        <stp>PX_LAST</stp>
        <stp>[QwackPricer.xlsb.xlsx]FX-IR!R44C5</stp>
        <tr r="E44" s="1"/>
      </tp>
      <tp>
        <v>9596</v>
        <stp/>
        <stp>##V3_BDPV12</stp>
        <stp>ZAR18m Curncy</stp>
        <stp>PX_LAST</stp>
        <stp>[QwackPricer.xlsb.xlsx]FX-IR!R42C3</stp>
        <tr r="C42" s="1"/>
      </tp>
      <tp>
        <v>20.579811096191406</v>
        <stp/>
        <stp>##V3_BDPV12</stp>
        <stp>LP FEB23 10DC VOL LME Comdty</stp>
        <stp>PX_LAST</stp>
        <stp>[QwackPricer.xlsb.xlsx]Base!R102C19</stp>
        <tr r="S102" s="2"/>
      </tp>
      <tp>
        <v>24.029365539550781</v>
        <stp/>
        <stp>##V3_BDPV12</stp>
        <stp>LP FEB23 10DP VOL LME Comdty</stp>
        <stp>PX_LAST</stp>
        <stp>[QwackPricer.xlsb.xlsx]Base!R102C15</stp>
        <tr r="O102" s="2"/>
      </tp>
      <tp>
        <v>-14.08</v>
        <stp/>
        <stp>##V3_BDPV12</stp>
        <stp>AUD2y Curncy</stp>
        <stp>PX_LAST</stp>
        <stp>[QwackPricer.xlsb.xlsx]FX-IR!R43C5</stp>
        <tr r="E43" s="1"/>
      </tp>
      <tp>
        <v>20.489852905273438</v>
        <stp/>
        <stp>##V3_BDPV12</stp>
        <stp>LP DEC22 10DC VOL LME Comdty</stp>
        <stp>PX_LAST</stp>
        <stp>[QwackPricer.xlsb.xlsx]Base!R100C19</stp>
        <tr r="S100" s="2"/>
      </tp>
      <tp>
        <v>20.180002212524414</v>
        <stp/>
        <stp>##V3_BDPV12</stp>
        <stp>LP DEC23 10DC VOL LME Comdty</stp>
        <stp>PX_LAST</stp>
        <stp>[QwackPricer.xlsb.xlsx]Base!R112C19</stp>
        <tr r="S112" s="2"/>
      </tp>
      <tp>
        <v>24.519388198852539</v>
        <stp/>
        <stp>##V3_BDPV12</stp>
        <stp>LP DEC23 10DP VOL LME Comdty</stp>
        <stp>PX_LAST</stp>
        <stp>[QwackPricer.xlsb.xlsx]Base!R112C15</stp>
        <tr r="O112" s="2"/>
      </tp>
      <tp>
        <v>23.769376754760742</v>
        <stp/>
        <stp>##V3_BDPV12</stp>
        <stp>LP DEC22 10DP VOL LME Comdty</stp>
        <stp>PX_LAST</stp>
        <stp>[QwackPricer.xlsb.xlsx]Base!R100C15</stp>
        <tr r="O100" s="2"/>
      </tp>
      <tp>
        <v>-61.5</v>
        <stp/>
        <stp>##V3_BDPV12</stp>
        <stp>LMNIDS K2003 Comdty</stp>
        <stp>PX_SETTLE</stp>
        <stp>[QwackPricer.xlsb.xlsx]Base!R17C17</stp>
        <tr r="Q17" s="2"/>
      </tp>
      <tp>
        <v>-41.5</v>
        <stp/>
        <stp>##V3_BDPV12</stp>
        <stp>LMNIDS M2003 Comdty</stp>
        <stp>PX_SETTLE</stp>
        <stp>[QwackPricer.xlsb.xlsx]Base!R18C17</stp>
        <tr r="Q18" s="2"/>
      </tp>
      <tp>
        <v>-21.5</v>
        <stp/>
        <stp>##V3_BDPV12</stp>
        <stp>LMNIDS N2003 Comdty</stp>
        <stp>PX_SETTLE</stp>
        <stp>[QwackPricer.xlsb.xlsx]Base!R19C17</stp>
        <tr r="Q19" s="2"/>
      </tp>
      <tp>
        <v>130</v>
        <stp/>
        <stp>##V3_BDPV12</stp>
        <stp>LMSNDS M2003 Comdty</stp>
        <stp>PX_SETTLE</stp>
        <stp>[QwackPricer.xlsb.xlsx]Base!R18C25</stp>
        <tr r="Y18" s="2"/>
      </tp>
      <tp>
        <v>40</v>
        <stp/>
        <stp>##V3_BDPV12</stp>
        <stp>LMSNDS N2003 Comdty</stp>
        <stp>PX_SETTLE</stp>
        <stp>[QwackPricer.xlsb.xlsx]Base!R19C25</stp>
        <tr r="Y19" s="2"/>
      </tp>
      <tp>
        <v>145</v>
        <stp/>
        <stp>##V3_BDPV12</stp>
        <stp>LMSNDS K2003 Comdty</stp>
        <stp>PX_SETTLE</stp>
        <stp>[QwackPricer.xlsb.xlsx]Base!R17C25</stp>
        <tr r="Y17" s="2"/>
      </tp>
      <tp>
        <v>-8.9500000000000011</v>
        <stp/>
        <stp>##V3_BDPV12</stp>
        <stp>LMPBDS M2003 Comdty</stp>
        <stp>PX_SETTLE</stp>
        <stp>[QwackPricer.xlsb.xlsx]Base!R18C21</stp>
        <tr r="U18" s="2"/>
      </tp>
      <tp>
        <v>-2.5</v>
        <stp/>
        <stp>##V3_BDPV12</stp>
        <stp>LMPBDS N2003 Comdty</stp>
        <stp>PX_SETTLE</stp>
        <stp>[QwackPricer.xlsb.xlsx]Base!R19C21</stp>
        <tr r="U19" s="2"/>
      </tp>
      <tp>
        <v>-15.700000000000001</v>
        <stp/>
        <stp>##V3_BDPV12</stp>
        <stp>LMPBDS K2003 Comdty</stp>
        <stp>PX_SETTLE</stp>
        <stp>[QwackPricer.xlsb.xlsx]Base!R17C21</stp>
        <tr r="U17" s="2"/>
      </tp>
      <tp>
        <v>-1.5</v>
        <stp/>
        <stp>##V3_BDPV12</stp>
        <stp>LMZSDS N2003 Comdty</stp>
        <stp>PX_SETTLE</stp>
        <stp>[QwackPricer.xlsb.xlsx]Base!R19C13</stp>
        <tr r="M19" s="2"/>
      </tp>
      <tp>
        <v>-3.25</v>
        <stp/>
        <stp>##V3_BDPV12</stp>
        <stp>LMZSDS M2003 Comdty</stp>
        <stp>PX_SETTLE</stp>
        <stp>[QwackPricer.xlsb.xlsx]Base!R18C13</stp>
        <tr r="M18" s="2"/>
      </tp>
      <tp>
        <v>-1.25</v>
        <stp/>
        <stp>##V3_BDPV12</stp>
        <stp>LMZSDS K2003 Comdty</stp>
        <stp>PX_SETTLE</stp>
        <stp>[QwackPricer.xlsb.xlsx]Base!R17C13</stp>
        <tr r="M17" s="2"/>
      </tp>
      <tp>
        <v>548.34</v>
        <stp/>
        <stp>##V3_BDPV12</stp>
        <stp>EUR5y Curncy</stp>
        <stp>PX_LAST</stp>
        <stp>[QwackPricer.xlsb.xlsx]FX-IR!R45C4</stp>
        <tr r="D45" s="1"/>
      </tp>
      <tp>
        <v>20.259830474853516</v>
        <stp/>
        <stp>##V3_BDPV12</stp>
        <stp>LP DEC22 25DC VOL LME Comdty</stp>
        <stp>PX_LAST</stp>
        <stp>[QwackPricer.xlsb.xlsx]Base!R100C18</stp>
        <tr r="R100" s="2"/>
      </tp>
      <tp>
        <v>20.250005722045898</v>
        <stp/>
        <stp>##V3_BDPV12</stp>
        <stp>LP DEC23 25DC VOL LME Comdty</stp>
        <stp>PX_LAST</stp>
        <stp>[QwackPricer.xlsb.xlsx]Base!R112C18</stp>
        <tr r="R112" s="2"/>
      </tp>
      <tp>
        <v>22.639663696289063</v>
        <stp/>
        <stp>##V3_BDPV12</stp>
        <stp>LP DEC23 25DP VOL LME Comdty</stp>
        <stp>PX_LAST</stp>
        <stp>[QwackPricer.xlsb.xlsx]Base!R112C16</stp>
        <tr r="P112" s="2"/>
      </tp>
      <tp>
        <v>22.079608917236328</v>
        <stp/>
        <stp>##V3_BDPV12</stp>
        <stp>LP DEC22 25DP VOL LME Comdty</stp>
        <stp>PX_LAST</stp>
        <stp>[QwackPricer.xlsb.xlsx]Base!R100C16</stp>
        <tr r="P100" s="2"/>
      </tp>
      <tp>
        <v>42.5</v>
        <stp/>
        <stp>##V3_BDPV12</stp>
        <stp>FS1SM U22 Index</stp>
        <stp>PX_LAST</stp>
        <stp>[QwackPricer.xlsb.xlsx]Energy!R100C22</stp>
        <tr r="V100" s="3"/>
      </tp>
      <tp>
        <v>-36.5</v>
        <stp/>
        <stp>##V3_BDPV12</stp>
        <stp>LMAHDS 0003 Comdty</stp>
        <stp>PX_SETTLE</stp>
        <stp>[QwackPricer.xlsb.xlsx]Base!R16C5</stp>
        <tr r="E16" s="2"/>
      </tp>
      <tp>
        <v>-18</v>
        <stp/>
        <stp>##V3_BDPV12</stp>
        <stp>LMAHDS M2003 Comdty</stp>
        <stp>PX_SETTLE</stp>
        <stp>[QwackPricer.xlsb.xlsx]Base!R18C5</stp>
        <tr r="E18" s="2"/>
      </tp>
      <tp>
        <v>-17.75</v>
        <stp/>
        <stp>##V3_BDPV12</stp>
        <stp>LMCADS M2003 Comdty</stp>
        <stp>PX_SETTLE</stp>
        <stp>[QwackPricer.xlsb.xlsx]Base!R18C9</stp>
        <tr r="I18" s="2"/>
      </tp>
      <tp>
        <v>-140.75</v>
        <stp/>
        <stp>##V3_BDPV12</stp>
        <stp>LMAHDS 03G22 Comdty</stp>
        <stp>PX_SETTLE</stp>
        <stp>[QwackPricer.xlsb.xlsx]Base!R39C5</stp>
        <tr r="E39" s="2"/>
      </tp>
      <tp>
        <v>-114.5</v>
        <stp/>
        <stp>##V3_BDPV12</stp>
        <stp>LMCADS 03G22 Comdty</stp>
        <stp>PX_SETTLE</stp>
        <stp>[QwackPricer.xlsb.xlsx]Base!R39C9</stp>
        <tr r="I39" s="2"/>
      </tp>
      <tp>
        <v>-72.25</v>
        <stp/>
        <stp>##V3_BDPV12</stp>
        <stp>LMAHDS 03J21 Comdty</stp>
        <stp>PX_SETTLE</stp>
        <stp>[QwackPricer.xlsb.xlsx]Base!R29C5</stp>
        <tr r="E29" s="2"/>
      </tp>
      <tp>
        <v>-57</v>
        <stp/>
        <stp>##V3_BDPV12</stp>
        <stp>LMCADS 03J21 Comdty</stp>
        <stp>PX_SETTLE</stp>
        <stp>[QwackPricer.xlsb.xlsx]Base!R29C9</stp>
        <tr r="I29" s="2"/>
      </tp>
      <tp>
        <v>-282.5</v>
        <stp/>
        <stp>##V3_BDPV12</stp>
        <stp>LMAHDS 03V23 Comdty</stp>
        <stp>PX_SETTLE</stp>
        <stp>[QwackPricer.xlsb.xlsx]Base!R59C5</stp>
        <tr r="E59" s="2"/>
      </tp>
      <tp>
        <v>-227.5</v>
        <stp/>
        <stp>##V3_BDPV12</stp>
        <stp>LMCADS 03V23 Comdty</stp>
        <stp>PX_SETTLE</stp>
        <stp>[QwackPricer.xlsb.xlsx]Base!R59C9</stp>
        <tr r="I59" s="2"/>
      </tp>
      <tp>
        <v>-212.25</v>
        <stp/>
        <stp>##V3_BDPV12</stp>
        <stp>LMAHDS 03Z22 Comdty</stp>
        <stp>PX_SETTLE</stp>
        <stp>[QwackPricer.xlsb.xlsx]Base!R49C5</stp>
        <tr r="E49" s="2"/>
      </tp>
      <tp>
        <v>-172.5</v>
        <stp/>
        <stp>##V3_BDPV12</stp>
        <stp>LMCADS 03Z22 Comdty</stp>
        <stp>PX_SETTLE</stp>
        <stp>[QwackPricer.xlsb.xlsx]Base!R49C9</stp>
        <tr r="I49" s="2"/>
      </tp>
      <tp>
        <v>291.5</v>
        <stp/>
        <stp>##V3_BDPV12</stp>
        <stp>EUR3y Curncy</stp>
        <stp>PX_LAST</stp>
        <stp>[QwackPricer.xlsb.xlsx]FX-IR!R44C4</stp>
        <tr r="D44" s="1"/>
      </tp>
      <tp>
        <v>20.349802017211914</v>
        <stp/>
        <stp>##V3_BDPV12</stp>
        <stp>LP FEB23 25DC VOL LME Comdty</stp>
        <stp>PX_LAST</stp>
        <stp>[QwackPricer.xlsb.xlsx]Base!R102C18</stp>
        <tr r="R102" s="2"/>
      </tp>
      <tp>
        <v>22.219608306884766</v>
        <stp/>
        <stp>##V3_BDPV12</stp>
        <stp>LP FEB23 25DP VOL LME Comdty</stp>
        <stp>PX_LAST</stp>
        <stp>[QwackPricer.xlsb.xlsx]Base!R102C16</stp>
        <tr r="P102" s="2"/>
      </tp>
      <tp>
        <v>-9.75</v>
        <stp/>
        <stp>##V3_BDPV12</stp>
        <stp>LMAHDS N2003 Comdty</stp>
        <stp>PX_SETTLE</stp>
        <stp>[QwackPricer.xlsb.xlsx]Base!R19C5</stp>
        <tr r="E19" s="2"/>
      </tp>
      <tp>
        <v>-8.75</v>
        <stp/>
        <stp>##V3_BDPV12</stp>
        <stp>LMCADS N2003 Comdty</stp>
        <stp>PX_SETTLE</stp>
        <stp>[QwackPricer.xlsb.xlsx]Base!R19C9</stp>
        <tr r="I19" s="2"/>
      </tp>
      <tp>
        <v>-133.75</v>
        <stp/>
        <stp>##V3_BDPV12</stp>
        <stp>LMAHDS 03F22 Comdty</stp>
        <stp>PX_SETTLE</stp>
        <stp>[QwackPricer.xlsb.xlsx]Base!R38C5</stp>
        <tr r="E38" s="2"/>
      </tp>
      <tp>
        <v>-108.5</v>
        <stp/>
        <stp>##V3_BDPV12</stp>
        <stp>LMCADS 03F22 Comdty</stp>
        <stp>PX_SETTLE</stp>
        <stp>[QwackPricer.xlsb.xlsx]Base!R38C9</stp>
        <tr r="I38" s="2"/>
      </tp>
      <tp>
        <v>-63.25</v>
        <stp/>
        <stp>##V3_BDPV12</stp>
        <stp>LMAHDS 03H21 Comdty</stp>
        <stp>PX_SETTLE</stp>
        <stp>[QwackPricer.xlsb.xlsx]Base!R28C5</stp>
        <tr r="E28" s="2"/>
      </tp>
      <tp>
        <v>-50.5</v>
        <stp/>
        <stp>##V3_BDPV12</stp>
        <stp>LMCADS 03H21 Comdty</stp>
        <stp>PX_SETTLE</stp>
        <stp>[QwackPricer.xlsb.xlsx]Base!R28C9</stp>
        <tr r="I28" s="2"/>
      </tp>
      <tp>
        <v>-275.75</v>
        <stp/>
        <stp>##V3_BDPV12</stp>
        <stp>LMAHDS 03U23 Comdty</stp>
        <stp>PX_SETTLE</stp>
        <stp>[QwackPricer.xlsb.xlsx]Base!R58C5</stp>
        <tr r="E58" s="2"/>
      </tp>
      <tp>
        <v>-222</v>
        <stp/>
        <stp>##V3_BDPV12</stp>
        <stp>LMCADS 03U23 Comdty</stp>
        <stp>PX_SETTLE</stp>
        <stp>[QwackPricer.xlsb.xlsx]Base!R58C9</stp>
        <tr r="I58" s="2"/>
      </tp>
      <tp>
        <v>-205.25</v>
        <stp/>
        <stp>##V3_BDPV12</stp>
        <stp>LMAHDS 03X22 Comdty</stp>
        <stp>PX_SETTLE</stp>
        <stp>[QwackPricer.xlsb.xlsx]Base!R48C5</stp>
        <tr r="E48" s="2"/>
      </tp>
      <tp>
        <v>-166.75</v>
        <stp/>
        <stp>##V3_BDPV12</stp>
        <stp>LMCADS 03X22 Comdty</stp>
        <stp>PX_SETTLE</stp>
        <stp>[QwackPricer.xlsb.xlsx]Base!R48C9</stp>
        <tr r="I48" s="2"/>
      </tp>
      <tp>
        <v>24.019371032714844</v>
        <stp/>
        <stp>##V3_BDPV12</stp>
        <stp>LP JUN23 10DP VOL LME Comdty</stp>
        <stp>PX_LAST</stp>
        <stp>[QwackPricer.xlsb.xlsx]Base!R106C15</stp>
        <tr r="O106" s="2"/>
      </tp>
      <tp>
        <v>24.049371719360352</v>
        <stp/>
        <stp>##V3_BDPV12</stp>
        <stp>LP JAN23 10DP VOL LME Comdty</stp>
        <stp>PX_LAST</stp>
        <stp>[QwackPricer.xlsb.xlsx]Base!R101C15</stp>
        <tr r="O101" s="2"/>
      </tp>
      <tp>
        <v>20.539827346801758</v>
        <stp/>
        <stp>##V3_BDPV12</stp>
        <stp>LP JAN23 10DC VOL LME Comdty</stp>
        <stp>PX_LAST</stp>
        <stp>[QwackPricer.xlsb.xlsx]Base!R101C19</stp>
        <tr r="S101" s="2"/>
      </tp>
      <tp>
        <v>20.809791564941406</v>
        <stp/>
        <stp>##V3_BDPV12</stp>
        <stp>LP JUN23 10DC VOL LME Comdty</stp>
        <stp>PX_LAST</stp>
        <stp>[QwackPricer.xlsb.xlsx]Base!R106C19</stp>
        <tr r="S106" s="2"/>
      </tp>
      <tp>
        <v>2.78</v>
        <stp/>
        <stp>##V3_BDPV12</stp>
        <stp>EUR2w Curncy</stp>
        <stp>PX_LAST</stp>
        <stp>[QwackPricer.xlsb.xlsx]FX-IR!R35C4</stp>
        <tr r="D35" s="1"/>
      </tp>
      <tp>
        <v>4632</v>
        <stp/>
        <stp>##V3_BDPV12</stp>
        <stp>ZAR9m Curncy</stp>
        <stp>PX_LAST</stp>
        <stp>[QwackPricer.xlsb.xlsx]FX-IR!R40C3</stp>
        <tr r="C40" s="1"/>
      </tp>
      <tp>
        <v>-56</v>
        <stp/>
        <stp>##V3_BDPV12</stp>
        <stp>LMAHDS 03G21 Comdty</stp>
        <stp>PX_SETTLE</stp>
        <stp>[QwackPricer.xlsb.xlsx]Base!R27C5</stp>
        <tr r="E27" s="2"/>
      </tp>
      <tp>
        <v>-44</v>
        <stp/>
        <stp>##V3_BDPV12</stp>
        <stp>LMCADS 03G21 Comdty</stp>
        <stp>PX_SETTLE</stp>
        <stp>[QwackPricer.xlsb.xlsx]Base!R27C9</stp>
        <tr r="I27" s="2"/>
      </tp>
      <tp>
        <v>-198.25</v>
        <stp/>
        <stp>##V3_BDPV12</stp>
        <stp>LMAHDS 03V22 Comdty</stp>
        <stp>PX_SETTLE</stp>
        <stp>[QwackPricer.xlsb.xlsx]Base!R47C5</stp>
        <tr r="E47" s="2"/>
      </tp>
      <tp>
        <v>-161</v>
        <stp/>
        <stp>##V3_BDPV12</stp>
        <stp>LMCADS 03V22 Comdty</stp>
        <stp>PX_SETTLE</stp>
        <stp>[QwackPricer.xlsb.xlsx]Base!R47C9</stp>
        <tr r="I47" s="2"/>
      </tp>
      <tp>
        <v>-268.25</v>
        <stp/>
        <stp>##V3_BDPV12</stp>
        <stp>LMAHDS 03Q23 Comdty</stp>
        <stp>PX_SETTLE</stp>
        <stp>[QwackPricer.xlsb.xlsx]Base!R57C5</stp>
        <tr r="E57" s="2"/>
      </tp>
      <tp>
        <v>-216.5</v>
        <stp/>
        <stp>##V3_BDPV12</stp>
        <stp>LMCADS 03Q23 Comdty</stp>
        <stp>PX_SETTLE</stp>
        <stp>[QwackPricer.xlsb.xlsx]Base!R57C9</stp>
        <tr r="I57" s="2"/>
      </tp>
      <tp>
        <v>-126.25</v>
        <stp/>
        <stp>##V3_BDPV12</stp>
        <stp>LMAHDS 03Z21 Comdty</stp>
        <stp>PX_SETTLE</stp>
        <stp>[QwackPricer.xlsb.xlsx]Base!R37C5</stp>
        <tr r="E37" s="2"/>
      </tp>
      <tp>
        <v>-102.5</v>
        <stp/>
        <stp>##V3_BDPV12</stp>
        <stp>LMCADS 03Z21 Comdty</stp>
        <stp>PX_SETTLE</stp>
        <stp>[QwackPricer.xlsb.xlsx]Base!R37C9</stp>
        <tr r="I37" s="2"/>
      </tp>
      <tp>
        <v>1.36</v>
        <stp/>
        <stp>##V3_BDPV12</stp>
        <stp>EUR1w Curncy</stp>
        <stp>PX_LAST</stp>
        <stp>[QwackPricer.xlsb.xlsx]FX-IR!R34C4</stp>
        <tr r="D34" s="1"/>
      </tp>
      <tp>
        <v>22.249631881713867</v>
        <stp/>
        <stp>##V3_BDPV12</stp>
        <stp>LP JUL23 25DP VOL LME Comdty</stp>
        <stp>PX_LAST</stp>
        <stp>[QwackPricer.xlsb.xlsx]Base!R107C16</stp>
        <tr r="P107" s="2"/>
      </tp>
      <tp>
        <v>20.40971565246582</v>
        <stp/>
        <stp>##V3_BDPV12</stp>
        <stp>LP JUL23 25DC VOL LME Comdty</stp>
        <stp>PX_LAST</stp>
        <stp>[QwackPricer.xlsb.xlsx]Base!R107C18</stp>
        <tr r="R107" s="2"/>
      </tp>
      <tp>
        <v>-32.75</v>
        <stp/>
        <stp>##V3_BDPV12</stp>
        <stp>LMAHDS K2003 Comdty</stp>
        <stp>PX_SETTLE</stp>
        <stp>[QwackPricer.xlsb.xlsx]Base!R17C5</stp>
        <tr r="E17" s="2"/>
      </tp>
      <tp>
        <v>-28.25</v>
        <stp/>
        <stp>##V3_BDPV12</stp>
        <stp>LMCADS K2003 Comdty</stp>
        <stp>PX_SETTLE</stp>
        <stp>[QwackPricer.xlsb.xlsx]Base!R17C9</stp>
        <tr r="I17" s="2"/>
      </tp>
      <tp>
        <v>-48.75</v>
        <stp/>
        <stp>##V3_BDPV12</stp>
        <stp>LMAHDS 03F21 Comdty</stp>
        <stp>PX_SETTLE</stp>
        <stp>[QwackPricer.xlsb.xlsx]Base!R26C5</stp>
        <tr r="E26" s="2"/>
      </tp>
      <tp>
        <v>-37.75</v>
        <stp/>
        <stp>##V3_BDPV12</stp>
        <stp>LMCADS 03F21 Comdty</stp>
        <stp>PX_SETTLE</stp>
        <stp>[QwackPricer.xlsb.xlsx]Base!R26C9</stp>
        <tr r="I26" s="2"/>
      </tp>
      <tp>
        <v>-261.5</v>
        <stp/>
        <stp>##V3_BDPV12</stp>
        <stp>LMAHDS 03N23 Comdty</stp>
        <stp>PX_SETTLE</stp>
        <stp>[QwackPricer.xlsb.xlsx]Base!R56C5</stp>
        <tr r="E56" s="2"/>
      </tp>
      <tp>
        <v>-211</v>
        <stp/>
        <stp>##V3_BDPV12</stp>
        <stp>LMCADS 03N23 Comdty</stp>
        <stp>PX_SETTLE</stp>
        <stp>[QwackPricer.xlsb.xlsx]Base!R56C9</stp>
        <tr r="I56" s="2"/>
      </tp>
      <tp>
        <v>20.240142822265625</v>
        <stp/>
        <stp>##V3_BDPV12</stp>
        <stp>LP APR23 50D VOL LME Comdty</stp>
        <stp>PX_LAST</stp>
        <stp>[QwackPricer.xlsb.xlsx]Base!R104C17</stp>
        <tr r="Q104" s="2"/>
      </tp>
      <tp>
        <v>-191.25</v>
        <stp/>
        <stp>##V3_BDPV12</stp>
        <stp>LMAHDS 03U22 Comdty</stp>
        <stp>PX_SETTLE</stp>
        <stp>[QwackPricer.xlsb.xlsx]Base!R46C5</stp>
        <tr r="E46" s="2"/>
      </tp>
      <tp>
        <v>-155.25</v>
        <stp/>
        <stp>##V3_BDPV12</stp>
        <stp>LMCADS 03U22 Comdty</stp>
        <stp>PX_SETTLE</stp>
        <stp>[QwackPricer.xlsb.xlsx]Base!R46C9</stp>
        <tr r="I46" s="2"/>
      </tp>
      <tp>
        <v>-120.25</v>
        <stp/>
        <stp>##V3_BDPV12</stp>
        <stp>LMAHDS 03X21 Comdty</stp>
        <stp>PX_SETTLE</stp>
        <stp>[QwackPricer.xlsb.xlsx]Base!R36C5</stp>
        <tr r="E36" s="2"/>
      </tp>
      <tp>
        <v>-97.25</v>
        <stp/>
        <stp>##V3_BDPV12</stp>
        <stp>LMCADS 03X21 Comdty</stp>
        <stp>PX_SETTLE</stp>
        <stp>[QwackPricer.xlsb.xlsx]Base!R36C9</stp>
        <tr r="I36" s="2"/>
      </tp>
      <tp>
        <v>24.019367218017578</v>
        <stp/>
        <stp>##V3_BDPV12</stp>
        <stp>LP JUL23 10DP VOL LME Comdty</stp>
        <stp>PX_LAST</stp>
        <stp>[QwackPricer.xlsb.xlsx]Base!R107C15</stp>
        <tr r="O107" s="2"/>
      </tp>
      <tp>
        <v>20.839874267578125</v>
        <stp/>
        <stp>##V3_BDPV12</stp>
        <stp>LP JUL23 10DC VOL LME Comdty</stp>
        <stp>PX_LAST</stp>
        <stp>[QwackPricer.xlsb.xlsx]Base!R107C19</stp>
        <tr r="S107" s="2"/>
      </tp>
      <tp>
        <v>-254.75</v>
        <stp/>
        <stp>##V3_BDPV12</stp>
        <stp>LMAHDS 03M23 Comdty</stp>
        <stp>PX_SETTLE</stp>
        <stp>[QwackPricer.xlsb.xlsx]Base!R55C5</stp>
        <tr r="E55" s="2"/>
      </tp>
      <tp>
        <v>-205.5</v>
        <stp/>
        <stp>##V3_BDPV12</stp>
        <stp>LMCADS 03M23 Comdty</stp>
        <stp>PX_SETTLE</stp>
        <stp>[QwackPricer.xlsb.xlsx]Base!R55C9</stp>
        <tr r="I55" s="2"/>
      </tp>
      <tp>
        <v>-114.5</v>
        <stp/>
        <stp>##V3_BDPV12</stp>
        <stp>LMAHDS 03V21 Comdty</stp>
        <stp>PX_SETTLE</stp>
        <stp>[QwackPricer.xlsb.xlsx]Base!R35C5</stp>
        <tr r="E35" s="2"/>
      </tp>
      <tp>
        <v>-92</v>
        <stp/>
        <stp>##V3_BDPV12</stp>
        <stp>LMCADS 03V21 Comdty</stp>
        <stp>PX_SETTLE</stp>
        <stp>[QwackPricer.xlsb.xlsx]Base!R35C9</stp>
        <tr r="I35" s="2"/>
      </tp>
      <tp>
        <v>-184.25</v>
        <stp/>
        <stp>##V3_BDPV12</stp>
        <stp>LMAHDS 03Q22 Comdty</stp>
        <stp>PX_SETTLE</stp>
        <stp>[QwackPricer.xlsb.xlsx]Base!R45C5</stp>
        <tr r="E45" s="2"/>
      </tp>
      <tp>
        <v>-149.5</v>
        <stp/>
        <stp>##V3_BDPV12</stp>
        <stp>LMCADS 03Q22 Comdty</stp>
        <stp>PX_SETTLE</stp>
        <stp>[QwackPricer.xlsb.xlsx]Base!R45C9</stp>
        <tr r="I45" s="2"/>
      </tp>
      <tp>
        <v>-39.25</v>
        <stp/>
        <stp>##V3_BDPV12</stp>
        <stp>LMAHDS 03Z20 Comdty</stp>
        <stp>PX_SETTLE</stp>
        <stp>[QwackPricer.xlsb.xlsx]Base!R25C5</stp>
        <tr r="E25" s="2"/>
      </tp>
      <tp>
        <v>-30.5</v>
        <stp/>
        <stp>##V3_BDPV12</stp>
        <stp>LMCADS 03Z20 Comdty</stp>
        <stp>PX_SETTLE</stp>
        <stp>[QwackPricer.xlsb.xlsx]Base!R25C9</stp>
        <tr r="I25" s="2"/>
      </tp>
      <tp>
        <v>22.249629974365234</v>
        <stp/>
        <stp>##V3_BDPV12</stp>
        <stp>LP JUN23 25DP VOL LME Comdty</stp>
        <stp>PX_LAST</stp>
        <stp>[QwackPricer.xlsb.xlsx]Base!R106C16</stp>
        <tr r="P106" s="2"/>
      </tp>
      <tp>
        <v>22.229604721069336</v>
        <stp/>
        <stp>##V3_BDPV12</stp>
        <stp>LP JAN23 25DP VOL LME Comdty</stp>
        <stp>PX_LAST</stp>
        <stp>[QwackPricer.xlsb.xlsx]Base!R101C16</stp>
        <tr r="P101" s="2"/>
      </tp>
      <tp>
        <v>20.349819183349609</v>
        <stp/>
        <stp>##V3_BDPV12</stp>
        <stp>LP JAN23 25DC VOL LME Comdty</stp>
        <stp>PX_LAST</stp>
        <stp>[QwackPricer.xlsb.xlsx]Base!R101C18</stp>
        <tr r="R101" s="2"/>
      </tp>
      <tp>
        <v>20.389711380004883</v>
        <stp/>
        <stp>##V3_BDPV12</stp>
        <stp>LP JUN23 25DC VOL LME Comdty</stp>
        <stp>PX_LAST</stp>
        <stp>[QwackPricer.xlsb.xlsx]Base!R106C18</stp>
        <tr r="R106" s="2"/>
      </tp>
      <tp t="s">
        <v>#N/A N/A</v>
        <stp/>
        <stp>##V3_BDPV12</stp>
        <stp>XBQ2 Comdty</stp>
        <stp>PX_MID</stp>
        <stp>[QwackPricer.xlsb.xlsx]Energy!R37C23</stp>
        <tr r="W37" s="3"/>
      </tp>
      <tp>
        <v>105.77500000000001</v>
        <stp/>
        <stp>##V3_BDPV12</stp>
        <stp>XBQ1 Comdty</stp>
        <stp>PX_MID</stp>
        <stp>[QwackPricer.xlsb.xlsx]Energy!R25C23</stp>
        <tr r="W25" s="3"/>
      </tp>
      <tp t="s">
        <v>#N/A N/A</v>
        <stp/>
        <stp>##V3_BDPV12</stp>
        <stp>XBV3 Comdty</stp>
        <stp>PX_MID</stp>
        <stp>[QwackPricer.xlsb.xlsx]Energy!R51C23</stp>
        <tr r="W51" s="3"/>
      </tp>
      <tp>
        <v>94.695000000000007</v>
        <stp/>
        <stp>##V3_BDPV12</stp>
        <stp>XBQ0 Comdty</stp>
        <stp>PX_MID</stp>
        <stp>[QwackPricer.xlsb.xlsx]Energy!R13C23</stp>
        <tr r="W13" s="3"/>
      </tp>
      <tp t="s">
        <v>#N/A N/A</v>
        <stp/>
        <stp>##V3_BDPV12</stp>
        <stp>XBU3 Comdty</stp>
        <stp>PX_MID</stp>
        <stp>[QwackPricer.xlsb.xlsx]Energy!R50C23</stp>
        <tr r="W50" s="3"/>
      </tp>
      <tp t="s">
        <v>#N/A N/A</v>
        <stp/>
        <stp>##V3_BDPV12</stp>
        <stp>XBU2 Comdty</stp>
        <stp>PX_MID</stp>
        <stp>[QwackPricer.xlsb.xlsx]Energy!R38C23</stp>
        <tr r="W38" s="3"/>
      </tp>
      <tp>
        <v>86.435000000000002</v>
        <stp/>
        <stp>##V3_BDPV12</stp>
        <stp>XBV0 Comdty</stp>
        <stp>PX_MID</stp>
        <stp>[QwackPricer.xlsb.xlsx]Energy!R15C23</stp>
        <tr r="W15" s="3"/>
      </tp>
      <tp>
        <v>102.30500000000001</v>
        <stp/>
        <stp>##V3_BDPV12</stp>
        <stp>XBU1 Comdty</stp>
        <stp>PX_MID</stp>
        <stp>[QwackPricer.xlsb.xlsx]Energy!R26C23</stp>
        <tr r="W26" s="3"/>
      </tp>
      <tp>
        <v>94.585000000000008</v>
        <stp/>
        <stp>##V3_BDPV12</stp>
        <stp>XBU0 Comdty</stp>
        <stp>PX_MID</stp>
        <stp>[QwackPricer.xlsb.xlsx]Energy!R14C23</stp>
        <tr r="W14" s="3"/>
      </tp>
      <tp>
        <v>96.555000000000007</v>
        <stp/>
        <stp>##V3_BDPV12</stp>
        <stp>XBV1 Comdty</stp>
        <stp>PX_MID</stp>
        <stp>[QwackPricer.xlsb.xlsx]Energy!R27C23</stp>
        <tr r="W27" s="3"/>
      </tp>
      <tp t="s">
        <v>#N/A N/A</v>
        <stp/>
        <stp>##V3_BDPV12</stp>
        <stp>XBQ3 Comdty</stp>
        <stp>PX_MID</stp>
        <stp>[QwackPricer.xlsb.xlsx]Energy!R49C23</stp>
        <tr r="W49" s="3"/>
      </tp>
      <tp t="s">
        <v>#N/A N/A</v>
        <stp/>
        <stp>##V3_BDPV12</stp>
        <stp>XBV2 Comdty</stp>
        <stp>PX_MID</stp>
        <stp>[QwackPricer.xlsb.xlsx]Energy!R39C23</stp>
        <tr r="W39" s="3"/>
      </tp>
      <tp>
        <v>93.45</v>
        <stp/>
        <stp>##V3_BDPV12</stp>
        <stp>XBX1 Comdty</stp>
        <stp>PX_MID</stp>
        <stp>[QwackPricer.xlsb.xlsx]Energy!R28C23</stp>
        <tr r="W28" s="3"/>
      </tp>
      <tp>
        <v>85.78</v>
        <stp/>
        <stp>##V3_BDPV12</stp>
        <stp>XBZ0 Comdty</stp>
        <stp>PX_MID</stp>
        <stp>[QwackPricer.xlsb.xlsx]Energy!R17C23</stp>
        <tr r="W17" s="3"/>
      </tp>
      <tp>
        <v>91.435000000000002</v>
        <stp/>
        <stp>##V3_BDPV12</stp>
        <stp>XBZ1 Comdty</stp>
        <stp>PX_MID</stp>
        <stp>[QwackPricer.xlsb.xlsx]Energy!R29C23</stp>
        <tr r="W29" s="3"/>
      </tp>
      <tp>
        <v>86.03</v>
        <stp/>
        <stp>##V3_BDPV12</stp>
        <stp>XBX0 Comdty</stp>
        <stp>PX_MID</stp>
        <stp>[QwackPricer.xlsb.xlsx]Energy!R16C23</stp>
        <tr r="W16" s="3"/>
      </tp>
      <tp>
        <v>93.25</v>
        <stp/>
        <stp>##V3_BDPV12</stp>
        <stp>XBZ2 Comdty</stp>
        <stp>PX_MID</stp>
        <stp>[QwackPricer.xlsb.xlsx]Energy!R41C23</stp>
        <tr r="W41" s="3"/>
      </tp>
      <tp t="s">
        <v>#N/A N/A</v>
        <stp/>
        <stp>##V3_BDPV12</stp>
        <stp>XBZ3 Comdty</stp>
        <stp>PX_MID</stp>
        <stp>[QwackPricer.xlsb.xlsx]Energy!R53C23</stp>
        <tr r="W53" s="3"/>
      </tp>
      <tp t="s">
        <v>#N/A N/A</v>
        <stp/>
        <stp>##V3_BDPV12</stp>
        <stp>XBX2 Comdty</stp>
        <stp>PX_MID</stp>
        <stp>[QwackPricer.xlsb.xlsx]Energy!R40C23</stp>
        <tr r="W40" s="3"/>
      </tp>
      <tp t="s">
        <v>#N/A N/A</v>
        <stp/>
        <stp>##V3_BDPV12</stp>
        <stp>XBX3 Comdty</stp>
        <stp>PX_MID</stp>
        <stp>[QwackPricer.xlsb.xlsx]Energy!R52C23</stp>
        <tr r="W52" s="3"/>
      </tp>
      <tp t="s">
        <v>#N/A N/A</v>
        <stp/>
        <stp>##V3_BDPV12</stp>
        <stp>XBF3 Comdty</stp>
        <stp>PX_MID</stp>
        <stp>[QwackPricer.xlsb.xlsx]Energy!R42C23</stp>
        <tr r="W42" s="3"/>
      </tp>
      <tp t="s">
        <v>#N/A N/A</v>
        <stp/>
        <stp>##V3_BDPV12</stp>
        <stp>XBF4 Comdty</stp>
        <stp>PX_MID</stp>
        <stp>[QwackPricer.xlsb.xlsx]Energy!R54C23</stp>
        <tr r="W54" s="3"/>
      </tp>
      <tp t="s">
        <v>#N/A N/A</v>
        <stp/>
        <stp>##V3_BDPV12</stp>
        <stp>XBG3 Comdty</stp>
        <stp>PX_MID</stp>
        <stp>[QwackPricer.xlsb.xlsx]Energy!R43C23</stp>
        <tr r="W43" s="3"/>
      </tp>
      <tp>
        <v>87.484999999999999</v>
        <stp/>
        <stp>##V3_BDPV12</stp>
        <stp>XBG1 Comdty</stp>
        <stp>PX_MID</stp>
        <stp>[QwackPricer.xlsb.xlsx]Energy!R19C23</stp>
        <tr r="W19" s="3"/>
      </tp>
      <tp>
        <v>86.234999999999999</v>
        <stp/>
        <stp>##V3_BDPV12</stp>
        <stp>XBF1 Comdty</stp>
        <stp>PX_MID</stp>
        <stp>[QwackPricer.xlsb.xlsx]Energy!R18C23</stp>
        <tr r="W18" s="3"/>
      </tp>
      <tp>
        <v>92.045000000000002</v>
        <stp/>
        <stp>##V3_BDPV12</stp>
        <stp>XBG2 Comdty</stp>
        <stp>PX_MID</stp>
        <stp>[QwackPricer.xlsb.xlsx]Energy!R31C23</stp>
        <tr r="W31" s="3"/>
      </tp>
      <tp>
        <v>92.245000000000005</v>
        <stp/>
        <stp>##V3_BDPV12</stp>
        <stp>XBF2 Comdty</stp>
        <stp>PX_MID</stp>
        <stp>[QwackPricer.xlsb.xlsx]Energy!R30C23</stp>
        <tr r="W30" s="3"/>
      </tp>
      <tp>
        <v>89.44</v>
        <stp/>
        <stp>##V3_BDPV12</stp>
        <stp>XBH1 Comdty</stp>
        <stp>PX_MID</stp>
        <stp>[QwackPricer.xlsb.xlsx]Energy!R20C23</stp>
        <tr r="W20" s="3"/>
      </tp>
      <tp t="s">
        <v>#N/A N/A</v>
        <stp/>
        <stp>##V3_BDPV12</stp>
        <stp>XBN3 Comdty</stp>
        <stp>PX_MID</stp>
        <stp>[QwackPricer.xlsb.xlsx]Energy!R48C23</stp>
        <tr r="W48" s="3"/>
      </tp>
      <tp>
        <v>94.320000000000007</v>
        <stp/>
        <stp>##V3_BDPV12</stp>
        <stp>XBH2 Comdty</stp>
        <stp>PX_MID</stp>
        <stp>[QwackPricer.xlsb.xlsx]Energy!R32C23</stp>
        <tr r="W32" s="3"/>
      </tp>
      <tp t="s">
        <v>#N/A N/A</v>
        <stp/>
        <stp>##V3_BDPV12</stp>
        <stp>XBK2 Comdty</stp>
        <stp>PX_MID</stp>
        <stp>[QwackPricer.xlsb.xlsx]Energy!R34C23</stp>
        <tr r="W34" s="3"/>
      </tp>
      <tp>
        <v>116.88</v>
        <stp/>
        <stp>##V3_BDPV12</stp>
        <stp>XBJ1 Comdty</stp>
        <stp>PX_MID</stp>
        <stp>[QwackPricer.xlsb.xlsx]Energy!R21C23</stp>
        <tr r="W21" s="3"/>
      </tp>
      <tp t="s">
        <v>#N/A N/A</v>
        <stp/>
        <stp>##V3_BDPV12</stp>
        <stp>XBM3 Comdty</stp>
        <stp>PX_MID</stp>
        <stp>[QwackPricer.xlsb.xlsx]Energy!R47C23</stp>
        <tr r="W47" s="3"/>
      </tp>
      <tp t="s">
        <v>#N/A N/A</v>
        <stp/>
        <stp>##V3_BDPV12</stp>
        <stp>XBJ2 Comdty</stp>
        <stp>PX_MID</stp>
        <stp>[QwackPricer.xlsb.xlsx]Energy!R33C23</stp>
        <tr r="W33" s="3"/>
      </tp>
      <tp>
        <v>107.285</v>
        <stp/>
        <stp>##V3_BDPV12</stp>
        <stp>XBK1 Comdty</stp>
        <stp>PX_MID</stp>
        <stp>[QwackPricer.xlsb.xlsx]Energy!R22C23</stp>
        <tr r="W22" s="3"/>
      </tp>
      <tp t="s">
        <v>#N/A N/A</v>
        <stp/>
        <stp>##V3_BDPV12</stp>
        <stp>XBJ3 Comdty</stp>
        <stp>PX_MID</stp>
        <stp>[QwackPricer.xlsb.xlsx]Energy!R45C23</stp>
        <tr r="W45" s="3"/>
      </tp>
      <tp>
        <v>113.965</v>
        <stp/>
        <stp>##V3_BDPV12</stp>
        <stp>XBM2 Comdty</stp>
        <stp>PX_MID</stp>
        <stp>[QwackPricer.xlsb.xlsx]Energy!R35C23</stp>
        <tr r="W35" s="3"/>
      </tp>
      <tp t="s">
        <v>#N/A N/A</v>
        <stp/>
        <stp>##V3_BDPV12</stp>
        <stp>XBK3 Comdty</stp>
        <stp>PX_MID</stp>
        <stp>[QwackPricer.xlsb.xlsx]Energy!R46C23</stp>
        <tr r="W46" s="3"/>
      </tp>
      <tp>
        <v>106.2</v>
        <stp/>
        <stp>##V3_BDPV12</stp>
        <stp>XBM1 Comdty</stp>
        <stp>PX_MID</stp>
        <stp>[QwackPricer.xlsb.xlsx]Energy!R23C23</stp>
        <tr r="W23" s="3"/>
      </tp>
      <tp>
        <v>94.064999999999998</v>
        <stp/>
        <stp>##V3_BDPV12</stp>
        <stp>XBN0 Comdty</stp>
        <stp>PX_MID</stp>
        <stp>[QwackPricer.xlsb.xlsx]Energy!R12C23</stp>
        <tr r="W12" s="3"/>
      </tp>
      <tp>
        <v>104.825</v>
        <stp/>
        <stp>##V3_BDPV12</stp>
        <stp>XBN1 Comdty</stp>
        <stp>PX_MID</stp>
        <stp>[QwackPricer.xlsb.xlsx]Energy!R24C23</stp>
        <tr r="W24" s="3"/>
      </tp>
      <tp t="s">
        <v>#N/A N/A</v>
        <stp/>
        <stp>##V3_BDPV12</stp>
        <stp>XBH3 Comdty</stp>
        <stp>PX_MID</stp>
        <stp>[QwackPricer.xlsb.xlsx]Energy!R44C23</stp>
        <tr r="W44" s="3"/>
      </tp>
      <tp>
        <v>92.855000000000004</v>
        <stp/>
        <stp>##V3_BDPV12</stp>
        <stp>XBM0 Comdty</stp>
        <stp>PX_MID</stp>
        <stp>[QwackPricer.xlsb.xlsx]Energy!R11C23</stp>
        <tr r="W11" s="3"/>
      </tp>
      <tp t="s">
        <v>#N/A N/A</v>
        <stp/>
        <stp>##V3_BDPV12</stp>
        <stp>XBN2 Comdty</stp>
        <stp>PX_MID</stp>
        <stp>[QwackPricer.xlsb.xlsx]Energy!R36C23</stp>
        <tr r="W36" s="3"/>
      </tp>
      <tp>
        <v>-177.25</v>
        <stp/>
        <stp>##V3_BDPV12</stp>
        <stp>LMAHDS 03N22 Comdty</stp>
        <stp>PX_SETTLE</stp>
        <stp>[QwackPricer.xlsb.xlsx]Base!R44C5</stp>
        <tr r="E44" s="2"/>
      </tp>
      <tp>
        <v>-143.5</v>
        <stp/>
        <stp>##V3_BDPV12</stp>
        <stp>LMCADS 03N22 Comdty</stp>
        <stp>PX_SETTLE</stp>
        <stp>[QwackPricer.xlsb.xlsx]Base!R44C9</stp>
        <tr r="I44" s="2"/>
      </tp>
      <tp>
        <v>-246.25</v>
        <stp/>
        <stp>##V3_BDPV12</stp>
        <stp>LMAHDS 03K23 Comdty</stp>
        <stp>PX_SETTLE</stp>
        <stp>[QwackPricer.xlsb.xlsx]Base!R54C5</stp>
        <tr r="E54" s="2"/>
      </tp>
      <tp>
        <v>-200</v>
        <stp/>
        <stp>##V3_BDPV12</stp>
        <stp>LMCADS 03K23 Comdty</stp>
        <stp>PX_SETTLE</stp>
        <stp>[QwackPricer.xlsb.xlsx]Base!R54C9</stp>
        <tr r="I54" s="2"/>
      </tp>
      <tp>
        <v>-317.25</v>
        <stp/>
        <stp>##V3_BDPV12</stp>
        <stp>LMAHDS 03H24 Comdty</stp>
        <stp>PX_SETTLE</stp>
        <stp>[QwackPricer.xlsb.xlsx]Base!R64C5</stp>
        <tr r="E64" s="2"/>
      </tp>
      <tp>
        <v>-254.25</v>
        <stp/>
        <stp>##V3_BDPV12</stp>
        <stp>LMCADS 03H24 Comdty</stp>
        <stp>PX_SETTLE</stp>
        <stp>[QwackPricer.xlsb.xlsx]Base!R64C9</stp>
        <tr r="I64" s="2"/>
      </tp>
      <tp>
        <v>-106.5</v>
        <stp/>
        <stp>##V3_BDPV12</stp>
        <stp>LMAHDS 03U21 Comdty</stp>
        <stp>PX_SETTLE</stp>
        <stp>[QwackPricer.xlsb.xlsx]Base!R34C5</stp>
        <tr r="E34" s="2"/>
      </tp>
      <tp>
        <v>-86.75</v>
        <stp/>
        <stp>##V3_BDPV12</stp>
        <stp>LMCADS 03U21 Comdty</stp>
        <stp>PX_SETTLE</stp>
        <stp>[QwackPricer.xlsb.xlsx]Base!R34C9</stp>
        <tr r="I34" s="2"/>
      </tp>
      <tp>
        <v>-30.75</v>
        <stp/>
        <stp>##V3_BDPV12</stp>
        <stp>LMAHDS 03X20 Comdty</stp>
        <stp>PX_SETTLE</stp>
        <stp>[QwackPricer.xlsb.xlsx]Base!R24C5</stp>
        <tr r="E24" s="2"/>
      </tp>
      <tp>
        <v>-24.25</v>
        <stp/>
        <stp>##V3_BDPV12</stp>
        <stp>LMCADS 03X20 Comdty</stp>
        <stp>PX_SETTLE</stp>
        <stp>[QwackPricer.xlsb.xlsx]Base!R24C9</stp>
        <tr r="I24" s="2"/>
      </tp>
      <tp>
        <v>0.14000000000000001</v>
        <stp/>
        <stp>##V3_BDPV12</stp>
        <stp>AUD2w Curncy</stp>
        <stp>PX_LAST</stp>
        <stp>[QwackPricer.xlsb.xlsx]FX-IR!R35C5</stp>
        <tr r="E35" s="1"/>
      </tp>
      <tp>
        <v>-310.5</v>
        <stp/>
        <stp>##V3_BDPV12</stp>
        <stp>LMAHDS 03G24 Comdty</stp>
        <stp>PX_SETTLE</stp>
        <stp>[QwackPricer.xlsb.xlsx]Base!R63C5</stp>
        <tr r="E63" s="2"/>
      </tp>
      <tp>
        <v>-249</v>
        <stp/>
        <stp>##V3_BDPV12</stp>
        <stp>LMCADS 03G24 Comdty</stp>
        <stp>PX_SETTLE</stp>
        <stp>[QwackPricer.xlsb.xlsx]Base!R63C9</stp>
        <tr r="I63" s="2"/>
      </tp>
      <tp>
        <v>-169.5</v>
        <stp/>
        <stp>##V3_BDPV12</stp>
        <stp>LMAHDS 03M22 Comdty</stp>
        <stp>PX_SETTLE</stp>
        <stp>[QwackPricer.xlsb.xlsx]Base!R43C5</stp>
        <tr r="E43" s="2"/>
      </tp>
      <tp>
        <v>-137.5</v>
        <stp/>
        <stp>##V3_BDPV12</stp>
        <stp>LMCADS 03M22 Comdty</stp>
        <stp>PX_SETTLE</stp>
        <stp>[QwackPricer.xlsb.xlsx]Base!R43C9</stp>
        <tr r="I43" s="2"/>
      </tp>
      <tp>
        <v>-239.25</v>
        <stp/>
        <stp>##V3_BDPV12</stp>
        <stp>LMAHDS 03J23 Comdty</stp>
        <stp>PX_SETTLE</stp>
        <stp>[QwackPricer.xlsb.xlsx]Base!R53C5</stp>
        <tr r="E53" s="2"/>
      </tp>
      <tp>
        <v>-194.5</v>
        <stp/>
        <stp>##V3_BDPV12</stp>
        <stp>LMCADS 03J23 Comdty</stp>
        <stp>PX_SETTLE</stp>
        <stp>[QwackPricer.xlsb.xlsx]Base!R53C9</stp>
        <tr r="I53" s="2"/>
      </tp>
      <tp>
        <v>-22</v>
        <stp/>
        <stp>##V3_BDPV12</stp>
        <stp>LMAHDS 03V20 Comdty</stp>
        <stp>PX_SETTLE</stp>
        <stp>[QwackPricer.xlsb.xlsx]Base!R23C5</stp>
        <tr r="E23" s="2"/>
      </tp>
      <tp>
        <v>-16.75</v>
        <stp/>
        <stp>##V3_BDPV12</stp>
        <stp>LMCADS 03V20 Comdty</stp>
        <stp>PX_SETTLE</stp>
        <stp>[QwackPricer.xlsb.xlsx]Base!R23C9</stp>
        <tr r="I23" s="2"/>
      </tp>
      <tp>
        <v>20.230140686035156</v>
        <stp/>
        <stp>##V3_BDPV12</stp>
        <stp>LP JUN23 50D VOL LME Comdty</stp>
        <stp>PX_LAST</stp>
        <stp>[QwackPricer.xlsb.xlsx]Base!R106C17</stp>
        <tr r="Q106" s="2"/>
      </tp>
      <tp>
        <v>-100.25</v>
        <stp/>
        <stp>##V3_BDPV12</stp>
        <stp>LMAHDS 03Q21 Comdty</stp>
        <stp>PX_SETTLE</stp>
        <stp>[QwackPricer.xlsb.xlsx]Base!R33C5</stp>
        <tr r="E33" s="2"/>
      </tp>
      <tp>
        <v>-81.25</v>
        <stp/>
        <stp>##V3_BDPV12</stp>
        <stp>LMCADS 03Q21 Comdty</stp>
        <stp>PX_SETTLE</stp>
        <stp>[QwackPricer.xlsb.xlsx]Base!R33C9</stp>
        <tr r="I33" s="2"/>
      </tp>
      <tp>
        <v>20.230148315429688</v>
        <stp/>
        <stp>##V3_BDPV12</stp>
        <stp>LP JUL23 50D VOL LME Comdty</stp>
        <stp>PX_LAST</stp>
        <stp>[QwackPricer.xlsb.xlsx]Base!R107C17</stp>
        <tr r="Q107" s="2"/>
      </tp>
      <tp>
        <v>20.470191955566406</v>
        <stp/>
        <stp>##V3_BDPV12</stp>
        <stp>LP AUG23 50D VOL LME Comdty</stp>
        <stp>PX_LAST</stp>
        <stp>[QwackPricer.xlsb.xlsx]Base!R108C17</stp>
        <tr r="Q108" s="2"/>
      </tp>
      <tp>
        <v>0.04</v>
        <stp/>
        <stp>##V3_BDPV12</stp>
        <stp>AUD1w Curncy</stp>
        <stp>PX_LAST</stp>
        <stp>[QwackPricer.xlsb.xlsx]FX-IR!R34C5</stp>
        <tr r="E34" s="1"/>
      </tp>
      <tp>
        <v>-302.5</v>
        <stp/>
        <stp>##V3_BDPV12</stp>
        <stp>LMAHDS 03F24 Comdty</stp>
        <stp>PX_SETTLE</stp>
        <stp>[QwackPricer.xlsb.xlsx]Base!R62C5</stp>
        <tr r="E62" s="2"/>
      </tp>
      <tp>
        <v>-243.75</v>
        <stp/>
        <stp>##V3_BDPV12</stp>
        <stp>LMCADS 03F24 Comdty</stp>
        <stp>PX_SETTLE</stp>
        <stp>[QwackPricer.xlsb.xlsx]Base!R62C9</stp>
        <tr r="I62" s="2"/>
      </tp>
      <tp>
        <v>-93.75</v>
        <stp/>
        <stp>##V3_BDPV12</stp>
        <stp>LMAHDS 03N21 Comdty</stp>
        <stp>PX_SETTLE</stp>
        <stp>[QwackPricer.xlsb.xlsx]Base!R32C5</stp>
        <tr r="E32" s="2"/>
      </tp>
      <tp>
        <v>-75.75</v>
        <stp/>
        <stp>##V3_BDPV12</stp>
        <stp>LMCADS 03N21 Comdty</stp>
        <stp>PX_SETTLE</stp>
        <stp>[QwackPricer.xlsb.xlsx]Base!R32C9</stp>
        <tr r="I32" s="2"/>
      </tp>
      <tp>
        <v>-162.75</v>
        <stp/>
        <stp>##V3_BDPV12</stp>
        <stp>LMAHDS 03K22 Comdty</stp>
        <stp>PX_SETTLE</stp>
        <stp>[QwackPricer.xlsb.xlsx]Base!R42C5</stp>
        <tr r="E42" s="2"/>
      </tp>
      <tp>
        <v>-131.75</v>
        <stp/>
        <stp>##V3_BDPV12</stp>
        <stp>LMCADS 03K22 Comdty</stp>
        <stp>PX_SETTLE</stp>
        <stp>[QwackPricer.xlsb.xlsx]Base!R42C9</stp>
        <tr r="I42" s="2"/>
      </tp>
      <tp>
        <v>-230.75</v>
        <stp/>
        <stp>##V3_BDPV12</stp>
        <stp>LMAHDS 03H23 Comdty</stp>
        <stp>PX_SETTLE</stp>
        <stp>[QwackPricer.xlsb.xlsx]Base!R52C5</stp>
        <tr r="E52" s="2"/>
      </tp>
      <tp>
        <v>-189</v>
        <stp/>
        <stp>##V3_BDPV12</stp>
        <stp>LMCADS 03H23 Comdty</stp>
        <stp>PX_SETTLE</stp>
        <stp>[QwackPricer.xlsb.xlsx]Base!R52C9</stp>
        <tr r="I52" s="2"/>
      </tp>
      <tp>
        <v>-11</v>
        <stp/>
        <stp>##V3_BDPV12</stp>
        <stp>LMAHDS 03U20 Comdty</stp>
        <stp>PX_SETTLE</stp>
        <stp>[QwackPricer.xlsb.xlsx]Base!R22C5</stp>
        <tr r="E22" s="2"/>
      </tp>
      <tp>
        <v>-8.25</v>
        <stp/>
        <stp>##V3_BDPV12</stp>
        <stp>LMCADS 03U20 Comdty</stp>
        <stp>PX_SETTLE</stp>
        <stp>[QwackPricer.xlsb.xlsx]Base!R22C9</stp>
        <tr r="I22" s="2"/>
      </tp>
      <tp>
        <v>653</v>
        <stp/>
        <stp>##V3_BDPV12</stp>
        <stp>ZAR1m Curncy</stp>
        <stp>PX_LAST</stp>
        <stp>[QwackPricer.xlsb.xlsx]FX-IR!R36C3</stp>
        <tr r="C36" s="1"/>
      </tp>
      <tp>
        <v>-224.5</v>
        <stp/>
        <stp>##V3_BDPV12</stp>
        <stp>LMAHDS 03G23 Comdty</stp>
        <stp>PX_SETTLE</stp>
        <stp>[QwackPricer.xlsb.xlsx]Base!R51C5</stp>
        <tr r="E51" s="2"/>
      </tp>
      <tp>
        <v>-183.5</v>
        <stp/>
        <stp>##V3_BDPV12</stp>
        <stp>LMCADS 03G23 Comdty</stp>
        <stp>PX_SETTLE</stp>
        <stp>[QwackPricer.xlsb.xlsx]Base!R51C9</stp>
        <tr r="I51" s="2"/>
      </tp>
      <tp>
        <v>-85.25</v>
        <stp/>
        <stp>##V3_BDPV12</stp>
        <stp>LMAHDS 03M21 Comdty</stp>
        <stp>PX_SETTLE</stp>
        <stp>[QwackPricer.xlsb.xlsx]Base!R31C5</stp>
        <tr r="E31" s="2"/>
      </tp>
      <tp>
        <v>-70</v>
        <stp/>
        <stp>##V3_BDPV12</stp>
        <stp>LMCADS 03M21 Comdty</stp>
        <stp>PX_SETTLE</stp>
        <stp>[QwackPricer.xlsb.xlsx]Base!R31C9</stp>
        <tr r="I31" s="2"/>
      </tp>
      <tp>
        <v>-155.75</v>
        <stp/>
        <stp>##V3_BDPV12</stp>
        <stp>LMAHDS 03J22 Comdty</stp>
        <stp>PX_SETTLE</stp>
        <stp>[QwackPricer.xlsb.xlsx]Base!R41C5</stp>
        <tr r="E41" s="2"/>
      </tp>
      <tp>
        <v>-126</v>
        <stp/>
        <stp>##V3_BDPV12</stp>
        <stp>LMCADS 03J22 Comdty</stp>
        <stp>PX_SETTLE</stp>
        <stp>[QwackPricer.xlsb.xlsx]Base!R41C9</stp>
        <tr r="I41" s="2"/>
      </tp>
      <tp>
        <v>-2</v>
        <stp/>
        <stp>##V3_BDPV12</stp>
        <stp>LMAHDS 03Q20 Comdty</stp>
        <stp>PX_SETTLE</stp>
        <stp>[QwackPricer.xlsb.xlsx]Base!R21C5</stp>
        <tr r="E21" s="2"/>
      </tp>
      <tp>
        <v>-0.75</v>
        <stp/>
        <stp>##V3_BDPV12</stp>
        <stp>LMCADS 03Q20 Comdty</stp>
        <stp>PX_SETTLE</stp>
        <stp>[QwackPricer.xlsb.xlsx]Base!R21C9</stp>
        <tr r="I21" s="2"/>
      </tp>
      <tp>
        <v>-296</v>
        <stp/>
        <stp>##V3_BDPV12</stp>
        <stp>LMAHDS 03Z23 Comdty</stp>
        <stp>PX_SETTLE</stp>
        <stp>[QwackPricer.xlsb.xlsx]Base!R61C5</stp>
        <tr r="E61" s="2"/>
      </tp>
      <tp>
        <v>-238.5</v>
        <stp/>
        <stp>##V3_BDPV12</stp>
        <stp>LMCADS 03Z23 Comdty</stp>
        <stp>PX_SETTLE</stp>
        <stp>[QwackPricer.xlsb.xlsx]Base!R61C9</stp>
        <tr r="I61" s="2"/>
      </tp>
      <tp>
        <v>1135</v>
        <stp/>
        <stp>##V3_BDPV12</stp>
        <stp>ZAR2m Curncy</stp>
        <stp>PX_LAST</stp>
        <stp>[QwackPricer.xlsb.xlsx]FX-IR!R37C3</stp>
        <tr r="C37" s="1"/>
      </tp>
      <tp>
        <v>-33.25</v>
        <stp/>
        <stp>##V3_BDPV12</stp>
        <stp>LMCADS 0003 Comdty</stp>
        <stp>PX_SETTLE</stp>
        <stp>[QwackPricer.xlsb.xlsx]Base!R16C9</stp>
        <tr r="I16" s="2"/>
      </tp>
      <tp>
        <v>-218.25</v>
        <stp/>
        <stp>##V3_BDPV12</stp>
        <stp>LMAHDS 03F23 Comdty</stp>
        <stp>PX_SETTLE</stp>
        <stp>[QwackPricer.xlsb.xlsx]Base!R50C5</stp>
        <tr r="E50" s="2"/>
      </tp>
      <tp>
        <v>-178</v>
        <stp/>
        <stp>##V3_BDPV12</stp>
        <stp>LMCADS 03F23 Comdty</stp>
        <stp>PX_SETTLE</stp>
        <stp>[QwackPricer.xlsb.xlsx]Base!R50C9</stp>
        <tr r="I50" s="2"/>
      </tp>
      <tp>
        <v>-79</v>
        <stp/>
        <stp>##V3_BDPV12</stp>
        <stp>LMAHDS 03K21 Comdty</stp>
        <stp>PX_SETTLE</stp>
        <stp>[QwackPricer.xlsb.xlsx]Base!R30C5</stp>
        <tr r="E30" s="2"/>
      </tp>
      <tp>
        <v>-63.75</v>
        <stp/>
        <stp>##V3_BDPV12</stp>
        <stp>LMCADS 03K21 Comdty</stp>
        <stp>PX_SETTLE</stp>
        <stp>[QwackPricer.xlsb.xlsx]Base!R30C9</stp>
        <tr r="I30" s="2"/>
      </tp>
      <tp>
        <v>-147.75</v>
        <stp/>
        <stp>##V3_BDPV12</stp>
        <stp>LMAHDS 03H22 Comdty</stp>
        <stp>PX_SETTLE</stp>
        <stp>[QwackPricer.xlsb.xlsx]Base!R40C5</stp>
        <tr r="E40" s="2"/>
      </tp>
      <tp>
        <v>-120.25</v>
        <stp/>
        <stp>##V3_BDPV12</stp>
        <stp>LMCADS 03H22 Comdty</stp>
        <stp>PX_SETTLE</stp>
        <stp>[QwackPricer.xlsb.xlsx]Base!R40C9</stp>
        <tr r="I40" s="2"/>
      </tp>
      <tp>
        <v>-288.75</v>
        <stp/>
        <stp>##V3_BDPV12</stp>
        <stp>LMAHDS 03X23 Comdty</stp>
        <stp>PX_SETTLE</stp>
        <stp>[QwackPricer.xlsb.xlsx]Base!R60C5</stp>
        <tr r="E60" s="2"/>
      </tp>
      <tp>
        <v>-233</v>
        <stp/>
        <stp>##V3_BDPV12</stp>
        <stp>LMCADS 03X23 Comdty</stp>
        <stp>PX_SETTLE</stp>
        <stp>[QwackPricer.xlsb.xlsx]Base!R60C9</stp>
        <tr r="I60" s="2"/>
      </tp>
      <tp>
        <v>-0.77</v>
        <stp/>
        <stp>##V3_BDPV12</stp>
        <stp>FDBSM U21 Index</stp>
        <stp>PX_LAST</stp>
        <stp>[QwackPricer.xlsb.xlsx]Energy!R88C6</stp>
        <tr r="F88" s="3"/>
      </tp>
      <tp>
        <v>-1.34</v>
        <stp/>
        <stp>##V3_BDPV12</stp>
        <stp>FDBSM Z20 Index</stp>
        <stp>PX_LAST</stp>
        <stp>[QwackPricer.xlsb.xlsx]Energy!R79C6</stp>
        <tr r="F79" s="3"/>
      </tp>
      <tp t="s">
        <v>#N/A N/A</v>
        <stp/>
        <stp>##V3_BDPV12</stp>
        <stp>CON3 Comdty</stp>
        <stp>PX_MID</stp>
        <stp>[QwackPricer.xlsb.xlsx]Energy!R47C5</stp>
        <tr r="E47" s="3"/>
      </tp>
      <tp t="s">
        <v>#N/A N/A</v>
        <stp/>
        <stp>##V3_BDPV12</stp>
        <stp>COQ4 Comdty</stp>
        <stp>PX_MID</stp>
        <stp>[QwackPricer.xlsb.xlsx]Energy!R60C5</stp>
        <tr r="E60" s="3"/>
      </tp>
      <tp>
        <v>37.685000000000002</v>
        <stp/>
        <stp>##V3_BDPV12</stp>
        <stp>COU1 Comdty</stp>
        <stp>PX_MID</stp>
        <stp>[QwackPricer.xlsb.xlsx]Energy!R25C5</stp>
        <tr r="E25" s="3"/>
      </tp>
      <tp>
        <v>32.46</v>
        <stp/>
        <stp>##V3_BDPV12</stp>
        <stp>COV0 Comdty</stp>
        <stp>PX_MID</stp>
        <stp>[QwackPricer.xlsb.xlsx]Energy!R14C5</stp>
        <tr r="E14" s="3"/>
      </tp>
      <tp t="s">
        <v>#N/A N/A</v>
        <stp/>
        <stp>##V3_BDPV12</stp>
        <stp>COQ2 Comdty</stp>
        <stp>PX_MID</stp>
        <stp>[QwackPricer.xlsb.xlsx]Energy!R36C5</stp>
        <tr r="E36" s="3"/>
      </tp>
      <tp>
        <v>2</v>
        <stp/>
        <stp>##V3_BDHV12</stp>
        <stp>XPDUSD25R6m Curncy</stp>
        <stp>PX_LAST</stp>
        <stp>12/05/2020</stp>
        <stp>12/05/2020</stp>
        <stp>[QwackPricer.xlsb.xlsx]FX-IR!R199C5</stp>
        <tr r="E199" s="1"/>
      </tp>
      <tp>
        <v>1.885</v>
        <stp/>
        <stp>##V3_BDHV12</stp>
        <stp>XPDUSD25B6m Curncy</stp>
        <stp>PX_LAST</stp>
        <stp>12/05/2020</stp>
        <stp>12/05/2020</stp>
        <stp>[QwackPricer.xlsb.xlsx]FX-IR!R199C7</stp>
        <tr r="G199" s="1"/>
      </tp>
      <tp>
        <v>10.210000000000001</v>
        <stp/>
        <stp>##V3_BDHV12</stp>
        <stp>XPDUSD10B6m Curncy</stp>
        <stp>PX_LAST</stp>
        <stp>12/05/2020</stp>
        <stp>12/05/2020</stp>
        <stp>[QwackPricer.xlsb.xlsx]FX-IR!R199C8</stp>
        <tr r="H199" s="1"/>
      </tp>
      <tp>
        <v>3.6</v>
        <stp/>
        <stp>##V3_BDHV12</stp>
        <stp>XPDUSD10R6m Curncy</stp>
        <stp>PX_LAST</stp>
        <stp>12/05/2020</stp>
        <stp>12/05/2020</stp>
        <stp>[QwackPricer.xlsb.xlsx]FX-IR!R199C6</stp>
        <tr r="F199" s="1"/>
      </tp>
      <tp>
        <v>20.75</v>
        <stp/>
        <stp>##V3_BDHV12</stp>
        <stp>XAUUSDV2m Curncy</stp>
        <stp>PX_LAST</stp>
        <stp>12/05/2020</stp>
        <stp>12/05/2020</stp>
        <stp>[QwackPricer.xlsb.xlsx]FX-IR!R148C4</stp>
        <tr r="D148" s="1"/>
      </tp>
      <tp>
        <v>21.15</v>
        <stp/>
        <stp>##V3_BDHV12</stp>
        <stp>XAUUSDV3m Curncy</stp>
        <stp>PX_LAST</stp>
        <stp>12/05/2020</stp>
        <stp>12/05/2020</stp>
        <stp>[QwackPricer.xlsb.xlsx]FX-IR!R149C4</stp>
        <tr r="D149" s="1"/>
      </tp>
      <tp>
        <v>-0.71</v>
        <stp/>
        <stp>##V3_BDPV12</stp>
        <stp>FDBSM V21 Index</stp>
        <stp>PX_LAST</stp>
        <stp>[QwackPricer.xlsb.xlsx]Energy!R89C6</stp>
        <tr r="F89" s="3"/>
      </tp>
      <tp>
        <v>-1.45</v>
        <stp/>
        <stp>##V3_BDPV12</stp>
        <stp>FDBSM X20 Index</stp>
        <stp>PX_LAST</stp>
        <stp>[QwackPricer.xlsb.xlsx]Energy!R78C6</stp>
        <tr r="F78" s="3"/>
      </tp>
      <tp>
        <v>43.53</v>
        <stp/>
        <stp>##V3_BDPV12</stp>
        <stp>COM3 Comdty</stp>
        <stp>PX_MID</stp>
        <stp>[QwackPricer.xlsb.xlsx]Energy!R46C5</stp>
        <tr r="E46" s="3"/>
      </tp>
      <tp t="s">
        <v>#N/A N/A</v>
        <stp/>
        <stp>##V3_BDPV12</stp>
        <stp>COU2 Comdty</stp>
        <stp>PX_MID</stp>
        <stp>[QwackPricer.xlsb.xlsx]Energy!R37C5</stp>
        <tr r="E37" s="3"/>
      </tp>
      <tp>
        <v>37.285000000000004</v>
        <stp/>
        <stp>##V3_BDPV12</stp>
        <stp>COQ1 Comdty</stp>
        <stp>PX_MID</stp>
        <stp>[QwackPricer.xlsb.xlsx]Energy!R24C5</stp>
        <tr r="E24" s="3"/>
      </tp>
      <tp t="s">
        <v>#N/A N/A</v>
        <stp/>
        <stp>##V3_BDPV12</stp>
        <stp>COU4 Comdty</stp>
        <stp>PX_MID</stp>
        <stp>[QwackPricer.xlsb.xlsx]Energy!R61C5</stp>
        <tr r="E61" s="3"/>
      </tp>
      <tp>
        <v>33.26</v>
        <stp/>
        <stp>##V3_BDPV12</stp>
        <stp>COX0 Comdty</stp>
        <stp>PX_MID</stp>
        <stp>[QwackPricer.xlsb.xlsx]Energy!R15C5</stp>
        <tr r="E15" s="3"/>
      </tp>
      <tp>
        <v>-3.92</v>
        <stp/>
        <stp>##V3_BDHV12</stp>
        <stp>AUDUSD25R3y Curncy</stp>
        <stp>PX_LAST</stp>
        <stp>12/05/2020</stp>
        <stp>12/05/2020</stp>
        <stp>[QwackPricer.xlsb.xlsx]FX-IR!R138C5</stp>
        <tr r="E138" s="1"/>
      </tp>
      <tp>
        <v>0.76</v>
        <stp/>
        <stp>##V3_BDHV12</stp>
        <stp>AUDUSD25B3y Curncy</stp>
        <stp>PX_LAST</stp>
        <stp>12/05/2020</stp>
        <stp>12/05/2020</stp>
        <stp>[QwackPricer.xlsb.xlsx]FX-IR!R138C7</stp>
        <tr r="G138" s="1"/>
      </tp>
      <tp>
        <v>2.4474999999999998</v>
        <stp/>
        <stp>##V3_BDHV12</stp>
        <stp>AUDUSD10B3y Curncy</stp>
        <stp>PX_LAST</stp>
        <stp>12/05/2020</stp>
        <stp>12/05/2020</stp>
        <stp>[QwackPricer.xlsb.xlsx]FX-IR!R138C8</stp>
        <tr r="H138" s="1"/>
      </tp>
      <tp>
        <v>-7.1775000000000002</v>
        <stp/>
        <stp>##V3_BDHV12</stp>
        <stp>AUDUSD10R3y Curncy</stp>
        <stp>PX_LAST</stp>
        <stp>12/05/2020</stp>
        <stp>12/05/2020</stp>
        <stp>[QwackPricer.xlsb.xlsx]FX-IR!R138C6</stp>
        <tr r="F138" s="1"/>
      </tp>
      <tp>
        <v>74</v>
        <stp/>
        <stp>##V3_BDHV12</stp>
        <stp>XPDUSDV3m Curncy</stp>
        <stp>PX_LAST</stp>
        <stp>12/05/2020</stp>
        <stp>12/05/2020</stp>
        <stp>[QwackPricer.xlsb.xlsx]FX-IR!R198C4</stp>
        <tr r="D198" s="1"/>
      </tp>
      <tp t="s">
        <v>43598{%f},853{%f};43599{%f},855{%f};43600{%f},850{%f};43601{%f},848{%f};43602{%f},826{%f};43605{%f},819{%f};43606{%f},812{%f};43607{%f},810{%f};43608{%f},800{%f};43609{%f},806{%f};43613{%f},809{%f};43614{%f},796{%f};43615{%f},792{%f};43616{%f},793{%f};43619{%f},797{%f};43620{%f},821{%f};43621{%f},823{%f};43622{%f},807{%f};43623{%f},803{%f};43626{%f},799{%f};43627{%f},803{%f};43628{%f},817{%f};43629{%f},812{%f};43630{%f},818{%f};43633{%f},799{%f};43634{%f},798{%f};43635{%f},800{%f};43636{%f},815{%f};43637{%f},805{%f};43640{%f},810{%f};43641{%f},812{%f};43642{%f},805{%f};43643{%f},812{%f};43644{%f},816{%f};43647{%f},833{%f};43648{%f},835{%f};43649{%f},831{%f};43650{%f},836{%f};43651{%f},832{%f};43654{%f},813{%f};43655{%f},808{%f};43656{%f},813{%f};43657{%f},830{%f};43658{%f},824{%f};43661{%f},839{%f};43662{%f},843{%f};43663{%f},835{%f};43664{%f},849{%f};43665{%f},857{%f};43668{%f},849{%f};43669{%f},844{%f};43670{%f},862{%f};43671{%f},881{%f};43672{%f},863{%f};43675{%f},867{%f};43676{%f},881{%f};43677{%f},874{%f};43678{%f},852{%f};43679{%f},845{%f};43682{%f},852{%f};43683{%f},855{%f};43684{%f},854{%f};43685{%f},857{%f};43686{%f},863{%f};43689{%f},855{%f};43690{%f},865{%f};43691{%f},849{%f};43692{%f},840{%f};43693{%f},834{%f};43696{%f},844{%f};43697{%f},854{%f};43698{%f},844{%f};43699{%f},850{%f};43700{%f},860{%f};43704{%f},856{%f};43705{%f},868{%f};43706{%f},916{%f};43707{%f},935{%f};43710{%f},936{%f};43711{%f},936{%f};43712{%f},968{%f};43713{%f},982{%f};43714{%f},940{%f};43717{%f},947{%f};43718{%f},938{%f};43719{%f},939{%f};43720{%f},954{%f};43721{%f},955{%f};43724{%f},953{%f};43725{%f},932{%f};43726{%f},938{%f};43727{%f},928{%f};43728{%f},945{%f};43731{%f},955{%f};43732{%f},957{%f};43733{%f},954{%f};43734{%f},928{%f};43735{%f},929{%f};43738{%f},925{%f};43739{%f},881{%f};43740{%f},874{%f};43741{%f},890{%f};43742{%f},884{%f};43745{%f},875{%f};43746{%f},881{%f};43747{%f},887{%f};43748{%f},890{%f};43749{%f},902{%f};43752{%f},891{%f};43753{%f},892{%f};43754{%f},885{%f};43755{%f},882{%f};43756{%f},883{%f};43759{%f},893{%f};43760{%f},888{%f};43761{%f},895{%f};43762{%f},919{%f};43763{%f},928{%f};43766{%f},928{%f};43767{%f},916{%f};43768{%f},921{%f};43769{%f},926{%f};43770{%f},932{%f};43773{%f},954{%f};43774{%f},936{%f};43775{%f},928{%f};43776{%f},932{%f};43777{%f},894{%f};43780{%f},884{%f};43781{%f},878{%f};43782{%f},874{%f};43783{%f},875{%f};43784{%f},876{%f};43787{%f},882{%f};43788{%f},895{%f};43789{%f},912{%f};43790{%f},912{%f};43791{%f},911{%f};43794{%f},893{%f};43795{%f},899{%f};43796{%f},901{%f};43797{%f},892{%f};43798{%f},895{%f};43801{%f},895{%f};43802{%f},901{%f};43803{%f},908{%f};43804{%f},889{%f};43805{%f},897{%f};43808{%f},890{%f};43809{%f},902{%f};43810{%f},919{%f};43811{%f},940{%f};43812{%f},938{%f};43815{%f},932{%f};43816{%f},930{%f};43817{%f},930{%f};43818{%f},927{%f};43819{%f},931{%f};43822{%f},922{%f};43823{%f},935{%f};43826{%f},950{%f};43829{%f},953{%f};43830{%f},971{%f};43832{%f},981{%f};43833{%f},988{%f};43836{%f},986{%f};43837{%f},966{%f};43838{%f},965{%f};43839{%f},954{%f};43840{%f},973{%f};43843{%f},968{%f};43844{%f},968{%f};43845{%f},998{%f};43846{%f},1033{%f};43847{%f},1016{%f};43850{%f},1025{%f};43851{%f},1006{%f};43852{%f},999{%f};43853{%f},1004{%f};43854{%f},1004{%f};43857{%f},993{%f};43858{%f},984{%f};43859{%f},992{%f};43860{%f},971{%f};43861{%f},974{%f};43864{%f},952{%f};43865{%f},980{%f};43866{%f},971{%f};43867{%f},976{%f};43868{%f},969{%f};43871{%f},970{%f};43872{%f},965{%f};43873{%f},966{%f};43874{%f},965{%f};43875{%f},972{%f};43878{%f},968{%f};43879{%f},980{%f};43880{%f},1018{%f};43881{%f},996{%f};43882{%f},983{%f};43885{%f},974{%f};43886{%f},967{%f};43887{%f},932{%f};43888{%f},917{%f};43889{%f},880{%f};43892{%f},874{%f};43893{%f},871{%f};43894{%f},877{%f};43895{%f},867{%f};43896{%f},871{%f};43899{%f},873{%f};43900{%f},878{%f};43901{%f},880{%f};43902{%f},858{%f};43903{%f},801{%f};43906{%f},713{%f};43907{%f},641{%f};43908{%f},652{%f};43909{%f},607{%f};43910{%f},628{%f};43913{%f},618{%f};43914{%f},679{%f};43915{%f},734{%f};43916{%f},730{%f};43917{%f},745{%f};43920{%f},721{%f};43921{%f},723{%f};43922{%f},723{%f};43923{%f},727{%f};43924{%f},719{%f};43927{%f},732{%f};43928{%f},745{%f};43929{%f},738{%f};43930{%f},736{%f};43935{%f},768{%f};43936{%f},780{%f};43937{%f},794{%f};43938{%f},775{%f};43941{%f},781{%f};43942{%f},763{%f};43943{%f},756{%f};43944{%f},766{%f};43945{%f},766{%f};43948{%f},765{%f};43949{%f},765{%f};43950{%f},780{%f};43951{%f},778{%f};43952{%f},760{%f};43955{%f},761{%f};43956{%f},756{%f};43957{%f},755{%f};43958{%f},753{%f};43962{%f},767{%f}##BDH_RS##</v>
        <stp/>
        <stp>##V3_BDHV12</stp>
        <stp>PLTMLNAM Index</stp>
        <stp>PX_LAST</stp>
        <stp>13/05/2019</stp>
        <stp>12/05/2020</stp>
        <stp>[QwackPricer.xlsb.xlsx]FX-IR!R25C14</stp>
        <stp>Array=true</stp>
        <tr r="N25" s="1"/>
      </tp>
      <tp>
        <v>12.26</v>
        <stp/>
        <stp>##V3_BDHV12</stp>
        <stp>AUDUSDV3y Curncy</stp>
        <stp>PX_LAST</stp>
        <stp>12/05/2020</stp>
        <stp>12/05/2020</stp>
        <stp>[QwackPricer.xlsb.xlsx]FX-IR!R138C4</stp>
        <tr r="D138" s="1"/>
      </tp>
      <tp>
        <v>42</v>
        <stp/>
        <stp>##V3_BDHV12</stp>
        <stp>XPTUSDV3y Curncy</stp>
        <stp>PX_LAST</stp>
        <stp>12/05/2020</stp>
        <stp>12/05/2020</stp>
        <stp>[QwackPricer.xlsb.xlsx]FX-IR!R188C4</stp>
        <tr r="D188" s="1"/>
      </tp>
      <tp>
        <v>-0.39</v>
        <stp/>
        <stp>##V3_BDPV12</stp>
        <stp>FDBSM Q22 Index</stp>
        <stp>PX_LAST</stp>
        <stp>[QwackPricer.xlsb.xlsx]Energy!R99C6</stp>
        <tr r="F99" s="3"/>
      </tp>
      <tp>
        <v>34.56</v>
        <stp/>
        <stp>##V3_BDPV12</stp>
        <stp>COF1 Comdty</stp>
        <stp>PX_MID</stp>
        <stp>[QwackPricer.xlsb.xlsx]Energy!R17C5</stp>
        <tr r="E17" s="3"/>
      </tp>
      <tp>
        <v>40.31</v>
        <stp/>
        <stp>##V3_BDPV12</stp>
        <stp>COM2 Comdty</stp>
        <stp>PX_MID</stp>
        <stp>[QwackPricer.xlsb.xlsx]Energy!R34C5</stp>
        <tr r="E34" s="3"/>
      </tp>
      <tp t="s">
        <v>#N/A N/A</v>
        <stp/>
        <stp>##V3_BDPV12</stp>
        <stp>COK3 Comdty</stp>
        <stp>PX_MID</stp>
        <stp>[QwackPricer.xlsb.xlsx]Energy!R45C5</stp>
        <tr r="E45" s="3"/>
      </tp>
      <tp t="s">
        <v>#N/A N/A</v>
        <stp/>
        <stp>##V3_BDPV12</stp>
        <stp>COV4 Comdty</stp>
        <stp>PX_MID</stp>
        <stp>[QwackPricer.xlsb.xlsx]Energy!R62C5</stp>
        <tr r="E62" s="3"/>
      </tp>
      <tp>
        <v>38.244999999999997</v>
        <stp/>
        <stp>##V3_BDPV12</stp>
        <stp>COX1 Comdty</stp>
        <stp>PX_MID</stp>
        <stp>[QwackPricer.xlsb.xlsx]Energy!R27C5</stp>
        <tr r="E27" s="3"/>
      </tp>
      <tp>
        <v>33.980000000000004</v>
        <stp/>
        <stp>##V3_BDPV12</stp>
        <stp>COZ0 Comdty</stp>
        <stp>PX_MID</stp>
        <stp>[QwackPricer.xlsb.xlsx]Energy!R16C5</stp>
        <tr r="E16" s="3"/>
      </tp>
      <tp>
        <v>-828</v>
        <stp/>
        <stp>##V3_BDPV12</stp>
        <stp>LMNIDS 03G24 Comdty</stp>
        <stp>PX_SETTLE</stp>
        <stp>[QwackPricer.xlsb.xlsx]Base!R63C17</stp>
        <tr r="Q63" s="2"/>
      </tp>
      <tp>
        <v>-136</v>
        <stp/>
        <stp>##V3_BDPV12</stp>
        <stp>LMNIDS 03G21 Comdty</stp>
        <stp>PX_SETTLE</stp>
        <stp>[QwackPricer.xlsb.xlsx]Base!R27C17</stp>
        <tr r="Q27" s="2"/>
      </tp>
      <tp>
        <v>-364</v>
        <stp/>
        <stp>##V3_BDPV12</stp>
        <stp>LMNIDS 03G22 Comdty</stp>
        <stp>PX_SETTLE</stp>
        <stp>[QwackPricer.xlsb.xlsx]Base!R39C17</stp>
        <tr r="Q39" s="2"/>
      </tp>
      <tp>
        <v>-603</v>
        <stp/>
        <stp>##V3_BDPV12</stp>
        <stp>LMNIDS 03G23 Comdty</stp>
        <stp>PX_SETTLE</stp>
        <stp>[QwackPricer.xlsb.xlsx]Base!R51C17</stp>
        <tr r="Q51" s="2"/>
      </tp>
      <tp>
        <v>-85.5</v>
        <stp/>
        <stp>##V3_BDPV12</stp>
        <stp>LMPBDS 03G23 Comdty</stp>
        <stp>PX_SETTLE</stp>
        <stp>[QwackPricer.xlsb.xlsx]Base!R51C21</stp>
        <tr r="U51" s="2"/>
      </tp>
      <tp>
        <v>-27.25</v>
        <stp/>
        <stp>##V3_BDPV12</stp>
        <stp>LMPBDS 03G21 Comdty</stp>
        <stp>PX_SETTLE</stp>
        <stp>[QwackPricer.xlsb.xlsx]Base!R27C21</stp>
        <tr r="U27" s="2"/>
      </tp>
      <tp>
        <v>-106</v>
        <stp/>
        <stp>##V3_BDPV12</stp>
        <stp>LMPBDS 03G24 Comdty</stp>
        <stp>PX_SETTLE</stp>
        <stp>[QwackPricer.xlsb.xlsx]Base!R63C21</stp>
        <tr r="U63" s="2"/>
      </tp>
      <tp>
        <v>-57.5</v>
        <stp/>
        <stp>##V3_BDPV12</stp>
        <stp>LMPBDS 03G22 Comdty</stp>
        <stp>PX_SETTLE</stp>
        <stp>[QwackPricer.xlsb.xlsx]Base!R39C21</stp>
        <tr r="U39" s="2"/>
      </tp>
      <tp>
        <v>95</v>
        <stp/>
        <stp>##V3_BDPV12</stp>
        <stp>LMSNDS 03G21 Comdty</stp>
        <stp>PX_SETTLE</stp>
        <stp>[QwackPricer.xlsb.xlsx]Base!R27C25</stp>
        <tr r="Y27" s="2"/>
      </tp>
      <tp>
        <v>-85</v>
        <stp/>
        <stp>##V3_BDPV12</stp>
        <stp>LMZSDS 03G23 Comdty</stp>
        <stp>PX_SETTLE</stp>
        <stp>[QwackPricer.xlsb.xlsx]Base!R51C13</stp>
        <tr r="M51" s="2"/>
      </tp>
      <tp>
        <v>-50.75</v>
        <stp/>
        <stp>##V3_BDPV12</stp>
        <stp>LMZSDS 03G22 Comdty</stp>
        <stp>PX_SETTLE</stp>
        <stp>[QwackPricer.xlsb.xlsx]Base!R39C13</stp>
        <tr r="M39" s="2"/>
      </tp>
      <tp>
        <v>-85</v>
        <stp/>
        <stp>##V3_BDPV12</stp>
        <stp>LMZSDS 03G24 Comdty</stp>
        <stp>PX_SETTLE</stp>
        <stp>[QwackPricer.xlsb.xlsx]Base!R63C13</stp>
        <tr r="M63" s="2"/>
      </tp>
      <tp>
        <v>-14.75</v>
        <stp/>
        <stp>##V3_BDPV12</stp>
        <stp>LMZSDS 03G21 Comdty</stp>
        <stp>PX_SETTLE</stp>
        <stp>[QwackPricer.xlsb.xlsx]Base!R27C13</stp>
        <tr r="M27" s="2"/>
      </tp>
      <tp>
        <v>0.25</v>
        <stp/>
        <stp>##V3_BDHV12</stp>
        <stp>XPTUSD25R9m Curncy</stp>
        <stp>PX_LAST</stp>
        <stp>12/05/2020</stp>
        <stp>12/05/2020</stp>
        <stp>[QwackPricer.xlsb.xlsx]FX-IR!R184C5</stp>
        <tr r="E184" s="1"/>
      </tp>
      <tp>
        <v>1.4450000000000001</v>
        <stp/>
        <stp>##V3_BDHV12</stp>
        <stp>XPTUSD25B9m Curncy</stp>
        <stp>PX_LAST</stp>
        <stp>12/05/2020</stp>
        <stp>12/05/2020</stp>
        <stp>[QwackPricer.xlsb.xlsx]FX-IR!R184C7</stp>
        <tr r="G184" s="1"/>
      </tp>
      <tp>
        <v>4.9749999999999996</v>
        <stp/>
        <stp>##V3_BDHV12</stp>
        <stp>XPTUSD10B9m Curncy</stp>
        <stp>PX_LAST</stp>
        <stp>12/05/2020</stp>
        <stp>12/05/2020</stp>
        <stp>[QwackPricer.xlsb.xlsx]FX-IR!R184C8</stp>
        <tr r="H184" s="1"/>
      </tp>
      <tp>
        <v>0.54</v>
        <stp/>
        <stp>##V3_BDHV12</stp>
        <stp>XPTUSD10R9m Curncy</stp>
        <stp>PX_LAST</stp>
        <stp>12/05/2020</stp>
        <stp>12/05/2020</stp>
        <stp>[QwackPricer.xlsb.xlsx]FX-IR!R184C6</stp>
        <tr r="F184" s="1"/>
      </tp>
      <tp>
        <v>1.3900000000000001</v>
        <stp/>
        <stp>##V3_BDHV12</stp>
        <stp>AUDUSD10B1w Curncy</stp>
        <stp>PX_LAST</stp>
        <stp>12/05/2020</stp>
        <stp>12/05/2020</stp>
        <stp>[QwackPricer.xlsb.xlsx]FX-IR!R129C8</stp>
        <tr r="H129" s="1"/>
      </tp>
      <tp>
        <v>-3.11</v>
        <stp/>
        <stp>##V3_BDHV12</stp>
        <stp>AUDUSD10R1w Curncy</stp>
        <stp>PX_LAST</stp>
        <stp>12/05/2020</stp>
        <stp>12/05/2020</stp>
        <stp>[QwackPricer.xlsb.xlsx]FX-IR!R129C6</stp>
        <tr r="F129" s="1"/>
      </tp>
      <tp>
        <v>-1.76</v>
        <stp/>
        <stp>##V3_BDHV12</stp>
        <stp>AUDUSD25R1w Curncy</stp>
        <stp>PX_LAST</stp>
        <stp>12/05/2020</stp>
        <stp>12/05/2020</stp>
        <stp>[QwackPricer.xlsb.xlsx]FX-IR!R129C5</stp>
        <tr r="E129" s="1"/>
      </tp>
      <tp>
        <v>0.45500000000000002</v>
        <stp/>
        <stp>##V3_BDHV12</stp>
        <stp>AUDUSD25B1w Curncy</stp>
        <stp>PX_LAST</stp>
        <stp>12/05/2020</stp>
        <stp>12/05/2020</stp>
        <stp>[QwackPricer.xlsb.xlsx]FX-IR!R129C7</stp>
        <tr r="G129" s="1"/>
      </tp>
      <tp>
        <v>1</v>
        <stp/>
        <stp>##V3_BDHV12</stp>
        <stp>XPTUSD25R4y Curncy</stp>
        <stp>PX_LAST</stp>
        <stp>12/05/2020</stp>
        <stp>12/05/2020</stp>
        <stp>[QwackPricer.xlsb.xlsx]FX-IR!R189C5</stp>
        <tr r="E189" s="1"/>
      </tp>
      <tp>
        <v>1.4</v>
        <stp/>
        <stp>##V3_BDHV12</stp>
        <stp>XPTUSD25B4y Curncy</stp>
        <stp>PX_LAST</stp>
        <stp>12/05/2020</stp>
        <stp>12/05/2020</stp>
        <stp>[QwackPricer.xlsb.xlsx]FX-IR!R189C7</stp>
        <tr r="G189" s="1"/>
      </tp>
      <tp>
        <v>4.8100000000000005</v>
        <stp/>
        <stp>##V3_BDHV12</stp>
        <stp>XPTUSD10B4y Curncy</stp>
        <stp>PX_LAST</stp>
        <stp>12/05/2020</stp>
        <stp>12/05/2020</stp>
        <stp>[QwackPricer.xlsb.xlsx]FX-IR!R189C8</stp>
        <tr r="H189" s="1"/>
      </tp>
      <tp>
        <v>1.7</v>
        <stp/>
        <stp>##V3_BDHV12</stp>
        <stp>XPTUSD10R4y Curncy</stp>
        <stp>PX_LAST</stp>
        <stp>12/05/2020</stp>
        <stp>12/05/2020</stp>
        <stp>[QwackPricer.xlsb.xlsx]FX-IR!R189C6</stp>
        <tr r="F189" s="1"/>
      </tp>
      <tp>
        <v>1.4624999999999999</v>
        <stp/>
        <stp>##V3_BDHV12</stp>
        <stp>EURUSD10B1y Curncy</stp>
        <stp>PX_LAST</stp>
        <stp>12/05/2020</stp>
        <stp>12/05/2020</stp>
        <stp>[QwackPricer.xlsb.xlsx]FX-IR!R119C8</stp>
        <tr r="H119" s="1"/>
      </tp>
      <tp>
        <v>-2.2124999999999999</v>
        <stp/>
        <stp>##V3_BDHV12</stp>
        <stp>EURUSD10R1y Curncy</stp>
        <stp>PX_LAST</stp>
        <stp>12/05/2020</stp>
        <stp>12/05/2020</stp>
        <stp>[QwackPricer.xlsb.xlsx]FX-IR!R119C6</stp>
        <tr r="F119" s="1"/>
      </tp>
      <tp>
        <v>-1.1724999999999999</v>
        <stp/>
        <stp>##V3_BDHV12</stp>
        <stp>EURUSD25R1y Curncy</stp>
        <stp>PX_LAST</stp>
        <stp>12/05/2020</stp>
        <stp>12/05/2020</stp>
        <stp>[QwackPricer.xlsb.xlsx]FX-IR!R119C5</stp>
        <tr r="E119" s="1"/>
      </tp>
      <tp>
        <v>0.41499999999999998</v>
        <stp/>
        <stp>##V3_BDHV12</stp>
        <stp>EURUSD25B1y Curncy</stp>
        <stp>PX_LAST</stp>
        <stp>12/05/2020</stp>
        <stp>12/05/2020</stp>
        <stp>[QwackPricer.xlsb.xlsx]FX-IR!R119C7</stp>
        <tr r="G119" s="1"/>
      </tp>
      <tp>
        <v>2007</v>
        <stp/>
        <stp>##V3_BDPV12</stp>
        <stp>LMZSDS03 Comdty</stp>
        <stp>PX_LAST</stp>
        <stp>[QwackPricer.xlsb.xlsx]Base!R8C3</stp>
        <tr r="C8" s="2"/>
      </tp>
      <tp>
        <v>13.215</v>
        <stp/>
        <stp>##V3_BDHV12</stp>
        <stp>AUDUSDV1w Curncy</stp>
        <stp>PX_LAST</stp>
        <stp>12/05/2020</stp>
        <stp>12/05/2020</stp>
        <stp>[QwackPricer.xlsb.xlsx]FX-IR!R129C4</stp>
        <tr r="D129" s="1"/>
      </tp>
      <tp>
        <v>22.537500000000001</v>
        <stp/>
        <stp>##V3_BDHV12</stp>
        <stp>XAUUSDV9m Curncy</stp>
        <stp>PX_LAST</stp>
        <stp>12/05/2020</stp>
        <stp>12/05/2020</stp>
        <stp>[QwackPricer.xlsb.xlsx]FX-IR!R151C4</stp>
        <tr r="D151" s="1"/>
      </tp>
      <tp t="s">
        <v>43598{%f},1334{%f};43599{%f},1330{%f};43600{%f},1326{%f};43601{%f},1337{%f};43602{%f},1323{%f};43605{%f},1317{%f};43606{%f},1331{%f};43607{%f},1315{%f};43608{%f},1311{%f};43609{%f},1334{%f};43613{%f},1332{%f};43614{%f},1334{%f};43615{%f},1339{%f};43616{%f},1367{%f};43619{%f},1336{%f};43620{%f},1327{%f};43621{%f},1334{%f};43622{%f},1335{%f};43623{%f},1347{%f};43626{%f},1352{%f};43627{%f},1386{%f};43628{%f},1396{%f};43629{%f},1422{%f};43630{%f},1467{%f};43633{%f},1467{%f};43634{%f},1483{%f};43635{%f},1495{%f};43636{%f},1524{%f};43637{%f},1492{%f};43640{%f},1516{%f};43641{%f},1527{%f};43642{%f},1528{%f};43643{%f},1521{%f};43644{%f},1535{%f};43647{%f},1551{%f};43648{%f},1551{%f};43649{%f},1559{%f};43650{%f},1563{%f};43651{%f},1567{%f};43654{%f},1571{%f};43655{%f},1554{%f};43656{%f},1550{%f};43657{%f},1601{%f};43658{%f},1557{%f};43661{%f},1560{%f};43662{%f},1552{%f};43663{%f},1520{%f};43664{%f},1533{%f};43665{%f},1522{%f};43668{%f},1500{%f};43669{%f},1513{%f};43670{%f},1530{%f};43671{%f},1539{%f};43672{%f},1532{%f};43675{%f},1532{%f};43676{%f},1547{%f};43677{%f},1529{%f};43678{%f},1514{%f};43679{%f},1421{%f};43682{%f},1412{%f};43683{%f},1433{%f};43684{%f},1429{%f};43685{%f},1416{%f};43686{%f},1429{%f};43689{%f},1424{%f};43690{%f},1440{%f};43691{%f},1443{%f};43692{%f},1431{%f};43693{%f},1447{%f};43696{%f},1455{%f};43697{%f},1484{%f};43698{%f},1492{%f};43699{%f},1467{%f};43700{%f},1482{%f};43704{%f},1478{%f};43705{%f},1478{%f};43706{%f},1485{%f};43707{%f},1500{%f};43710{%f},1535{%f};43711{%f},1536{%f};43712{%f},1545{%f};43713{%f},1560{%f};43714{%f},1555{%f};43717{%f},1549{%f};43718{%f},1544{%f};43719{%f},1562{%f};43720{%f},1598{%f};43721{%f},1608{%f};43724{%f},1618{%f};43725{%f},1591{%f};43726{%f},1597{%f};43727{%f},1588{%f};43728{%f},1647{%f};43731{%f},1658{%f};43732{%f},1656{%f};43733{%f},1672{%f};43734{%f},1648{%f};43735{%f},1655{%f};43738{%f},1691{%f};43739{%f},1667{%f};43740{%f},1645{%f};43741{%f},1693{%f};43742{%f},1661{%f};43745{%f},1652{%f};43746{%f},1629{%f};43747{%f},1659{%f};43748{%f},1684{%f};43749{%f},1706{%f};43752{%f},1701{%f};43753{%f},1726{%f};43754{%f},1742{%f};43755{%f},1769{%f};43756{%f},1754{%f};43759{%f},1762{%f};43760{%f},1756{%f};43761{%f},1753{%f};43762{%f},1744{%f};43763{%f},1775{%f};43766{%f},1783{%f};43767{%f},1800{%f};43768{%f},1785{%f};43769{%f},1803{%f};43770{%f},1792{%f};43773{%f},1815{%f};43774{%f},1786{%f};43775{%f},1777{%f};43776{%f},1797{%f};43777{%f},1788{%f};43780{%f},1720{%f};43781{%f},1701{%f};43782{%f},1715{%f};43783{%f},1731{%f};43784{%f},1732{%f};43787{%f},1712{%f};43788{%f},1721{%f};43789{%f},1766{%f};43790{%f},1764{%f};43791{%f},1770{%f};43794{%f},1786{%f};43795{%f},1806{%f};43796{%f},1804{%f};43797{%f},1833{%f};43798{%f},1840{%f};43801{%f},1841{%f};43802{%f},1861{%f};43803{%f},1859{%f};43804{%f},1860{%f};43805{%f},1868{%f};43808{%f},1877{%f};43809{%f},1880{%f};43810{%f},1899{%f};43811{%f},1927{%f};43812{%f},1969{%f};43815{%f},1961{%f};43816{%f},1990{%f};43817{%f},1936{%f};43818{%f},1926{%f};43819{%f},1939{%f};43822{%f},1881{%f};43823{%f},1876{%f};43826{%f},1898{%f};43829{%f},1907{%f};43830{%f},1920{%f};43832{%f},1950{%f};43833{%f},1961{%f};43836{%f},2023{%f};43837{%f},2028{%f};43838{%f},2090{%f};43839{%f},2120{%f};43840{%f},2120{%f};43843{%f},2117{%f};43844{%f},2147{%f};43845{%f},2186{%f};43846{%f},2366{%f};43847{%f},2368{%f};43850{%f},2573{%f};43851{%f},2466{%f};43852{%f},2417{%f};43853{%f},2479{%f};43854{%f},2463{%f};43857{%f},2377{%f};43858{%f},2281{%f};43859{%f},2324{%f};43860{%f},2270{%f};43861{%f},2300{%f};43864{%f},2281{%f};43865{%f},2404{%f};43866{%f},2483{%f};43867{%f},2414{%f};43868{%f},2338{%f};43871{%f},2367{%f};43872{%f},2329{%f};43873{%f},2341{%f};43874{%f},2400{%f};43875{%f},2441{%f};43878{%f},2471{%f};43879{%f},2542{%f};43880{%f},2786{%f};43881{%f},2705{%f};43882{%f},2714{%f};43885{%f},2697{%f};43886{%f},2676{%f};43887{%f},2719{%f};43888{%f},2795{%f};43889{%f},2743{%f};43892{%f},2660{%f};43893{%f},2516{%f};43894{%f},2436{%f};43895{%f},2495{%f};43896{%f},2465{%f};43899{%f},2432{%f};43900{%f},2458{%f};43901{%f},2367{%f};43902{%f},2230{%f};43903{%f},1975{%f};43906{%f},1720{%f};43907{%f},1583{%f};43908{%f},1588{%f};43909{%f},1593{%f};43910{%f},1704{%f};43913{%f},1659{%f};43914{%f},1820{%f};43915{%f},2047{%f};43916{%f},2258{%f};43917{%f},2370{%f};43920{%f},2236{%f};43921{%f},2317{%f};43922{%f},2314{%f};43923{%f},2288{%f};43924{%f},2234{%f};43927{%f},2120{%f};43928{%f},2190{%f};43929{%f},2160{%f};43930{%f},2180{%f};43935{%f},2230{%f};43936{%f},2229{%f};43937{%f},2213{%f};43938{%f},2180{%f};43941{%f},2165{%f};43942{%f},2135{%f};43943{%f},1955{%f};43944{%f},1950{%f};43945{%f},2040{%f};43948{%f},1987{%f};43949{%f},1913{%f};43950{%f},1958{%f};43951{%f},1991{%f};43952{%f},1927{%f};43955{%f},1900{%f};43956{%f},1815{%f};43957{%f},1775{%f};43958{%f},1815{%f};43962{%f},1850{%f}##BDH_RS##</v>
        <stp/>
        <stp>##V3_BDHV12</stp>
        <stp>PLDMLNAM Index</stp>
        <stp>PX_LAST</stp>
        <stp>13/05/2019</stp>
        <stp>12/05/2020</stp>
        <stp>[QwackPricer.xlsb.xlsx]FX-IR!R26C14</stp>
        <stp>Array=true</stp>
        <tr r="N26" s="1"/>
      </tp>
      <tp>
        <v>7.3949999999999996</v>
        <stp/>
        <stp>##V3_BDHV12</stp>
        <stp>EURUSDV1y Curncy</stp>
        <stp>PX_LAST</stp>
        <stp>12/05/2020</stp>
        <stp>12/05/2020</stp>
        <stp>[QwackPricer.xlsb.xlsx]FX-IR!R119C4</stp>
        <tr r="D119" s="1"/>
      </tp>
      <tp>
        <v>36.21</v>
        <stp/>
        <stp>##V3_BDHV12</stp>
        <stp>XAGUSDV1y Curncy</stp>
        <stp>PX_LAST</stp>
        <stp>12/05/2020</stp>
        <stp>12/05/2020</stp>
        <stp>[QwackPricer.xlsb.xlsx]FX-IR!R169C4</stp>
        <tr r="D169" s="1"/>
      </tp>
      <tp>
        <v>48.5</v>
        <stp/>
        <stp>##V3_BDHV12</stp>
        <stp>XPTUSDV1w Curncy</stp>
        <stp>PX_LAST</stp>
        <stp>12/05/2020</stp>
        <stp>12/05/2020</stp>
        <stp>[QwackPricer.xlsb.xlsx]FX-IR!R179C4</stp>
        <tr r="D179" s="1"/>
      </tp>
      <tp>
        <v>-0.38</v>
        <stp/>
        <stp>##V3_BDPV12</stp>
        <stp>FDBSM N22 Index</stp>
        <stp>PX_LAST</stp>
        <stp>[QwackPricer.xlsb.xlsx]Energy!R98C6</stp>
        <tr r="F98" s="3"/>
      </tp>
      <tp t="s">
        <v>#N/A N/A</v>
        <stp/>
        <stp>##V3_BDPV12</stp>
        <stp>COF4 Comdty</stp>
        <stp>PX_MID</stp>
        <stp>[QwackPricer.xlsb.xlsx]Energy!R53C5</stp>
        <tr r="E53" s="3"/>
      </tp>
      <tp t="s">
        <v>#N/A N/A</v>
        <stp/>
        <stp>##V3_BDPV12</stp>
        <stp>COJ3 Comdty</stp>
        <stp>PX_MID</stp>
        <stp>[QwackPricer.xlsb.xlsx]Energy!R44C5</stp>
        <tr r="E44" s="3"/>
      </tp>
      <tp t="s">
        <v>#N/A N/A</v>
        <stp/>
        <stp>##V3_BDPV12</stp>
        <stp>CON2 Comdty</stp>
        <stp>PX_MID</stp>
        <stp>[QwackPricer.xlsb.xlsx]Energy!R35C5</stp>
        <tr r="E35" s="3"/>
      </tp>
      <tp>
        <v>37.97</v>
        <stp/>
        <stp>##V3_BDPV12</stp>
        <stp>COV1 Comdty</stp>
        <stp>PX_MID</stp>
        <stp>[QwackPricer.xlsb.xlsx]Energy!R26C5</stp>
        <tr r="E26" s="3"/>
      </tp>
      <tp t="s">
        <v>#N/A N/A</v>
        <stp/>
        <stp>##V3_BDPV12</stp>
        <stp>COX4 Comdty</stp>
        <stp>PX_MID</stp>
        <stp>[QwackPricer.xlsb.xlsx]Energy!R63C5</stp>
        <tr r="E63" s="3"/>
      </tp>
      <tp>
        <v>-812</v>
        <stp/>
        <stp>##V3_BDPV12</stp>
        <stp>LMNIDS 03F24 Comdty</stp>
        <stp>PX_SETTLE</stp>
        <stp>[QwackPricer.xlsb.xlsx]Base!R62C17</stp>
        <tr r="Q62" s="2"/>
      </tp>
      <tp>
        <v>-114</v>
        <stp/>
        <stp>##V3_BDPV12</stp>
        <stp>LMNIDS 03F21 Comdty</stp>
        <stp>PX_SETTLE</stp>
        <stp>[QwackPricer.xlsb.xlsx]Base!R26C17</stp>
        <tr r="Q26" s="2"/>
      </tp>
      <tp>
        <v>-346</v>
        <stp/>
        <stp>##V3_BDPV12</stp>
        <stp>LMNIDS 03F22 Comdty</stp>
        <stp>PX_SETTLE</stp>
        <stp>[QwackPricer.xlsb.xlsx]Base!R38C17</stp>
        <tr r="Q38" s="2"/>
      </tp>
      <tp>
        <v>-583</v>
        <stp/>
        <stp>##V3_BDPV12</stp>
        <stp>LMNIDS 03F23 Comdty</stp>
        <stp>PX_SETTLE</stp>
        <stp>[QwackPricer.xlsb.xlsx]Base!R50C17</stp>
        <tr r="Q50" s="2"/>
      </tp>
      <tp>
        <v>-83.25</v>
        <stp/>
        <stp>##V3_BDPV12</stp>
        <stp>LMPBDS 03F23 Comdty</stp>
        <stp>PX_SETTLE</stp>
        <stp>[QwackPricer.xlsb.xlsx]Base!R50C21</stp>
        <tr r="U50" s="2"/>
      </tp>
      <tp>
        <v>-23.75</v>
        <stp/>
        <stp>##V3_BDPV12</stp>
        <stp>LMPBDS 03F21 Comdty</stp>
        <stp>PX_SETTLE</stp>
        <stp>[QwackPricer.xlsb.xlsx]Base!R26C21</stp>
        <tr r="U26" s="2"/>
      </tp>
      <tp>
        <v>-106</v>
        <stp/>
        <stp>##V3_BDPV12</stp>
        <stp>LMPBDS 03F24 Comdty</stp>
        <stp>PX_SETTLE</stp>
        <stp>[QwackPricer.xlsb.xlsx]Base!R62C21</stp>
        <tr r="U62" s="2"/>
      </tp>
      <tp>
        <v>-54.25</v>
        <stp/>
        <stp>##V3_BDPV12</stp>
        <stp>LMPBDS 03F22 Comdty</stp>
        <stp>PX_SETTLE</stp>
        <stp>[QwackPricer.xlsb.xlsx]Base!R38C21</stp>
        <tr r="U38" s="2"/>
      </tp>
      <tp>
        <v>85</v>
        <stp/>
        <stp>##V3_BDPV12</stp>
        <stp>LMSNDS 03F21 Comdty</stp>
        <stp>PX_SETTLE</stp>
        <stp>[QwackPricer.xlsb.xlsx]Base!R26C25</stp>
        <tr r="Y26" s="2"/>
      </tp>
      <tp>
        <v>-81</v>
        <stp/>
        <stp>##V3_BDPV12</stp>
        <stp>LMZSDS 03F23 Comdty</stp>
        <stp>PX_SETTLE</stp>
        <stp>[QwackPricer.xlsb.xlsx]Base!R50C13</stp>
        <tr r="M50" s="2"/>
      </tp>
      <tp>
        <v>-48.25</v>
        <stp/>
        <stp>##V3_BDPV12</stp>
        <stp>LMZSDS 03F22 Comdty</stp>
        <stp>PX_SETTLE</stp>
        <stp>[QwackPricer.xlsb.xlsx]Base!R38C13</stp>
        <tr r="M38" s="2"/>
      </tp>
      <tp>
        <v>-85</v>
        <stp/>
        <stp>##V3_BDPV12</stp>
        <stp>LMZSDS 03F24 Comdty</stp>
        <stp>PX_SETTLE</stp>
        <stp>[QwackPricer.xlsb.xlsx]Base!R62C13</stp>
        <tr r="M62" s="2"/>
      </tp>
      <tp>
        <v>-10.75</v>
        <stp/>
        <stp>##V3_BDPV12</stp>
        <stp>LMZSDS 03F21 Comdty</stp>
        <stp>PX_SETTLE</stp>
        <stp>[QwackPricer.xlsb.xlsx]Base!R26C13</stp>
        <tr r="M26" s="2"/>
      </tp>
      <tp>
        <v>12260</v>
        <stp/>
        <stp>##V3_BDPV12</stp>
        <stp>LMNIDS03 Comdty</stp>
        <stp>PX_LAST</stp>
        <stp>[QwackPricer.xlsb.xlsx]Base!R9C3</stp>
        <tr r="C9" s="2"/>
      </tp>
      <tp>
        <v>67</v>
        <stp/>
        <stp>##V3_BDHV12</stp>
        <stp>XPDUSDV9m Curncy</stp>
        <stp>PX_LAST</stp>
        <stp>12/05/2020</stp>
        <stp>12/05/2020</stp>
        <stp>[QwackPricer.xlsb.xlsx]FX-IR!R200C4</stp>
        <tr r="D200" s="1"/>
      </tp>
      <tp>
        <v>17.517499999999998</v>
        <stp/>
        <stp>##V3_BDHV12</stp>
        <stp>USDZARV2y Curncy</stp>
        <stp>PX_LAST</stp>
        <stp>12/05/2020</stp>
        <stp>12/05/2020</stp>
        <stp>[QwackPricer.xlsb.xlsx]FX-IR!R104C4</stp>
        <tr r="D104" s="1"/>
      </tp>
      <tp>
        <v>17.827500000000001</v>
        <stp/>
        <stp>##V3_BDHV12</stp>
        <stp>USDZARV3y Curncy</stp>
        <stp>PX_LAST</stp>
        <stp>12/05/2020</stp>
        <stp>12/05/2020</stp>
        <stp>[QwackPricer.xlsb.xlsx]FX-IR!R105C4</stp>
        <tr r="D105" s="1"/>
      </tp>
      <tp>
        <v>17.78</v>
        <stp/>
        <stp>##V3_BDHV12</stp>
        <stp>USDZARV6m Curncy</stp>
        <stp>PX_LAST</stp>
        <stp>12/05/2020</stp>
        <stp>12/05/2020</stp>
        <stp>[QwackPricer.xlsb.xlsx]FX-IR!R100C4</stp>
        <tr r="D100" s="1"/>
      </tp>
      <tp t="s">
        <v>#N/A N/A</v>
        <stp/>
        <stp>##V3_BDPV12</stp>
        <stp>COG4 Comdty</stp>
        <stp>PX_MID</stp>
        <stp>[QwackPricer.xlsb.xlsx]Energy!R54C5</stp>
        <tr r="E54" s="3"/>
      </tp>
      <tp t="s">
        <v>#N/A N/A</v>
        <stp/>
        <stp>##V3_BDPV12</stp>
        <stp>COF5 Comdty</stp>
        <stp>PX_MID</stp>
        <stp>[QwackPricer.xlsb.xlsx]Energy!R65C5</stp>
        <tr r="E65" s="3"/>
      </tp>
      <tp t="s">
        <v>#N/A N/A</v>
        <stp/>
        <stp>##V3_BDPV12</stp>
        <stp>COH3 Comdty</stp>
        <stp>PX_MID</stp>
        <stp>[QwackPricer.xlsb.xlsx]Energy!R43C5</stp>
        <tr r="E43" s="3"/>
      </tp>
      <tp>
        <v>39.700000000000003</v>
        <stp/>
        <stp>##V3_BDPV12</stp>
        <stp>COJ2 Comdty</stp>
        <stp>PX_MID</stp>
        <stp>[QwackPricer.xlsb.xlsx]Energy!R32C5</stp>
        <tr r="E32" s="3"/>
      </tp>
      <tp>
        <v>36.244999999999997</v>
        <stp/>
        <stp>##V3_BDPV12</stp>
        <stp>COK1 Comdty</stp>
        <stp>PX_MID</stp>
        <stp>[QwackPricer.xlsb.xlsx]Energy!R21C5</stp>
        <tr r="E21" s="3"/>
      </tp>
      <tp>
        <v>47.33</v>
        <stp/>
        <stp>##V3_BDPV12</stp>
        <stp>COZ4 Comdty</stp>
        <stp>PX_MID</stp>
        <stp>[QwackPricer.xlsb.xlsx]Energy!R64C5</stp>
        <tr r="E64" s="3"/>
      </tp>
      <tp>
        <v>15.514250000000001</v>
        <stp/>
        <stp>##V3_BDPV12</stp>
        <stp>XAG/USD Curncy</stp>
        <stp>PX_LAST</stp>
        <stp>[QwackPricer.xlsb.xlsx]FX-IR!R16C4</stp>
        <tr r="D16" s="1"/>
      </tp>
      <tp>
        <v>1</v>
        <stp/>
        <stp>##V3_BDHV12</stp>
        <stp>XPTUSD25R3y Curncy</stp>
        <stp>PX_LAST</stp>
        <stp>12/05/2020</stp>
        <stp>12/05/2020</stp>
        <stp>[QwackPricer.xlsb.xlsx]FX-IR!R188C5</stp>
        <tr r="E188" s="1"/>
      </tp>
      <tp>
        <v>1.405</v>
        <stp/>
        <stp>##V3_BDHV12</stp>
        <stp>XPTUSD25B3y Curncy</stp>
        <stp>PX_LAST</stp>
        <stp>12/05/2020</stp>
        <stp>12/05/2020</stp>
        <stp>[QwackPricer.xlsb.xlsx]FX-IR!R188C7</stp>
        <tr r="G188" s="1"/>
      </tp>
      <tp>
        <v>5.0599999999999996</v>
        <stp/>
        <stp>##V3_BDHV12</stp>
        <stp>XPTUSD10B3y Curncy</stp>
        <stp>PX_LAST</stp>
        <stp>12/05/2020</stp>
        <stp>12/05/2020</stp>
        <stp>[QwackPricer.xlsb.xlsx]FX-IR!R188C8</stp>
        <tr r="H188" s="1"/>
      </tp>
      <tp>
        <v>1.8</v>
        <stp/>
        <stp>##V3_BDHV12</stp>
        <stp>XPTUSD10R3y Curncy</stp>
        <stp>PX_LAST</stp>
        <stp>12/05/2020</stp>
        <stp>12/05/2020</stp>
        <stp>[QwackPricer.xlsb.xlsx]FX-IR!R188C6</stp>
        <tr r="F188" s="1"/>
      </tp>
      <tp>
        <v>1.75</v>
        <stp/>
        <stp>##V3_BDHV12</stp>
        <stp>XPDUSD25R3m Curncy</stp>
        <stp>PX_LAST</stp>
        <stp>12/05/2020</stp>
        <stp>12/05/2020</stp>
        <stp>[QwackPricer.xlsb.xlsx]FX-IR!R198C5</stp>
        <tr r="E198" s="1"/>
      </tp>
      <tp>
        <v>1.8900000000000001</v>
        <stp/>
        <stp>##V3_BDHV12</stp>
        <stp>XPDUSD25B3m Curncy</stp>
        <stp>PX_LAST</stp>
        <stp>12/05/2020</stp>
        <stp>12/05/2020</stp>
        <stp>[QwackPricer.xlsb.xlsx]FX-IR!R198C7</stp>
        <tr r="G198" s="1"/>
      </tp>
      <tp>
        <v>10.28</v>
        <stp/>
        <stp>##V3_BDHV12</stp>
        <stp>XPDUSD10B3m Curncy</stp>
        <stp>PX_LAST</stp>
        <stp>12/05/2020</stp>
        <stp>12/05/2020</stp>
        <stp>[QwackPricer.xlsb.xlsx]FX-IR!R198C8</stp>
        <tr r="H198" s="1"/>
      </tp>
      <tp>
        <v>3.0150000000000001</v>
        <stp/>
        <stp>##V3_BDHV12</stp>
        <stp>XPDUSD10R3m Curncy</stp>
        <stp>PX_LAST</stp>
        <stp>12/05/2020</stp>
        <stp>12/05/2020</stp>
        <stp>[QwackPricer.xlsb.xlsx]FX-IR!R198C6</stp>
        <tr r="F198" s="1"/>
      </tp>
      <tp t="s">
        <v>43598{%f},1466{%f};43599{%f},1475.5{%f};43600{%f},1481.5{%f};43601{%f},1479.5{%f};43602{%f},1448{%f};43605{%f},1441.5{%f};43606{%f},1443{%f};43607{%f},1443.5{%f};43608{%f},1448{%f};43609{%f},1455{%f};43613{%f},1448{%f};43614{%f},1437.5{%f};43615{%f},1440{%f};43616{%f},1448{%f};43619{%f},1470.5{%f};43620{%f},1472{%f};43621{%f},1484{%f};43622{%f},1495.5{%f};43623{%f},1491{%f};43626{%f},1474.5{%f};43627{%f},1469.5{%f};43628{%f},1479{%f};43629{%f},1479.5{%f};43630{%f},1502.5{%f};43633{%f},1478{%f};43634{%f},1489.5{%f};43635{%f},1494.5{%f};43636{%f},1533{%f};43637{%f},1529{%f};43640{%f},1537{%f};43641{%f},1540{%f};43642{%f},1525.5{%f};43643{%f},1525{%f};43644{%f},1522{%f};43647{%f},1526{%f};43648{%f},1517{%f};43649{%f},1531{%f};43650{%f},1528{%f};43651{%f},1521{%f};43654{%f},1507{%f};43655{%f},1502.5{%f};43656{%f},1509.5{%f};43657{%f},1526.5{%f};43658{%f},1514{%f};43661{%f},1532{%f};43662{%f},1539.5{%f};43663{%f},1561{%f};43664{%f},1603{%f};43665{%f},1631.5{%f};43668{%f},1638.5{%f};43669{%f},1643{%f};43670{%f},1653.5{%f};43671{%f},1653.5{%f};43672{%f},1644{%f};43675{%f},1639{%f};43676{%f},1645.5{%f};43677{%f},1647.5{%f};43678{%f},1600.5{%f};43679{%f},1619.5{%f};43682{%f},1648.5{%f};43683{%f},1638.5{%f};43684{%f},1682{%f};43685{%f},1702{%f};43686{%f},1700{%f};43689{%f},1695.5{%f};43690{%f},1744.5{%f};43691{%f},1711.5{%f};43692{%f},1729{%f};43693{%f},1716{%f};43696{%f},1692.5{%f};43697{%f},1702{%f};43698{%f},1711{%f};43699{%f},1696{%f};43700{%f},1705{%f};43704{%f},1772.5{%f};43705{%f},1836.5{%f};43706{%f},1848{%f};43707{%f},1838.5{%f};43710{%f},1835{%f};43711{%f},1847.5{%f};43712{%f},1930.5{%f};43713{%f},1922{%f};43714{%f},1814.5{%f};43717{%f},1817{%f};43718{%f},1799{%f};43719{%f},1816.5{%f};43720{%f},1819{%f};43721{%f},1814.5{%f};43724{%f},1783.5{%f};43725{%f},1784{%f};43726{%f},1785{%f};43727{%f},1775.5{%f};43728{%f},1788{%f};43731{%f},1838{%f};43732{%f},1856{%f};43733{%f},1857{%f};43734{%f},1797{%f};43735{%f},1752{%f};43738{%f},1725.5{%f};43739{%f},1711{%f};43740{%f},1726{%f};43741{%f},1760{%f};43742{%f},1760.5{%f};43745{%f},1742.5{%f};43746{%f},1755.5{%f};43747{%f},1778{%f};43748{%f},1775{%f};43749{%f},1760{%f};43752{%f},1760.5{%f};43753{%f},1767{%f};43754{%f},1725.5{%f};43755{%f},1745{%f};43756{%f},1743.5{%f};43759{%f},1772.5{%f};43760{%f},1762.5{%f};43761{%f},1753.5{%f};43762{%f},1753{%f};43763{%f},1812.5{%f};43766{%f},1805.5{%f};43767{%f},1766{%f};43768{%f},1795.5{%f};43769{%f},1805.5{%f};43770{%f},1812{%f};43773{%f},1818.5{%f};43774{%f},1804.5{%f};43775{%f},1754{%f};43776{%f},1753{%f};43777{%f},1681{%f};43780{%f},1688{%f};43781{%f},1673.5{%f};43782{%f},1695{%f};43783{%f},1703.5{%f};43784{%f},1687{%f};43787{%f},1679.5{%f};43788{%f},1712.5{%f};43789{%f},1711.5{%f};43790{%f},1709{%f};43791{%f},1717.5{%f};43794{%f},1687{%f};43795{%f},1693.5{%f};43796{%f},1705.5{%f};43797{%f},1694.5{%f};43798{%f},1696.5{%f};43801{%f},1687.5{%f};43802{%f},1701{%f};43803{%f},1713{%f};43804{%f},1687{%f};43805{%f},1694{%f};43808{%f},1662{%f};43809{%f},1667.5{%f};43810{%f},1666{%f};43811{%f},1686.5{%f};43812{%f},1693.5{%f};43815{%f},1702{%f};43816{%f},1706{%f};43817{%f},1699.5{%f};43818{%f},1694{%f};43819{%f},1703.5{%f};43822{%f},1737.5{%f};43823{%f},1758.5{%f};43826{%f},1782.5{%f};43829{%f},1782.5{%f};43830{%f},1804.5{%f};43832{%f},1792.5{%f};43833{%f},1821{%f};43836{%f},1844{%f};43837{%f},1814.5{%f};43838{%f},1842{%f};43839{%f},1791{%f};43840{%f},1791.5{%f};43843{%f},1798.5{%f};43844{%f},1777{%f};43845{%f},1785{%f};43846{%f},1801{%f};43847{%f},1806{%f};43850{%f},1805.5{%f};43851{%f},1798.5{%f};43852{%f},1777{%f};43853{%f},1760{%f};43854{%f},1783{%f};43857{%f},1829.5{%f};43858{%f},1797.5{%f};43859{%f},1747{%f};43860{%f},1772.5{%f};43861{%f},1788.5{%f};43864{%f},1777{%f};43865{%f},1773{%f};43866{%f},1762{%f};43867{%f},1776.5{%f};43868{%f},1777{%f};43871{%f},1778.5{%f};43872{%f},1770.5{%f};43873{%f},1756{%f};43874{%f},1764{%f};43875{%f},1770.5{%f};43878{%f},1780{%f};43879{%f},1788.5{%f};43880{%f},1834.5{%f};43881{%f},1838.5{%f};43882{%f},1856{%f};43885{%f},1877.5{%f};43886{%f},1833{%f};43887{%f},1807.5{%f};43888{%f},1805{%f};43889{%f},1718.5{%f};43892{%f},1691.5{%f};43893{%f},1681{%f};43894{%f},1725{%f};43895{%f},1720{%f};43896{%f},1748{%f};43899{%f},1688.5{%f};43900{%f},1707{%f};43901{%f},1702{%f};43902{%f},1652.5{%f};43903{%f},1577{%f};43906{%f},1296.5{%f};43907{%f},1244{%f};43908{%f},1242{%f};43909{%f},1200.5{%f};43910{%f},1263{%f};43913{%f},1251{%f};43914{%f},1362.5{%f};43915{%f},1396.5{%f};43916{%f},1441.5{%f};43917{%f},1431.5{%f};43920{%f},1405.5{%f};43921{%f},1393{%f};43922{%f},1401.5{%f};43923{%f},1417.5{%f};43924{%f},1439{%f};43927{%f},1455.5{%f};43928{%f},1507.5{%f};43929{%f},1506.5{%f};43930{%f},1517.5{%f};43935{%f},1551{%f};43936{%f},1557{%f};43937{%f},1550{%f};43938{%f},1516{%f};43941{%f},1515{%f};43942{%f},1497{%f};43943{%f},1491{%f};43944{%f},1530.5{%f};43945{%f},1531.5{%f};43948{%f},1520.5{%f};43949{%f},1514.5{%f};43950{%f},1516.5{%f};43951{%f},1533.5{%f};43952{%f},1484.5{%f};43955{%f},1493{%f};43956{%f},1475{%f};43957{%f},1507.5{%f};43958{%f},1498{%f};43962{%f},1544.5{%f}##BDH_RS##</v>
        <stp/>
        <stp>##V3_BDHV12</stp>
        <stp>SLVRLN Index</stp>
        <stp>PX_LAST</stp>
        <stp>13/05/2019</stp>
        <stp>12/05/2020</stp>
        <stp>[QwackPricer.xlsb.xlsx]FX-IR!R24C14</stp>
        <stp>Array=true</stp>
        <tr r="N24" s="1"/>
      </tp>
      <tp t="s">
        <v>#N/A N/A</v>
        <stp/>
        <stp>##V3_BDPV12</stp>
        <stp>COG3 Comdty</stp>
        <stp>PX_MID</stp>
        <stp>[QwackPricer.xlsb.xlsx]Energy!R42C5</stp>
        <tr r="E42" s="3"/>
      </tp>
      <tp>
        <v>29.914999999999999</v>
        <stp/>
        <stp>##V3_BDPV12</stp>
        <stp>CON0 Comdty</stp>
        <stp>PX_MID</stp>
        <stp>[QwackPricer.xlsb.xlsx]Energy!R11C5</stp>
        <tr r="E11" s="3"/>
      </tp>
      <tp t="s">
        <v>#N/A N/A</v>
        <stp/>
        <stp>##V3_BDPV12</stp>
        <stp>COH4 Comdty</stp>
        <stp>PX_MID</stp>
        <stp>[QwackPricer.xlsb.xlsx]Energy!R55C5</stp>
        <tr r="E55" s="3"/>
      </tp>
      <tp>
        <v>35.880000000000003</v>
        <stp/>
        <stp>##V3_BDPV12</stp>
        <stp>COJ1 Comdty</stp>
        <stp>PX_MID</stp>
        <stp>[QwackPricer.xlsb.xlsx]Energy!R20C5</stp>
        <tr r="E20" s="3"/>
      </tp>
      <tp>
        <v>40.020000000000003</v>
        <stp/>
        <stp>##V3_BDPV12</stp>
        <stp>COK2 Comdty</stp>
        <stp>PX_MID</stp>
        <stp>[QwackPricer.xlsb.xlsx]Energy!R33C5</stp>
        <tr r="E33" s="3"/>
      </tp>
      <tp>
        <v>44.725000000000001</v>
        <stp/>
        <stp>##V3_BDPV12</stp>
        <stp>COZ3 Comdty</stp>
        <stp>PX_MID</stp>
        <stp>[QwackPricer.xlsb.xlsx]Energy!R52C5</stp>
        <tr r="E52" s="3"/>
      </tp>
      <tp>
        <v>0.64854999999999996</v>
        <stp/>
        <stp>##V3_BDPV12</stp>
        <stp>AUD/USD Curncy</stp>
        <stp>PX_LAST</stp>
        <stp>[QwackPricer.xlsb.xlsx]FX-IR!R14C4</stp>
        <tr r="D14" s="1"/>
      </tp>
      <tp>
        <v>70.099999999999994</v>
        <stp/>
        <stp>##V3_BDHV12</stp>
        <stp>XPDUSDV6m Curncy</stp>
        <stp>PX_LAST</stp>
        <stp>12/05/2020</stp>
        <stp>12/05/2020</stp>
        <stp>[QwackPricer.xlsb.xlsx]FX-IR!R199C4</stp>
        <tr r="D199" s="1"/>
      </tp>
      <tp>
        <v>39.024999999999999</v>
        <stp/>
        <stp>##V3_BDPV12</stp>
        <stp>COG2 Comdty</stp>
        <stp>PX_MID</stp>
        <stp>[QwackPricer.xlsb.xlsx]Energy!R30C5</stp>
        <tr r="E30" s="3"/>
      </tp>
      <tp t="s">
        <v>#N/A N/A</v>
        <stp/>
        <stp>##V3_BDPV12</stp>
        <stp>COF3 Comdty</stp>
        <stp>PX_MID</stp>
        <stp>[QwackPricer.xlsb.xlsx]Energy!R41C5</stp>
        <tr r="E41" s="3"/>
      </tp>
      <tp t="s">
        <v>#N/A N/A</v>
        <stp/>
        <stp>##V3_BDPV12</stp>
        <stp>COH5 Comdty</stp>
        <stp>PX_MID</stp>
        <stp>[QwackPricer.xlsb.xlsx]Energy!R67C5</stp>
        <tr r="E67" s="3"/>
      </tp>
      <tp t="s">
        <v>#N/A N/A</v>
        <stp/>
        <stp>##V3_BDPV12</stp>
        <stp>COJ4 Comdty</stp>
        <stp>PX_MID</stp>
        <stp>[QwackPricer.xlsb.xlsx]Energy!R56C5</stp>
        <tr r="E56" s="3"/>
      </tp>
      <tp>
        <v>36.93</v>
        <stp/>
        <stp>##V3_BDPV12</stp>
        <stp>CON1 Comdty</stp>
        <stp>PX_MID</stp>
        <stp>[QwackPricer.xlsb.xlsx]Energy!R23C5</stp>
        <tr r="E23" s="3"/>
      </tp>
      <tp>
        <v>30.79</v>
        <stp/>
        <stp>##V3_BDPV12</stp>
        <stp>COQ0 Comdty</stp>
        <stp>PX_MID</stp>
        <stp>[QwackPricer.xlsb.xlsx]Energy!R12C5</stp>
        <tr r="E12" s="3"/>
      </tp>
      <tp>
        <v>41.865000000000002</v>
        <stp/>
        <stp>##V3_BDPV12</stp>
        <stp>COZ2 Comdty</stp>
        <stp>PX_MID</stp>
        <stp>[QwackPricer.xlsb.xlsx]Energy!R40C5</stp>
        <tr r="E40" s="3"/>
      </tp>
      <tp t="s">
        <v>#N/A N/A</v>
        <stp/>
        <stp>##V3_BDPV12</stp>
        <stp>COX3 Comdty</stp>
        <stp>PX_MID</stp>
        <stp>[QwackPricer.xlsb.xlsx]Energy!R51C5</stp>
        <tr r="E51" s="3"/>
      </tp>
      <tp>
        <v>1866.5650000000001</v>
        <stp/>
        <stp>##V3_BDPV12</stp>
        <stp>XPD/USD Curncy</stp>
        <stp>PX_LAST</stp>
        <stp>[QwackPricer.xlsb.xlsx]FX-IR!R17C4</stp>
        <tr r="D17" s="1"/>
      </tp>
      <tp>
        <v>3.5750000000000002</v>
        <stp/>
        <stp>##V3_BDPV12</stp>
        <stp>SAFR0FI Curncy</stp>
        <stp>PX_LAST</stp>
        <stp>[QwackPricer.xlsb.xlsx]FX-IR!R68C9</stp>
        <tr r="I68" s="1"/>
      </tp>
      <tp>
        <v>3.59</v>
        <stp/>
        <stp>##V3_BDPV12</stp>
        <stp>SAFR0CF Curncy</stp>
        <stp>PX_LAST</stp>
        <stp>[QwackPricer.xlsb.xlsx]FX-IR!R67C9</stp>
        <tr r="I67" s="1"/>
      </tp>
      <tp>
        <v>1.88</v>
        <stp/>
        <stp>##V3_BDHV12</stp>
        <stp>XPDUSD25B9m Curncy</stp>
        <stp>PX_LAST</stp>
        <stp>12/05/2020</stp>
        <stp>12/05/2020</stp>
        <stp>[QwackPricer.xlsb.xlsx]FX-IR!R200C7</stp>
        <tr r="G200" s="1"/>
      </tp>
      <tp>
        <v>2.4</v>
        <stp/>
        <stp>##V3_BDHV12</stp>
        <stp>XPDUSD25R9m Curncy</stp>
        <stp>PX_LAST</stp>
        <stp>12/05/2020</stp>
        <stp>12/05/2020</stp>
        <stp>[QwackPricer.xlsb.xlsx]FX-IR!R200C5</stp>
        <tr r="E200" s="1"/>
      </tp>
      <tp>
        <v>10.105</v>
        <stp/>
        <stp>##V3_BDHV12</stp>
        <stp>XPDUSD10B9m Curncy</stp>
        <stp>PX_LAST</stp>
        <stp>12/05/2020</stp>
        <stp>12/05/2020</stp>
        <stp>[QwackPricer.xlsb.xlsx]FX-IR!R200C8</stp>
        <tr r="H200" s="1"/>
      </tp>
      <tp>
        <v>4.32</v>
        <stp/>
        <stp>##V3_BDHV12</stp>
        <stp>XPDUSD10R9m Curncy</stp>
        <stp>PX_LAST</stp>
        <stp>12/05/2020</stp>
        <stp>12/05/2020</stp>
        <stp>[QwackPricer.xlsb.xlsx]FX-IR!R200C6</stp>
        <tr r="F200" s="1"/>
      </tp>
      <tp>
        <v>17.267499999999998</v>
        <stp/>
        <stp>##V3_BDHV12</stp>
        <stp>USDZARV1y Curncy</stp>
        <stp>PX_LAST</stp>
        <stp>12/05/2020</stp>
        <stp>12/05/2020</stp>
        <stp>[QwackPricer.xlsb.xlsx]FX-IR!R102C4</stp>
        <tr r="D102" s="1"/>
      </tp>
      <tp t="s">
        <v>#N/A N/A</v>
        <stp/>
        <stp>##V3_BDPV12</stp>
        <stp>COG5 Comdty</stp>
        <stp>PX_MID</stp>
        <stp>[QwackPricer.xlsb.xlsx]Energy!R66C5</stp>
        <tr r="E66" s="3"/>
      </tp>
      <tp t="s">
        <v>#N/A N/A</v>
        <stp/>
        <stp>##V3_BDPV12</stp>
        <stp>COK4 Comdty</stp>
        <stp>PX_MID</stp>
        <stp>[QwackPricer.xlsb.xlsx]Energy!R57C5</stp>
        <tr r="E57" s="3"/>
      </tp>
      <tp>
        <v>36.660000000000004</v>
        <stp/>
        <stp>##V3_BDPV12</stp>
        <stp>COM1 Comdty</stp>
        <stp>PX_MID</stp>
        <stp>[QwackPricer.xlsb.xlsx]Energy!R22C5</stp>
        <tr r="E22" s="3"/>
      </tp>
      <tp>
        <v>39.36</v>
        <stp/>
        <stp>##V3_BDPV12</stp>
        <stp>COH2 Comdty</stp>
        <stp>PX_MID</stp>
        <stp>[QwackPricer.xlsb.xlsx]Energy!R31C5</stp>
        <tr r="E31" s="3"/>
      </tp>
      <tp>
        <v>31.650000000000002</v>
        <stp/>
        <stp>##V3_BDPV12</stp>
        <stp>COU0 Comdty</stp>
        <stp>PX_MID</stp>
        <stp>[QwackPricer.xlsb.xlsx]Energy!R13C5</stp>
        <tr r="E13" s="3"/>
      </tp>
      <tp t="s">
        <v>#N/A N/A</v>
        <stp/>
        <stp>##V3_BDPV12</stp>
        <stp>COV3 Comdty</stp>
        <stp>PX_MID</stp>
        <stp>[QwackPricer.xlsb.xlsx]Energy!R50C5</stp>
        <tr r="E50" s="3"/>
      </tp>
      <tp>
        <v>-4.05</v>
        <stp/>
        <stp>##V3_BDHV12</stp>
        <stp>AUDUSD25R4y Curncy</stp>
        <stp>PX_LAST</stp>
        <stp>12/05/2020</stp>
        <stp>12/05/2020</stp>
        <stp>[QwackPricer.xlsb.xlsx]FX-IR!R139C5</stp>
        <tr r="E139" s="1"/>
      </tp>
      <tp>
        <v>0.76500000000000001</v>
        <stp/>
        <stp>##V3_BDHV12</stp>
        <stp>AUDUSD25B4y Curncy</stp>
        <stp>PX_LAST</stp>
        <stp>12/05/2020</stp>
        <stp>12/05/2020</stp>
        <stp>[QwackPricer.xlsb.xlsx]FX-IR!R139C7</stp>
        <tr r="G139" s="1"/>
      </tp>
      <tp>
        <v>2.4874999999999998</v>
        <stp/>
        <stp>##V3_BDHV12</stp>
        <stp>AUDUSD10B4y Curncy</stp>
        <stp>PX_LAST</stp>
        <stp>12/05/2020</stp>
        <stp>12/05/2020</stp>
        <stp>[QwackPricer.xlsb.xlsx]FX-IR!R139C8</stp>
        <tr r="H139" s="1"/>
      </tp>
      <tp>
        <v>-7.4574999999999996</v>
        <stp/>
        <stp>##V3_BDHV12</stp>
        <stp>AUDUSD10R4y Curncy</stp>
        <stp>PX_LAST</stp>
        <stp>12/05/2020</stp>
        <stp>12/05/2020</stp>
        <stp>[QwackPricer.xlsb.xlsx]FX-IR!R139C6</stp>
        <tr r="F139" s="1"/>
      </tp>
      <tp>
        <v>-3.6025</v>
        <stp/>
        <stp>##V3_BDHV12</stp>
        <stp>AUDUSD25R9m Curncy</stp>
        <stp>PX_LAST</stp>
        <stp>12/05/2020</stp>
        <stp>12/05/2020</stp>
        <stp>[QwackPricer.xlsb.xlsx]FX-IR!R134C5</stp>
        <tr r="E134" s="1"/>
      </tp>
      <tp>
        <v>0.76</v>
        <stp/>
        <stp>##V3_BDHV12</stp>
        <stp>AUDUSD25B9m Curncy</stp>
        <stp>PX_LAST</stp>
        <stp>12/05/2020</stp>
        <stp>12/05/2020</stp>
        <stp>[QwackPricer.xlsb.xlsx]FX-IR!R134C7</stp>
        <tr r="G134" s="1"/>
      </tp>
      <tp>
        <v>2.2475000000000001</v>
        <stp/>
        <stp>##V3_BDHV12</stp>
        <stp>AUDUSD10B9m Curncy</stp>
        <stp>PX_LAST</stp>
        <stp>12/05/2020</stp>
        <stp>12/05/2020</stp>
        <stp>[QwackPricer.xlsb.xlsx]FX-IR!R134C8</stp>
        <tr r="H134" s="1"/>
      </tp>
      <tp>
        <v>-6.51</v>
        <stp/>
        <stp>##V3_BDHV12</stp>
        <stp>AUDUSD10R9m Curncy</stp>
        <stp>PX_LAST</stp>
        <stp>12/05/2020</stp>
        <stp>12/05/2020</stp>
        <stp>[QwackPricer.xlsb.xlsx]FX-IR!R134C6</stp>
        <tr r="F134" s="1"/>
      </tp>
      <tp>
        <v>7.83</v>
        <stp/>
        <stp>##V3_BDHV12</stp>
        <stp>XPTUSD10B1w Curncy</stp>
        <stp>PX_LAST</stp>
        <stp>12/05/2020</stp>
        <stp>12/05/2020</stp>
        <stp>[QwackPricer.xlsb.xlsx]FX-IR!R179C8</stp>
        <tr r="H179" s="1"/>
      </tp>
      <tp>
        <v>-1.65</v>
        <stp/>
        <stp>##V3_BDHV12</stp>
        <stp>XPTUSD10R1w Curncy</stp>
        <stp>PX_LAST</stp>
        <stp>12/05/2020</stp>
        <stp>12/05/2020</stp>
        <stp>[QwackPricer.xlsb.xlsx]FX-IR!R179C6</stp>
        <tr r="F179" s="1"/>
      </tp>
      <tp>
        <v>-0.75</v>
        <stp/>
        <stp>##V3_BDHV12</stp>
        <stp>XPTUSD25R1w Curncy</stp>
        <stp>PX_LAST</stp>
        <stp>12/05/2020</stp>
        <stp>12/05/2020</stp>
        <stp>[QwackPricer.xlsb.xlsx]FX-IR!R179C5</stp>
        <tr r="E179" s="1"/>
      </tp>
      <tp>
        <v>2</v>
        <stp/>
        <stp>##V3_BDHV12</stp>
        <stp>XPTUSD25B1w Curncy</stp>
        <stp>PX_LAST</stp>
        <stp>12/05/2020</stp>
        <stp>12/05/2020</stp>
        <stp>[QwackPricer.xlsb.xlsx]FX-IR!R179C7</stp>
        <tr r="G179" s="1"/>
      </tp>
      <tp>
        <v>39.950000000000003</v>
        <stp/>
        <stp>##V3_BDHV12</stp>
        <stp>XPTUSDV9m Curncy</stp>
        <stp>PX_LAST</stp>
        <stp>12/05/2020</stp>
        <stp>12/05/2020</stp>
        <stp>[QwackPricer.xlsb.xlsx]FX-IR!R184C4</stp>
        <tr r="D184" s="1"/>
      </tp>
      <tp>
        <v>12.397500000000001</v>
        <stp/>
        <stp>##V3_BDHV12</stp>
        <stp>AUDUSDV4y Curncy</stp>
        <stp>PX_LAST</stp>
        <stp>12/05/2020</stp>
        <stp>12/05/2020</stp>
        <stp>[QwackPricer.xlsb.xlsx]FX-IR!R139C4</stp>
        <tr r="D139" s="1"/>
      </tp>
      <tp>
        <v>18.125</v>
        <stp/>
        <stp>##V3_BDHV12</stp>
        <stp>USDZARV4y Curncy</stp>
        <stp>PX_LAST</stp>
        <stp>12/05/2020</stp>
        <stp>12/05/2020</stp>
        <stp>[QwackPricer.xlsb.xlsx]FX-IR!R106C4</stp>
        <tr r="D106" s="1"/>
      </tp>
      <tp>
        <v>18.285</v>
        <stp/>
        <stp>##V3_BDHV12</stp>
        <stp>USDZARV5y Curncy</stp>
        <stp>PX_LAST</stp>
        <stp>12/05/2020</stp>
        <stp>12/05/2020</stp>
        <stp>[QwackPricer.xlsb.xlsx]FX-IR!R107C4</stp>
        <tr r="D107" s="1"/>
      </tp>
      <tp>
        <v>42.5</v>
        <stp/>
        <stp>##V3_BDHV12</stp>
        <stp>XPTUSDV4y Curncy</stp>
        <stp>PX_LAST</stp>
        <stp>12/05/2020</stp>
        <stp>12/05/2020</stp>
        <stp>[QwackPricer.xlsb.xlsx]FX-IR!R189C4</stp>
        <tr r="D189" s="1"/>
      </tp>
      <tp>
        <v>11.845000000000001</v>
        <stp/>
        <stp>##V3_BDHV12</stp>
        <stp>AUDUSDV9m Curncy</stp>
        <stp>PX_LAST</stp>
        <stp>12/05/2020</stp>
        <stp>12/05/2020</stp>
        <stp>[QwackPricer.xlsb.xlsx]FX-IR!R134C4</stp>
        <tr r="D134" s="1"/>
      </tp>
      <tp>
        <v>-0.46</v>
        <stp/>
        <stp>##V3_BDPV12</stp>
        <stp>FDBSM G22 Index</stp>
        <stp>PX_LAST</stp>
        <stp>[QwackPricer.xlsb.xlsx]Energy!R93C6</stp>
        <tr r="F93" s="3"/>
      </tp>
      <tp>
        <v>-1.25</v>
        <stp/>
        <stp>##V3_BDPV12</stp>
        <stp>FDBSM F21 Index</stp>
        <stp>PX_LAST</stp>
        <stp>[QwackPricer.xlsb.xlsx]Energy!R80C6</stp>
        <tr r="F80" s="3"/>
      </tp>
      <tp>
        <v>-0.65</v>
        <stp/>
        <stp>##V3_BDPV12</stp>
        <stp>FDBSM X21 Index</stp>
        <stp>PX_LAST</stp>
        <stp>[QwackPricer.xlsb.xlsx]Energy!R90C6</stp>
        <tr r="F90" s="3"/>
      </tp>
      <tp>
        <v>46</v>
        <stp/>
        <stp>##V3_BDPV12</stp>
        <stp>COM4 Comdty</stp>
        <stp>PX_MID</stp>
        <stp>[QwackPricer.xlsb.xlsx]Energy!R58C5</stp>
        <tr r="E58" s="3"/>
      </tp>
      <tp>
        <v>-8.44</v>
        <stp/>
        <stp>##V3_BDPV12</stp>
        <stp>FROSM U22 Index</stp>
        <stp>PX_LAST</stp>
        <stp>[QwackPricer.xlsb.xlsx]Energy!R100C14</stp>
        <tr r="N100" s="3"/>
      </tp>
      <tp>
        <v>-216</v>
        <stp/>
        <stp>##V3_BDPV12</stp>
        <stp>LMNIDS 03M21 Comdty</stp>
        <stp>PX_SETTLE</stp>
        <stp>[QwackPricer.xlsb.xlsx]Base!R31C17</stp>
        <tr r="Q31" s="2"/>
      </tp>
      <tp>
        <v>-679</v>
        <stp/>
        <stp>##V3_BDPV12</stp>
        <stp>LMNIDS 03M23 Comdty</stp>
        <stp>PX_SETTLE</stp>
        <stp>[QwackPricer.xlsb.xlsx]Base!R55C17</stp>
        <tr r="Q55" s="2"/>
      </tp>
      <tp>
        <v>-436</v>
        <stp/>
        <stp>##V3_BDPV12</stp>
        <stp>LMNIDS 03M22 Comdty</stp>
        <stp>PX_SETTLE</stp>
        <stp>[QwackPricer.xlsb.xlsx]Base!R43C17</stp>
        <tr r="Q43" s="2"/>
      </tp>
      <tp>
        <v>-94</v>
        <stp/>
        <stp>##V3_BDPV12</stp>
        <stp>LMPBDS 03M23 Comdty</stp>
        <stp>PX_SETTLE</stp>
        <stp>[QwackPricer.xlsb.xlsx]Base!R55C21</stp>
        <tr r="U55" s="2"/>
      </tp>
      <tp>
        <v>-67.5</v>
        <stp/>
        <stp>##V3_BDPV12</stp>
        <stp>LMPBDS 03M22 Comdty</stp>
        <stp>PX_SETTLE</stp>
        <stp>[QwackPricer.xlsb.xlsx]Base!R43C21</stp>
        <tr r="U43" s="2"/>
      </tp>
      <tp>
        <v>-39</v>
        <stp/>
        <stp>##V3_BDPV12</stp>
        <stp>LMPBDS 03M21 Comdty</stp>
        <stp>PX_SETTLE</stp>
        <stp>[QwackPricer.xlsb.xlsx]Base!R31C21</stp>
        <tr r="U31" s="2"/>
      </tp>
      <tp>
        <v>135</v>
        <stp/>
        <stp>##V3_BDPV12</stp>
        <stp>LMSNDS 03M21 Comdty</stp>
        <stp>PX_SETTLE</stp>
        <stp>[QwackPricer.xlsb.xlsx]Base!R31C25</stp>
        <tr r="Y31" s="2"/>
      </tp>
      <tp>
        <v>-85</v>
        <stp/>
        <stp>##V3_BDPV12</stp>
        <stp>LMZSDS 03M23 Comdty</stp>
        <stp>PX_SETTLE</stp>
        <stp>[QwackPricer.xlsb.xlsx]Base!R55C13</stp>
        <tr r="M55" s="2"/>
      </tp>
      <tp>
        <v>-60.75</v>
        <stp/>
        <stp>##V3_BDPV12</stp>
        <stp>LMZSDS 03M22 Comdty</stp>
        <stp>PX_SETTLE</stp>
        <stp>[QwackPricer.xlsb.xlsx]Base!R43C13</stp>
        <tr r="M43" s="2"/>
      </tp>
      <tp>
        <v>-30.75</v>
        <stp/>
        <stp>##V3_BDPV12</stp>
        <stp>LMZSDS 03M21 Comdty</stp>
        <stp>PX_SETTLE</stp>
        <stp>[QwackPricer.xlsb.xlsx]Base!R31C13</stp>
        <tr r="M31" s="2"/>
      </tp>
      <tp>
        <v>1.8199999999999998</v>
        <stp/>
        <stp>##V3_BDHV12</stp>
        <stp>XPDUSD25B3y Curncy</stp>
        <stp>PX_LAST</stp>
        <stp>12/05/2020</stp>
        <stp>12/05/2020</stp>
        <stp>[QwackPricer.xlsb.xlsx]FX-IR!R204C7</stp>
        <tr r="G204" s="1"/>
      </tp>
      <tp>
        <v>3</v>
        <stp/>
        <stp>##V3_BDHV12</stp>
        <stp>XPDUSD25R3y Curncy</stp>
        <stp>PX_LAST</stp>
        <stp>12/05/2020</stp>
        <stp>12/05/2020</stp>
        <stp>[QwackPricer.xlsb.xlsx]FX-IR!R204C5</stp>
        <tr r="E204" s="1"/>
      </tp>
      <tp>
        <v>9.7050000000000001</v>
        <stp/>
        <stp>##V3_BDHV12</stp>
        <stp>XPDUSD10B3y Curncy</stp>
        <stp>PX_LAST</stp>
        <stp>12/05/2020</stp>
        <stp>12/05/2020</stp>
        <stp>[QwackPricer.xlsb.xlsx]FX-IR!R204C8</stp>
        <tr r="H204" s="1"/>
      </tp>
      <tp>
        <v>6.3</v>
        <stp/>
        <stp>##V3_BDHV12</stp>
        <stp>XPDUSD10R3y Curncy</stp>
        <stp>PX_LAST</stp>
        <stp>12/05/2020</stp>
        <stp>12/05/2020</stp>
        <stp>[QwackPricer.xlsb.xlsx]FX-IR!R204C6</stp>
        <tr r="F204" s="1"/>
      </tp>
      <tp>
        <v>0.75</v>
        <stp/>
        <stp>##V3_BDHV12</stp>
        <stp>XPDUSD25R1m Curncy</stp>
        <stp>PX_LAST</stp>
        <stp>12/05/2020</stp>
        <stp>12/05/2020</stp>
        <stp>[QwackPricer.xlsb.xlsx]FX-IR!R196C5</stp>
        <tr r="E196" s="1"/>
      </tp>
      <tp>
        <v>1.885</v>
        <stp/>
        <stp>##V3_BDHV12</stp>
        <stp>XPDUSD25B1m Curncy</stp>
        <stp>PX_LAST</stp>
        <stp>12/05/2020</stp>
        <stp>12/05/2020</stp>
        <stp>[QwackPricer.xlsb.xlsx]FX-IR!R196C7</stp>
        <tr r="G196" s="1"/>
      </tp>
      <tp>
        <v>10.345000000000001</v>
        <stp/>
        <stp>##V3_BDHV12</stp>
        <stp>XPDUSD10B1m Curncy</stp>
        <stp>PX_LAST</stp>
        <stp>12/05/2020</stp>
        <stp>12/05/2020</stp>
        <stp>[QwackPricer.xlsb.xlsx]FX-IR!R196C8</stp>
        <tr r="H196" s="1"/>
      </tp>
      <tp>
        <v>0.97499999999999998</v>
        <stp/>
        <stp>##V3_BDHV12</stp>
        <stp>XPDUSD10R1m Curncy</stp>
        <stp>PX_LAST</stp>
        <stp>12/05/2020</stp>
        <stp>12/05/2020</stp>
        <stp>[QwackPricer.xlsb.xlsx]FX-IR!R196C6</stp>
        <tr r="F196" s="1"/>
      </tp>
      <tp>
        <v>-0.26500000000000001</v>
        <stp/>
        <stp>##V3_BDHV12</stp>
        <stp>EURUSD25R1w Curncy</stp>
        <stp>PX_LAST</stp>
        <stp>12/05/2020</stp>
        <stp>12/05/2020</stp>
        <stp>[QwackPricer.xlsb.xlsx]FX-IR!R113C5</stp>
        <tr r="E113" s="1"/>
      </tp>
      <tp>
        <v>0.2475</v>
        <stp/>
        <stp>##V3_BDHV12</stp>
        <stp>EURUSD25B1w Curncy</stp>
        <stp>PX_LAST</stp>
        <stp>12/05/2020</stp>
        <stp>12/05/2020</stp>
        <stp>[QwackPricer.xlsb.xlsx]FX-IR!R113C7</stp>
        <tr r="G113" s="1"/>
      </tp>
      <tp>
        <v>0.68500000000000005</v>
        <stp/>
        <stp>##V3_BDHV12</stp>
        <stp>EURUSD10B1w Curncy</stp>
        <stp>PX_LAST</stp>
        <stp>12/05/2020</stp>
        <stp>12/05/2020</stp>
        <stp>[QwackPricer.xlsb.xlsx]FX-IR!R113C8</stp>
        <tr r="H113" s="1"/>
      </tp>
      <tp>
        <v>-0.46</v>
        <stp/>
        <stp>##V3_BDHV12</stp>
        <stp>EURUSD10R1w Curncy</stp>
        <stp>PX_LAST</stp>
        <stp>12/05/2020</stp>
        <stp>12/05/2020</stp>
        <stp>[QwackPricer.xlsb.xlsx]FX-IR!R113C6</stp>
        <tr r="F113" s="1"/>
      </tp>
      <tp>
        <v>6.6749999999999998</v>
        <stp/>
        <stp>##V3_BDHV12</stp>
        <stp>EURUSDV1w Curncy</stp>
        <stp>PX_LAST</stp>
        <stp>12/05/2020</stp>
        <stp>12/05/2020</stp>
        <stp>[QwackPricer.xlsb.xlsx]FX-IR!R113C4</stp>
        <tr r="D113" s="1"/>
      </tp>
      <tp>
        <v>64.382499999999993</v>
        <stp/>
        <stp>##V3_BDHV12</stp>
        <stp>XPDUSDV18m Curncy</stp>
        <stp>PX_LAST</stp>
        <stp>12/05/2020</stp>
        <stp>12/05/2020</stp>
        <stp>[QwackPricer.xlsb.xlsx]FX-IR!R202C4</stp>
        <tr r="D202" s="1"/>
      </tp>
      <tp>
        <v>24.247499999999999</v>
        <stp/>
        <stp>##V3_BDHV12</stp>
        <stp>XAUUSDV4y Curncy</stp>
        <stp>PX_LAST</stp>
        <stp>12/05/2020</stp>
        <stp>12/05/2020</stp>
        <stp>[QwackPricer.xlsb.xlsx]FX-IR!R156C4</stp>
        <tr r="D156" s="1"/>
      </tp>
      <tp>
        <v>24.512499999999999</v>
        <stp/>
        <stp>##V3_BDHV12</stp>
        <stp>XAUUSDV5y Curncy</stp>
        <stp>PX_LAST</stp>
        <stp>12/05/2020</stp>
        <stp>12/05/2020</stp>
        <stp>[QwackPricer.xlsb.xlsx]FX-IR!R157C4</stp>
        <tr r="D157" s="1"/>
      </tp>
      <tp>
        <v>32.094999999999999</v>
        <stp/>
        <stp>##V3_BDHV12</stp>
        <stp>XAGUSDV1w Curncy</stp>
        <stp>PX_LAST</stp>
        <stp>12/05/2020</stp>
        <stp>12/05/2020</stp>
        <stp>[QwackPricer.xlsb.xlsx]FX-IR!R163C4</stp>
        <tr r="D163" s="1"/>
      </tp>
      <tp>
        <v>-1.19</v>
        <stp/>
        <stp>##V3_BDPV12</stp>
        <stp>FDBSM G21 Index</stp>
        <stp>PX_LAST</stp>
        <stp>[QwackPricer.xlsb.xlsx]Energy!R81C6</stp>
        <tr r="F81" s="3"/>
      </tp>
      <tp>
        <v>-0.52</v>
        <stp/>
        <stp>##V3_BDPV12</stp>
        <stp>FDBSM F22 Index</stp>
        <stp>PX_LAST</stp>
        <stp>[QwackPricer.xlsb.xlsx]Energy!R92C6</stp>
        <tr r="F92" s="3"/>
      </tp>
      <tp>
        <v>-0.57999999999999996</v>
        <stp/>
        <stp>##V3_BDPV12</stp>
        <stp>FDBSM Z21 Index</stp>
        <stp>PX_LAST</stp>
        <stp>[QwackPricer.xlsb.xlsx]Energy!R91C6</stp>
        <tr r="F91" s="3"/>
      </tp>
      <tp t="s">
        <v>#N/A N/A</v>
        <stp/>
        <stp>##V3_BDPV12</stp>
        <stp>CON4 Comdty</stp>
        <stp>PX_MID</stp>
        <stp>[QwackPricer.xlsb.xlsx]Energy!R59C5</stp>
        <tr r="E59" s="3"/>
      </tp>
      <tp>
        <v>1.4950000000000001</v>
        <stp/>
        <stp>##V3_BDHV12</stp>
        <stp>EURUSD10B2y Curncy</stp>
        <stp>PX_LAST</stp>
        <stp>12/05/2020</stp>
        <stp>12/05/2020</stp>
        <stp>[QwackPricer.xlsb.xlsx]FX-IR!R121C8</stp>
        <tr r="H121" s="1"/>
      </tp>
      <tp>
        <v>-1.9725000000000001</v>
        <stp/>
        <stp>##V3_BDHV12</stp>
        <stp>EURUSD10R2y Curncy</stp>
        <stp>PX_LAST</stp>
        <stp>12/05/2020</stp>
        <stp>12/05/2020</stp>
        <stp>[QwackPricer.xlsb.xlsx]FX-IR!R121C6</stp>
        <tr r="F121" s="1"/>
      </tp>
      <tp>
        <v>-2.9050000000000002</v>
        <stp/>
        <stp>##V3_BDHV12</stp>
        <stp>AUDUSD25R2m Curncy</stp>
        <stp>PX_LAST</stp>
        <stp>12/05/2020</stp>
        <stp>12/05/2020</stp>
        <stp>[QwackPricer.xlsb.xlsx]FX-IR!R131C5</stp>
        <tr r="E131" s="1"/>
      </tp>
      <tp>
        <v>0.64</v>
        <stp/>
        <stp>##V3_BDHV12</stp>
        <stp>AUDUSD25B2m Curncy</stp>
        <stp>PX_LAST</stp>
        <stp>12/05/2020</stp>
        <stp>12/05/2020</stp>
        <stp>[QwackPricer.xlsb.xlsx]FX-IR!R131C7</stp>
        <tr r="G131" s="1"/>
      </tp>
      <tp>
        <v>1.9</v>
        <stp/>
        <stp>##V3_BDHV12</stp>
        <stp>AUDUSD10B2m Curncy</stp>
        <stp>PX_LAST</stp>
        <stp>12/05/2020</stp>
        <stp>12/05/2020</stp>
        <stp>[QwackPricer.xlsb.xlsx]FX-IR!R131C8</stp>
        <tr r="H131" s="1"/>
      </tp>
      <tp>
        <v>-5.1950000000000003</v>
        <stp/>
        <stp>##V3_BDHV12</stp>
        <stp>AUDUSD10R2m Curncy</stp>
        <stp>PX_LAST</stp>
        <stp>12/05/2020</stp>
        <stp>12/05/2020</stp>
        <stp>[QwackPricer.xlsb.xlsx]FX-IR!R131C6</stp>
        <tr r="F131" s="1"/>
      </tp>
      <tp>
        <v>-1.04</v>
        <stp/>
        <stp>##V3_BDHV12</stp>
        <stp>EURUSD25R2y Curncy</stp>
        <stp>PX_LAST</stp>
        <stp>12/05/2020</stp>
        <stp>12/05/2020</stp>
        <stp>[QwackPricer.xlsb.xlsx]FX-IR!R121C5</stp>
        <tr r="E121" s="1"/>
      </tp>
      <tp>
        <v>0.43</v>
        <stp/>
        <stp>##V3_BDHV12</stp>
        <stp>EURUSD25B2y Curncy</stp>
        <stp>PX_LAST</stp>
        <stp>12/05/2020</stp>
        <stp>12/05/2020</stp>
        <stp>[QwackPricer.xlsb.xlsx]FX-IR!R121C7</stp>
        <tr r="G121" s="1"/>
      </tp>
      <tp t="s">
        <v>43598{%f},70.23{%f};43599{%f},71.24{%f};43600{%f},71.77{%f};43601{%f},72.62{%f};43602{%f},72.21{%f};43605{%f},71.97{%f};43606{%f},72.18{%f};43607{%f},70.99{%f};43608{%f},67.76{%f};43609{%f},68.69{%f};43612{%f},70.11{%f};43613{%f},70.11{%f};43614{%f},69.45{%f};43615{%f},66.87{%f};43616{%f},64.49{%f};43619{%f},61.28{%f};43620{%f},61.97{%f};43621{%f},60.63{%f};43622{%f},61.67{%f};43623{%f},63.29{%f};43626{%f},62.29{%f};43627{%f},62.29{%f};43628{%f},59.97{%f};43629{%f},61.31{%f};43630{%f},62.01{%f};43633{%f},60.94{%f};43634{%f},62.14{%f};43635{%f},61.82{%f};43636{%f},64.45{%f};43637{%f},65.2{%f};43640{%f},64.86{%f};43641{%f},65.05{%f};43642{%f},66.49{%f};43643{%f},66.55{%f};43644{%f},66.55{%f};43647{%f},65.06{%f};43648{%f},62.4{%f};43649{%f},63.82{%f};43650{%f},63.3{%f};43651{%f},64.23{%f};43654{%f},64.11{%f};43655{%f},64.16{%f};43656{%f},67.01{%f};43657{%f},66.52{%f};43658{%f},66.72{%f};43661{%f},66.48{%f};43662{%f},64.35{%f};43663{%f},63.66{%f};43664{%f},61.93{%f};43665{%f},62.47{%f};43668{%f},63.26{%f};43669{%f},63.83{%f};43670{%f},63.18{%f};43671{%f},63.39{%f};43672{%f},63.46{%f};43675{%f},63.71{%f};43676{%f},64.72{%f};43677{%f},65.17{%f};43678{%f},60.5{%f};43679{%f},61.89{%f};43682{%f},59.81{%f};43683{%f},58.94{%f};43684{%f},56.23{%f};43685{%f},57.38{%f};43686{%f},58.53{%f};43689{%f},58.57{%f};43690{%f},61.3{%f};43691{%f},59.48{%f};43692{%f},58.23{%f};43693{%f},58.64{%f};43696{%f},59.74{%f};43697{%f},60.03{%f};43698{%f},60.3{%f};43699{%f},59.92{%f};43700{%f},59.34{%f};43703{%f},58.7{%f};43704{%f},59.51{%f};43705{%f},60.49{%f};43706{%f},61.08{%f};43707{%f},60.43{%f};43710{%f},58.66{%f};43711{%f},58.26{%f};43712{%f},60.7{%f};43713{%f},60.95{%f};43714{%f},61.54{%f};43717{%f},62.59{%f};43718{%f},62.38{%f};43719{%f},60.81{%f};43720{%f},60.38{%f};43721{%f},60.22{%f};43724{%f},69.02{%f};43725{%f},64.55{%f};43726{%f},63.6{%f};43727{%f},64.4{%f};43728{%f},64.28{%f};43731{%f},64.77{%f};43732{%f},63.1{%f};43733{%f},62.39{%f};43734{%f},62.74{%f};43735{%f},61.91{%f};43738{%f},60.78{%f};43739{%f},58.89{%f};43740{%f},57.69{%f};43741{%f},57.71{%f};43742{%f},58.37{%f};43745{%f},58.35{%f};43746{%f},58.24{%f};43747{%f},58.32{%f};43748{%f},59.1{%f};43749{%f},60.51{%f};43752{%f},59.35{%f};43753{%f},58.74{%f};43754{%f},59.42{%f};43755{%f},59.91{%f};43756{%f},59.42{%f};43759{%f},58.96{%f};43760{%f},59.7{%f};43761{%f},61.17{%f};43762{%f},61.67{%f};43763{%f},62.02{%f};43766{%f},61.57{%f};43767{%f},61.59{%f};43768{%f},60.61{%f};43769{%f},60.23{%f};43770{%f},61.69{%f};43773{%f},62.13{%f};43774{%f},62.96{%f};43775{%f},61.74{%f};43776{%f},62.29{%f};43777{%f},62.51{%f};43780{%f},62.18{%f};43781{%f},62.06{%f};43782{%f},62.37{%f};43783{%f},62.28{%f};43784{%f},63.3{%f};43787{%f},62.44{%f};43788{%f},60.91{%f};43789{%f},62.4{%f};43790{%f},63.97{%f};43791{%f},63.39{%f};43794{%f},63.65{%f};43795{%f},64.27{%f};43796{%f},64.06{%f};43797{%f},63.87{%f};43798{%f},62.43{%f};43801{%f},60.92{%f};43802{%f},60.82{%f};43803{%f},63{%f};43804{%f},63.39{%f};43805{%f},64.39{%f};43808{%f},64.25{%f};43809{%f},64.34{%f};43810{%f},63.72{%f};43811{%f},64.2{%f};43812{%f},65.22{%f};43815{%f},65.34{%f};43816{%f},66.1{%f};43817{%f},66.17{%f};43818{%f},66.54{%f};43819{%f},66.14{%f};43822{%f},66.39{%f};43823{%f},67.2{%f};43825{%f},67.92{%f};43826{%f},68.16{%f};43829{%f},68.44{%f};43830{%f},66{%f};43832{%f},66.25{%f};43833{%f},68.6{%f};43836{%f},68.91{%f};43837{%f},68.27{%f};43838{%f},65.44{%f};43839{%f},65.37{%f};43840{%f},64.98{%f};43843{%f},64.2{%f};43844{%f},64.49{%f};43845{%f},64{%f};43846{%f},64.62{%f};43847{%f},64.85{%f};43850{%f},65.2{%f};43851{%f},64.59{%f};43852{%f},63.21{%f};43853{%f},62.04{%f};43854{%f},60.69{%f};43857{%f},59.32{%f};43858{%f},59.51{%f};43859{%f},59.81{%f};43860{%f},58.29{%f};43861{%f},58.16{%f};43864{%f},54.45{%f};43865{%f},53.96{%f};43866{%f},55.28{%f};43867{%f},54.93{%f};43868{%f},54.47{%f};43871{%f},53.27{%f};43872{%f},54.01{%f};43873{%f},55.79{%f};43874{%f},56.34{%f};43875{%f},57.32{%f};43878{%f},57.67{%f};43879{%f},57.75{%f};43880{%f},59.12{%f};43881{%f},59.31{%f};43882{%f},58.5{%f};43885{%f},56.3{%f};43886{%f},54.95{%f};43887{%f},53.43{%f};43888{%f},52.18{%f};43889{%f},50.52{%f};43892{%f},51.9{%f};43893{%f},51.86{%f};43894{%f},51.13{%f};43895{%f},49.99{%f};43896{%f},45.27{%f};43899{%f},34.36{%f};43900{%f},37.22{%f};43901{%f},35.79{%f};43902{%f},33.22{%f};43903{%f},33.85{%f};43906{%f},30.05{%f};43907{%f},28.73{%f};43908{%f},24.88{%f};43909{%f},28.47{%f};43910{%f},26.98{%f};43913{%f},27.03{%f};43914{%f},27.15{%f};43915{%f},27.39{%f};43916{%f},26.34{%f};43917{%f},24.93{%f};43920{%f},22.76{%f};43921{%f},22.74{%f};43922{%f},24.74{%f};43923{%f},29.94{%f};43924{%f},34.11{%f};43927{%f},33.05{%f};43928{%f},31.87{%f};43929{%f},32.84{%f};43930{%f},31.48{%f};43934{%f},31.74{%f};43935{%f},29.6{%f};43936{%f},27.69{%f};43937{%f},27.82{%f};43938{%f},28.08{%f};43941{%f},25.57{%f};43942{%f},19.33{%f};43943{%f},20.37{%f};43944{%f},21.33{%f};43945{%f},21.44{%f};43948{%f},19.99{%f};43949{%f},20.46{%f};43950{%f},22.54{%f};43951{%f},25.27{%f};43952{%f},26.44{%f};43955{%f},27.2{%f};43956{%f},30.97{%f};43957{%f},29.72{%f};43958{%f},29.46{%f};43959{%f},30.97{%f};43962{%f},29.63{%f};43963{%f},29.91{%f}##BDH_RS##</v>
        <stp/>
        <stp>##V3_BDHV12</stp>
        <stp>CO1 Comdty</stp>
        <stp>PX_LAST</stp>
        <stp>13/05/2019</stp>
        <stp>12/05/2020</stp>
        <stp>[QwackPricer.xlsb.xlsx]Energy!R105C3</stp>
        <stp>Array=true</stp>
        <tr r="C105" s="3"/>
      </tp>
      <tp t="s">
        <v>43598{%f},69.31{%f};43599{%f},70.31{%f};43600{%f},70.9{%f};43601{%f},71.7{%f};43602{%f},71.26{%f};43605{%f},71.16{%f};43606{%f},71.31{%f};43607{%f},69.99{%f};43608{%f},66.5{%f};43609{%f},67.47{%f};43612{%f},68.77{%f};43613{%f},68.67{%f};43614{%f},67.87{%f};43615{%f},65.33{%f};43616{%f},61.99{%f};43619{%f},60.46{%f};43620{%f},61.08{%f};43621{%f},59.53{%f};43622{%f},60.52{%f};43623{%f},62.18{%f};43626{%f},61.34{%f};43627{%f},61.45{%f};43628{%f},59.19{%f};43629{%f},60.45{%f};43630{%f},61.01{%f};43633{%f},59.99{%f};43634{%f},61.33{%f};43635{%f},61.04{%f};43636{%f},63.76{%f};43637{%f},64.45{%f};43640{%f},64.18{%f};43641{%f},64.28{%f};43642{%f},65.69{%f};43643{%f},65.67{%f};43644{%f},64.74{%f};43647{%f},64.76{%f};43648{%f},62.16{%f};43649{%f},63.51{%f};43650{%f},62.95{%f};43651{%f},63.84{%f};43654{%f},63.82{%f};43655{%f},63.93{%f};43656{%f},66.69{%f};43657{%f},66.22{%f};43658{%f},66.34{%f};43661{%f},65.92{%f};43662{%f},63.84{%f};43663{%f},63.19{%f};43664{%f},61.59{%f};43665{%f},62.28{%f};43668{%f},63.03{%f};43669{%f},63.75{%f};43670{%f},63.08{%f};43671{%f},63.26{%f};43672{%f},63.37{%f};43675{%f},63.62{%f};43676{%f},64.63{%f};43677{%f},65.05{%f};43678{%f},59.96{%f};43679{%f},61.32{%f};43682{%f},59.35{%f};43683{%f},58.53{%f};43684{%f},55.93{%f};43685{%f},57.04{%f};43686{%f},58.19{%f};43689{%f},58.3{%f};43690{%f},60.92{%f};43691{%f},59.07{%f};43692{%f},57.79{%f};43693{%f},58.16{%f};43696{%f},59.22{%f};43697{%f},59.58{%f};43698{%f},59.86{%f};43699{%f},59.5{%f};43700{%f},58.8{%f};43703{%f},58.12{%f};43704{%f},59.03{%f};43705{%f},59.93{%f};43706{%f},60.49{%f};43707{%f},59.25{%f};43710{%f},57.86{%f};43711{%f},57.47{%f};43712{%f},59.83{%f};43713{%f},60.04{%f};43714{%f},60.57{%f};43717{%f},61.63{%f};43718{%f},61.44{%f};43719{%f},59.94{%f};43720{%f},59.46{%f};43721{%f},59.25{%f};43724{%f},67.68{%f};43725{%f},63.56{%f};43726{%f},62.66{%f};43727{%f},63.33{%f};43728{%f},63.2{%f};43731{%f},63.73{%f};43732{%f},62.12{%f};43733{%f},61.43{%f};43734{%f},61.74{%f};43735{%f},61.04{%f};43738{%f},59.25{%f};43739{%f},58.17{%f};43740{%f},57.04{%f};43741{%f},57.06{%f};43742{%f},57.74{%f};43745{%f},57.82{%f};43746{%f},57.76{%f};43747{%f},57.84{%f};43748{%f},58.65{%f};43749{%f},60.12{%f};43752{%f},59.12{%f};43753{%f},58.54{%f};43754{%f},59.16{%f};43755{%f},59.46{%f};43756{%f},59.09{%f};43759{%f},58.68{%f};43760{%f},59.44{%f};43761{%f},60.87{%f};43762{%f},61.39{%f};43763{%f},61.73{%f};43766{%f},61.25{%f};43767{%f},61.23{%f};43768{%f},60.24{%f};43769{%f},59.62{%f};43770{%f},60.97{%f};43773{%f},61.35{%f};43774{%f},62.13{%f};43775{%f},60.89{%f};43776{%f},61.41{%f};43777{%f},61.62{%f};43780{%f},61.3{%f};43781{%f},61.24{%f};43782{%f},61.54{%f};43783{%f},61.41{%f};43784{%f},62.4{%f};43787{%f},61.53{%f};43788{%f},60.02{%f};43789{%f},61.47{%f};43790{%f},62.94{%f};43791{%f},62.37{%f};43794{%f},62.62{%f};43795{%f},63.21{%f};43796{%f},63.01{%f};43797{%f},63.27{%f};43798{%f},60.49{%f};43801{%f},60.23{%f};43802{%f},60.11{%f};43803{%f},62.2{%f};43804{%f},62.48{%f};43805{%f},63.39{%f};43808{%f},63.28{%f};43809{%f},63.46{%f};43810{%f},62.82{%f};43811{%f},63.28{%f};43812{%f},64.25{%f};43815{%f},64.41{%f};43816{%f},65.15{%f};43817{%f},65.23{%f};43818{%f},65.59{%f};43819{%f},65.2{%f};43822{%f},65.42{%f};43823{%f},66.16{%f};43825{%f},66.76{%f};43826{%f},66.87{%f};43829{%f},66.67{%f};43830{%f},65.29{%f};43832{%f},65.56{%f};43833{%f},67.76{%f};43836{%f},68.07{%f};43837{%f},67.57{%f};43838{%f},64.79{%f};43839{%f},64.66{%f};43840{%f},64.25{%f};43843{%f},63.48{%f};43844{%f},63.71{%f};43845{%f},63.21{%f};43846{%f},63.81{%f};43847{%f},64.03{%f};43850{%f},64.34{%f};43851{%f},63.83{%f};43852{%f},62.45{%f};43853{%f},61.28{%f};43854{%f},59.89{%f};43857{%f},58.58{%f};43858{%f},58.81{%f};43859{%f},58.91{%f};43860{%f},57.33{%f};43861{%f},56.62{%f};43864{%f},54.61{%f};43865{%f},54.13{%f};43866{%f},55.43{%f};43867{%f},55.26{%f};43868{%f},54.8{%f};43871{%f},53.57{%f};43872{%f},54.21{%f};43873{%f},55.91{%f};43874{%f},56.38{%f};43875{%f},57.2{%f};43878{%f},57.49{%f};43879{%f},57.51{%f};43880{%f},58.72{%f};43881{%f},58.8{%f};43882{%f},57.94{%f};43885{%f},55.77{%f};43886{%f},54.26{%f};43887{%f},52.81{%f};43888{%f},51.73{%f};43889{%f},49.67{%f};43892{%f},51.75{%f};43893{%f},51.77{%f};43894{%f},51.25{%f};43895{%f},50.17{%f};43896{%f},45.52{%f};43899{%f},35.1{%f};43900{%f},38.09{%f};43901{%f},37.23{%f};43902{%f},35.2{%f};43903{%f},35.44{%f};43906{%f},31.69{%f};43907{%f},30.41{%f};43908{%f},26.69{%f};43909{%f},30.3{%f};43910{%f},29{%f};43913{%f},29.29{%f};43914{%f},29.74{%f};43915{%f},29.99{%f};43916{%f},28.65{%f};43917{%f},27.95{%f};43920{%f},26.42{%f};43921{%f},26.35{%f};43922{%f},28.04{%f};43923{%f},32.1{%f};43924{%f},35.48{%f};43927{%f},34.89{%f};43928{%f},34.49{%f};43929{%f},35.12{%f};43930{%f},34.18{%f};43934{%f},34.91{%f};43935{%f},33.57{%f};43936{%f},31.44{%f};43937{%f},31.55{%f};43938{%f},31.58{%f};43941{%f},29.21{%f};43942{%f},23.12{%f};43943{%f},24.06{%f};43944{%f},24.79{%f};43945{%f},24.81{%f};43948{%f},23.07{%f};43949{%f},22.74{%f};43950{%f},24.23{%f};43951{%f},26.48{%f};43952{%f},28.07{%f};43955{%f},28.68{%f};43956{%f},31.91{%f};43957{%f},30.6{%f};43958{%f},30.4{%f};43959{%f},32.08{%f};43962{%f},30.65{%f};43963{%f},30.79{%f}##BDH_RS##</v>
        <stp/>
        <stp>##V3_BDHV12</stp>
        <stp>CO2 Comdty</stp>
        <stp>PX_LAST</stp>
        <stp>13/05/2019</stp>
        <stp>12/05/2020</stp>
        <stp>[QwackPricer.xlsb.xlsx]Energy!R105C3</stp>
        <stp>Array=true</stp>
        <tr r="C105" s="3"/>
      </tp>
      <tp>
        <v>41</v>
        <stp/>
        <stp>##V3_BDHV12</stp>
        <stp>XPTUSDV2m Curncy</stp>
        <stp>PX_LAST</stp>
        <stp>12/05/2020</stp>
        <stp>12/05/2020</stp>
        <stp>[QwackPricer.xlsb.xlsx]FX-IR!R181C4</stp>
        <tr r="D181" s="1"/>
      </tp>
      <tp>
        <v>7.7975000000000003</v>
        <stp/>
        <stp>##V3_BDHV12</stp>
        <stp>EURUSDV2y Curncy</stp>
        <stp>PX_LAST</stp>
        <stp>12/05/2020</stp>
        <stp>12/05/2020</stp>
        <stp>[QwackPricer.xlsb.xlsx]FX-IR!R121C4</stp>
        <tr r="D121" s="1"/>
      </tp>
      <tp>
        <v>64</v>
        <stp/>
        <stp>##V3_BDHV12</stp>
        <stp>XPDUSDV5y Curncy</stp>
        <stp>PX_LAST</stp>
        <stp>12/05/2020</stp>
        <stp>12/05/2020</stp>
        <stp>[QwackPricer.xlsb.xlsx]FX-IR!R206C4</stp>
        <tr r="D206" s="1"/>
      </tp>
      <tp>
        <v>22.774999999999999</v>
        <stp/>
        <stp>##V3_BDHV12</stp>
        <stp>XAUUSDV1y Curncy</stp>
        <stp>PX_LAST</stp>
        <stp>12/05/2020</stp>
        <stp>12/05/2020</stp>
        <stp>[QwackPricer.xlsb.xlsx]FX-IR!R152C4</stp>
        <tr r="D152" s="1"/>
      </tp>
      <tp>
        <v>38.25</v>
        <stp/>
        <stp>##V3_BDHV12</stp>
        <stp>XAGUSDV2y Curncy</stp>
        <stp>PX_LAST</stp>
        <stp>12/05/2020</stp>
        <stp>12/05/2020</stp>
        <stp>[QwackPricer.xlsb.xlsx]FX-IR!R171C4</stp>
        <tr r="D171" s="1"/>
      </tp>
      <tp>
        <v>23.274999999999999</v>
        <stp/>
        <stp>##V3_BDHV12</stp>
        <stp>XAUUSDV18m Curncy</stp>
        <stp>PX_LAST</stp>
        <stp>12/05/2020</stp>
        <stp>12/05/2020</stp>
        <stp>[QwackPricer.xlsb.xlsx]FX-IR!R153C4</stp>
        <tr r="D153" s="1"/>
      </tp>
      <tp>
        <v>12.35</v>
        <stp/>
        <stp>##V3_BDHV12</stp>
        <stp>AUDUSDV2m Curncy</stp>
        <stp>PX_LAST</stp>
        <stp>12/05/2020</stp>
        <stp>12/05/2020</stp>
        <stp>[QwackPricer.xlsb.xlsx]FX-IR!R131C4</stp>
        <tr r="D131" s="1"/>
      </tp>
      <tp>
        <v>-1.96</v>
        <stp/>
        <stp>##V3_BDPV12</stp>
        <stp>FDBSM M20 Index</stp>
        <stp>PX_LAST</stp>
        <stp>[QwackPricer.xlsb.xlsx]Energy!R73C6</stp>
        <tr r="F73" s="3"/>
      </tp>
      <tp>
        <v>-1.1299999999999999</v>
        <stp/>
        <stp>##V3_BDPV12</stp>
        <stp>FDBSM H21 Index</stp>
        <stp>PX_LAST</stp>
        <stp>[QwackPricer.xlsb.xlsx]Energy!R82C6</stp>
        <tr r="F82" s="3"/>
      </tp>
      <tp>
        <v>0.105</v>
        <stp/>
        <stp>##V3_BDHV12</stp>
        <stp>XPTUSD25R6m Curncy</stp>
        <stp>PX_LAST</stp>
        <stp>12/05/2020</stp>
        <stp>12/05/2020</stp>
        <stp>[QwackPricer.xlsb.xlsx]FX-IR!R183C5</stp>
        <tr r="E183" s="1"/>
      </tp>
      <tp>
        <v>1.4650000000000001</v>
        <stp/>
        <stp>##V3_BDHV12</stp>
        <stp>XPTUSD25B6m Curncy</stp>
        <stp>PX_LAST</stp>
        <stp>12/05/2020</stp>
        <stp>12/05/2020</stp>
        <stp>[QwackPricer.xlsb.xlsx]FX-IR!R183C7</stp>
        <tr r="G183" s="1"/>
      </tp>
      <tp>
        <v>5.3849999999999998</v>
        <stp/>
        <stp>##V3_BDHV12</stp>
        <stp>XPTUSD10B6m Curncy</stp>
        <stp>PX_LAST</stp>
        <stp>12/05/2020</stp>
        <stp>12/05/2020</stp>
        <stp>[QwackPricer.xlsb.xlsx]FX-IR!R183C8</stp>
        <tr r="H183" s="1"/>
      </tp>
      <tp>
        <v>-0.05</v>
        <stp/>
        <stp>##V3_BDHV12</stp>
        <stp>XPTUSD10R6m Curncy</stp>
        <stp>PX_LAST</stp>
        <stp>12/05/2020</stp>
        <stp>12/05/2020</stp>
        <stp>[QwackPricer.xlsb.xlsx]FX-IR!R183C6</stp>
        <tr r="F183" s="1"/>
      </tp>
      <tp>
        <v>1</v>
        <stp/>
        <stp>##V3_BDHV12</stp>
        <stp>XPTUSD25R5y Curncy</stp>
        <stp>PX_LAST</stp>
        <stp>12/05/2020</stp>
        <stp>12/05/2020</stp>
        <stp>[QwackPricer.xlsb.xlsx]FX-IR!R190C5</stp>
        <tr r="E190" s="1"/>
      </tp>
      <tp>
        <v>0.75</v>
        <stp/>
        <stp>##V3_BDHV12</stp>
        <stp>XPTUSD25R2y Curncy</stp>
        <stp>PX_LAST</stp>
        <stp>12/05/2020</stp>
        <stp>12/05/2020</stp>
        <stp>[QwackPricer.xlsb.xlsx]FX-IR!R187C5</stp>
        <tr r="E187" s="1"/>
      </tp>
      <tp>
        <v>1.395</v>
        <stp/>
        <stp>##V3_BDHV12</stp>
        <stp>XPTUSD25B5y Curncy</stp>
        <stp>PX_LAST</stp>
        <stp>12/05/2020</stp>
        <stp>12/05/2020</stp>
        <stp>[QwackPricer.xlsb.xlsx]FX-IR!R190C7</stp>
        <tr r="G190" s="1"/>
      </tp>
      <tp>
        <v>1.42</v>
        <stp/>
        <stp>##V3_BDHV12</stp>
        <stp>XPTUSD25B2y Curncy</stp>
        <stp>PX_LAST</stp>
        <stp>12/05/2020</stp>
        <stp>12/05/2020</stp>
        <stp>[QwackPricer.xlsb.xlsx]FX-IR!R187C7</stp>
        <tr r="G187" s="1"/>
      </tp>
      <tp>
        <v>4.3949999999999996</v>
        <stp/>
        <stp>##V3_BDHV12</stp>
        <stp>XPTUSD10B5y Curncy</stp>
        <stp>PX_LAST</stp>
        <stp>12/05/2020</stp>
        <stp>12/05/2020</stp>
        <stp>[QwackPricer.xlsb.xlsx]FX-IR!R190C8</stp>
        <tr r="H190" s="1"/>
      </tp>
      <tp>
        <v>5.0449999999999999</v>
        <stp/>
        <stp>##V3_BDHV12</stp>
        <stp>XPTUSD10B2y Curncy</stp>
        <stp>PX_LAST</stp>
        <stp>12/05/2020</stp>
        <stp>12/05/2020</stp>
        <stp>[QwackPricer.xlsb.xlsx]FX-IR!R187C8</stp>
        <tr r="H187" s="1"/>
      </tp>
      <tp>
        <v>1.65</v>
        <stp/>
        <stp>##V3_BDHV12</stp>
        <stp>XPTUSD10R5y Curncy</stp>
        <stp>PX_LAST</stp>
        <stp>12/05/2020</stp>
        <stp>12/05/2020</stp>
        <stp>[QwackPricer.xlsb.xlsx]FX-IR!R190C6</stp>
        <tr r="F190" s="1"/>
      </tp>
      <tp>
        <v>1.425</v>
        <stp/>
        <stp>##V3_BDHV12</stp>
        <stp>XPTUSD10R2y Curncy</stp>
        <stp>PX_LAST</stp>
        <stp>12/05/2020</stp>
        <stp>12/05/2020</stp>
        <stp>[QwackPricer.xlsb.xlsx]FX-IR!R187C6</stp>
        <tr r="F187" s="1"/>
      </tp>
      <tp>
        <v>1.25</v>
        <stp/>
        <stp>##V3_BDHV12</stp>
        <stp>XPDUSD25R2m Curncy</stp>
        <stp>PX_LAST</stp>
        <stp>12/05/2020</stp>
        <stp>12/05/2020</stp>
        <stp>[QwackPricer.xlsb.xlsx]FX-IR!R197C5</stp>
        <tr r="E197" s="1"/>
      </tp>
      <tp>
        <v>1.8900000000000001</v>
        <stp/>
        <stp>##V3_BDHV12</stp>
        <stp>XPDUSD25B2m Curncy</stp>
        <stp>PX_LAST</stp>
        <stp>12/05/2020</stp>
        <stp>12/05/2020</stp>
        <stp>[QwackPricer.xlsb.xlsx]FX-IR!R197C7</stp>
        <tr r="G197" s="1"/>
      </tp>
      <tp>
        <v>10.33</v>
        <stp/>
        <stp>##V3_BDHV12</stp>
        <stp>XPDUSD10B2m Curncy</stp>
        <stp>PX_LAST</stp>
        <stp>12/05/2020</stp>
        <stp>12/05/2020</stp>
        <stp>[QwackPricer.xlsb.xlsx]FX-IR!R197C8</stp>
        <tr r="H197" s="1"/>
      </tp>
      <tp>
        <v>1.7</v>
        <stp/>
        <stp>##V3_BDHV12</stp>
        <stp>XPDUSD10R2m Curncy</stp>
        <stp>PX_LAST</stp>
        <stp>12/05/2020</stp>
        <stp>12/05/2020</stp>
        <stp>[QwackPricer.xlsb.xlsx]FX-IR!R197C6</stp>
        <tr r="F197" s="1"/>
      </tp>
      <tp>
        <v>65.25</v>
        <stp/>
        <stp>##V3_BDHV12</stp>
        <stp>XPDUSDV1y Curncy</stp>
        <stp>PX_LAST</stp>
        <stp>12/05/2020</stp>
        <stp>12/05/2020</stp>
        <stp>[QwackPricer.xlsb.xlsx]FX-IR!R201C4</stp>
        <tr r="D201" s="1"/>
      </tp>
      <tp>
        <v>37.582500000000003</v>
        <stp/>
        <stp>##V3_BDHV12</stp>
        <stp>XAGUSDV18m Curncy</stp>
        <stp>PX_LAST</stp>
        <stp>12/05/2020</stp>
        <stp>12/05/2020</stp>
        <stp>[QwackPricer.xlsb.xlsx]FX-IR!R170C4</stp>
        <tr r="D170" s="1"/>
      </tp>
      <tp>
        <v>-2.2400000000000002</v>
        <stp/>
        <stp>##V3_BDPV12</stp>
        <stp>FDBSM K20 Index</stp>
        <stp>PX_LAST</stp>
        <stp>[QwackPricer.xlsb.xlsx]Energy!R72C6</stp>
        <tr r="F72" s="3"/>
      </tp>
      <tp>
        <v>-1.07</v>
        <stp/>
        <stp>##V3_BDPV12</stp>
        <stp>FDBSM J21 Index</stp>
        <stp>PX_LAST</stp>
        <stp>[QwackPricer.xlsb.xlsx]Energy!R83C6</stp>
        <tr r="F83" s="3"/>
      </tp>
      <tp>
        <v>-237</v>
        <stp/>
        <stp>##V3_BDPV12</stp>
        <stp>LMNIDS 03N21 Comdty</stp>
        <stp>PX_SETTLE</stp>
        <stp>[QwackPricer.xlsb.xlsx]Base!R32C17</stp>
        <tr r="Q32" s="2"/>
      </tp>
      <tp>
        <v>-698</v>
        <stp/>
        <stp>##V3_BDPV12</stp>
        <stp>LMNIDS 03N23 Comdty</stp>
        <stp>PX_SETTLE</stp>
        <stp>[QwackPricer.xlsb.xlsx]Base!R56C17</stp>
        <tr r="Q56" s="2"/>
      </tp>
      <tp>
        <v>-457</v>
        <stp/>
        <stp>##V3_BDPV12</stp>
        <stp>LMNIDS 03N22 Comdty</stp>
        <stp>PX_SETTLE</stp>
        <stp>[QwackPricer.xlsb.xlsx]Base!R44C17</stp>
        <tr r="Q44" s="2"/>
      </tp>
      <tp>
        <v>-96</v>
        <stp/>
        <stp>##V3_BDPV12</stp>
        <stp>LMPBDS 03N23 Comdty</stp>
        <stp>PX_SETTLE</stp>
        <stp>[QwackPricer.xlsb.xlsx]Base!R56C21</stp>
        <tr r="U56" s="2"/>
      </tp>
      <tp>
        <v>-69.75</v>
        <stp/>
        <stp>##V3_BDPV12</stp>
        <stp>LMPBDS 03N22 Comdty</stp>
        <stp>PX_SETTLE</stp>
        <stp>[QwackPricer.xlsb.xlsx]Base!R44C21</stp>
        <tr r="U44" s="2"/>
      </tp>
      <tp>
        <v>-41</v>
        <stp/>
        <stp>##V3_BDPV12</stp>
        <stp>LMPBDS 03N21 Comdty</stp>
        <stp>PX_SETTLE</stp>
        <stp>[QwackPricer.xlsb.xlsx]Base!R32C21</stp>
        <tr r="U32" s="2"/>
      </tp>
      <tp>
        <v>145</v>
        <stp/>
        <stp>##V3_BDPV12</stp>
        <stp>LMSNDS 03N21 Comdty</stp>
        <stp>PX_SETTLE</stp>
        <stp>[QwackPricer.xlsb.xlsx]Base!R32C25</stp>
        <tr r="Y32" s="2"/>
      </tp>
      <tp>
        <v>-85</v>
        <stp/>
        <stp>##V3_BDPV12</stp>
        <stp>LMZSDS 03N23 Comdty</stp>
        <stp>PX_SETTLE</stp>
        <stp>[QwackPricer.xlsb.xlsx]Base!R56C13</stp>
        <tr r="M56" s="2"/>
      </tp>
      <tp>
        <v>-63.25</v>
        <stp/>
        <stp>##V3_BDPV12</stp>
        <stp>LMZSDS 03N22 Comdty</stp>
        <stp>PX_SETTLE</stp>
        <stp>[QwackPricer.xlsb.xlsx]Base!R44C13</stp>
        <tr r="M44" s="2"/>
      </tp>
      <tp>
        <v>-33.25</v>
        <stp/>
        <stp>##V3_BDPV12</stp>
        <stp>LMZSDS 03N21 Comdty</stp>
        <stp>PX_SETTLE</stp>
        <stp>[QwackPricer.xlsb.xlsx]Base!R32C13</stp>
        <tr r="M32" s="2"/>
      </tp>
      <tp>
        <v>1.3149999999999999</v>
        <stp/>
        <stp>##V3_BDHV12</stp>
        <stp>EURUSD10B6m Curncy</stp>
        <stp>PX_LAST</stp>
        <stp>12/05/2020</stp>
        <stp>12/05/2020</stp>
        <stp>[QwackPricer.xlsb.xlsx]FX-IR!R117C8</stp>
        <tr r="H117" s="1"/>
      </tp>
      <tp>
        <v>1.385</v>
        <stp/>
        <stp>##V3_BDHV12</stp>
        <stp>EURUSD10B9m Curncy</stp>
        <stp>PX_LAST</stp>
        <stp>12/05/2020</stp>
        <stp>12/05/2020</stp>
        <stp>[QwackPricer.xlsb.xlsx]FX-IR!R118C8</stp>
        <tr r="H118" s="1"/>
      </tp>
      <tp>
        <v>-1.8149999999999999</v>
        <stp/>
        <stp>##V3_BDHV12</stp>
        <stp>EURUSD10R6m Curncy</stp>
        <stp>PX_LAST</stp>
        <stp>12/05/2020</stp>
        <stp>12/05/2020</stp>
        <stp>[QwackPricer.xlsb.xlsx]FX-IR!R117C6</stp>
        <tr r="F117" s="1"/>
      </tp>
      <tp>
        <v>-2.0449999999999999</v>
        <stp/>
        <stp>##V3_BDHV12</stp>
        <stp>EURUSD10R9m Curncy</stp>
        <stp>PX_LAST</stp>
        <stp>12/05/2020</stp>
        <stp>12/05/2020</stp>
        <stp>[QwackPricer.xlsb.xlsx]FX-IR!R118C6</stp>
        <tr r="F118" s="1"/>
      </tp>
      <tp>
        <v>-0.99</v>
        <stp/>
        <stp>##V3_BDHV12</stp>
        <stp>EURUSD25R6m Curncy</stp>
        <stp>PX_LAST</stp>
        <stp>12/05/2020</stp>
        <stp>12/05/2020</stp>
        <stp>[QwackPricer.xlsb.xlsx]FX-IR!R117C5</stp>
        <tr r="E117" s="1"/>
      </tp>
      <tp>
        <v>-1.1100000000000001</v>
        <stp/>
        <stp>##V3_BDHV12</stp>
        <stp>EURUSD25R9m Curncy</stp>
        <stp>PX_LAST</stp>
        <stp>12/05/2020</stp>
        <stp>12/05/2020</stp>
        <stp>[QwackPricer.xlsb.xlsx]FX-IR!R118C5</stp>
        <tr r="E118" s="1"/>
      </tp>
      <tp>
        <v>0.39</v>
        <stp/>
        <stp>##V3_BDHV12</stp>
        <stp>EURUSD25B6m Curncy</stp>
        <stp>PX_LAST</stp>
        <stp>12/05/2020</stp>
        <stp>12/05/2020</stp>
        <stp>[QwackPricer.xlsb.xlsx]FX-IR!R117C7</stp>
        <tr r="G117" s="1"/>
      </tp>
      <tp>
        <v>0.41</v>
        <stp/>
        <stp>##V3_BDHV12</stp>
        <stp>EURUSD25B9m Curncy</stp>
        <stp>PX_LAST</stp>
        <stp>12/05/2020</stp>
        <stp>12/05/2020</stp>
        <stp>[QwackPricer.xlsb.xlsx]FX-IR!R118C7</stp>
        <tr r="G118" s="1"/>
      </tp>
      <tp>
        <v>10.95</v>
        <stp/>
        <stp>##V3_BDHV12</stp>
        <stp>XPDUSD10B1w Curncy</stp>
        <stp>PX_LAST</stp>
        <stp>12/05/2020</stp>
        <stp>12/05/2020</stp>
        <stp>[QwackPricer.xlsb.xlsx]FX-IR!R195C8</stp>
        <tr r="H195" s="1"/>
      </tp>
      <tp>
        <v>1.99</v>
        <stp/>
        <stp>##V3_BDHV12</stp>
        <stp>XPDUSD25B1w Curncy</stp>
        <stp>PX_LAST</stp>
        <stp>12/05/2020</stp>
        <stp>12/05/2020</stp>
        <stp>[QwackPricer.xlsb.xlsx]FX-IR!R195C7</stp>
        <tr r="G195" s="1"/>
      </tp>
      <tp>
        <v>0.5</v>
        <stp/>
        <stp>##V3_BDHV12</stp>
        <stp>XPTUSD25R1y Curncy</stp>
        <stp>PX_LAST</stp>
        <stp>12/05/2020</stp>
        <stp>12/05/2020</stp>
        <stp>[QwackPricer.xlsb.xlsx]FX-IR!R185C5</stp>
        <tr r="E185" s="1"/>
      </tp>
      <tp>
        <v>1.44</v>
        <stp/>
        <stp>##V3_BDHV12</stp>
        <stp>XPTUSD25B1y Curncy</stp>
        <stp>PX_LAST</stp>
        <stp>12/05/2020</stp>
        <stp>12/05/2020</stp>
        <stp>[QwackPricer.xlsb.xlsx]FX-IR!R185C7</stp>
        <tr r="G185" s="1"/>
      </tp>
      <tp>
        <v>4.72</v>
        <stp/>
        <stp>##V3_BDHV12</stp>
        <stp>XPTUSD10B1y Curncy</stp>
        <stp>PX_LAST</stp>
        <stp>12/05/2020</stp>
        <stp>12/05/2020</stp>
        <stp>[QwackPricer.xlsb.xlsx]FX-IR!R185C8</stp>
        <tr r="H185" s="1"/>
      </tp>
      <tp>
        <v>1.0249999999999999</v>
        <stp/>
        <stp>##V3_BDHV12</stp>
        <stp>XPTUSD10R1y Curncy</stp>
        <stp>PX_LAST</stp>
        <stp>12/05/2020</stp>
        <stp>12/05/2020</stp>
        <stp>[QwackPricer.xlsb.xlsx]FX-IR!R185C6</stp>
        <tr r="F185" s="1"/>
      </tp>
      <tp>
        <v>1.4750000000000001</v>
        <stp/>
        <stp>##V3_BDHV12</stp>
        <stp>EURUSD10B3y Curncy</stp>
        <stp>PX_LAST</stp>
        <stp>12/05/2020</stp>
        <stp>12/05/2020</stp>
        <stp>[QwackPricer.xlsb.xlsx]FX-IR!R122C8</stp>
        <tr r="H122" s="1"/>
      </tp>
      <tp>
        <v>1.4550000000000001</v>
        <stp/>
        <stp>##V3_BDHV12</stp>
        <stp>EURUSD10B5y Curncy</stp>
        <stp>PX_LAST</stp>
        <stp>12/05/2020</stp>
        <stp>12/05/2020</stp>
        <stp>[QwackPricer.xlsb.xlsx]FX-IR!R124C8</stp>
        <tr r="H124" s="1"/>
      </tp>
      <tp>
        <v>-1.6524999999999999</v>
        <stp/>
        <stp>##V3_BDHV12</stp>
        <stp>EURUSD10R3y Curncy</stp>
        <stp>PX_LAST</stp>
        <stp>12/05/2020</stp>
        <stp>12/05/2020</stp>
        <stp>[QwackPricer.xlsb.xlsx]FX-IR!R122C6</stp>
        <tr r="F122" s="1"/>
      </tp>
      <tp>
        <v>-1.3025</v>
        <stp/>
        <stp>##V3_BDHV12</stp>
        <stp>EURUSD10R5y Curncy</stp>
        <stp>PX_LAST</stp>
        <stp>12/05/2020</stp>
        <stp>12/05/2020</stp>
        <stp>[QwackPricer.xlsb.xlsx]FX-IR!R124C6</stp>
        <tr r="F124" s="1"/>
      </tp>
      <tp>
        <v>-2.5499999999999998</v>
        <stp/>
        <stp>##V3_BDHV12</stp>
        <stp>AUDUSD25R1m Curncy</stp>
        <stp>PX_LAST</stp>
        <stp>12/05/2020</stp>
        <stp>12/05/2020</stp>
        <stp>[QwackPricer.xlsb.xlsx]FX-IR!R130C5</stp>
        <tr r="E130" s="1"/>
      </tp>
      <tp>
        <v>-3.1150000000000002</v>
        <stp/>
        <stp>##V3_BDHV12</stp>
        <stp>AUDUSD25R3m Curncy</stp>
        <stp>PX_LAST</stp>
        <stp>12/05/2020</stp>
        <stp>12/05/2020</stp>
        <stp>[QwackPricer.xlsb.xlsx]FX-IR!R132C5</stp>
        <tr r="E132" s="1"/>
      </tp>
      <tp>
        <v>0.58250000000000002</v>
        <stp/>
        <stp>##V3_BDHV12</stp>
        <stp>AUDUSD25B1m Curncy</stp>
        <stp>PX_LAST</stp>
        <stp>12/05/2020</stp>
        <stp>12/05/2020</stp>
        <stp>[QwackPricer.xlsb.xlsx]FX-IR!R130C7</stp>
        <tr r="G130" s="1"/>
      </tp>
      <tp>
        <v>0.67749999999999999</v>
        <stp/>
        <stp>##V3_BDHV12</stp>
        <stp>AUDUSD25B3m Curncy</stp>
        <stp>PX_LAST</stp>
        <stp>12/05/2020</stp>
        <stp>12/05/2020</stp>
        <stp>[QwackPricer.xlsb.xlsx]FX-IR!R132C7</stp>
        <tr r="G132" s="1"/>
      </tp>
      <tp>
        <v>1.7475000000000001</v>
        <stp/>
        <stp>##V3_BDHV12</stp>
        <stp>AUDUSD10B1m Curncy</stp>
        <stp>PX_LAST</stp>
        <stp>12/05/2020</stp>
        <stp>12/05/2020</stp>
        <stp>[QwackPricer.xlsb.xlsx]FX-IR!R130C8</stp>
        <tr r="H130" s="1"/>
      </tp>
      <tp>
        <v>2.04</v>
        <stp/>
        <stp>##V3_BDHV12</stp>
        <stp>AUDUSD10B3m Curncy</stp>
        <stp>PX_LAST</stp>
        <stp>12/05/2020</stp>
        <stp>12/05/2020</stp>
        <stp>[QwackPricer.xlsb.xlsx]FX-IR!R132C8</stp>
        <tr r="H132" s="1"/>
      </tp>
      <tp>
        <v>-4.5575000000000001</v>
        <stp/>
        <stp>##V3_BDHV12</stp>
        <stp>AUDUSD10R1m Curncy</stp>
        <stp>PX_LAST</stp>
        <stp>12/05/2020</stp>
        <stp>12/05/2020</stp>
        <stp>[QwackPricer.xlsb.xlsx]FX-IR!R130C6</stp>
        <tr r="F130" s="1"/>
      </tp>
      <tp>
        <v>-5.5875000000000004</v>
        <stp/>
        <stp>##V3_BDHV12</stp>
        <stp>AUDUSD10R3m Curncy</stp>
        <stp>PX_LAST</stp>
        <stp>12/05/2020</stp>
        <stp>12/05/2020</stp>
        <stp>[QwackPricer.xlsb.xlsx]FX-IR!R132C6</stp>
        <tr r="F132" s="1"/>
      </tp>
      <tp>
        <v>-0.88249999999999995</v>
        <stp/>
        <stp>##V3_BDHV12</stp>
        <stp>EURUSD25R3y Curncy</stp>
        <stp>PX_LAST</stp>
        <stp>12/05/2020</stp>
        <stp>12/05/2020</stp>
        <stp>[QwackPricer.xlsb.xlsx]FX-IR!R122C5</stp>
        <tr r="E122" s="1"/>
      </tp>
      <tp>
        <v>-0.6875</v>
        <stp/>
        <stp>##V3_BDHV12</stp>
        <stp>EURUSD25R5y Curncy</stp>
        <stp>PX_LAST</stp>
        <stp>12/05/2020</stp>
        <stp>12/05/2020</stp>
        <stp>[QwackPricer.xlsb.xlsx]FX-IR!R124C5</stp>
        <tr r="E124" s="1"/>
      </tp>
      <tp>
        <v>0.42499999999999999</v>
        <stp/>
        <stp>##V3_BDHV12</stp>
        <stp>EURUSD25B3y Curncy</stp>
        <stp>PX_LAST</stp>
        <stp>12/05/2020</stp>
        <stp>12/05/2020</stp>
        <stp>[QwackPricer.xlsb.xlsx]FX-IR!R122C7</stp>
        <tr r="G122" s="1"/>
      </tp>
      <tp>
        <v>0.42499999999999999</v>
        <stp/>
        <stp>##V3_BDHV12</stp>
        <stp>EURUSD25B5y Curncy</stp>
        <stp>PX_LAST</stp>
        <stp>12/05/2020</stp>
        <stp>12/05/2020</stp>
        <stp>[QwackPricer.xlsb.xlsx]FX-IR!R124C7</stp>
        <tr r="G124" s="1"/>
      </tp>
      <tp>
        <v>42.5</v>
        <stp/>
        <stp>##V3_BDHV12</stp>
        <stp>XPTUSDV1m Curncy</stp>
        <stp>PX_LAST</stp>
        <stp>12/05/2020</stp>
        <stp>12/05/2020</stp>
        <stp>[QwackPricer.xlsb.xlsx]FX-IR!R180C4</stp>
        <tr r="D180" s="1"/>
      </tp>
      <tp>
        <v>40.4</v>
        <stp/>
        <stp>##V3_BDHV12</stp>
        <stp>XPTUSDV3m Curncy</stp>
        <stp>PX_LAST</stp>
        <stp>12/05/2020</stp>
        <stp>12/05/2020</stp>
        <stp>[QwackPricer.xlsb.xlsx]FX-IR!R182C4</stp>
        <tr r="D182" s="1"/>
      </tp>
      <tp>
        <v>34.685000000000002</v>
        <stp/>
        <stp>##V3_BDHV12</stp>
        <stp>XAGUSDV6m Curncy</stp>
        <stp>PX_LAST</stp>
        <stp>12/05/2020</stp>
        <stp>12/05/2020</stp>
        <stp>[QwackPricer.xlsb.xlsx]FX-IR!R167C4</stp>
        <tr r="D167" s="1"/>
      </tp>
      <tp>
        <v>35.545000000000002</v>
        <stp/>
        <stp>##V3_BDHV12</stp>
        <stp>XAGUSDV9m Curncy</stp>
        <stp>PX_LAST</stp>
        <stp>12/05/2020</stp>
        <stp>12/05/2020</stp>
        <stp>[QwackPricer.xlsb.xlsx]FX-IR!R168C4</stp>
        <tr r="D168" s="1"/>
      </tp>
      <tp>
        <v>8.2274999999999991</v>
        <stp/>
        <stp>##V3_BDHV12</stp>
        <stp>EURUSDV3y Curncy</stp>
        <stp>PX_LAST</stp>
        <stp>12/05/2020</stp>
        <stp>12/05/2020</stp>
        <stp>[QwackPricer.xlsb.xlsx]FX-IR!R122C4</stp>
        <tr r="D122" s="1"/>
      </tp>
      <tp>
        <v>8.6300000000000008</v>
        <stp/>
        <stp>##V3_BDHV12</stp>
        <stp>EURUSDV5y Curncy</stp>
        <stp>PX_LAST</stp>
        <stp>12/05/2020</stp>
        <stp>12/05/2020</stp>
        <stp>[QwackPricer.xlsb.xlsx]FX-IR!R124C4</stp>
        <tr r="D124" s="1"/>
      </tp>
      <tp>
        <v>64</v>
        <stp/>
        <stp>##V3_BDHV12</stp>
        <stp>XPDUSDV2y Curncy</stp>
        <stp>PX_LAST</stp>
        <stp>12/05/2020</stp>
        <stp>12/05/2020</stp>
        <stp>[QwackPricer.xlsb.xlsx]FX-IR!R203C4</stp>
        <tr r="D203" s="1"/>
      </tp>
      <tp>
        <v>64</v>
        <stp/>
        <stp>##V3_BDHV12</stp>
        <stp>XPDUSDV4y Curncy</stp>
        <stp>PX_LAST</stp>
        <stp>12/05/2020</stp>
        <stp>12/05/2020</stp>
        <stp>[QwackPricer.xlsb.xlsx]FX-IR!R205C4</stp>
        <tr r="D205" s="1"/>
      </tp>
      <tp>
        <v>38.895000000000003</v>
        <stp/>
        <stp>##V3_BDHV12</stp>
        <stp>XAGUSDV3y Curncy</stp>
        <stp>PX_LAST</stp>
        <stp>12/05/2020</stp>
        <stp>12/05/2020</stp>
        <stp>[QwackPricer.xlsb.xlsx]FX-IR!R172C4</stp>
        <tr r="D172" s="1"/>
      </tp>
      <tp>
        <v>40.155000000000001</v>
        <stp/>
        <stp>##V3_BDHV12</stp>
        <stp>XAGUSDV5y Curncy</stp>
        <stp>PX_LAST</stp>
        <stp>12/05/2020</stp>
        <stp>12/05/2020</stp>
        <stp>[QwackPricer.xlsb.xlsx]FX-IR!R174C4</stp>
        <tr r="D174" s="1"/>
      </tp>
      <tp>
        <v>7.35</v>
        <stp/>
        <stp>##V3_BDHV12</stp>
        <stp>EURUSDV6m Curncy</stp>
        <stp>PX_LAST</stp>
        <stp>12/05/2020</stp>
        <stp>12/05/2020</stp>
        <stp>[QwackPricer.xlsb.xlsx]FX-IR!R117C4</stp>
        <tr r="D117" s="1"/>
      </tp>
      <tp>
        <v>7.37</v>
        <stp/>
        <stp>##V3_BDHV12</stp>
        <stp>EURUSDV9m Curncy</stp>
        <stp>PX_LAST</stp>
        <stp>12/05/2020</stp>
        <stp>12/05/2020</stp>
        <stp>[QwackPricer.xlsb.xlsx]FX-IR!R118C4</stp>
        <tr r="D118" s="1"/>
      </tp>
      <tp>
        <v>12.727499999999999</v>
        <stp/>
        <stp>##V3_BDHV12</stp>
        <stp>AUDUSDV1m Curncy</stp>
        <stp>PX_LAST</stp>
        <stp>12/05/2020</stp>
        <stp>12/05/2020</stp>
        <stp>[QwackPricer.xlsb.xlsx]FX-IR!R130C4</stp>
        <tr r="D130" s="1"/>
      </tp>
      <tp>
        <v>12.1075</v>
        <stp/>
        <stp>##V3_BDHV12</stp>
        <stp>AUDUSDV3m Curncy</stp>
        <stp>PX_LAST</stp>
        <stp>12/05/2020</stp>
        <stp>12/05/2020</stp>
        <stp>[QwackPricer.xlsb.xlsx]FX-IR!R132C4</stp>
        <tr r="D132" s="1"/>
      </tp>
      <tp>
        <v>-0.38</v>
        <stp/>
        <stp>##V3_BDPV12</stp>
        <stp>FDBSM M22 Index</stp>
        <stp>PX_LAST</stp>
        <stp>[QwackPricer.xlsb.xlsx]Energy!R97C6</stp>
        <tr r="F97" s="3"/>
      </tp>
      <tp>
        <v>-1.01</v>
        <stp/>
        <stp>##V3_BDPV12</stp>
        <stp>FDBSM K21 Index</stp>
        <stp>PX_LAST</stp>
        <stp>[QwackPricer.xlsb.xlsx]Energy!R84C6</stp>
        <tr r="F84" s="3"/>
      </tp>
      <tp>
        <v>-1.81</v>
        <stp/>
        <stp>##V3_BDPV12</stp>
        <stp>FDBSM Q20 Index</stp>
        <stp>PX_LAST</stp>
        <stp>[QwackPricer.xlsb.xlsx]Energy!R75C6</stp>
        <tr r="F75" s="3"/>
      </tp>
      <tp>
        <v>35.545000000000002</v>
        <stp/>
        <stp>##V3_BDPV12</stp>
        <stp>COH1 Comdty</stp>
        <stp>PX_MID</stp>
        <stp>[QwackPricer.xlsb.xlsx]Energy!R19C5</stp>
        <tr r="E19" s="3"/>
      </tp>
      <tp>
        <v>1484</v>
        <stp/>
        <stp>##V3_BDPV12</stp>
        <stp>LMAHDS03 Comdty</stp>
        <stp>PX_LAST</stp>
        <stp>[QwackPricer.xlsb.xlsx]Base!R6C3</stp>
        <tr r="C6" s="2"/>
      </tp>
      <tp>
        <v>1.81</v>
        <stp/>
        <stp>##V3_BDHV12</stp>
        <stp>XPDUSD25B5y Curncy</stp>
        <stp>PX_LAST</stp>
        <stp>12/05/2020</stp>
        <stp>12/05/2020</stp>
        <stp>[QwackPricer.xlsb.xlsx]FX-IR!R206C7</stp>
        <tr r="G206" s="1"/>
      </tp>
      <tp>
        <v>3</v>
        <stp/>
        <stp>##V3_BDHV12</stp>
        <stp>XPDUSD25R5y Curncy</stp>
        <stp>PX_LAST</stp>
        <stp>12/05/2020</stp>
        <stp>12/05/2020</stp>
        <stp>[QwackPricer.xlsb.xlsx]FX-IR!R206C5</stp>
        <tr r="E206" s="1"/>
      </tp>
      <tp>
        <v>9.6300000000000008</v>
        <stp/>
        <stp>##V3_BDHV12</stp>
        <stp>XPDUSD10B5y Curncy</stp>
        <stp>PX_LAST</stp>
        <stp>12/05/2020</stp>
        <stp>12/05/2020</stp>
        <stp>[QwackPricer.xlsb.xlsx]FX-IR!R206C8</stp>
        <tr r="H206" s="1"/>
      </tp>
      <tp>
        <v>6.45</v>
        <stp/>
        <stp>##V3_BDHV12</stp>
        <stp>XPDUSD10R5y Curncy</stp>
        <stp>PX_LAST</stp>
        <stp>12/05/2020</stp>
        <stp>12/05/2020</stp>
        <stp>[QwackPricer.xlsb.xlsx]FX-IR!R206C6</stp>
        <tr r="F206" s="1"/>
      </tp>
      <tp>
        <v>-0.5</v>
        <stp/>
        <stp>##V3_BDHV12</stp>
        <stp>XPTUSD25R2m Curncy</stp>
        <stp>PX_LAST</stp>
        <stp>12/05/2020</stp>
        <stp>12/05/2020</stp>
        <stp>[QwackPricer.xlsb.xlsx]FX-IR!R181C5</stp>
        <tr r="E181" s="1"/>
      </tp>
      <tp>
        <v>1.6800000000000002</v>
        <stp/>
        <stp>##V3_BDHV12</stp>
        <stp>XPTUSD25B2m Curncy</stp>
        <stp>PX_LAST</stp>
        <stp>12/05/2020</stp>
        <stp>12/05/2020</stp>
        <stp>[QwackPricer.xlsb.xlsx]FX-IR!R181C7</stp>
        <tr r="G181" s="1"/>
      </tp>
      <tp>
        <v>7.12</v>
        <stp/>
        <stp>##V3_BDHV12</stp>
        <stp>XPTUSD10B2m Curncy</stp>
        <stp>PX_LAST</stp>
        <stp>12/05/2020</stp>
        <stp>12/05/2020</stp>
        <stp>[QwackPricer.xlsb.xlsx]FX-IR!R181C8</stp>
        <tr r="H181" s="1"/>
      </tp>
      <tp>
        <v>-1.1499999999999999</v>
        <stp/>
        <stp>##V3_BDHV12</stp>
        <stp>XPTUSD10R2m Curncy</stp>
        <stp>PX_LAST</stp>
        <stp>12/05/2020</stp>
        <stp>12/05/2020</stp>
        <stp>[QwackPricer.xlsb.xlsx]FX-IR!R181C6</stp>
        <tr r="F181" s="1"/>
      </tp>
      <tp>
        <v>22.147500000000001</v>
        <stp/>
        <stp>##V3_BDHV12</stp>
        <stp>XAUUSDV6m Curncy</stp>
        <stp>PX_LAST</stp>
        <stp>12/05/2020</stp>
        <stp>12/05/2020</stp>
        <stp>[QwackPricer.xlsb.xlsx]FX-IR!R150C4</stp>
        <tr r="D150" s="1"/>
      </tp>
      <tp>
        <v>20.2575</v>
        <stp/>
        <stp>##V3_BDHV12</stp>
        <stp>XAUUSDV1m Curncy</stp>
        <stp>PX_LAST</stp>
        <stp>12/05/2020</stp>
        <stp>12/05/2020</stp>
        <stp>[QwackPricer.xlsb.xlsx]FX-IR!R147C4</stp>
        <tr r="D147" s="1"/>
      </tp>
      <tp>
        <v>40.602499999999999</v>
        <stp/>
        <stp>##V3_BDHV12</stp>
        <stp>XPTUSDV18m Curncy</stp>
        <stp>PX_LAST</stp>
        <stp>12/05/2020</stp>
        <stp>12/05/2020</stp>
        <stp>[QwackPricer.xlsb.xlsx]FX-IR!R186C4</stp>
        <tr r="D186" s="1"/>
      </tp>
      <tp>
        <v>23.545000000000002</v>
        <stp/>
        <stp>##V3_BDHV12</stp>
        <stp>XAUUSDV2y Curncy</stp>
        <stp>PX_LAST</stp>
        <stp>12/05/2020</stp>
        <stp>12/05/2020</stp>
        <stp>[QwackPricer.xlsb.xlsx]FX-IR!R154C4</stp>
        <tr r="D154" s="1"/>
      </tp>
      <tp>
        <v>23.925000000000001</v>
        <stp/>
        <stp>##V3_BDHV12</stp>
        <stp>XAUUSDV3y Curncy</stp>
        <stp>PX_LAST</stp>
        <stp>12/05/2020</stp>
        <stp>12/05/2020</stp>
        <stp>[QwackPricer.xlsb.xlsx]FX-IR!R155C4</stp>
        <tr r="D155" s="1"/>
      </tp>
      <tp>
        <v>-0.95</v>
        <stp/>
        <stp>##V3_BDPV12</stp>
        <stp>FDBSM M21 Index</stp>
        <stp>PX_LAST</stp>
        <stp>[QwackPricer.xlsb.xlsx]Energy!R85C6</stp>
        <tr r="F85" s="3"/>
      </tp>
      <tp>
        <v>-1.92</v>
        <stp/>
        <stp>##V3_BDPV12</stp>
        <stp>FDBSM N20 Index</stp>
        <stp>PX_LAST</stp>
        <stp>[QwackPricer.xlsb.xlsx]Energy!R74C6</stp>
        <tr r="F74" s="3"/>
      </tp>
      <tp>
        <v>-0.37</v>
        <stp/>
        <stp>##V3_BDPV12</stp>
        <stp>FDBSM K22 Index</stp>
        <stp>PX_LAST</stp>
        <stp>[QwackPricer.xlsb.xlsx]Energy!R96C6</stp>
        <tr r="F96" s="3"/>
      </tp>
      <tp>
        <v>35.055</v>
        <stp/>
        <stp>##V3_BDPV12</stp>
        <stp>COG1 Comdty</stp>
        <stp>PX_MID</stp>
        <stp>[QwackPricer.xlsb.xlsx]Energy!R18C5</stp>
        <tr r="E18" s="3"/>
      </tp>
      <tp>
        <v>38.454999999999998</v>
        <stp/>
        <stp>##V3_BDPV12</stp>
        <stp>COZ1 Comdty</stp>
        <stp>PX_MID</stp>
        <stp>[QwackPricer.xlsb.xlsx]Energy!R28C5</stp>
        <tr r="E28" s="3"/>
      </tp>
      <tp>
        <v>-844</v>
        <stp/>
        <stp>##V3_BDPV12</stp>
        <stp>LMNIDS 03H24 Comdty</stp>
        <stp>PX_SETTLE</stp>
        <stp>[QwackPricer.xlsb.xlsx]Base!R64C17</stp>
        <tr r="Q64" s="2"/>
      </tp>
      <tp>
        <v>-157</v>
        <stp/>
        <stp>##V3_BDPV12</stp>
        <stp>LMNIDS 03H21 Comdty</stp>
        <stp>PX_SETTLE</stp>
        <stp>[QwackPricer.xlsb.xlsx]Base!R28C17</stp>
        <tr r="Q28" s="2"/>
      </tp>
      <tp>
        <v>-622</v>
        <stp/>
        <stp>##V3_BDPV12</stp>
        <stp>LMNIDS 03H23 Comdty</stp>
        <stp>PX_SETTLE</stp>
        <stp>[QwackPricer.xlsb.xlsx]Base!R52C17</stp>
        <tr r="Q52" s="2"/>
      </tp>
      <tp>
        <v>-382</v>
        <stp/>
        <stp>##V3_BDPV12</stp>
        <stp>LMNIDS 03H22 Comdty</stp>
        <stp>PX_SETTLE</stp>
        <stp>[QwackPricer.xlsb.xlsx]Base!R40C17</stp>
        <tr r="Q40" s="2"/>
      </tp>
      <tp>
        <v>-87.75</v>
        <stp/>
        <stp>##V3_BDPV12</stp>
        <stp>LMPBDS 03H23 Comdty</stp>
        <stp>PX_SETTLE</stp>
        <stp>[QwackPricer.xlsb.xlsx]Base!R52C21</stp>
        <tr r="U52" s="2"/>
      </tp>
      <tp>
        <v>-60.75</v>
        <stp/>
        <stp>##V3_BDPV12</stp>
        <stp>LMPBDS 03H22 Comdty</stp>
        <stp>PX_SETTLE</stp>
        <stp>[QwackPricer.xlsb.xlsx]Base!R40C21</stp>
        <tr r="U40" s="2"/>
      </tp>
      <tp>
        <v>-30.25</v>
        <stp/>
        <stp>##V3_BDPV12</stp>
        <stp>LMPBDS 03H21 Comdty</stp>
        <stp>PX_SETTLE</stp>
        <stp>[QwackPricer.xlsb.xlsx]Base!R28C21</stp>
        <tr r="U28" s="2"/>
      </tp>
      <tp>
        <v>-106</v>
        <stp/>
        <stp>##V3_BDPV12</stp>
        <stp>LMPBDS 03H24 Comdty</stp>
        <stp>PX_SETTLE</stp>
        <stp>[QwackPricer.xlsb.xlsx]Base!R64C21</stp>
        <tr r="U64" s="2"/>
      </tp>
      <tp>
        <v>105</v>
        <stp/>
        <stp>##V3_BDPV12</stp>
        <stp>LMSNDS 03H21 Comdty</stp>
        <stp>PX_SETTLE</stp>
        <stp>[QwackPricer.xlsb.xlsx]Base!R28C25</stp>
        <tr r="Y28" s="2"/>
      </tp>
      <tp>
        <v>-85</v>
        <stp/>
        <stp>##V3_BDPV12</stp>
        <stp>LMZSDS 03H23 Comdty</stp>
        <stp>PX_SETTLE</stp>
        <stp>[QwackPricer.xlsb.xlsx]Base!R52C13</stp>
        <tr r="M52" s="2"/>
      </tp>
      <tp>
        <v>-53.25</v>
        <stp/>
        <stp>##V3_BDPV12</stp>
        <stp>LMZSDS 03H22 Comdty</stp>
        <stp>PX_SETTLE</stp>
        <stp>[QwackPricer.xlsb.xlsx]Base!R40C13</stp>
        <tr r="M40" s="2"/>
      </tp>
      <tp>
        <v>-85</v>
        <stp/>
        <stp>##V3_BDPV12</stp>
        <stp>LMZSDS 03H24 Comdty</stp>
        <stp>PX_SETTLE</stp>
        <stp>[QwackPricer.xlsb.xlsx]Base!R64C13</stp>
        <tr r="M64" s="2"/>
      </tp>
      <tp>
        <v>-18.75</v>
        <stp/>
        <stp>##V3_BDPV12</stp>
        <stp>LMZSDS 03H21 Comdty</stp>
        <stp>PX_SETTLE</stp>
        <stp>[QwackPricer.xlsb.xlsx]Base!R28C13</stp>
        <tr r="M28" s="2"/>
      </tp>
      <tp>
        <v>0.98</v>
        <stp/>
        <stp>##V3_BDHV12</stp>
        <stp>EURUSD10B2m Curncy</stp>
        <stp>PX_LAST</stp>
        <stp>12/05/2020</stp>
        <stp>12/05/2020</stp>
        <stp>[QwackPricer.xlsb.xlsx]FX-IR!R115C8</stp>
        <tr r="H115" s="1"/>
      </tp>
      <tp>
        <v>-1.2250000000000001</v>
        <stp/>
        <stp>##V3_BDHV12</stp>
        <stp>EURUSD10R2m Curncy</stp>
        <stp>PX_LAST</stp>
        <stp>12/05/2020</stp>
        <stp>12/05/2020</stp>
        <stp>[QwackPricer.xlsb.xlsx]FX-IR!R115C6</stp>
        <tr r="F115" s="1"/>
      </tp>
      <tp>
        <v>5240</v>
        <stp/>
        <stp>##V3_BDPV12</stp>
        <stp>LMCADS03 Comdty</stp>
        <stp>PX_LAST</stp>
        <stp>[QwackPricer.xlsb.xlsx]Base!R7C3</stp>
        <tr r="C7" s="2"/>
      </tp>
      <tp>
        <v>-0.69499999999999995</v>
        <stp/>
        <stp>##V3_BDHV12</stp>
        <stp>EURUSD25R2m Curncy</stp>
        <stp>PX_LAST</stp>
        <stp>12/05/2020</stp>
        <stp>12/05/2020</stp>
        <stp>[QwackPricer.xlsb.xlsx]FX-IR!R115C5</stp>
        <tr r="E115" s="1"/>
      </tp>
      <tp>
        <v>0.315</v>
        <stp/>
        <stp>##V3_BDHV12</stp>
        <stp>EURUSD25B2m Curncy</stp>
        <stp>PX_LAST</stp>
        <stp>12/05/2020</stp>
        <stp>12/05/2020</stp>
        <stp>[QwackPricer.xlsb.xlsx]FX-IR!R115C7</stp>
        <tr r="G115" s="1"/>
      </tp>
      <tp>
        <v>1.48</v>
        <stp/>
        <stp>##V3_BDHV12</stp>
        <stp>EURUSD10B4y Curncy</stp>
        <stp>PX_LAST</stp>
        <stp>12/05/2020</stp>
        <stp>12/05/2020</stp>
        <stp>[QwackPricer.xlsb.xlsx]FX-IR!R123C8</stp>
        <tr r="H123" s="1"/>
      </tp>
      <tp>
        <v>-1.4675</v>
        <stp/>
        <stp>##V3_BDHV12</stp>
        <stp>EURUSD10R4y Curncy</stp>
        <stp>PX_LAST</stp>
        <stp>12/05/2020</stp>
        <stp>12/05/2020</stp>
        <stp>[QwackPricer.xlsb.xlsx]FX-IR!R123C6</stp>
        <tr r="F123" s="1"/>
      </tp>
      <tp>
        <v>-0.77500000000000002</v>
        <stp/>
        <stp>##V3_BDHV12</stp>
        <stp>EURUSD25R4y Curncy</stp>
        <stp>PX_LAST</stp>
        <stp>12/05/2020</stp>
        <stp>12/05/2020</stp>
        <stp>[QwackPricer.xlsb.xlsx]FX-IR!R123C5</stp>
        <tr r="E123" s="1"/>
      </tp>
      <tp>
        <v>0.43</v>
        <stp/>
        <stp>##V3_BDHV12</stp>
        <stp>EURUSD25B4y Curncy</stp>
        <stp>PX_LAST</stp>
        <stp>12/05/2020</stp>
        <stp>12/05/2020</stp>
        <stp>[QwackPricer.xlsb.xlsx]FX-IR!R123C7</stp>
        <tr r="G123" s="1"/>
      </tp>
      <tp>
        <v>81.3</v>
        <stp/>
        <stp>##V3_BDHV12</stp>
        <stp>XPDUSDV1m Curncy</stp>
        <stp>PX_LAST</stp>
        <stp>12/05/2020</stp>
        <stp>12/05/2020</stp>
        <stp>[QwackPricer.xlsb.xlsx]FX-IR!R196C4</stp>
        <tr r="D196" s="1"/>
      </tp>
      <tp>
        <v>32.365000000000002</v>
        <stp/>
        <stp>##V3_BDHV12</stp>
        <stp>XAGUSDV2m Curncy</stp>
        <stp>PX_LAST</stp>
        <stp>12/05/2020</stp>
        <stp>12/05/2020</stp>
        <stp>[QwackPricer.xlsb.xlsx]FX-IR!R165C4</stp>
        <tr r="D165" s="1"/>
      </tp>
      <tp>
        <v>8.4224999999999994</v>
        <stp/>
        <stp>##V3_BDHV12</stp>
        <stp>EURUSDV4y Curncy</stp>
        <stp>PX_LAST</stp>
        <stp>12/05/2020</stp>
        <stp>12/05/2020</stp>
        <stp>[QwackPricer.xlsb.xlsx]FX-IR!R123C4</stp>
        <tr r="D123" s="1"/>
      </tp>
      <tp>
        <v>64</v>
        <stp/>
        <stp>##V3_BDHV12</stp>
        <stp>XPDUSDV3y Curncy</stp>
        <stp>PX_LAST</stp>
        <stp>12/05/2020</stp>
        <stp>12/05/2020</stp>
        <stp>[QwackPricer.xlsb.xlsx]FX-IR!R204C4</stp>
        <tr r="D204" s="1"/>
      </tp>
      <tp>
        <v>39.7575</v>
        <stp/>
        <stp>##V3_BDHV12</stp>
        <stp>XAGUSDV4y Curncy</stp>
        <stp>PX_LAST</stp>
        <stp>12/05/2020</stp>
        <stp>12/05/2020</stp>
        <stp>[QwackPricer.xlsb.xlsx]FX-IR!R173C4</stp>
        <tr r="D173" s="1"/>
      </tp>
      <tp>
        <v>17.39</v>
        <stp/>
        <stp>##V3_BDHV12</stp>
        <stp>USDZARV9m Curncy</stp>
        <stp>PX_LAST</stp>
        <stp>12/05/2020</stp>
        <stp>12/05/2020</stp>
        <stp>[QwackPricer.xlsb.xlsx]FX-IR!R101C4</stp>
        <tr r="D101" s="1"/>
      </tp>
      <tp>
        <v>6.9924999999999997</v>
        <stp/>
        <stp>##V3_BDHV12</stp>
        <stp>EURUSDV2m Curncy</stp>
        <stp>PX_LAST</stp>
        <stp>12/05/2020</stp>
        <stp>12/05/2020</stp>
        <stp>[QwackPricer.xlsb.xlsx]FX-IR!R115C4</stp>
        <tr r="D115" s="1"/>
      </tp>
      <tp>
        <v>18.977499999999999</v>
        <stp/>
        <stp>##V3_BDHV12</stp>
        <stp>XAUUSDV1w Curncy</stp>
        <stp>PX_LAST</stp>
        <stp>12/05/2020</stp>
        <stp>12/05/2020</stp>
        <stp>[QwackPricer.xlsb.xlsx]FX-IR!R146C4</stp>
        <tr r="D146" s="1"/>
      </tp>
      <tp>
        <v>-0.89</v>
        <stp/>
        <stp>##V3_BDPV12</stp>
        <stp>FDBSM N21 Index</stp>
        <stp>PX_LAST</stp>
        <stp>[QwackPricer.xlsb.xlsx]Energy!R86C6</stp>
        <tr r="F86" s="3"/>
      </tp>
      <tp>
        <v>-0.36</v>
        <stp/>
        <stp>##V3_BDPV12</stp>
        <stp>FDBSM J22 Index</stp>
        <stp>PX_LAST</stp>
        <stp>[QwackPricer.xlsb.xlsx]Energy!R95C6</stp>
        <tr r="F95" s="3"/>
      </tp>
      <tp>
        <v>-1.5699999999999998</v>
        <stp/>
        <stp>##V3_BDPV12</stp>
        <stp>FDBSM V20 Index</stp>
        <stp>PX_LAST</stp>
        <stp>[QwackPricer.xlsb.xlsx]Energy!R77C6</stp>
        <tr r="F77" s="3"/>
      </tp>
      <tp t="s">
        <v>#N/A N/A</v>
        <stp/>
        <stp>##V3_BDPV12</stp>
        <stp>COV2 Comdty</stp>
        <stp>PX_MID</stp>
        <stp>[QwackPricer.xlsb.xlsx]Energy!R38C5</stp>
        <tr r="E38" s="3"/>
      </tp>
      <tp t="s">
        <v>#N/A N/A</v>
        <stp/>
        <stp>##V3_BDPV12</stp>
        <stp>COU3 Comdty</stp>
        <stp>PX_MID</stp>
        <stp>[QwackPricer.xlsb.xlsx]Energy!R49C5</stp>
        <tr r="E49" s="3"/>
      </tp>
      <tp>
        <v>-199</v>
        <stp/>
        <stp>##V3_BDPV12</stp>
        <stp>LMNIDS 03K21 Comdty</stp>
        <stp>PX_SETTLE</stp>
        <stp>[QwackPricer.xlsb.xlsx]Base!R30C17</stp>
        <tr r="Q30" s="2"/>
      </tp>
      <tp>
        <v>-660</v>
        <stp/>
        <stp>##V3_BDPV12</stp>
        <stp>LMNIDS 03K23 Comdty</stp>
        <stp>PX_SETTLE</stp>
        <stp>[QwackPricer.xlsb.xlsx]Base!R54C17</stp>
        <tr r="Q54" s="2"/>
      </tp>
      <tp>
        <v>-418</v>
        <stp/>
        <stp>##V3_BDPV12</stp>
        <stp>LMNIDS 03K22 Comdty</stp>
        <stp>PX_SETTLE</stp>
        <stp>[QwackPricer.xlsb.xlsx]Base!R42C17</stp>
        <tr r="Q42" s="2"/>
      </tp>
      <tp>
        <v>-92</v>
        <stp/>
        <stp>##V3_BDPV12</stp>
        <stp>LMPBDS 03K23 Comdty</stp>
        <stp>PX_SETTLE</stp>
        <stp>[QwackPricer.xlsb.xlsx]Base!R54C21</stp>
        <tr r="U54" s="2"/>
      </tp>
      <tp>
        <v>-65.25</v>
        <stp/>
        <stp>##V3_BDPV12</stp>
        <stp>LMPBDS 03K22 Comdty</stp>
        <stp>PX_SETTLE</stp>
        <stp>[QwackPricer.xlsb.xlsx]Base!R42C21</stp>
        <tr r="U42" s="2"/>
      </tp>
      <tp>
        <v>-36.75</v>
        <stp/>
        <stp>##V3_BDPV12</stp>
        <stp>LMPBDS 03K21 Comdty</stp>
        <stp>PX_SETTLE</stp>
        <stp>[QwackPricer.xlsb.xlsx]Base!R30C21</stp>
        <tr r="U30" s="2"/>
      </tp>
      <tp>
        <v>125</v>
        <stp/>
        <stp>##V3_BDPV12</stp>
        <stp>LMSNDS 03K21 Comdty</stp>
        <stp>PX_SETTLE</stp>
        <stp>[QwackPricer.xlsb.xlsx]Base!R30C25</stp>
        <tr r="Y30" s="2"/>
      </tp>
      <tp>
        <v>-85</v>
        <stp/>
        <stp>##V3_BDPV12</stp>
        <stp>LMZSDS 03K23 Comdty</stp>
        <stp>PX_SETTLE</stp>
        <stp>[QwackPricer.xlsb.xlsx]Base!R54C13</stp>
        <tr r="M54" s="2"/>
      </tp>
      <tp>
        <v>-58.25</v>
        <stp/>
        <stp>##V3_BDPV12</stp>
        <stp>LMZSDS 03K22 Comdty</stp>
        <stp>PX_SETTLE</stp>
        <stp>[QwackPricer.xlsb.xlsx]Base!R42C13</stp>
        <tr r="M42" s="2"/>
      </tp>
      <tp>
        <v>-26.75</v>
        <stp/>
        <stp>##V3_BDPV12</stp>
        <stp>LMZSDS 03K21 Comdty</stp>
        <stp>PX_SETTLE</stp>
        <stp>[QwackPricer.xlsb.xlsx]Base!R30C13</stp>
        <tr r="M30" s="2"/>
      </tp>
      <tp>
        <v>-3.6749999999999998</v>
        <stp/>
        <stp>##V3_BDHV12</stp>
        <stp>AUDUSD25R1y Curncy</stp>
        <stp>PX_LAST</stp>
        <stp>12/05/2020</stp>
        <stp>12/05/2020</stp>
        <stp>[QwackPricer.xlsb.xlsx]FX-IR!R135C5</stp>
        <tr r="E135" s="1"/>
      </tp>
      <tp>
        <v>1.85</v>
        <stp/>
        <stp>##V3_BDHV12</stp>
        <stp>XPDUSD25B2y Curncy</stp>
        <stp>PX_LAST</stp>
        <stp>12/05/2020</stp>
        <stp>12/05/2020</stp>
        <stp>[QwackPricer.xlsb.xlsx]FX-IR!R203C7</stp>
        <tr r="G203" s="1"/>
      </tp>
      <tp>
        <v>1.8149999999999999</v>
        <stp/>
        <stp>##V3_BDHV12</stp>
        <stp>XPDUSD25B4y Curncy</stp>
        <stp>PX_LAST</stp>
        <stp>12/05/2020</stp>
        <stp>12/05/2020</stp>
        <stp>[QwackPricer.xlsb.xlsx]FX-IR!R205C7</stp>
        <tr r="G205" s="1"/>
      </tp>
      <tp>
        <v>0.77749999999999997</v>
        <stp/>
        <stp>##V3_BDHV12</stp>
        <stp>AUDUSD25B1y Curncy</stp>
        <stp>PX_LAST</stp>
        <stp>12/05/2020</stp>
        <stp>12/05/2020</stp>
        <stp>[QwackPricer.xlsb.xlsx]FX-IR!R135C7</stp>
        <tr r="G135" s="1"/>
      </tp>
      <tp>
        <v>3</v>
        <stp/>
        <stp>##V3_BDHV12</stp>
        <stp>XPDUSD25R2y Curncy</stp>
        <stp>PX_LAST</stp>
        <stp>12/05/2020</stp>
        <stp>12/05/2020</stp>
        <stp>[QwackPricer.xlsb.xlsx]FX-IR!R203C5</stp>
        <tr r="E203" s="1"/>
      </tp>
      <tp>
        <v>3</v>
        <stp/>
        <stp>##V3_BDHV12</stp>
        <stp>XPDUSD25R4y Curncy</stp>
        <stp>PX_LAST</stp>
        <stp>12/05/2020</stp>
        <stp>12/05/2020</stp>
        <stp>[QwackPricer.xlsb.xlsx]FX-IR!R205C5</stp>
        <tr r="E205" s="1"/>
      </tp>
      <tp>
        <v>2.2850000000000001</v>
        <stp/>
        <stp>##V3_BDHV12</stp>
        <stp>AUDUSD10B1y Curncy</stp>
        <stp>PX_LAST</stp>
        <stp>12/05/2020</stp>
        <stp>12/05/2020</stp>
        <stp>[QwackPricer.xlsb.xlsx]FX-IR!R135C8</stp>
        <tr r="H135" s="1"/>
      </tp>
      <tp>
        <v>9.81</v>
        <stp/>
        <stp>##V3_BDHV12</stp>
        <stp>XPDUSD10B2y Curncy</stp>
        <stp>PX_LAST</stp>
        <stp>12/05/2020</stp>
        <stp>12/05/2020</stp>
        <stp>[QwackPricer.xlsb.xlsx]FX-IR!R203C8</stp>
        <tr r="H203" s="1"/>
      </tp>
      <tp>
        <v>9.65</v>
        <stp/>
        <stp>##V3_BDHV12</stp>
        <stp>XPDUSD10B4y Curncy</stp>
        <stp>PX_LAST</stp>
        <stp>12/05/2020</stp>
        <stp>12/05/2020</stp>
        <stp>[QwackPricer.xlsb.xlsx]FX-IR!R205C8</stp>
        <tr r="H205" s="1"/>
      </tp>
      <tp>
        <v>5.7</v>
        <stp/>
        <stp>##V3_BDHV12</stp>
        <stp>XPDUSD10R2y Curncy</stp>
        <stp>PX_LAST</stp>
        <stp>12/05/2020</stp>
        <stp>12/05/2020</stp>
        <stp>[QwackPricer.xlsb.xlsx]FX-IR!R203C6</stp>
        <tr r="F203" s="1"/>
      </tp>
      <tp>
        <v>6.3</v>
        <stp/>
        <stp>##V3_BDHV12</stp>
        <stp>XPDUSD10R4y Curncy</stp>
        <stp>PX_LAST</stp>
        <stp>12/05/2020</stp>
        <stp>12/05/2020</stp>
        <stp>[QwackPricer.xlsb.xlsx]FX-IR!R205C6</stp>
        <tr r="F205" s="1"/>
      </tp>
      <tp>
        <v>-6.6449999999999996</v>
        <stp/>
        <stp>##V3_BDHV12</stp>
        <stp>AUDUSD10R1y Curncy</stp>
        <stp>PX_LAST</stp>
        <stp>12/05/2020</stp>
        <stp>12/05/2020</stp>
        <stp>[QwackPricer.xlsb.xlsx]FX-IR!R135C6</stp>
        <tr r="F135" s="1"/>
      </tp>
      <tp>
        <v>-0.75</v>
        <stp/>
        <stp>##V3_BDHV12</stp>
        <stp>XPTUSD25R1m Curncy</stp>
        <stp>PX_LAST</stp>
        <stp>12/05/2020</stp>
        <stp>12/05/2020</stp>
        <stp>[QwackPricer.xlsb.xlsx]FX-IR!R180C5</stp>
        <tr r="E180" s="1"/>
      </tp>
      <tp>
        <v>-0.25</v>
        <stp/>
        <stp>##V3_BDHV12</stp>
        <stp>XPTUSD25R3m Curncy</stp>
        <stp>PX_LAST</stp>
        <stp>12/05/2020</stp>
        <stp>12/05/2020</stp>
        <stp>[QwackPricer.xlsb.xlsx]FX-IR!R182C5</stp>
        <tr r="E182" s="1"/>
      </tp>
      <tp>
        <v>1.9849999999999999</v>
        <stp/>
        <stp>##V3_BDHV12</stp>
        <stp>XPTUSD25B1m Curncy</stp>
        <stp>PX_LAST</stp>
        <stp>12/05/2020</stp>
        <stp>12/05/2020</stp>
        <stp>[QwackPricer.xlsb.xlsx]FX-IR!R180C7</stp>
        <tr r="G180" s="1"/>
      </tp>
      <tp>
        <v>1.5699999999999998</v>
        <stp/>
        <stp>##V3_BDHV12</stp>
        <stp>XPTUSD25B3m Curncy</stp>
        <stp>PX_LAST</stp>
        <stp>12/05/2020</stp>
        <stp>12/05/2020</stp>
        <stp>[QwackPricer.xlsb.xlsx]FX-IR!R182C7</stp>
        <tr r="G182" s="1"/>
      </tp>
      <tp>
        <v>7.4749999999999996</v>
        <stp/>
        <stp>##V3_BDHV12</stp>
        <stp>XPTUSD10B1m Curncy</stp>
        <stp>PX_LAST</stp>
        <stp>12/05/2020</stp>
        <stp>12/05/2020</stp>
        <stp>[QwackPricer.xlsb.xlsx]FX-IR!R180C8</stp>
        <tr r="H180" s="1"/>
      </tp>
      <tp>
        <v>6.4850000000000003</v>
        <stp/>
        <stp>##V3_BDHV12</stp>
        <stp>XPTUSD10B3m Curncy</stp>
        <stp>PX_LAST</stp>
        <stp>12/05/2020</stp>
        <stp>12/05/2020</stp>
        <stp>[QwackPricer.xlsb.xlsx]FX-IR!R182C8</stp>
        <tr r="H182" s="1"/>
      </tp>
      <tp>
        <v>-1.65</v>
        <stp/>
        <stp>##V3_BDHV12</stp>
        <stp>XPTUSD10R1m Curncy</stp>
        <stp>PX_LAST</stp>
        <stp>12/05/2020</stp>
        <stp>12/05/2020</stp>
        <stp>[QwackPricer.xlsb.xlsx]FX-IR!R180C6</stp>
        <tr r="F180" s="1"/>
      </tp>
      <tp>
        <v>-0.57499999999999996</v>
        <stp/>
        <stp>##V3_BDHV12</stp>
        <stp>XPTUSD10R3m Curncy</stp>
        <stp>PX_LAST</stp>
        <stp>12/05/2020</stp>
        <stp>12/05/2020</stp>
        <stp>[QwackPricer.xlsb.xlsx]FX-IR!R182C6</stp>
        <tr r="F182" s="1"/>
      </tp>
      <tp>
        <v>11.7325</v>
        <stp/>
        <stp>##V3_BDHV12</stp>
        <stp>AUDUSDV1y Curncy</stp>
        <stp>PX_LAST</stp>
        <stp>12/05/2020</stp>
        <stp>12/05/2020</stp>
        <stp>[QwackPricer.xlsb.xlsx]FX-IR!R135C4</stp>
        <tr r="D135" s="1"/>
      </tp>
      <tp>
        <v>39.75</v>
        <stp/>
        <stp>##V3_BDHV12</stp>
        <stp>XPTUSDV1y Curncy</stp>
        <stp>PX_LAST</stp>
        <stp>12/05/2020</stp>
        <stp>12/05/2020</stp>
        <stp>[QwackPricer.xlsb.xlsx]FX-IR!R185C4</stp>
        <tr r="D185" s="1"/>
      </tp>
      <tp>
        <v>88</v>
        <stp/>
        <stp>##V3_BDHV12</stp>
        <stp>XPDUSDV1w Curncy</stp>
        <stp>PX_LAST</stp>
        <stp>12/05/2020</stp>
        <stp>12/05/2020</stp>
        <stp>[QwackPricer.xlsb.xlsx]FX-IR!R195C4</stp>
        <tr r="D195" s="1"/>
      </tp>
      <tp>
        <v>-0.41</v>
        <stp/>
        <stp>##V3_BDPV12</stp>
        <stp>FDBSM H22 Index</stp>
        <stp>PX_LAST</stp>
        <stp>[QwackPricer.xlsb.xlsx]Energy!R94C6</stp>
        <tr r="F94" s="3"/>
      </tp>
      <tp>
        <v>-1.7</v>
        <stp/>
        <stp>##V3_BDPV12</stp>
        <stp>FDBSM U20 Index</stp>
        <stp>PX_LAST</stp>
        <stp>[QwackPricer.xlsb.xlsx]Energy!R76C6</stp>
        <tr r="F76" s="3"/>
      </tp>
      <tp>
        <v>-0.83</v>
        <stp/>
        <stp>##V3_BDPV12</stp>
        <stp>FDBSM Q21 Index</stp>
        <stp>PX_LAST</stp>
        <stp>[QwackPricer.xlsb.xlsx]Energy!R87C6</stp>
        <tr r="F87" s="3"/>
      </tp>
      <tp>
        <v>38.725000000000001</v>
        <stp/>
        <stp>##V3_BDPV12</stp>
        <stp>COF2 Comdty</stp>
        <stp>PX_MID</stp>
        <stp>[QwackPricer.xlsb.xlsx]Energy!R29C5</stp>
        <tr r="E29" s="3"/>
      </tp>
      <tp t="s">
        <v>#N/A N/A</v>
        <stp/>
        <stp>##V3_BDPV12</stp>
        <stp>COQ3 Comdty</stp>
        <stp>PX_MID</stp>
        <stp>[QwackPricer.xlsb.xlsx]Energy!R48C5</stp>
        <tr r="E48" s="3"/>
      </tp>
      <tp t="s">
        <v>#N/A N/A</v>
        <stp/>
        <stp>##V3_BDPV12</stp>
        <stp>COX2 Comdty</stp>
        <stp>PX_MID</stp>
        <stp>[QwackPricer.xlsb.xlsx]Energy!R39C5</stp>
        <tr r="E39" s="3"/>
      </tp>
      <tp>
        <v>-181</v>
        <stp/>
        <stp>##V3_BDPV12</stp>
        <stp>LMNIDS 03J21 Comdty</stp>
        <stp>PX_SETTLE</stp>
        <stp>[QwackPricer.xlsb.xlsx]Base!R29C17</stp>
        <tr r="Q29" s="2"/>
      </tp>
      <tp>
        <v>-641</v>
        <stp/>
        <stp>##V3_BDPV12</stp>
        <stp>LMNIDS 03J23 Comdty</stp>
        <stp>PX_SETTLE</stp>
        <stp>[QwackPricer.xlsb.xlsx]Base!R53C17</stp>
        <tr r="Q53" s="2"/>
      </tp>
      <tp>
        <v>-400</v>
        <stp/>
        <stp>##V3_BDPV12</stp>
        <stp>LMNIDS 03J22 Comdty</stp>
        <stp>PX_SETTLE</stp>
        <stp>[QwackPricer.xlsb.xlsx]Base!R41C17</stp>
        <tr r="Q41" s="2"/>
      </tp>
      <tp>
        <v>-90</v>
        <stp/>
        <stp>##V3_BDPV12</stp>
        <stp>LMPBDS 03J23 Comdty</stp>
        <stp>PX_SETTLE</stp>
        <stp>[QwackPricer.xlsb.xlsx]Base!R53C21</stp>
        <tr r="U53" s="2"/>
      </tp>
      <tp>
        <v>-63</v>
        <stp/>
        <stp>##V3_BDPV12</stp>
        <stp>LMPBDS 03J22 Comdty</stp>
        <stp>PX_SETTLE</stp>
        <stp>[QwackPricer.xlsb.xlsx]Base!R41C21</stp>
        <tr r="U41" s="2"/>
      </tp>
      <tp>
        <v>-33.5</v>
        <stp/>
        <stp>##V3_BDPV12</stp>
        <stp>LMPBDS 03J21 Comdty</stp>
        <stp>PX_SETTLE</stp>
        <stp>[QwackPricer.xlsb.xlsx]Base!R29C21</stp>
        <tr r="U29" s="2"/>
      </tp>
      <tp>
        <v>115</v>
        <stp/>
        <stp>##V3_BDPV12</stp>
        <stp>LMSNDS 03J21 Comdty</stp>
        <stp>PX_SETTLE</stp>
        <stp>[QwackPricer.xlsb.xlsx]Base!R29C25</stp>
        <tr r="Y29" s="2"/>
      </tp>
      <tp>
        <v>-85</v>
        <stp/>
        <stp>##V3_BDPV12</stp>
        <stp>LMZSDS 03J23 Comdty</stp>
        <stp>PX_SETTLE</stp>
        <stp>[QwackPricer.xlsb.xlsx]Base!R53C13</stp>
        <tr r="M53" s="2"/>
      </tp>
      <tp>
        <v>-55.75</v>
        <stp/>
        <stp>##V3_BDPV12</stp>
        <stp>LMZSDS 03J22 Comdty</stp>
        <stp>PX_SETTLE</stp>
        <stp>[QwackPricer.xlsb.xlsx]Base!R41C13</stp>
        <tr r="M41" s="2"/>
      </tp>
      <tp>
        <v>-22.75</v>
        <stp/>
        <stp>##V3_BDPV12</stp>
        <stp>LMZSDS 03J21 Comdty</stp>
        <stp>PX_SETTLE</stp>
        <stp>[QwackPricer.xlsb.xlsx]Base!R29C13</stp>
        <tr r="M29" s="2"/>
      </tp>
      <tp>
        <v>0.88</v>
        <stp/>
        <stp>##V3_BDHV12</stp>
        <stp>EURUSD10B1m Curncy</stp>
        <stp>PX_LAST</stp>
        <stp>12/05/2020</stp>
        <stp>12/05/2020</stp>
        <stp>[QwackPricer.xlsb.xlsx]FX-IR!R114C8</stp>
        <tr r="H114" s="1"/>
      </tp>
      <tp>
        <v>1.105</v>
        <stp/>
        <stp>##V3_BDHV12</stp>
        <stp>EURUSD10B3m Curncy</stp>
        <stp>PX_LAST</stp>
        <stp>12/05/2020</stp>
        <stp>12/05/2020</stp>
        <stp>[QwackPricer.xlsb.xlsx]FX-IR!R116C8</stp>
        <tr r="H116" s="1"/>
      </tp>
      <tp>
        <v>-1.0024999999999999</v>
        <stp/>
        <stp>##V3_BDHV12</stp>
        <stp>EURUSD10R1m Curncy</stp>
        <stp>PX_LAST</stp>
        <stp>12/05/2020</stp>
        <stp>12/05/2020</stp>
        <stp>[QwackPricer.xlsb.xlsx]FX-IR!R114C6</stp>
        <tr r="F114" s="1"/>
      </tp>
      <tp>
        <v>-1.425</v>
        <stp/>
        <stp>##V3_BDHV12</stp>
        <stp>EURUSD10R3m Curncy</stp>
        <stp>PX_LAST</stp>
        <stp>12/05/2020</stp>
        <stp>12/05/2020</stp>
        <stp>[QwackPricer.xlsb.xlsx]FX-IR!R116C6</stp>
        <tr r="F116" s="1"/>
      </tp>
      <tp>
        <v>-4.21</v>
        <stp/>
        <stp>##V3_BDHV12</stp>
        <stp>AUDUSD25R5y Curncy</stp>
        <stp>PX_LAST</stp>
        <stp>12/05/2020</stp>
        <stp>12/05/2020</stp>
        <stp>[QwackPricer.xlsb.xlsx]FX-IR!R140C5</stp>
        <tr r="E140" s="1"/>
      </tp>
      <tp>
        <v>-3.7524999999999999</v>
        <stp/>
        <stp>##V3_BDHV12</stp>
        <stp>AUDUSD25R2y Curncy</stp>
        <stp>PX_LAST</stp>
        <stp>12/05/2020</stp>
        <stp>12/05/2020</stp>
        <stp>[QwackPricer.xlsb.xlsx]FX-IR!R137C5</stp>
        <tr r="E137" s="1"/>
      </tp>
      <tp>
        <v>1.865</v>
        <stp/>
        <stp>##V3_BDHV12</stp>
        <stp>XPDUSD25B1y Curncy</stp>
        <stp>PX_LAST</stp>
        <stp>12/05/2020</stp>
        <stp>12/05/2020</stp>
        <stp>[QwackPricer.xlsb.xlsx]FX-IR!R201C7</stp>
        <tr r="G201" s="1"/>
      </tp>
      <tp>
        <v>0.77500000000000002</v>
        <stp/>
        <stp>##V3_BDHV12</stp>
        <stp>AUDUSD25B5y Curncy</stp>
        <stp>PX_LAST</stp>
        <stp>12/05/2020</stp>
        <stp>12/05/2020</stp>
        <stp>[QwackPricer.xlsb.xlsx]FX-IR!R140C7</stp>
        <tr r="G140" s="1"/>
      </tp>
      <tp>
        <v>0.76749999999999996</v>
        <stp/>
        <stp>##V3_BDHV12</stp>
        <stp>AUDUSD25B2y Curncy</stp>
        <stp>PX_LAST</stp>
        <stp>12/05/2020</stp>
        <stp>12/05/2020</stp>
        <stp>[QwackPricer.xlsb.xlsx]FX-IR!R137C7</stp>
        <tr r="G137" s="1"/>
      </tp>
      <tp>
        <v>2.75</v>
        <stp/>
        <stp>##V3_BDHV12</stp>
        <stp>XPDUSD25R1y Curncy</stp>
        <stp>PX_LAST</stp>
        <stp>12/05/2020</stp>
        <stp>12/05/2020</stp>
        <stp>[QwackPricer.xlsb.xlsx]FX-IR!R201C5</stp>
        <tr r="E201" s="1"/>
      </tp>
      <tp>
        <v>2.4975000000000001</v>
        <stp/>
        <stp>##V3_BDHV12</stp>
        <stp>AUDUSD10B5y Curncy</stp>
        <stp>PX_LAST</stp>
        <stp>12/05/2020</stp>
        <stp>12/05/2020</stp>
        <stp>[QwackPricer.xlsb.xlsx]FX-IR!R140C8</stp>
        <tr r="H140" s="1"/>
      </tp>
      <tp>
        <v>2.34</v>
        <stp/>
        <stp>##V3_BDHV12</stp>
        <stp>AUDUSD10B2y Curncy</stp>
        <stp>PX_LAST</stp>
        <stp>12/05/2020</stp>
        <stp>12/05/2020</stp>
        <stp>[QwackPricer.xlsb.xlsx]FX-IR!R137C8</stp>
        <tr r="H137" s="1"/>
      </tp>
      <tp>
        <v>9.9849999999999994</v>
        <stp/>
        <stp>##V3_BDHV12</stp>
        <stp>XPDUSD10B1y Curncy</stp>
        <stp>PX_LAST</stp>
        <stp>12/05/2020</stp>
        <stp>12/05/2020</stp>
        <stp>[QwackPricer.xlsb.xlsx]FX-IR!R201C8</stp>
        <tr r="H201" s="1"/>
      </tp>
      <tp>
        <v>4.95</v>
        <stp/>
        <stp>##V3_BDHV12</stp>
        <stp>XPDUSD10R1y Curncy</stp>
        <stp>PX_LAST</stp>
        <stp>12/05/2020</stp>
        <stp>12/05/2020</stp>
        <stp>[QwackPricer.xlsb.xlsx]FX-IR!R201C6</stp>
        <tr r="F201" s="1"/>
      </tp>
      <tp>
        <v>-7.7275</v>
        <stp/>
        <stp>##V3_BDHV12</stp>
        <stp>AUDUSD10R5y Curncy</stp>
        <stp>PX_LAST</stp>
        <stp>12/05/2020</stp>
        <stp>12/05/2020</stp>
        <stp>[QwackPricer.xlsb.xlsx]FX-IR!R140C6</stp>
        <tr r="F140" s="1"/>
      </tp>
      <tp>
        <v>-6.8250000000000002</v>
        <stp/>
        <stp>##V3_BDHV12</stp>
        <stp>AUDUSD10R2y Curncy</stp>
        <stp>PX_LAST</stp>
        <stp>12/05/2020</stp>
        <stp>12/05/2020</stp>
        <stp>[QwackPricer.xlsb.xlsx]FX-IR!R137C6</stp>
        <tr r="F137" s="1"/>
      </tp>
      <tp>
        <v>-0.57250000000000001</v>
        <stp/>
        <stp>##V3_BDHV12</stp>
        <stp>EURUSD25R1m Curncy</stp>
        <stp>PX_LAST</stp>
        <stp>12/05/2020</stp>
        <stp>12/05/2020</stp>
        <stp>[QwackPricer.xlsb.xlsx]FX-IR!R114C5</stp>
        <tr r="E114" s="1"/>
      </tp>
      <tp>
        <v>-0.79749999999999999</v>
        <stp/>
        <stp>##V3_BDHV12</stp>
        <stp>EURUSD25R3m Curncy</stp>
        <stp>PX_LAST</stp>
        <stp>12/05/2020</stp>
        <stp>12/05/2020</stp>
        <stp>[QwackPricer.xlsb.xlsx]FX-IR!R116C5</stp>
        <tr r="E116" s="1"/>
      </tp>
      <tp>
        <v>0.28999999999999998</v>
        <stp/>
        <stp>##V3_BDHV12</stp>
        <stp>EURUSD25B1m Curncy</stp>
        <stp>PX_LAST</stp>
        <stp>12/05/2020</stp>
        <stp>12/05/2020</stp>
        <stp>[QwackPricer.xlsb.xlsx]FX-IR!R114C7</stp>
        <tr r="G114" s="1"/>
      </tp>
      <tp>
        <v>0.34250000000000003</v>
        <stp/>
        <stp>##V3_BDHV12</stp>
        <stp>EURUSD25B3m Curncy</stp>
        <stp>PX_LAST</stp>
        <stp>12/05/2020</stp>
        <stp>12/05/2020</stp>
        <stp>[QwackPricer.xlsb.xlsx]FX-IR!R116C7</stp>
        <tr r="G116" s="1"/>
      </tp>
      <tp>
        <v>-3.49</v>
        <stp/>
        <stp>##V3_BDHV12</stp>
        <stp>AUDUSD25R6m Curncy</stp>
        <stp>PX_LAST</stp>
        <stp>12/05/2020</stp>
        <stp>12/05/2020</stp>
        <stp>[QwackPricer.xlsb.xlsx]FX-IR!R133C5</stp>
        <tr r="E133" s="1"/>
      </tp>
      <tp>
        <v>0.74</v>
        <stp/>
        <stp>##V3_BDHV12</stp>
        <stp>AUDUSD25B6m Curncy</stp>
        <stp>PX_LAST</stp>
        <stp>12/05/2020</stp>
        <stp>12/05/2020</stp>
        <stp>[QwackPricer.xlsb.xlsx]FX-IR!R133C7</stp>
        <tr r="G133" s="1"/>
      </tp>
      <tp>
        <v>2.19</v>
        <stp/>
        <stp>##V3_BDHV12</stp>
        <stp>AUDUSD10B6m Curncy</stp>
        <stp>PX_LAST</stp>
        <stp>12/05/2020</stp>
        <stp>12/05/2020</stp>
        <stp>[QwackPricer.xlsb.xlsx]FX-IR!R133C8</stp>
        <tr r="H133" s="1"/>
      </tp>
      <tp>
        <v>-6.2649999999999997</v>
        <stp/>
        <stp>##V3_BDHV12</stp>
        <stp>AUDUSD10R6m Curncy</stp>
        <stp>PX_LAST</stp>
        <stp>12/05/2020</stp>
        <stp>12/05/2020</stp>
        <stp>[QwackPricer.xlsb.xlsx]FX-IR!R133C6</stp>
        <tr r="F133" s="1"/>
      </tp>
      <tp>
        <v>40.200000000000003</v>
        <stp/>
        <stp>##V3_BDHV12</stp>
        <stp>XPTUSDV6m Curncy</stp>
        <stp>PX_LAST</stp>
        <stp>12/05/2020</stp>
        <stp>12/05/2020</stp>
        <stp>[QwackPricer.xlsb.xlsx]FX-IR!R183C4</stp>
        <tr r="D183" s="1"/>
      </tp>
      <tp>
        <v>77</v>
        <stp/>
        <stp>##V3_BDHV12</stp>
        <stp>XPDUSDV2m Curncy</stp>
        <stp>PX_LAST</stp>
        <stp>12/05/2020</stp>
        <stp>12/05/2020</stp>
        <stp>[QwackPricer.xlsb.xlsx]FX-IR!R197C4</stp>
        <tr r="D197" s="1"/>
      </tp>
      <tp>
        <v>31.885000000000002</v>
        <stp/>
        <stp>##V3_BDHV12</stp>
        <stp>XAGUSDV1m Curncy</stp>
        <stp>PX_LAST</stp>
        <stp>12/05/2020</stp>
        <stp>12/05/2020</stp>
        <stp>[QwackPricer.xlsb.xlsx]FX-IR!R164C4</stp>
        <tr r="D164" s="1"/>
      </tp>
      <tp>
        <v>32.957500000000003</v>
        <stp/>
        <stp>##V3_BDHV12</stp>
        <stp>XAGUSDV3m Curncy</stp>
        <stp>PX_LAST</stp>
        <stp>12/05/2020</stp>
        <stp>12/05/2020</stp>
        <stp>[QwackPricer.xlsb.xlsx]FX-IR!R166C4</stp>
        <tr r="D166" s="1"/>
      </tp>
      <tp>
        <v>11.98</v>
        <stp/>
        <stp>##V3_BDHV12</stp>
        <stp>AUDUSDV2y Curncy</stp>
        <stp>PX_LAST</stp>
        <stp>12/05/2020</stp>
        <stp>12/05/2020</stp>
        <stp>[QwackPricer.xlsb.xlsx]FX-IR!R137C4</stp>
        <tr r="D137" s="1"/>
      </tp>
      <tp>
        <v>12.5175</v>
        <stp/>
        <stp>##V3_BDHV12</stp>
        <stp>AUDUSDV5y Curncy</stp>
        <stp>PX_LAST</stp>
        <stp>12/05/2020</stp>
        <stp>12/05/2020</stp>
        <stp>[QwackPricer.xlsb.xlsx]FX-IR!R140C4</stp>
        <tr r="D140" s="1"/>
      </tp>
      <tp>
        <v>41</v>
        <stp/>
        <stp>##V3_BDHV12</stp>
        <stp>XPTUSDV2y Curncy</stp>
        <stp>PX_LAST</stp>
        <stp>12/05/2020</stp>
        <stp>12/05/2020</stp>
        <stp>[QwackPricer.xlsb.xlsx]FX-IR!R187C4</stp>
        <tr r="D187" s="1"/>
      </tp>
      <tp>
        <v>43</v>
        <stp/>
        <stp>##V3_BDHV12</stp>
        <stp>XPTUSDV5y Curncy</stp>
        <stp>PX_LAST</stp>
        <stp>12/05/2020</stp>
        <stp>12/05/2020</stp>
        <stp>[QwackPricer.xlsb.xlsx]FX-IR!R190C4</stp>
        <tr r="D190" s="1"/>
      </tp>
      <tp>
        <v>7.0449999999999999</v>
        <stp/>
        <stp>##V3_BDHV12</stp>
        <stp>EURUSDV1m Curncy</stp>
        <stp>PX_LAST</stp>
        <stp>12/05/2020</stp>
        <stp>12/05/2020</stp>
        <stp>[QwackPricer.xlsb.xlsx]FX-IR!R114C4</stp>
        <tr r="D114" s="1"/>
      </tp>
      <tp>
        <v>7.0350000000000001</v>
        <stp/>
        <stp>##V3_BDHV12</stp>
        <stp>EURUSDV3m Curncy</stp>
        <stp>PX_LAST</stp>
        <stp>12/05/2020</stp>
        <stp>12/05/2020</stp>
        <stp>[QwackPricer.xlsb.xlsx]FX-IR!R116C4</stp>
        <tr r="D116" s="1"/>
      </tp>
      <tp>
        <v>12.11</v>
        <stp/>
        <stp>##V3_BDHV12</stp>
        <stp>AUDUSDV6m Curncy</stp>
        <stp>PX_LAST</stp>
        <stp>12/05/2020</stp>
        <stp>12/05/2020</stp>
        <stp>[QwackPricer.xlsb.xlsx]FX-IR!R133C4</stp>
        <tr r="D133" s="1"/>
      </tp>
      <tp>
        <v>-273</v>
        <stp/>
        <stp>##V3_BDPV12</stp>
        <stp>LMNIDS 03U21 Comdty</stp>
        <stp>PX_SETTLE</stp>
        <stp>[QwackPricer.xlsb.xlsx]Base!R34C17</stp>
        <tr r="Q34" s="2"/>
      </tp>
      <tp>
        <v>-27</v>
        <stp/>
        <stp>##V3_BDPV12</stp>
        <stp>LMNIDS 03U20 Comdty</stp>
        <stp>PX_SETTLE</stp>
        <stp>[QwackPricer.xlsb.xlsx]Base!R22C17</stp>
        <tr r="Q22" s="2"/>
      </tp>
      <tp>
        <v>-736</v>
        <stp/>
        <stp>##V3_BDPV12</stp>
        <stp>LMNIDS 03U23 Comdty</stp>
        <stp>PX_SETTLE</stp>
        <stp>[QwackPricer.xlsb.xlsx]Base!R58C17</stp>
        <tr r="Q58" s="2"/>
      </tp>
      <tp>
        <v>-502</v>
        <stp/>
        <stp>##V3_BDPV12</stp>
        <stp>LMNIDS 03U22 Comdty</stp>
        <stp>PX_SETTLE</stp>
        <stp>[QwackPricer.xlsb.xlsx]Base!R46C17</stp>
        <tr r="Q46" s="2"/>
      </tp>
      <tp>
        <v>-100</v>
        <stp/>
        <stp>##V3_BDPV12</stp>
        <stp>LMPBDS 03U23 Comdty</stp>
        <stp>PX_SETTLE</stp>
        <stp>[QwackPricer.xlsb.xlsx]Base!R58C21</stp>
        <tr r="U58" s="2"/>
      </tp>
      <tp>
        <v>-74.25</v>
        <stp/>
        <stp>##V3_BDPV12</stp>
        <stp>LMPBDS 03U22 Comdty</stp>
        <stp>PX_SETTLE</stp>
        <stp>[QwackPricer.xlsb.xlsx]Base!R46C21</stp>
        <tr r="U46" s="2"/>
      </tp>
      <tp>
        <v>-45</v>
        <stp/>
        <stp>##V3_BDPV12</stp>
        <stp>LMPBDS 03U21 Comdty</stp>
        <stp>PX_SETTLE</stp>
        <stp>[QwackPricer.xlsb.xlsx]Base!R34C21</stp>
        <tr r="U34" s="2"/>
      </tp>
      <tp>
        <v>-4.75</v>
        <stp/>
        <stp>##V3_BDPV12</stp>
        <stp>LMPBDS 03U20 Comdty</stp>
        <stp>PX_SETTLE</stp>
        <stp>[QwackPricer.xlsb.xlsx]Base!R22C21</stp>
        <tr r="U22" s="2"/>
      </tp>
      <tp>
        <v>18</v>
        <stp/>
        <stp>##V3_BDPV12</stp>
        <stp>LMSNDS 03U20 Comdty</stp>
        <stp>PX_SETTLE</stp>
        <stp>[QwackPricer.xlsb.xlsx]Base!R22C25</stp>
        <tr r="Y22" s="2"/>
      </tp>
      <tp>
        <v>-85</v>
        <stp/>
        <stp>##V3_BDPV12</stp>
        <stp>LMZSDS 03U23 Comdty</stp>
        <stp>PX_SETTLE</stp>
        <stp>[QwackPricer.xlsb.xlsx]Base!R58C13</stp>
        <tr r="M58" s="2"/>
      </tp>
      <tp>
        <v>-68.25</v>
        <stp/>
        <stp>##V3_BDPV12</stp>
        <stp>LMZSDS 03U22 Comdty</stp>
        <stp>PX_SETTLE</stp>
        <stp>[QwackPricer.xlsb.xlsx]Base!R46C13</stp>
        <tr r="M46" s="2"/>
      </tp>
      <tp>
        <v>-38.25</v>
        <stp/>
        <stp>##V3_BDPV12</stp>
        <stp>LMZSDS 03U21 Comdty</stp>
        <stp>PX_SETTLE</stp>
        <stp>[QwackPricer.xlsb.xlsx]Base!R34C13</stp>
        <tr r="M34" s="2"/>
      </tp>
      <tp>
        <v>-2</v>
        <stp/>
        <stp>##V3_BDPV12</stp>
        <stp>LMZSDS 03U20 Comdty</stp>
        <stp>PX_SETTLE</stp>
        <stp>[QwackPricer.xlsb.xlsx]Base!R22C13</stp>
        <tr r="M22" s="2"/>
      </tp>
      <tp t="s">
        <v>43598{%f},1282.95{%f};43599{%f},1297.6{%f};43600{%f},1298.9{%f};43601{%f},1295.55{%f};43602{%f},1285.8{%f};43605{%f},1275.25{%f};43606{%f},1276{%f};43607{%f},1274{%f};43608{%f},1275.95{%f};43609{%f},1281.5{%f};43613{%f},1283.9{%f};43614{%f},1283.5{%f};43615{%f},1276.45{%f};43616{%f},1296{%f};43619{%f},1313.95{%f};43620{%f},1323.6{%f};43621{%f},1337.75{%f};43622{%f},1336.65{%f};43623{%f},1334.3{%f};43626{%f},1328.6{%f};43627{%f},1322.65{%f};43628{%f},1336.65{%f};43629{%f},1335.8{%f};43630{%f},1352.45{%f};43633{%f},1333.2{%f};43634{%f},1344.55{%f};43635{%f},1342.4{%f};43636{%f},1381.65{%f};43637{%f},1388.35{%f};43640{%f},1405.45{%f};43641{%f},1429.55{%f};43642{%f},1406.75{%f};43643{%f},1402.25{%f};43644{%f},1413.2{%f};43647{%f},1390.05{%f};43648{%f},1393.1{%f};43649{%f},1425.1{%f};43650{%f},1415.25{%f};43651{%f},1414.4{%f};43654{%f},1404.9{%f};43655{%f},1387.9{%f};43656{%f},1395.45{%f};43657{%f},1423.1{%f};43658{%f},1405.6{%f};43661{%f},1416.25{%f};43662{%f},1416.1{%f};43663{%f},1400.8{%f};43664{%f},1420.9{%f};43665{%f},1437.05{%f};43668{%f},1424.45{%f};43669{%f},1417.55{%f};43670{%f},1425.55{%f};43671{%f},1426.35{%f};43672{%f},1418.25{%f};43675{%f},1418.95{%f};43676{%f},1428.45{%f};43677{%f},1430.55{%f};43678{%f},1406.4{%f};43679{%f},1436.05{%f};43682{%f},1457.45{%f};43683{%f},1461.85{%f};43684{%f},1487.65{%f};43685{%f},1497.4{%f};43686{%f},1503.5{%f};43689{%f},1501.95{%f};43690{%f},1527.2{%f};43691{%f},1500.35{%f};43692{%f},1517.65{%f};43693{%f},1509.05{%f};43696{%f},1499.35{%f};43697{%f},1502.65{%f};43698{%f},1499.65{%f};43699{%f},1498.7{%f};43700{%f},1495.5{%f};43704{%f},1531.85{%f};43705{%f},1541.75{%f};43706{%f},1536.65{%f};43707{%f},1526.55{%f};43710{%f},1523.35{%f};43711{%f},1532.45{%f};43712{%f},1538.8{%f};43713{%f},1542.6{%f};43714{%f},1504.95{%f};43717{%f},1509.95{%f};43718{%f},1494.6{%f};43719{%f},1493.65{%f};43720{%f},1502.95{%f};43721{%f},1506.3{%f};43724{%f},1502.05{%f};43725{%f},1499.3{%f};43726{%f},1502.2{%f};43727{%f},1498.4{%f};43728{%f},1504.1{%f};43731{%f},1519.5{%f};43732{%f},1520.25{%f};43733{%f},1530.85{%f};43734{%f},1507.05{%f};43735{%f},1496.15{%f};43738{%f},1487.6{%f};43739{%f},1466.1{%f};43740{%f},1484.05{%f};43741{%f},1504{%f};43742{%f},1509.5{%f};43745{%f},1502.15{%f};43746{%f},1500{%f};43747{%f},1503.4{%f};43748{%f},1508.2{%f};43749{%f},1498.35{%f};43752{%f},1494.2{%f};43753{%f},1494.75{%f};43754{%f},1482.55{%f};43755{%f},1484.45{%f};43756{%f},1487.5{%f};43759{%f},1490.85{%f};43760{%f},1487.45{%f};43761{%f},1494.25{%f};43762{%f},1488.85{%f};43763{%f},1504.65{%f};43766{%f},1505.05{%f};43767{%f},1492.75{%f};43768{%f},1490.15{%f};43769{%f},1506.4{%f};43770{%f},1509.85{%f};43773{%f},1509.2{%f};43774{%f},1504.6{%f};43775{%f},1488.55{%f};43776{%f},1484.1{%f};43777{%f},1466.85{%f};43780{%f},1465.5{%f};43781{%f},1455{%f};43782{%f},1463.45{%f};43783{%f},1467.65{%f};43784{%f},1465.6{%f};43787{%f},1458.4{%f};43788{%f},1464.9{%f};43789{%f},1475.7{%f};43790{%f},1468.9{%f};43791{%f},1471.3{%f};43794{%f},1459.45{%f};43795{%f},1457.65{%f};43796{%f},1459.8{%f};43797{%f},1457.55{%f};43798{%f},1456.35{%f};43801{%f},1457.5{%f};43802{%f},1470.4{%f};43803{%f},1475.85{%f};43804{%f},1474.6{%f};43805{%f},1474.85{%f};43808{%f},1463.6{%f};43809{%f},1464.45{%f};43810{%f},1468.05{%f};43811{%f},1474.7{%f};43812{%f},1470.6{%f};43815{%f},1477.4{%f};43816{%f},1478.4{%f};43817{%f},1478.9{%f};43818{%f},1474.4{%f};43819{%f},1476.9{%f};43822{%f},1483.95{%f};43823{%f},1490.85{%f};43826{%f},1510.6{%f};43829{%f},1511.5{%f};43830{%f},1523{%f};43832{%f},1520.55{%f};43833{%f},1547.4{%f};43836{%f},1576.85{%f};43837{%f},1566.5{%f};43838{%f},1582.85{%f};43839{%f},1547.85{%f};43840{%f},1548.8{%f};43843{%f},1550.35{%f};43844{%f},1544.95{%f};43845{%f},1551.9{%f};43846{%f},1555.2{%f};43847{%f},1556.5{%f};43850{%f},1559.25{%f};43851{%f},1556.25{%f};43852{%f},1558.1{%f};43853{%f},1554.05{%f};43854{%f},1561.85{%f};43857{%f},1583.45{%f};43858{%f},1579.6{%f};43859{%f},1571.2{%f};43860{%f},1580.4{%f};43861{%f},1580.85{%f};43864{%f},1578.85{%f};43865{%f},1571.2{%f};43866{%f},1552.2{%f};43867{%f},1564.75{%f};43868{%f},1568.3{%f};43871{%f},1574.05{%f};43872{%f},1567.7{%f};43873{%f},1566.75{%f};43874{%f},1575{%f};43875{%f},1576.35{%f};43878{%f},1580.3{%f};43879{%f},1588.2{%f};43880{%f},1609.5{%f};43881{%f},1610.35{%f};43882{%f},1633.7{%f};43885{%f},1682.35{%f};43886{%f},1655.9{%f};43887{%f},1647.95{%f};43888{%f},1646.6{%f};43889{%f},1626.35{%f};43892{%f},1609.7{%f};43893{%f},1599.05{%f};43894{%f},1644.8{%f};43895{%f},1647.45{%f};43896{%f},1687{%f};43899{%f},1676.6{%f};43900{%f},1657.4{%f};43901{%f},1662.5{%f};43902{%f},1636.65{%f};43903{%f},1588.15{%f};43906{%f},1504.65{%f};43907{%f},1472.35{%f};43908{%f},1506{%f};43909{%f},1480.7{%f};43910{%f},1504.45{%f};43913{%f},1494.5{%f};43914{%f},1599.5{%f};43915{%f},1620.95{%f};43916{%f},1620.1{%f};43917{%f},1621.2{%f};43920{%f},1624.45{%f};43921{%f},1604.65{%f};43922{%f},1594.25{%f};43923{%f},1588.05{%f};43924{%f},1609.75{%f};43927{%f},1636.6{%f};43928{%f},1652.2{%f};43929{%f},1649.05{%f};43930{%f},1662.5{%f};43935{%f},1715.85{%f};43936{%f},1712.25{%f};43937{%f},1717.85{%f};43938{%f},1693.15{%f};43941{%f},1684.95{%f};43942{%f},1678.6{%f};43943{%f},1702.65{%f};43944{%f},1727.55{%f};43945{%f},1727.25{%f};43948{%f},1717.25{%f};43949{%f},1708.1{%f};43950{%f},1706{%f};43951{%f},1716.75{%f};43952{%f},1673.05{%f};43955{%f},1703.7{%f};43956{%f},1696.3{%f};43957{%f},1698.9{%f};43958{%f},1688.65{%f};43962{%f},1698.8{%f}##BDH_RS##</v>
        <stp/>
        <stp>##V3_BDHV12</stp>
        <stp>GOLDLNAM Index</stp>
        <stp>PX_LAST</stp>
        <stp>13/05/2019</stp>
        <stp>12/05/2020</stp>
        <stp>[QwackPricer.xlsb.xlsx]FX-IR!R23C14</stp>
        <stp>Array=true</stp>
        <tr r="N23" s="1"/>
      </tp>
      <tp t="s">
        <v>43598{%f},61.04{%f};43599{%f},61.78{%f};43600{%f},62.02{%f};43601{%f},62.87{%f};43602{%f},62.76{%f};43605{%f},63.1{%f};43606{%f},62.99{%f};43607{%f},61.42{%f};43608{%f},57.91{%f};43609{%f},58.63{%f};43613{%f},59.14{%f};43614{%f},58.81{%f};43615{%f},56.59{%f};43616{%f},53.5{%f};43619{%f},53.25{%f};43620{%f},53.48{%f};43621{%f},51.68{%f};43622{%f},52.59{%f};43623{%f},53.99{%f};43626{%f},53.26{%f};43627{%f},53.27{%f};43628{%f},51.14{%f};43629{%f},52.28{%f};43630{%f},52.51{%f};43633{%f},51.93{%f};43634{%f},53.9{%f};43635{%f},53.76{%f};43636{%f},56.65{%f};43637{%f},57.43{%f};43640{%f},57.9{%f};43641{%f},57.83{%f};43642{%f},59.38{%f};43643{%f},59.43{%f};43644{%f},58.47{%f};43647{%f},59.09{%f};43648{%f},56.25{%f};43649{%f},57.34{%f};43651{%f},57.51{%f};43654{%f},57.66{%f};43655{%f},57.83{%f};43656{%f},60.43{%f};43657{%f},60.2{%f};43658{%f},60.21{%f};43661{%f},59.58{%f};43662{%f},57.62{%f};43663{%f},56.78{%f};43664{%f},55.3{%f};43665{%f},55.63{%f};43668{%f},56.22{%f};43669{%f},56.77{%f};43670{%f},55.88{%f};43671{%f},56.02{%f};43672{%f},56.2{%f};43675{%f},56.87{%f};43676{%f},58.05{%f};43677{%f},58.58{%f};43678{%f},53.95{%f};43679{%f},55.66{%f};43682{%f},54.69{%f};43683{%f},53.63{%f};43684{%f},51.09{%f};43685{%f},52.54{%f};43686{%f},54.5{%f};43689{%f},54.93{%f};43690{%f},57.1{%f};43691{%f},55.23{%f};43692{%f},54.47{%f};43693{%f},54.87{%f};43696{%f},56.21{%f};43697{%f},56.34{%f};43698{%f},55.68{%f};43699{%f},55.35{%f};43700{%f},54.17{%f};43703{%f},53.64{%f};43704{%f},54.93{%f};43705{%f},55.78{%f};43706{%f},56.71{%f};43707{%f},55.1{%f};43711{%f},53.94{%f};43712{%f},56.26{%f};43713{%f},56.3{%f};43714{%f},56.52{%f};43717{%f},57.85{%f};43718{%f},57.4{%f};43719{%f},55.75{%f};43720{%f},55.09{%f};43721{%f},54.85{%f};43724{%f},62.9{%f};43725{%f},59.34{%f};43726{%f},58.11{%f};43727{%f},58.13{%f};43728{%f},58.09{%f};43731{%f},58.64{%f};43732{%f},57.29{%f};43733{%f},56.49{%f};43734{%f},56.41{%f};43735{%f},55.91{%f};43738{%f},54.07{%f};43739{%f},53.62{%f};43740{%f},52.64{%f};43741{%f},52.45{%f};43742{%f},52.81{%f};43745{%f},52.75{%f};43746{%f},52.63{%f};43747{%f},52.59{%f};43748{%f},53.55{%f};43749{%f},54.7{%f};43752{%f},53.59{%f};43753{%f},52.81{%f};43754{%f},53.36{%f};43755{%f},53.93{%f};43756{%f},53.78{%f};43759{%f},53.31{%f};43760{%f},54.16{%f};43761{%f},55.97{%f};43762{%f},56.23{%f};43763{%f},56.66{%f};43766{%f},55.81{%f};43767{%f},55.54{%f};43768{%f},55.06{%f};43769{%f},54.18{%f};43770{%f},56.2{%f};43773{%f},56.54{%f};43774{%f},57.23{%f};43775{%f},56.35{%f};43776{%f},57.15{%f};43777{%f},57.24{%f};43780{%f},56.86{%f};43781{%f},56.8{%f};43782{%f},57.12{%f};43783{%f},56.77{%f};43784{%f},57.72{%f};43787{%f},57.05{%f};43788{%f},55.21{%f};43789{%f},57.11{%f};43790{%f},58.58{%f};43791{%f},57.77{%f};43794{%f},58.01{%f};43795{%f},58.41{%f};43796{%f},58.11{%f};43798{%f},55.17{%f};43801{%f},55.96{%f};43802{%f},56.1{%f};43803{%f},58.43{%f};43804{%f},58.43{%f};43805{%f},59.2{%f};43808{%f},59.02{%f};43809{%f},59.24{%f};43810{%f},58.76{%f};43811{%f},59.18{%f};43812{%f},60.07{%f};43815{%f},60.21{%f};43816{%f},60.94{%f};43817{%f},60.93{%f};43818{%f},61.22{%f};43819{%f},60.44{%f};43822{%f},60.52{%f};43823{%f},61.11{%f};43825{%f},61.68{%f};43826{%f},61.72{%f};43829{%f},61.68{%f};43830{%f},61.06{%f};43832{%f},61.18{%f};43833{%f},63.05{%f};43836{%f},63.27{%f};43837{%f},62.7{%f};43838{%f},59.61{%f};43839{%f},59.56{%f};43840{%f},59.04{%f};43843{%f},58.08{%f};43844{%f},58.23{%f};43845{%f},57.81{%f};43846{%f},58.52{%f};43847{%f},58.54{%f};43851{%f},58.34{%f};43852{%f},56.74{%f};43853{%f},55.59{%f};43854{%f},54.19{%f};43857{%f},53.14{%f};43858{%f},53.48{%f};43859{%f},53.33{%f};43860{%f},52.14{%f};43861{%f},51.56{%f};43864{%f},50.11{%f};43865{%f},49.61{%f};43866{%f},50.75{%f};43867{%f},50.95{%f};43868{%f},50.32{%f};43871{%f},49.57{%f};43872{%f},49.94{%f};43873{%f},51.17{%f};43874{%f},51.42{%f};43875{%f},52.05{%f};43879{%f},52.05{%f};43880{%f},53.29{%f};43881{%f},53.78{%f};43882{%f},53.38{%f};43885{%f},51.43{%f};43886{%f},49.9{%f};43887{%f},48.73{%f};43888{%f},47.09{%f};43889{%f},44.76{%f};43892{%f},46.75{%f};43893{%f},47.18{%f};43894{%f},46.78{%f};43895{%f},45.9{%f};43896{%f},41.28{%f};43899{%f},31.13{%f};43900{%f},34.36{%f};43901{%f},32.98{%f};43902{%f},31.5{%f};43903{%f},31.73{%f};43906{%f},28.7{%f};43907{%f},26.95{%f};43908{%f},20.37{%f};43909{%f},25.22{%f};43910{%f},22.43{%f};43913{%f},23.36{%f};43914{%f},24.01{%f};43915{%f},24.49{%f};43916{%f},22.6{%f};43917{%f},21.51{%f};43920{%f},20.09{%f};43921{%f},20.48{%f};43922{%f},20.31{%f};43923{%f},25.32{%f};43924{%f},28.34{%f};43927{%f},26.08{%f};43928{%f},23.63{%f};43929{%f},25.09{%f};43930{%f},22.76{%f};43934{%f},22.41{%f};43935{%f},20.11{%f};43936{%f},19.87{%f};43937{%f},19.87{%f};43938{%f},18.27{%f};43941{%f},-37.63{%f};43942{%f},10.01{%f};43943{%f},13.78{%f};43944{%f},16.5{%f};43945{%f},16.94{%f};43948{%f},12.78{%f};43949{%f},12.34{%f};43950{%f},15.06{%f};43951{%f},18.84{%f};43952{%f},19.78{%f};43955{%f},20.39{%f};43956{%f},24.56{%f};43957{%f},23.99{%f};43958{%f},23.55{%f};43959{%f},24.74{%f};43962{%f},24.14{%f}##BDH_RS##</v>
        <stp/>
        <stp>##V3_BDHV12</stp>
        <stp>CL1 Comdty</stp>
        <stp>PX_SETTLE</stp>
        <stp>13/05/2019</stp>
        <stp>12/05/2020</stp>
        <stp>[QwackPricer.xlsb.xlsx]Energy!R107C3</stp>
        <stp>Array=true</stp>
        <tr r="C107" s="3"/>
      </tp>
      <tp t="s">
        <v>43598{%f},196.37{%f};43599{%f},197.67{%f};43600{%f},201.27{%f};43601{%f},206.18{%f};43602{%f},204.73{%f};43605{%f},200.99{%f};43606{%f},201.93{%f};43607{%f},199.12{%f};43608{%f},191.33{%f};43609{%f},193.45{%f};43613{%f},195.67{%f};43614{%f},194.52{%f};43615{%f},187.86{%f};43616{%f},180.2{%f};43619{%f},174.13{%f};43620{%f},172.42{%f};43621{%f},169.28{%f};43622{%f},170.76{%f};43623{%f},173.89{%f};43626{%f},173.03{%f};43627{%f},175.63{%f};43628{%f},168.61{%f};43629{%f},171.99{%f};43630{%f},173.25{%f};43633{%f},169.08{%f};43634{%f},172.14{%f};43635{%f},173.55{%f};43636{%f},178.63{%f};43637{%f},185.61{%f};43640{%f},185.49{%f};43641{%f},187.72{%f};43642{%f},197.04{%f};43643{%f},194.66{%f};43644{%f},194.25{%f};43647{%f},193.05{%f};43648{%f},187.03{%f};43649{%f},191.67{%f};43651{%f},192.95{%f};43654{%f},190.13{%f};43655{%f},192.69{%f};43656{%f},200.52{%f};43657{%f},198.95{%f};43658{%f},197.7{%f};43661{%f},193.03{%f};43662{%f},189.18{%f};43663{%f},187.87{%f};43664{%f},183.42{%f};43665{%f},184.05{%f};43668{%f},182.79{%f};43669{%f},186.05{%f};43670{%f},185.51{%f};43671{%f},188.03{%f};43672{%f},187.44{%f};43675{%f},186.34{%f};43676{%f},189.69{%f};43677{%f},190.2{%f};43678{%f},174.99{%f};43679{%f},178.15{%f};43682{%f},171.8{%f};43683{%f},168.73{%f};43684{%f},162.03{%f};43685{%f},164.57{%f};43686{%f},167.4{%f};43689{%f},166.52{%f};43690{%f},173.64{%f};43691{%f},167.58{%f};43692{%f},163.64{%f};43693{%f},165.68{%f};43696{%f},166.44{%f};43697{%f},168.11{%f};43698{%f},169.38{%f};43699{%f},166.75{%f};43700{%f},164.28{%f};43703{%f},161.65{%f};43704{%f},164.99{%f};43705{%f},168.24{%f};43706{%f},168.47{%f};43707{%f},161.34{%f};43711{%f},147.05{%f};43712{%f},153.29{%f};43713{%f},154.6{%f};43714{%f},157.42{%f};43717{%f},158.46{%f};43718{%f},159.08{%f};43719{%f},156.99{%f};43720{%f},155.3{%f};43721{%f},155.31{%f};43724{%f},175.24{%f};43725{%f},167.51{%f};43726{%f},165.77{%f};43727{%f},170.07{%f};43728{%f},167.84{%f};43731{%f},168.38{%f};43732{%f},165.43{%f};43733{%f},162.52{%f};43734{%f},166.12{%f};43735{%f},165.14{%f};43738{%f},160.49{%f};43739{%f},157.37{%f};43740{%f},154.55{%f};43741{%f},155.59{%f};43742{%f},157.34{%f};43745{%f},156.94{%f};43746{%f},158.09{%f};43747{%f},158.71{%f};43748{%f},162.33{%f};43749{%f},163.88{%f};43752{%f},161.32{%f};43753{%f},161.44{%f};43754{%f},162.48{%f};43755{%f},162.25{%f};43756{%f},162.3{%f};43759{%f},160.72{%f};43760{%f},160.89{%f};43761{%f},165.19{%f};43762{%f},166.32{%f};43763{%f},167.3{%f};43766{%f},167.28{%f};43767{%f},168.57{%f};43768{%f},166.45{%f};43769{%f},163.12{%f};43770{%f},165.57{%f};43773{%f},166.37{%f};43774{%f},167.46{%f};43775{%f},162.62{%f};43776{%f},163.55{%f};43777{%f},163.37{%f};43780{%f},160.99{%f};43781{%f},161.44{%f};43782{%f},163.65{%f};43783{%f},161.58{%f};43784{%f},163.5{%f};43787{%f},162.1{%f};43788{%f},160.37{%f};43789{%f},165.63{%f};43790{%f},170.44{%f};43791{%f},167.43{%f};43794{%f},167.48{%f};43795{%f},170.47{%f};43796{%f},167.92{%f};43798{%f},159.7{%f};43801{%f},157.33{%f};43802{%f},156.29{%f};43803{%f},160.42{%f};43804{%f},162.11{%f};43805{%f},164.74{%f};43808{%f},165.48{%f};43809{%f},165.25{%f};43810{%f},162.61{%f};43811{%f},162.83{%f};43812{%f},166.32{%f};43815{%f},166.27{%f};43816{%f},168.57{%f};43817{%f},168.38{%f};43818{%f},170.68{%f};43819{%f},170.58{%f};43822{%f},170.51{%f};43823{%f},172.7{%f};43825{%f},175.37{%f};43826{%f},174.73{%f};43829{%f},172.83{%f};43830{%f},169.78{%f};43832{%f},170.42{%f};43833{%f},174.88{%f};43836{%f},175.44{%f};43837{%f},172.22{%f};43838{%f},164.88{%f};43839{%f},165.27{%f};43840{%f},165.96{%f};43843{%f},165.73{%f};43844{%f},165.44{%f};43845{%f},163.68{%f};43846{%f},165.48{%f};43847{%f},164.06{%f};43851{%f},163.65{%f};43852{%f},157.96{%f};43853{%f},156.02{%f};43854{%f},151.52{%f};43857{%f},148.4{%f};43858{%f},150.32{%f};43859{%f},153.08{%f};43860{%f},149.37{%f};43861{%f},148.87{%f};43864{%f},147.37{%f};43865{%f},144.32{%f};43866{%f},148.63{%f};43867{%f},149.8{%f};43868{%f},152.39{%f};43871{%f},152.13{%f};43872{%f},151.42{%f};43873{%f},158.1{%f};43874{%f},158.02{%f};43875{%f},158.33{%f};43879{%f},161.48{%f};43880{%f},166.33{%f};43881{%f},166.97{%f};43882{%f},165.06{%f};43885{%f},160.91{%f};43886{%f},153.24{%f};43887{%f},145.49{%f};43888{%f},141.06{%f};43889{%f},139.55{%f};43892{%f},153.96{%f};43893{%f},153.13{%f};43894{%f},155.55{%f};43895{%f},152.18{%f};43896{%f},138.9{%f};43899{%f},113.69{%f};43900{%f},115.71{%f};43901{%f},111.03{%f};43902{%f},89.75{%f};43903{%f},89.92{%f};43906{%f},68.99{%f};43907{%f},71.14{%f};43908{%f},63.77{%f};43909{%f},68.5{%f};43910{%f},60.54{%f};43913{%f},41.18{%f};43914{%f},44.37{%f};43915{%f},54.68{%f};43916{%f},54.38{%f};43917{%f},57.37{%f};43920{%f},58.55{%f};43921{%f},57.32{%f};43922{%f},54.65{%f};43923{%f},66.28{%f};43924{%f},69.16{%f};43927{%f},70.16{%f};43928{%f},64.82{%f};43929{%f},67.8{%f};43930{%f},67.73{%f};43934{%f},70.33{%f};43935{%f},72{%f};43936{%f},72.04{%f};43937{%f},70.51{%f};43938{%f},71.07{%f};43941{%f},66.83{%f};43942{%f},51.03{%f};43943{%f},63.84{%f};43944{%f},64.36{%f};43945{%f},66.12{%f};43948{%f},64.83{%f};43949{%f},66.72{%f};43950{%f},72.72{%f};43951{%f},69.78{%f};43952{%f},76.63{%f};43955{%f},82.15{%f};43956{%f},90.13{%f};43957{%f},87.69{%f};43958{%f},93.14{%f};43959{%f},95.22{%f};43962{%f},92.42{%f}##BDH_RS##</v>
        <stp/>
        <stp>##V3_BDHV12</stp>
        <stp>XB1 Comdty</stp>
        <stp>PX_SETTLE</stp>
        <stp>13/05/2019</stp>
        <stp>12/05/2020</stp>
        <stp>[QwackPricer.xlsb.xlsx]Energy!R108C3</stp>
        <stp>Array=true</stp>
        <tr r="C108" s="3"/>
      </tp>
      <tp>
        <v>0.99750000000000005</v>
        <stp/>
        <stp>##V3_BDHV12</stp>
        <stp>USDZAR25B9m Curncy</stp>
        <stp>PX_LAST</stp>
        <stp>12/05/2020</stp>
        <stp>12/05/2020</stp>
        <stp>[QwackPricer.xlsb.xlsx]FX-IR!R101C7</stp>
        <tr r="G101" s="1"/>
      </tp>
      <tp>
        <v>4.5</v>
        <stp/>
        <stp>##V3_BDHV12</stp>
        <stp>USDZAR25R9m Curncy</stp>
        <stp>PX_LAST</stp>
        <stp>12/05/2020</stp>
        <stp>12/05/2020</stp>
        <stp>[QwackPricer.xlsb.xlsx]FX-IR!R101C5</stp>
        <tr r="E101" s="1"/>
      </tp>
      <tp>
        <v>8.7850000000000001</v>
        <stp/>
        <stp>##V3_BDHV12</stp>
        <stp>USDZAR10R9m Curncy</stp>
        <stp>PX_LAST</stp>
        <stp>12/05/2020</stp>
        <stp>12/05/2020</stp>
        <stp>[QwackPricer.xlsb.xlsx]FX-IR!R101C6</stp>
        <tr r="F101" s="1"/>
      </tp>
      <tp>
        <v>2.8725000000000001</v>
        <stp/>
        <stp>##V3_BDHV12</stp>
        <stp>USDZAR10B9m Curncy</stp>
        <stp>PX_LAST</stp>
        <stp>12/05/2020</stp>
        <stp>12/05/2020</stp>
        <stp>[QwackPricer.xlsb.xlsx]FX-IR!R101C8</stp>
        <tr r="H101" s="1"/>
      </tp>
      <tp>
        <v>-291</v>
        <stp/>
        <stp>##V3_BDPV12</stp>
        <stp>LMNIDS 03V21 Comdty</stp>
        <stp>PX_SETTLE</stp>
        <stp>[QwackPricer.xlsb.xlsx]Base!R35C17</stp>
        <tr r="Q35" s="2"/>
      </tp>
      <tp>
        <v>-51</v>
        <stp/>
        <stp>##V3_BDPV12</stp>
        <stp>LMNIDS 03V20 Comdty</stp>
        <stp>PX_SETTLE</stp>
        <stp>[QwackPricer.xlsb.xlsx]Base!R23C17</stp>
        <tr r="Q23" s="2"/>
      </tp>
      <tp>
        <v>-755</v>
        <stp/>
        <stp>##V3_BDPV12</stp>
        <stp>LMNIDS 03V23 Comdty</stp>
        <stp>PX_SETTLE</stp>
        <stp>[QwackPricer.xlsb.xlsx]Base!R59C17</stp>
        <tr r="Q59" s="2"/>
      </tp>
      <tp>
        <v>-523</v>
        <stp/>
        <stp>##V3_BDPV12</stp>
        <stp>LMNIDS 03V22 Comdty</stp>
        <stp>PX_SETTLE</stp>
        <stp>[QwackPricer.xlsb.xlsx]Base!R47C17</stp>
        <tr r="Q47" s="2"/>
      </tp>
      <tp>
        <v>-102</v>
        <stp/>
        <stp>##V3_BDPV12</stp>
        <stp>LMPBDS 03V23 Comdty</stp>
        <stp>PX_SETTLE</stp>
        <stp>[QwackPricer.xlsb.xlsx]Base!R59C21</stp>
        <tr r="U59" s="2"/>
      </tp>
      <tp>
        <v>-76.5</v>
        <stp/>
        <stp>##V3_BDPV12</stp>
        <stp>LMPBDS 03V22 Comdty</stp>
        <stp>PX_SETTLE</stp>
        <stp>[QwackPricer.xlsb.xlsx]Base!R47C21</stp>
        <tr r="U47" s="2"/>
      </tp>
      <tp>
        <v>-47</v>
        <stp/>
        <stp>##V3_BDPV12</stp>
        <stp>LMPBDS 03V21 Comdty</stp>
        <stp>PX_SETTLE</stp>
        <stp>[QwackPricer.xlsb.xlsx]Base!R35C21</stp>
        <tr r="U35" s="2"/>
      </tp>
      <tp>
        <v>-9</v>
        <stp/>
        <stp>##V3_BDPV12</stp>
        <stp>LMPBDS 03V20 Comdty</stp>
        <stp>PX_SETTLE</stp>
        <stp>[QwackPricer.xlsb.xlsx]Base!R23C21</stp>
        <tr r="U23" s="2"/>
      </tp>
      <tp>
        <v>38</v>
        <stp/>
        <stp>##V3_BDPV12</stp>
        <stp>LMSNDS 03V20 Comdty</stp>
        <stp>PX_SETTLE</stp>
        <stp>[QwackPricer.xlsb.xlsx]Base!R23C25</stp>
        <tr r="Y23" s="2"/>
      </tp>
      <tp>
        <v>-85</v>
        <stp/>
        <stp>##V3_BDPV12</stp>
        <stp>LMZSDS 03V23 Comdty</stp>
        <stp>PX_SETTLE</stp>
        <stp>[QwackPricer.xlsb.xlsx]Base!R59C13</stp>
        <tr r="M59" s="2"/>
      </tp>
      <tp>
        <v>-71</v>
        <stp/>
        <stp>##V3_BDPV12</stp>
        <stp>LMZSDS 03V22 Comdty</stp>
        <stp>PX_SETTLE</stp>
        <stp>[QwackPricer.xlsb.xlsx]Base!R47C13</stp>
        <tr r="M47" s="2"/>
      </tp>
      <tp>
        <v>-40.75</v>
        <stp/>
        <stp>##V3_BDPV12</stp>
        <stp>LMZSDS 03V21 Comdty</stp>
        <stp>PX_SETTLE</stp>
        <stp>[QwackPricer.xlsb.xlsx]Base!R35C13</stp>
        <tr r="M35" s="2"/>
      </tp>
      <tp>
        <v>-4.5</v>
        <stp/>
        <stp>##V3_BDPV12</stp>
        <stp>LMZSDS 03V20 Comdty</stp>
        <stp>PX_SETTLE</stp>
        <stp>[QwackPricer.xlsb.xlsx]Base!R23C13</stp>
        <tr r="M23" s="2"/>
      </tp>
      <tp>
        <v>-255</v>
        <stp/>
        <stp>##V3_BDPV12</stp>
        <stp>LMNIDS 03Q21 Comdty</stp>
        <stp>PX_SETTLE</stp>
        <stp>[QwackPricer.xlsb.xlsx]Base!R33C17</stp>
        <tr r="Q33" s="2"/>
      </tp>
      <tp>
        <v>-5</v>
        <stp/>
        <stp>##V3_BDPV12</stp>
        <stp>LMNIDS 03Q20 Comdty</stp>
        <stp>PX_SETTLE</stp>
        <stp>[QwackPricer.xlsb.xlsx]Base!R21C17</stp>
        <tr r="Q21" s="2"/>
      </tp>
      <tp>
        <v>-717</v>
        <stp/>
        <stp>##V3_BDPV12</stp>
        <stp>LMNIDS 03Q23 Comdty</stp>
        <stp>PX_SETTLE</stp>
        <stp>[QwackPricer.xlsb.xlsx]Base!R57C17</stp>
        <tr r="Q57" s="2"/>
      </tp>
      <tp>
        <v>-479</v>
        <stp/>
        <stp>##V3_BDPV12</stp>
        <stp>LMNIDS 03Q22 Comdty</stp>
        <stp>PX_SETTLE</stp>
        <stp>[QwackPricer.xlsb.xlsx]Base!R45C17</stp>
        <tr r="Q45" s="2"/>
      </tp>
      <tp>
        <v>-98</v>
        <stp/>
        <stp>##V3_BDPV12</stp>
        <stp>LMPBDS 03Q23 Comdty</stp>
        <stp>PX_SETTLE</stp>
        <stp>[QwackPricer.xlsb.xlsx]Base!R57C21</stp>
        <tr r="U57" s="2"/>
      </tp>
      <tp>
        <v>-72</v>
        <stp/>
        <stp>##V3_BDPV12</stp>
        <stp>LMPBDS 03Q22 Comdty</stp>
        <stp>PX_SETTLE</stp>
        <stp>[QwackPricer.xlsb.xlsx]Base!R45C21</stp>
        <tr r="U45" s="2"/>
      </tp>
      <tp>
        <v>-43</v>
        <stp/>
        <stp>##V3_BDPV12</stp>
        <stp>LMPBDS 03Q21 Comdty</stp>
        <stp>PX_SETTLE</stp>
        <stp>[QwackPricer.xlsb.xlsx]Base!R33C21</stp>
        <tr r="U33" s="2"/>
      </tp>
      <tp>
        <v>-0.5</v>
        <stp/>
        <stp>##V3_BDPV12</stp>
        <stp>LMPBDS 03Q20 Comdty</stp>
        <stp>PX_SETTLE</stp>
        <stp>[QwackPricer.xlsb.xlsx]Base!R21C21</stp>
        <tr r="U21" s="2"/>
      </tp>
      <tp>
        <v>155</v>
        <stp/>
        <stp>##V3_BDPV12</stp>
        <stp>LMSNDS 03Q21 Comdty</stp>
        <stp>PX_SETTLE</stp>
        <stp>[QwackPricer.xlsb.xlsx]Base!R33C25</stp>
        <tr r="Y33" s="2"/>
      </tp>
      <tp>
        <v>-1</v>
        <stp/>
        <stp>##V3_BDPV12</stp>
        <stp>LMSNDS 03Q20 Comdty</stp>
        <stp>PX_SETTLE</stp>
        <stp>[QwackPricer.xlsb.xlsx]Base!R21C25</stp>
        <tr r="Y21" s="2"/>
      </tp>
      <tp>
        <v>-85</v>
        <stp/>
        <stp>##V3_BDPV12</stp>
        <stp>LMZSDS 03Q23 Comdty</stp>
        <stp>PX_SETTLE</stp>
        <stp>[QwackPricer.xlsb.xlsx]Base!R57C13</stp>
        <tr r="M57" s="2"/>
      </tp>
      <tp>
        <v>-65.75</v>
        <stp/>
        <stp>##V3_BDPV12</stp>
        <stp>LMZSDS 03Q22 Comdty</stp>
        <stp>PX_SETTLE</stp>
        <stp>[QwackPricer.xlsb.xlsx]Base!R45C13</stp>
        <tr r="M45" s="2"/>
      </tp>
      <tp>
        <v>-35.75</v>
        <stp/>
        <stp>##V3_BDPV12</stp>
        <stp>LMZSDS 03Q21 Comdty</stp>
        <stp>PX_SETTLE</stp>
        <stp>[QwackPricer.xlsb.xlsx]Base!R33C13</stp>
        <tr r="M33" s="2"/>
      </tp>
      <tp>
        <v>-0.25</v>
        <stp/>
        <stp>##V3_BDPV12</stp>
        <stp>LMZSDS 03Q20 Comdty</stp>
        <stp>PX_SETTLE</stp>
        <stp>[QwackPricer.xlsb.xlsx]Base!R21C13</stp>
        <tr r="M21" s="2"/>
      </tp>
      <tp>
        <v>1.08175</v>
        <stp/>
        <stp>##V3_BDPV12</stp>
        <stp>EUR/USD Curncy</stp>
        <stp>PX_LAST</stp>
        <stp>[QwackPricer.xlsb.xlsx]FX-IR!R13C4</stp>
        <tr r="D13" s="1"/>
      </tp>
      <tp>
        <v>1.6375</v>
        <stp/>
        <stp>##V3_BDHV12</stp>
        <stp>XAUUSD25R2m Curncy</stp>
        <stp>PX_LAST</stp>
        <stp>12/05/2020</stp>
        <stp>12/05/2020</stp>
        <stp>[QwackPricer.xlsb.xlsx]FX-IR!R148C5</stp>
        <tr r="E148" s="1"/>
      </tp>
      <tp>
        <v>1.9824999999999999</v>
        <stp/>
        <stp>##V3_BDHV12</stp>
        <stp>XAUUSD25R3m Curncy</stp>
        <stp>PX_LAST</stp>
        <stp>12/05/2020</stp>
        <stp>12/05/2020</stp>
        <stp>[QwackPricer.xlsb.xlsx]FX-IR!R149C5</stp>
        <tr r="E149" s="1"/>
      </tp>
      <tp>
        <v>1.095</v>
        <stp/>
        <stp>##V3_BDHV12</stp>
        <stp>XAUUSD25B2m Curncy</stp>
        <stp>PX_LAST</stp>
        <stp>12/05/2020</stp>
        <stp>12/05/2020</stp>
        <stp>[QwackPricer.xlsb.xlsx]FX-IR!R148C7</stp>
        <tr r="G148" s="1"/>
      </tp>
      <tp>
        <v>1.1375</v>
        <stp/>
        <stp>##V3_BDHV12</stp>
        <stp>XAUUSD25B3m Curncy</stp>
        <stp>PX_LAST</stp>
        <stp>12/05/2020</stp>
        <stp>12/05/2020</stp>
        <stp>[QwackPricer.xlsb.xlsx]FX-IR!R149C7</stp>
        <tr r="G149" s="1"/>
      </tp>
      <tp>
        <v>3.6749999999999998</v>
        <stp/>
        <stp>##V3_BDHV12</stp>
        <stp>XAUUSD10B2m Curncy</stp>
        <stp>PX_LAST</stp>
        <stp>12/05/2020</stp>
        <stp>12/05/2020</stp>
        <stp>[QwackPricer.xlsb.xlsx]FX-IR!R148C8</stp>
        <tr r="H148" s="1"/>
      </tp>
      <tp>
        <v>3.88</v>
        <stp/>
        <stp>##V3_BDHV12</stp>
        <stp>XAUUSD10B3m Curncy</stp>
        <stp>PX_LAST</stp>
        <stp>12/05/2020</stp>
        <stp>12/05/2020</stp>
        <stp>[QwackPricer.xlsb.xlsx]FX-IR!R149C8</stp>
        <tr r="H149" s="1"/>
      </tp>
      <tp>
        <v>2.7425000000000002</v>
        <stp/>
        <stp>##V3_BDHV12</stp>
        <stp>XAUUSD10R2m Curncy</stp>
        <stp>PX_LAST</stp>
        <stp>12/05/2020</stp>
        <stp>12/05/2020</stp>
        <stp>[QwackPricer.xlsb.xlsx]FX-IR!R148C6</stp>
        <tr r="F148" s="1"/>
      </tp>
      <tp>
        <v>3.44</v>
        <stp/>
        <stp>##V3_BDHV12</stp>
        <stp>XAUUSD10R3m Curncy</stp>
        <stp>PX_LAST</stp>
        <stp>12/05/2020</stp>
        <stp>12/05/2020</stp>
        <stp>[QwackPricer.xlsb.xlsx]FX-IR!R149C6</stp>
        <tr r="F149" s="1"/>
      </tp>
      <tp>
        <v>1705.86</v>
        <stp/>
        <stp>##V3_BDPV12</stp>
        <stp>XAU/USD Curncy</stp>
        <stp>PX_LAST</stp>
        <stp>[QwackPricer.xlsb.xlsx]FX-IR!R15C4</stp>
        <tr r="D15" s="1"/>
      </tp>
      <tp>
        <v>18.3796</v>
        <stp/>
        <stp>##V3_BDPV12</stp>
        <stp>USD/ZAR Curncy</stp>
        <stp>PX_LAST</stp>
        <stp>[QwackPricer.xlsb.xlsx]FX-IR!R12C4</stp>
        <tr r="D12" s="1"/>
      </tp>
      <tp t="s">
        <v>43598{%f},635.5{%f};43599{%f},633.5{%f};43600{%f},646{%f};43601{%f},659.5{%f};43602{%f},652{%f};43605{%f},647.75{%f};43606{%f},642.5{%f};43607{%f},632{%f};43608{%f},607{%f};43609{%f},604{%f};43612{%f},619.5{%f};43613{%f},618{%f};43614{%f},606{%f};43615{%f},598{%f};43616{%f},577.5{%f};43619{%f},562.25{%f};43620{%f},561.25{%f};43621{%f},543.5{%f};43622{%f},543.75{%f};43623{%f},560{%f};43626{%f},561.5{%f};43627{%f},560.5{%f};43628{%f},552{%f};43629{%f},560.25{%f};43630{%f},565.75{%f};43633{%f},560.25{%f};43634{%f},565{%f};43635{%f},562.5{%f};43636{%f},581.75{%f};43637{%f},589{%f};43640{%f},582.25{%f};43641{%f},591.5{%f};43642{%f},601.25{%f};43643{%f},596.5{%f};43644{%f},597.5{%f};43647{%f},593.25{%f};43648{%f},580{%f};43649{%f},576.5{%f};43650{%f},577.5{%f};43651{%f},579.5{%f};43654{%f},582.75{%f};43655{%f},579.75{%f};43656{%f},598{%f};43657{%f},608.5{%f};43658{%f},607.75{%f};43661{%f},603.5{%f};43662{%f},602.75{%f};43663{%f},585.5{%f};43664{%f},571.25{%f};43665{%f},577.75{%f};43668{%f},587{%f};43669{%f},587.25{%f};43670{%f},594.75{%f};43671{%f},590.5{%f};43672{%f},586{%f};43675{%f},589{%f};43676{%f},594.25{%f};43677{%f},603.75{%f};43678{%f},588{%f};43679{%f},579.5{%f};43682{%f},566.75{%f};43683{%f},561.25{%f};43684{%f},536.25{%f};43685{%f},544.5{%f};43686{%f},556.5{%f};43689{%f},557{%f};43690{%f},578{%f};43691{%f},563{%f};43692{%f},562{%f};43693{%f},561.5{%f};43696{%f},563.5{%f};43697{%f},565.75{%f};43698{%f},574.25{%f};43699{%f},567.75{%f};43700{%f},558.5{%f};43703{%f},560{%f};43704{%f},555.5{%f};43705{%f},571.5{%f};43706{%f},573.25{%f};43707{%f},562.25{%f};43710{%f},556.75{%f};43711{%f},552.25{%f};43712{%f},575.5{%f};43713{%f},587.75{%f};43714{%f},577.25{%f};43717{%f},593.75{%f};43718{%f},602{%f};43719{%f},590.75{%f};43720{%f},576.25{%f};43721{%f},574{%f};43724{%f},631{%f};43725{%f},615.75{%f};43726{%f},606.25{%f};43727{%f},610.75{%f};43728{%f},612.75{%f};43731{%f},608.75{%f};43732{%f},603{%f};43733{%f},593.25{%f};43734{%f},590{%f};43735{%f},597.75{%f};43738{%f},586.5{%f};43739{%f},583{%f};43740{%f},567.25{%f};43741{%f},563.25{%f};43742{%f},575.25{%f};43745{%f},584{%f};43746{%f},574.5{%f};43747{%f},586{%f};43748{%f},579.5{%f};43749{%f},588{%f};43752{%f},572.5{%f};43753{%f},577{%f};43754{%f},579.75{%f};43755{%f},576.25{%f};43756{%f},581.25{%f};43759{%f},574.25{%f};43760{%f},585{%f};43761{%f},583.75{%f};43762{%f},592.25{%f};43763{%f},592.25{%f};43766{%f},587.5{%f};43767{%f},587.25{%f};43768{%f},577.5{%f};43769{%f},563.5{%f};43770{%f},574.5{%f};43773{%f},590.75{%f};43774{%f},587.5{%f};43775{%f},584.25{%f};43776{%f},580.75{%f};43777{%f},573.25{%f};43780{%f},580{%f};43781{%f},575{%f};43782{%f},574.75{%f};43783{%f},579.5{%f};43784{%f},585.75{%f};43787{%f},571.25{%f};43788{%f},567.25{%f};43789{%f},573.75{%f};43790{%f},579{%f};43791{%f},581.75{%f};43794{%f},582.75{%f};43795{%f},589.25{%f};43796{%f},587.25{%f};43797{%f},585.75{%f};43798{%f},571.75{%f};43801{%f},574.75{%f};43802{%f},570{%f};43803{%f},579.5{%f};43804{%f},584.25{%f};43805{%f},587.75{%f};43808{%f},586.75{%f};43809{%f},590.75{%f};43810{%f},579.75{%f};43811{%f},587{%f};43812{%f},595.5{%f};43815{%f},606{%f};43816{%f},612.5{%f};43817{%f},609.5{%f};43818{%f},614.25{%f};43819{%f},613{%f};43822{%f},612.25{%f};43823{%f},615{%f};43825{%f},622.5{%f};43826{%f},625.25{%f};43829{%f},622.5{%f};43830{%f},613.75{%f};43832{%f},615.25{%f};43833{%f},625.5{%f};43836{%f},621{%f};43837{%f},618.5{%f};43838{%f},608{%f};43839{%f},595{%f};43840{%f},593.75{%f};43843{%f},577.5{%f};43844{%f},580{%f};43845{%f},576.25{%f};43846{%f},577{%f};43847{%f},570{%f};43850{%f},577.75{%f};43851{%f},570.5{%f};43852{%f},554{%f};43853{%f},547.25{%f};43854{%f},537.75{%f};43857{%f},513.75{%f};43858{%f},526.25{%f};43859{%f},524.5{%f};43860{%f},510.5{%f};43861{%f},502.5{%f};43864{%f},484.75{%f};43865{%f},492.75{%f};43866{%f},507.25{%f};43867{%f},508.25{%f};43868{%f},506{%f};43871{%f},493.25{%f};43872{%f},495.25{%f};43873{%f},508{%f};43874{%f},510.75{%f};43875{%f},512.75{%f};43878{%f},509{%f};43879{%f},503.25{%f};43880{%f},515.75{%f};43881{%f},517.25{%f};43882{%f},506.5{%f};43885{%f},483.5{%f};43886{%f},483.5{%f};43887{%f},466.75{%f};43888{%f},444{%f};43889{%f},439.5{%f};43892{%f},453{%f};43893{%f},458.5{%f};43894{%f},460.75{%f};43895{%f},455.25{%f};43896{%f},413{%f};43899{%f},358{%f};43900{%f},367.25{%f};43901{%f},372.5{%f};43902{%f},337.25{%f};43903{%f},339.5{%f};43906{%f},311{%f};43907{%f},304.75{%f};43908{%f},276.25{%f};43909{%f},291.75{%f};43910{%f},303.75{%f};43913{%f},289.75{%f};43914{%f},306.75{%f};43915{%f},309.25{%f};43916{%f},306.5{%f};43917{%f},301.75{%f};43920{%f},287{%f};43921{%f},294.75{%f};43922{%f},275.5{%f};43923{%f},283.25{%f};43924{%f},304{%f};43927{%f},302.25{%f};43928{%f},305{%f};43929{%f},297.75{%f};43930{%f},317.25{%f};43934{%f},314.5{%f};43935{%f},298.5{%f};43936{%f},280.25{%f};43937{%f},286.75{%f};43938{%f},290.5{%f};43941{%f},279.25{%f};43942{%f},237.25{%f};43943{%f},233.5{%f};43944{%f},249{%f};43945{%f},228{%f};43948{%f},215{%f};43949{%f},217.5{%f};43950{%f},231.75{%f};43951{%f},254.75{%f};43952{%f},239.75{%f};43955{%f},231.5{%f};43956{%f},259.75{%f};43957{%f},246{%f};43958{%f},256{%f};43959{%f},260.25{%f};43962{%f},258{%f};43963{%f},256.5{%f}##BDH_RS##</v>
        <stp/>
        <stp>##V3_BDHV12</stp>
        <stp>QS2 Comdty</stp>
        <stp>PX_LAST</stp>
        <stp>13/05/2019</stp>
        <stp>12/05/2020</stp>
        <stp>[QwackPricer.xlsb.xlsx]Energy!R106C3</stp>
        <stp>Array=true</stp>
        <tr r="C106" s="3"/>
      </tp>
      <tp t="s">
        <v>43598{%f},639.25{%f};43599{%f},636.25{%f};43600{%f},650.5{%f};43601{%f},665.25{%f};43602{%f},657{%f};43605{%f},651.5{%f};43606{%f},645{%f};43607{%f},632.5{%f};43608{%f},607.5{%f};43609{%f},604.75{%f};43612{%f},621.25{%f};43613{%f},618.75{%f};43614{%f},605.75{%f};43615{%f},598{%f};43616{%f},577.5{%f};43619{%f},561.75{%f};43620{%f},560.5{%f};43621{%f},542.25{%f};43622{%f},542{%f};43623{%f},558{%f};43626{%f},559.25{%f};43627{%f},559.25{%f};43628{%f},559.25{%f};43629{%f},558{%f};43630{%f},564{%f};43633{%f},558{%f};43634{%f},562.5{%f};43635{%f},560.25{%f};43636{%f},579.5{%f};43637{%f},587{%f};43640{%f},579.75{%f};43641{%f},589{%f};43642{%f},599.25{%f};43643{%f},594{%f};43644{%f},595{%f};43647{%f},590.5{%f};43648{%f},577.5{%f};43649{%f},573.75{%f};43650{%f},574.75{%f};43651{%f},576.75{%f};43654{%f},579.25{%f};43655{%f},576.25{%f};43656{%f},594.5{%f};43657{%f},594.5{%f};43658{%f},605{%f};43661{%f},600.5{%f};43662{%f},600{%f};43663{%f},583{%f};43664{%f},569{%f};43665{%f},576{%f};43668{%f},584.75{%f};43669{%f},585{%f};43670{%f},592.5{%f};43671{%f},588.25{%f};43672{%f},584{%f};43675{%f},586.75{%f};43676{%f},592.25{%f};43677{%f},601.75{%f};43678{%f},586.25{%f};43679{%f},578{%f};43682{%f},564.75{%f};43683{%f},559.25{%f};43684{%f},533.75{%f};43685{%f},542.75{%f};43686{%f},555.5{%f};43689{%f},555.5{%f};43690{%f},576{%f};43691{%f},561{%f};43692{%f},560{%f};43693{%f},559.5{%f};43696{%f},561{%f};43697{%f},563.5{%f};43698{%f},572{%f};43699{%f},565{%f};43700{%f},556{%f};43703{%f},558{%f};43704{%f},553.5{%f};43705{%f},569.5{%f};43706{%f},571.75{%f};43707{%f},561{%f};43710{%f},555.5{%f};43711{%f},551{%f};43712{%f},574{%f};43713{%f},586.25{%f};43714{%f},575.5{%f};43717{%f},592.25{%f};43718{%f},600.75{%f};43719{%f},589.5{%f};43720{%f},589.5{%f};43721{%f},577{%f};43724{%f},637.25{%f};43725{%f},620{%f};43726{%f},611{%f};43727{%f},615.75{%f};43728{%f},617.25{%f};43731{%f},612{%f};43732{%f},606{%f};43733{%f},596.5{%f};43734{%f},593.25{%f};43735{%f},602.25{%f};43738{%f},590.25{%f};43739{%f},587.25{%f};43740{%f},570.5{%f};43741{%f},566.25{%f};43742{%f},579.75{%f};43745{%f},588.75{%f};43746{%f},578.75{%f};43747{%f},591.25{%f};43748{%f},591.25{%f};43749{%f},595.75{%f};43752{%f},579.25{%f};43753{%f},583.5{%f};43754{%f},587.75{%f};43755{%f},584{%f};43756{%f},589.25{%f};43759{%f},582{%f};43760{%f},593{%f};43761{%f},590.75{%f};43762{%f},599{%f};43763{%f},597.75{%f};43766{%f},591.75{%f};43767{%f},591.25{%f};43768{%f},582{%f};43769{%f},567{%f};43770{%f},578{%f};43773{%f},594{%f};43774{%f},589.5{%f};43775{%f},586.75{%f};43776{%f},583.25{%f};43777{%f},576.5{%f};43780{%f},583.5{%f};43781{%f},583.5{%f};43782{%f},575.25{%f};43783{%f},580.75{%f};43784{%f},587.25{%f};43787{%f},571.75{%f};43788{%f},567.5{%f};43789{%f},573.75{%f};43790{%f},579{%f};43791{%f},581.75{%f};43794{%f},582.75{%f};43795{%f},589.5{%f};43796{%f},587.5{%f};43797{%f},586.25{%f};43798{%f},572{%f};43801{%f},575{%f};43802{%f},570{%f};43803{%f},579{%f};43804{%f},583.5{%f};43805{%f},587.25{%f};43808{%f},586.25{%f};43809{%f},590.25{%f};43810{%f},579{%f};43811{%f},579{%f};43812{%f},595.25{%f};43815{%f},606.75{%f};43816{%f},613.5{%f};43817{%f},609.75{%f};43818{%f},614.5{%f};43819{%f},613.5{%f};43822{%f},612.5{%f};43823{%f},615.25{%f};43825{%f},623{%f};43826{%f},626{%f};43829{%f},623{%f};43830{%f},614{%f};43832{%f},615.5{%f};43833{%f},625.5{%f};43836{%f},620{%f};43837{%f},616.75{%f};43838{%f},606.25{%f};43839{%f},593.25{%f};43840{%f},593.25{%f};43843{%f},577{%f};43844{%f},579.5{%f};43845{%f},575.75{%f};43846{%f},576{%f};43847{%f},568.75{%f};43850{%f},576.75{%f};43851{%f},569{%f};43852{%f},552.25{%f};43853{%f},545.5{%f};43854{%f},536{%f};43857{%f},511.5{%f};43858{%f},525{%f};43859{%f},523.25{%f};43860{%f},509{%f};43861{%f},501{%f};43864{%f},483.5{%f};43865{%f},491.75{%f};43866{%f},506.25{%f};43867{%f},507.75{%f};43868{%f},505.25{%f};43871{%f},492.5{%f};43872{%f},494.25{%f};43873{%f},494.25{%f};43874{%f},512.5{%f};43875{%f},514.5{%f};43878{%f},510.25{%f};43879{%f},504{%f};43880{%f},517{%f};43881{%f},519{%f};43882{%f},508.5{%f};43885{%f},485.5{%f};43886{%f},485.75{%f};43887{%f},468.75{%f};43888{%f},445.25{%f};43889{%f},441{%f};43892{%f},454.5{%f};43893{%f},460.25{%f};43894{%f},462.25{%f};43895{%f},456{%f};43896{%f},413.25{%f};43899{%f},359.25{%f};43900{%f},369{%f};43901{%f},376{%f};43902{%f},376{%f};43903{%f},336.5{%f};43906{%f},306.25{%f};43907{%f},300{%f};43908{%f},271.25{%f};43909{%f},287.75{%f};43910{%f},301{%f};43913{%f},286{%f};43914{%f},303.25{%f};43915{%f},306{%f};43916{%f},303.75{%f};43917{%f},300.25{%f};43920{%f},285.25{%f};43921{%f},292.75{%f};43922{%f},271.75{%f};43923{%f},276{%f};43924{%f},297{%f};43927{%f},293.75{%f};43928{%f},298{%f};43929{%f},298{%f};43930{%f},302.5{%f};43934{%f},298.5{%f};43935{%f},279.5{%f};43936{%f},260.75{%f};43937{%f},271{%f};43938{%f},275.5{%f};43941{%f},261.75{%f};43942{%f},216{%f};43943{%f},212{%f};43944{%f},227.75{%f};43945{%f},205{%f};43948{%f},190.75{%f};43949{%f},191.5{%f};43950{%f},208.5{%f};43951{%f},236.75{%f};43952{%f},220{%f};43955{%f},210.75{%f};43956{%f},241.75{%f};43957{%f},228{%f};43958{%f},237.75{%f};43959{%f},242.25{%f};43962{%f},240{%f};43963{%f},240.75{%f}##BDH_RS##</v>
        <stp/>
        <stp>##V3_BDHV12</stp>
        <stp>QS1 Comdty</stp>
        <stp>PX_LAST</stp>
        <stp>13/05/2019</stp>
        <stp>12/05/2020</stp>
        <stp>[QwackPricer.xlsb.xlsx]Energy!R106C3</stp>
        <stp>Array=true</stp>
        <tr r="C106" s="3"/>
      </tp>
      <tp>
        <v>11.914999999999999</v>
        <stp/>
        <stp>##V3_BDHV12</stp>
        <stp>AUDUSDV18m Curncy</stp>
        <stp>PX_LAST</stp>
        <stp>12/05/2020</stp>
        <stp>12/05/2020</stp>
        <stp>[QwackPricer.xlsb.xlsx]FX-IR!R136C4</stp>
        <tr r="D136" s="1"/>
      </tp>
      <tp>
        <v>7.5225</v>
        <stp/>
        <stp>##V3_BDHV12</stp>
        <stp>XAGUSD10B1y Curncy</stp>
        <stp>PX_LAST</stp>
        <stp>12/05/2020</stp>
        <stp>12/05/2020</stp>
        <stp>[QwackPricer.xlsb.xlsx]FX-IR!R169C8</stp>
        <tr r="H169" s="1"/>
      </tp>
      <tp>
        <v>4.9375</v>
        <stp/>
        <stp>##V3_BDHV12</stp>
        <stp>XAGUSD10R1y Curncy</stp>
        <stp>PX_LAST</stp>
        <stp>12/05/2020</stp>
        <stp>12/05/2020</stp>
        <stp>[QwackPricer.xlsb.xlsx]FX-IR!R169C6</stp>
        <tr r="F169" s="1"/>
      </tp>
      <tp>
        <v>2.4775</v>
        <stp/>
        <stp>##V3_BDHV12</stp>
        <stp>XAGUSD25R1y Curncy</stp>
        <stp>PX_LAST</stp>
        <stp>12/05/2020</stp>
        <stp>12/05/2020</stp>
        <stp>[QwackPricer.xlsb.xlsx]FX-IR!R169C5</stp>
        <tr r="E169" s="1"/>
      </tp>
      <tp>
        <v>1.76</v>
        <stp/>
        <stp>##V3_BDHV12</stp>
        <stp>XAGUSD25B1y Curncy</stp>
        <stp>PX_LAST</stp>
        <stp>12/05/2020</stp>
        <stp>12/05/2020</stp>
        <stp>[QwackPricer.xlsb.xlsx]FX-IR!R169C7</stp>
        <tr r="G169" s="1"/>
      </tp>
      <tp>
        <v>2.98</v>
        <stp/>
        <stp>##V3_BDHV12</stp>
        <stp>XAUUSD25R9m Curncy</stp>
        <stp>PX_LAST</stp>
        <stp>12/05/2020</stp>
        <stp>12/05/2020</stp>
        <stp>[QwackPricer.xlsb.xlsx]FX-IR!R151C5</stp>
        <tr r="E151" s="1"/>
      </tp>
      <tp>
        <v>1.3425</v>
        <stp/>
        <stp>##V3_BDHV12</stp>
        <stp>XAUUSD25B9m Curncy</stp>
        <stp>PX_LAST</stp>
        <stp>12/05/2020</stp>
        <stp>12/05/2020</stp>
        <stp>[QwackPricer.xlsb.xlsx]FX-IR!R151C7</stp>
        <tr r="G151" s="1"/>
      </tp>
      <tp>
        <v>4.5274999999999999</v>
        <stp/>
        <stp>##V3_BDHV12</stp>
        <stp>XAUUSD10B9m Curncy</stp>
        <stp>PX_LAST</stp>
        <stp>12/05/2020</stp>
        <stp>12/05/2020</stp>
        <stp>[QwackPricer.xlsb.xlsx]FX-IR!R151C8</stp>
        <tr r="H151" s="1"/>
      </tp>
      <tp>
        <v>5.5750000000000002</v>
        <stp/>
        <stp>##V3_BDHV12</stp>
        <stp>XAUUSD10R9m Curncy</stp>
        <stp>PX_LAST</stp>
        <stp>12/05/2020</stp>
        <stp>12/05/2020</stp>
        <stp>[QwackPricer.xlsb.xlsx]FX-IR!R151C6</stp>
        <tr r="F151" s="1"/>
      </tp>
      <tp>
        <v>17.454999999999998</v>
        <stp/>
        <stp>##V3_BDHV12</stp>
        <stp>USDZARV18m Curncy</stp>
        <stp>PX_LAST</stp>
        <stp>12/05/2020</stp>
        <stp>12/05/2020</stp>
        <stp>[QwackPricer.xlsb.xlsx]FX-IR!R103C4</stp>
        <tr r="D103" s="1"/>
      </tp>
      <tp>
        <v>7.67</v>
        <stp/>
        <stp>##V3_BDHV12</stp>
        <stp>EURUSDV18m Curncy</stp>
        <stp>PX_LAST</stp>
        <stp>12/05/2020</stp>
        <stp>12/05/2020</stp>
        <stp>[QwackPricer.xlsb.xlsx]FX-IR!R120C4</stp>
        <tr r="D120" s="1"/>
      </tp>
      <tp>
        <v>1.2250000000000001</v>
        <stp/>
        <stp>##V3_BDHV12</stp>
        <stp>USDZAR25B4y Curncy</stp>
        <stp>PX_LAST</stp>
        <stp>12/05/2020</stp>
        <stp>12/05/2020</stp>
        <stp>[QwackPricer.xlsb.xlsx]FX-IR!R106C7</stp>
        <tr r="G106" s="1"/>
      </tp>
      <tp>
        <v>1.25</v>
        <stp/>
        <stp>##V3_BDHV12</stp>
        <stp>USDZAR25B5y Curncy</stp>
        <stp>PX_LAST</stp>
        <stp>12/05/2020</stp>
        <stp>12/05/2020</stp>
        <stp>[QwackPricer.xlsb.xlsx]FX-IR!R107C7</stp>
        <tr r="G107" s="1"/>
      </tp>
      <tp>
        <v>4.9124999999999996</v>
        <stp/>
        <stp>##V3_BDHV12</stp>
        <stp>USDZAR25R4y Curncy</stp>
        <stp>PX_LAST</stp>
        <stp>12/05/2020</stp>
        <stp>12/05/2020</stp>
        <stp>[QwackPricer.xlsb.xlsx]FX-IR!R106C5</stp>
        <tr r="E106" s="1"/>
      </tp>
      <tp>
        <v>4.9675000000000002</v>
        <stp/>
        <stp>##V3_BDHV12</stp>
        <stp>USDZAR25R5y Curncy</stp>
        <stp>PX_LAST</stp>
        <stp>12/05/2020</stp>
        <stp>12/05/2020</stp>
        <stp>[QwackPricer.xlsb.xlsx]FX-IR!R107C5</stp>
        <tr r="E107" s="1"/>
      </tp>
      <tp>
        <v>9.5724999999999998</v>
        <stp/>
        <stp>##V3_BDHV12</stp>
        <stp>USDZAR10R4y Curncy</stp>
        <stp>PX_LAST</stp>
        <stp>12/05/2020</stp>
        <stp>12/05/2020</stp>
        <stp>[QwackPricer.xlsb.xlsx]FX-IR!R106C6</stp>
        <tr r="F106" s="1"/>
      </tp>
      <tp>
        <v>9.6524999999999999</v>
        <stp/>
        <stp>##V3_BDHV12</stp>
        <stp>USDZAR10R5y Curncy</stp>
        <stp>PX_LAST</stp>
        <stp>12/05/2020</stp>
        <stp>12/05/2020</stp>
        <stp>[QwackPricer.xlsb.xlsx]FX-IR!R107C6</stp>
        <tr r="F107" s="1"/>
      </tp>
      <tp>
        <v>3.6375000000000002</v>
        <stp/>
        <stp>##V3_BDHV12</stp>
        <stp>USDZAR10B4y Curncy</stp>
        <stp>PX_LAST</stp>
        <stp>12/05/2020</stp>
        <stp>12/05/2020</stp>
        <stp>[QwackPricer.xlsb.xlsx]FX-IR!R106C8</stp>
        <tr r="H106" s="1"/>
      </tp>
      <tp>
        <v>3.64</v>
        <stp/>
        <stp>##V3_BDHV12</stp>
        <stp>USDZAR10B5y Curncy</stp>
        <stp>PX_LAST</stp>
        <stp>12/05/2020</stp>
        <stp>12/05/2020</stp>
        <stp>[QwackPricer.xlsb.xlsx]FX-IR!R107C8</stp>
        <tr r="H107" s="1"/>
      </tp>
      <tp>
        <v>2.6349999999999998</v>
        <stp/>
        <stp>##V3_BDHV12</stp>
        <stp>XAUUSD25R6m Curncy</stp>
        <stp>PX_LAST</stp>
        <stp>12/05/2020</stp>
        <stp>12/05/2020</stp>
        <stp>[QwackPricer.xlsb.xlsx]FX-IR!R150C5</stp>
        <tr r="E150" s="1"/>
      </tp>
      <tp>
        <v>1.345</v>
        <stp/>
        <stp>##V3_BDHV12</stp>
        <stp>XAUUSD25R1m Curncy</stp>
        <stp>PX_LAST</stp>
        <stp>12/05/2020</stp>
        <stp>12/05/2020</stp>
        <stp>[QwackPricer.xlsb.xlsx]FX-IR!R147C5</stp>
        <tr r="E147" s="1"/>
      </tp>
      <tp>
        <v>1.2575000000000001</v>
        <stp/>
        <stp>##V3_BDHV12</stp>
        <stp>XAUUSD25B6m Curncy</stp>
        <stp>PX_LAST</stp>
        <stp>12/05/2020</stp>
        <stp>12/05/2020</stp>
        <stp>[QwackPricer.xlsb.xlsx]FX-IR!R150C7</stp>
        <tr r="G150" s="1"/>
      </tp>
      <tp>
        <v>1.0475000000000001</v>
        <stp/>
        <stp>##V3_BDHV12</stp>
        <stp>XAUUSD25B1m Curncy</stp>
        <stp>PX_LAST</stp>
        <stp>12/05/2020</stp>
        <stp>12/05/2020</stp>
        <stp>[QwackPricer.xlsb.xlsx]FX-IR!R147C7</stp>
        <tr r="G147" s="1"/>
      </tp>
      <tp>
        <v>4.2300000000000004</v>
        <stp/>
        <stp>##V3_BDHV12</stp>
        <stp>XAUUSD10B6m Curncy</stp>
        <stp>PX_LAST</stp>
        <stp>12/05/2020</stp>
        <stp>12/05/2020</stp>
        <stp>[QwackPricer.xlsb.xlsx]FX-IR!R150C8</stp>
        <tr r="H150" s="1"/>
      </tp>
      <tp>
        <v>3.49</v>
        <stp/>
        <stp>##V3_BDHV12</stp>
        <stp>XAUUSD10B1m Curncy</stp>
        <stp>PX_LAST</stp>
        <stp>12/05/2020</stp>
        <stp>12/05/2020</stp>
        <stp>[QwackPricer.xlsb.xlsx]FX-IR!R147C8</stp>
        <tr r="H147" s="1"/>
      </tp>
      <tp>
        <v>4.7549999999999999</v>
        <stp/>
        <stp>##V3_BDHV12</stp>
        <stp>XAUUSD10R6m Curncy</stp>
        <stp>PX_LAST</stp>
        <stp>12/05/2020</stp>
        <stp>12/05/2020</stp>
        <stp>[QwackPricer.xlsb.xlsx]FX-IR!R150C6</stp>
        <tr r="F150" s="1"/>
      </tp>
      <tp>
        <v>2.1800000000000002</v>
        <stp/>
        <stp>##V3_BDHV12</stp>
        <stp>XAUUSD10R1m Curncy</stp>
        <stp>PX_LAST</stp>
        <stp>12/05/2020</stp>
        <stp>12/05/2020</stp>
        <stp>[QwackPricer.xlsb.xlsx]FX-IR!R147C6</stp>
        <tr r="F147" s="1"/>
      </tp>
      <tp>
        <v>3.5125000000000002</v>
        <stp/>
        <stp>##V3_BDHV12</stp>
        <stp>XAUUSD25R2y Curncy</stp>
        <stp>PX_LAST</stp>
        <stp>12/05/2020</stp>
        <stp>12/05/2020</stp>
        <stp>[QwackPricer.xlsb.xlsx]FX-IR!R154C5</stp>
        <tr r="E154" s="1"/>
      </tp>
      <tp>
        <v>3.71</v>
        <stp/>
        <stp>##V3_BDHV12</stp>
        <stp>XAUUSD25R3y Curncy</stp>
        <stp>PX_LAST</stp>
        <stp>12/05/2020</stp>
        <stp>12/05/2020</stp>
        <stp>[QwackPricer.xlsb.xlsx]FX-IR!R155C5</stp>
        <tr r="E155" s="1"/>
      </tp>
      <tp>
        <v>1.6125</v>
        <stp/>
        <stp>##V3_BDHV12</stp>
        <stp>XAUUSD25B2y Curncy</stp>
        <stp>PX_LAST</stp>
        <stp>12/05/2020</stp>
        <stp>12/05/2020</stp>
        <stp>[QwackPricer.xlsb.xlsx]FX-IR!R154C7</stp>
        <tr r="G154" s="1"/>
      </tp>
      <tp>
        <v>1.6</v>
        <stp/>
        <stp>##V3_BDHV12</stp>
        <stp>XAUUSD25B3y Curncy</stp>
        <stp>PX_LAST</stp>
        <stp>12/05/2020</stp>
        <stp>12/05/2020</stp>
        <stp>[QwackPricer.xlsb.xlsx]FX-IR!R155C7</stp>
        <tr r="G155" s="1"/>
      </tp>
      <tp>
        <v>5.3574999999999999</v>
        <stp/>
        <stp>##V3_BDHV12</stp>
        <stp>XAUUSD10B2y Curncy</stp>
        <stp>PX_LAST</stp>
        <stp>12/05/2020</stp>
        <stp>12/05/2020</stp>
        <stp>[QwackPricer.xlsb.xlsx]FX-IR!R154C8</stp>
        <tr r="H154" s="1"/>
      </tp>
      <tp>
        <v>5.7125000000000004</v>
        <stp/>
        <stp>##V3_BDHV12</stp>
        <stp>XAUUSD10B3y Curncy</stp>
        <stp>PX_LAST</stp>
        <stp>12/05/2020</stp>
        <stp>12/05/2020</stp>
        <stp>[QwackPricer.xlsb.xlsx]FX-IR!R155C8</stp>
        <tr r="H155" s="1"/>
      </tp>
      <tp>
        <v>6.9124999999999996</v>
        <stp/>
        <stp>##V3_BDHV12</stp>
        <stp>XAUUSD10R2y Curncy</stp>
        <stp>PX_LAST</stp>
        <stp>12/05/2020</stp>
        <stp>12/05/2020</stp>
        <stp>[QwackPricer.xlsb.xlsx]FX-IR!R154C6</stp>
        <tr r="F154" s="1"/>
      </tp>
      <tp>
        <v>7.3125</v>
        <stp/>
        <stp>##V3_BDHV12</stp>
        <stp>XAUUSD10R3y Curncy</stp>
        <stp>PX_LAST</stp>
        <stp>12/05/2020</stp>
        <stp>12/05/2020</stp>
        <stp>[QwackPricer.xlsb.xlsx]FX-IR!R155C6</stp>
        <tr r="F155" s="1"/>
      </tp>
      <tp>
        <v>4.2480000000000002</v>
        <stp/>
        <stp>##V3_BDPV12</stp>
        <stp>SAONBOR Curncy</stp>
        <stp>PX_LAST</stp>
        <stp>[QwackPricer.xlsb.xlsx]FX-IR!R64C9</stp>
        <tr r="I64" s="1"/>
      </tp>
      <tp>
        <v>769.32500000000005</v>
        <stp/>
        <stp>##V3_BDPV12</stp>
        <stp>XPT/USD Curncy</stp>
        <stp>PX_LAST</stp>
        <stp>[QwackPricer.xlsb.xlsx]FX-IR!R18C4</stp>
        <tr r="D18" s="1"/>
      </tp>
      <tp>
        <v>8.0399999999999991</v>
        <stp/>
        <stp>##V3_BDHV12</stp>
        <stp>XAGUSD10B4y Curncy</stp>
        <stp>PX_LAST</stp>
        <stp>12/05/2020</stp>
        <stp>12/05/2020</stp>
        <stp>[QwackPricer.xlsb.xlsx]FX-IR!R173C8</stp>
        <tr r="H173" s="1"/>
      </tp>
      <tp>
        <v>0.99750000000000005</v>
        <stp/>
        <stp>##V3_BDHV12</stp>
        <stp>USDZAR25B1y Curncy</stp>
        <stp>PX_LAST</stp>
        <stp>12/05/2020</stp>
        <stp>12/05/2020</stp>
        <stp>[QwackPricer.xlsb.xlsx]FX-IR!R102C7</stp>
        <tr r="G102" s="1"/>
      </tp>
      <tp>
        <v>4.4775</v>
        <stp/>
        <stp>##V3_BDHV12</stp>
        <stp>USDZAR25R1y Curncy</stp>
        <stp>PX_LAST</stp>
        <stp>12/05/2020</stp>
        <stp>12/05/2020</stp>
        <stp>[QwackPricer.xlsb.xlsx]FX-IR!R102C5</stp>
        <tr r="E102" s="1"/>
      </tp>
      <tp>
        <v>5.64</v>
        <stp/>
        <stp>##V3_BDHV12</stp>
        <stp>XAGUSD10R4y Curncy</stp>
        <stp>PX_LAST</stp>
        <stp>12/05/2020</stp>
        <stp>12/05/2020</stp>
        <stp>[QwackPricer.xlsb.xlsx]FX-IR!R173C6</stp>
        <tr r="F173" s="1"/>
      </tp>
      <tp>
        <v>8.7249999999999996</v>
        <stp/>
        <stp>##V3_BDHV12</stp>
        <stp>USDZAR10R1y Curncy</stp>
        <stp>PX_LAST</stp>
        <stp>12/05/2020</stp>
        <stp>12/05/2020</stp>
        <stp>[QwackPricer.xlsb.xlsx]FX-IR!R102C6</stp>
        <tr r="F102" s="1"/>
      </tp>
      <tp>
        <v>2.9474999999999998</v>
        <stp/>
        <stp>##V3_BDHV12</stp>
        <stp>XAGUSD25R4y Curncy</stp>
        <stp>PX_LAST</stp>
        <stp>12/05/2020</stp>
        <stp>12/05/2020</stp>
        <stp>[QwackPricer.xlsb.xlsx]FX-IR!R173C5</stp>
        <tr r="E173" s="1"/>
      </tp>
      <tp>
        <v>1.85</v>
        <stp/>
        <stp>##V3_BDHV12</stp>
        <stp>XAGUSD25B4y Curncy</stp>
        <stp>PX_LAST</stp>
        <stp>12/05/2020</stp>
        <stp>12/05/2020</stp>
        <stp>[QwackPricer.xlsb.xlsx]FX-IR!R173C7</stp>
        <tr r="G173" s="1"/>
      </tp>
      <tp>
        <v>2.87</v>
        <stp/>
        <stp>##V3_BDHV12</stp>
        <stp>USDZAR10B1y Curncy</stp>
        <stp>PX_LAST</stp>
        <stp>12/05/2020</stp>
        <stp>12/05/2020</stp>
        <stp>[QwackPricer.xlsb.xlsx]FX-IR!R102C8</stp>
        <tr r="H102" s="1"/>
      </tp>
      <tp>
        <v>6.5250000000000004</v>
        <stp/>
        <stp>##V3_BDHV12</stp>
        <stp>XAGUSD10B2m Curncy</stp>
        <stp>PX_LAST</stp>
        <stp>12/05/2020</stp>
        <stp>12/05/2020</stp>
        <stp>[QwackPricer.xlsb.xlsx]FX-IR!R165C8</stp>
        <tr r="H165" s="1"/>
      </tp>
      <tp>
        <v>2.0825</v>
        <stp/>
        <stp>##V3_BDHV12</stp>
        <stp>XAGUSD10R2m Curncy</stp>
        <stp>PX_LAST</stp>
        <stp>12/05/2020</stp>
        <stp>12/05/2020</stp>
        <stp>[QwackPricer.xlsb.xlsx]FX-IR!R165C6</stp>
        <tr r="F165" s="1"/>
      </tp>
      <tp>
        <v>1.1125</v>
        <stp/>
        <stp>##V3_BDHV12</stp>
        <stp>XAGUSD25R2m Curncy</stp>
        <stp>PX_LAST</stp>
        <stp>12/05/2020</stp>
        <stp>12/05/2020</stp>
        <stp>[QwackPricer.xlsb.xlsx]FX-IR!R165C5</stp>
        <tr r="E165" s="1"/>
      </tp>
      <tp>
        <v>1.5425</v>
        <stp/>
        <stp>##V3_BDHV12</stp>
        <stp>XAGUSD25B2m Curncy</stp>
        <stp>PX_LAST</stp>
        <stp>12/05/2020</stp>
        <stp>12/05/2020</stp>
        <stp>[QwackPricer.xlsb.xlsx]FX-IR!R165C7</stp>
        <tr r="G165" s="1"/>
      </tp>
      <tp>
        <v>3.3849999999999998</v>
        <stp/>
        <stp>##V3_BDHV12</stp>
        <stp>XAUUSD10B1w Curncy</stp>
        <stp>PX_LAST</stp>
        <stp>12/05/2020</stp>
        <stp>12/05/2020</stp>
        <stp>[QwackPricer.xlsb.xlsx]FX-IR!R146C8</stp>
        <tr r="H146" s="1"/>
      </tp>
      <tp>
        <v>0.89749999999999996</v>
        <stp/>
        <stp>##V3_BDHV12</stp>
        <stp>XAUUSD10R1w Curncy</stp>
        <stp>PX_LAST</stp>
        <stp>12/05/2020</stp>
        <stp>12/05/2020</stp>
        <stp>[QwackPricer.xlsb.xlsx]FX-IR!R146C6</stp>
        <tr r="F146" s="1"/>
      </tp>
      <tp>
        <v>0.51249999999999996</v>
        <stp/>
        <stp>##V3_BDHV12</stp>
        <stp>XAUUSD25R1w Curncy</stp>
        <stp>PX_LAST</stp>
        <stp>12/05/2020</stp>
        <stp>12/05/2020</stp>
        <stp>[QwackPricer.xlsb.xlsx]FX-IR!R146C5</stp>
        <tr r="E146" s="1"/>
      </tp>
      <tp>
        <v>0.99750000000000005</v>
        <stp/>
        <stp>##V3_BDHV12</stp>
        <stp>XAUUSD25B1w Curncy</stp>
        <stp>PX_LAST</stp>
        <stp>12/05/2020</stp>
        <stp>12/05/2020</stp>
        <stp>[QwackPricer.xlsb.xlsx]FX-IR!R146C7</stp>
        <tr r="G146" s="1"/>
      </tp>
      <tp>
        <v>5.9350000000000005</v>
        <stp/>
        <stp>##V3_BDHV12</stp>
        <stp>XAGUSD10B1m Curncy</stp>
        <stp>PX_LAST</stp>
        <stp>12/05/2020</stp>
        <stp>12/05/2020</stp>
        <stp>[QwackPricer.xlsb.xlsx]FX-IR!R164C8</stp>
        <tr r="H164" s="1"/>
      </tp>
      <tp>
        <v>6.62</v>
        <stp/>
        <stp>##V3_BDHV12</stp>
        <stp>XAGUSD10B3m Curncy</stp>
        <stp>PX_LAST</stp>
        <stp>12/05/2020</stp>
        <stp>12/05/2020</stp>
        <stp>[QwackPricer.xlsb.xlsx]FX-IR!R166C8</stp>
        <tr r="H166" s="1"/>
      </tp>
      <tp>
        <v>1.2625</v>
        <stp/>
        <stp>##V3_BDHV12</stp>
        <stp>XAGUSD10R1m Curncy</stp>
        <stp>PX_LAST</stp>
        <stp>12/05/2020</stp>
        <stp>12/05/2020</stp>
        <stp>[QwackPricer.xlsb.xlsx]FX-IR!R164C6</stp>
        <tr r="F164" s="1"/>
      </tp>
      <tp>
        <v>2.74</v>
        <stp/>
        <stp>##V3_BDHV12</stp>
        <stp>XAGUSD10R3m Curncy</stp>
        <stp>PX_LAST</stp>
        <stp>12/05/2020</stp>
        <stp>12/05/2020</stp>
        <stp>[QwackPricer.xlsb.xlsx]FX-IR!R166C6</stp>
        <tr r="F166" s="1"/>
      </tp>
      <tp>
        <v>0.72499999999999998</v>
        <stp/>
        <stp>##V3_BDHV12</stp>
        <stp>XAGUSD25R1m Curncy</stp>
        <stp>PX_LAST</stp>
        <stp>12/05/2020</stp>
        <stp>12/05/2020</stp>
        <stp>[QwackPricer.xlsb.xlsx]FX-IR!R164C5</stp>
        <tr r="E164" s="1"/>
      </tp>
      <tp>
        <v>1.4275</v>
        <stp/>
        <stp>##V3_BDHV12</stp>
        <stp>XAGUSD25R3m Curncy</stp>
        <stp>PX_LAST</stp>
        <stp>12/05/2020</stp>
        <stp>12/05/2020</stp>
        <stp>[QwackPricer.xlsb.xlsx]FX-IR!R166C5</stp>
        <tr r="E166" s="1"/>
      </tp>
      <tp>
        <v>1.405</v>
        <stp/>
        <stp>##V3_BDHV12</stp>
        <stp>XAGUSD25B1m Curncy</stp>
        <stp>PX_LAST</stp>
        <stp>12/05/2020</stp>
        <stp>12/05/2020</stp>
        <stp>[QwackPricer.xlsb.xlsx]FX-IR!R164C7</stp>
        <tr r="G164" s="1"/>
      </tp>
      <tp>
        <v>1.5699999999999998</v>
        <stp/>
        <stp>##V3_BDHV12</stp>
        <stp>XAGUSD25B3m Curncy</stp>
        <stp>PX_LAST</stp>
        <stp>12/05/2020</stp>
        <stp>12/05/2020</stp>
        <stp>[QwackPricer.xlsb.xlsx]FX-IR!R166C7</stp>
        <tr r="G166" s="1"/>
      </tp>
      <tp>
        <v>1.1000000000000001</v>
        <stp/>
        <stp>##V3_BDHV12</stp>
        <stp>USDZAR25B2y Curncy</stp>
        <stp>PX_LAST</stp>
        <stp>12/05/2020</stp>
        <stp>12/05/2020</stp>
        <stp>[QwackPricer.xlsb.xlsx]FX-IR!R104C7</stp>
        <tr r="G104" s="1"/>
      </tp>
      <tp>
        <v>1.1625000000000001</v>
        <stp/>
        <stp>##V3_BDHV12</stp>
        <stp>USDZAR25B3y Curncy</stp>
        <stp>PX_LAST</stp>
        <stp>12/05/2020</stp>
        <stp>12/05/2020</stp>
        <stp>[QwackPricer.xlsb.xlsx]FX-IR!R105C7</stp>
        <tr r="G105" s="1"/>
      </tp>
      <tp>
        <v>4.76</v>
        <stp/>
        <stp>##V3_BDHV12</stp>
        <stp>USDZAR25R2y Curncy</stp>
        <stp>PX_LAST</stp>
        <stp>12/05/2020</stp>
        <stp>12/05/2020</stp>
        <stp>[QwackPricer.xlsb.xlsx]FX-IR!R104C5</stp>
        <tr r="E104" s="1"/>
      </tp>
      <tp>
        <v>4.8600000000000003</v>
        <stp/>
        <stp>##V3_BDHV12</stp>
        <stp>USDZAR25R3y Curncy</stp>
        <stp>PX_LAST</stp>
        <stp>12/05/2020</stp>
        <stp>12/05/2020</stp>
        <stp>[QwackPricer.xlsb.xlsx]FX-IR!R105C5</stp>
        <tr r="E105" s="1"/>
      </tp>
      <tp>
        <v>9.2825000000000006</v>
        <stp/>
        <stp>##V3_BDHV12</stp>
        <stp>USDZAR10R2y Curncy</stp>
        <stp>PX_LAST</stp>
        <stp>12/05/2020</stp>
        <stp>12/05/2020</stp>
        <stp>[QwackPricer.xlsb.xlsx]FX-IR!R104C6</stp>
        <tr r="F104" s="1"/>
      </tp>
      <tp>
        <v>9.4824999999999999</v>
        <stp/>
        <stp>##V3_BDHV12</stp>
        <stp>USDZAR10R3y Curncy</stp>
        <stp>PX_LAST</stp>
        <stp>12/05/2020</stp>
        <stp>12/05/2020</stp>
        <stp>[QwackPricer.xlsb.xlsx]FX-IR!R105C6</stp>
        <tr r="F105" s="1"/>
      </tp>
      <tp>
        <v>3.2050000000000001</v>
        <stp/>
        <stp>##V3_BDHV12</stp>
        <stp>USDZAR10B2y Curncy</stp>
        <stp>PX_LAST</stp>
        <stp>12/05/2020</stp>
        <stp>12/05/2020</stp>
        <stp>[QwackPricer.xlsb.xlsx]FX-IR!R104C8</stp>
        <tr r="H104" s="1"/>
      </tp>
      <tp>
        <v>3.42</v>
        <stp/>
        <stp>##V3_BDHV12</stp>
        <stp>USDZAR10B3y Curncy</stp>
        <stp>PX_LAST</stp>
        <stp>12/05/2020</stp>
        <stp>12/05/2020</stp>
        <stp>[QwackPricer.xlsb.xlsx]FX-IR!R105C8</stp>
        <tr r="H105" s="1"/>
      </tp>
      <tp>
        <v>0.4425</v>
        <stp/>
        <stp>##V3_BDHV12</stp>
        <stp>XAGUSD25R1w Curncy</stp>
        <stp>PX_LAST</stp>
        <stp>12/05/2020</stp>
        <stp>12/05/2020</stp>
        <stp>[QwackPricer.xlsb.xlsx]FX-IR!R163C5</stp>
        <tr r="E163" s="1"/>
      </tp>
      <tp>
        <v>1.325</v>
        <stp/>
        <stp>##V3_BDHV12</stp>
        <stp>XAGUSD25B1w Curncy</stp>
        <stp>PX_LAST</stp>
        <stp>12/05/2020</stp>
        <stp>12/05/2020</stp>
        <stp>[QwackPricer.xlsb.xlsx]FX-IR!R163C7</stp>
        <tr r="G163" s="1"/>
      </tp>
      <tp>
        <v>5.5824999999999996</v>
        <stp/>
        <stp>##V3_BDHV12</stp>
        <stp>XAGUSD10B1w Curncy</stp>
        <stp>PX_LAST</stp>
        <stp>12/05/2020</stp>
        <stp>12/05/2020</stp>
        <stp>[QwackPricer.xlsb.xlsx]FX-IR!R163C8</stp>
        <tr r="H163" s="1"/>
      </tp>
      <tp>
        <v>0.77249999999999996</v>
        <stp/>
        <stp>##V3_BDHV12</stp>
        <stp>XAGUSD10R1w Curncy</stp>
        <stp>PX_LAST</stp>
        <stp>12/05/2020</stp>
        <stp>12/05/2020</stp>
        <stp>[QwackPricer.xlsb.xlsx]FX-IR!R163C6</stp>
        <tr r="F163" s="1"/>
      </tp>
      <tp>
        <v>3.9750000000000001</v>
        <stp/>
        <stp>##V3_BDHV12</stp>
        <stp>XAUUSD25R4y Curncy</stp>
        <stp>PX_LAST</stp>
        <stp>12/05/2020</stp>
        <stp>12/05/2020</stp>
        <stp>[QwackPricer.xlsb.xlsx]FX-IR!R156C5</stp>
        <tr r="E156" s="1"/>
      </tp>
      <tp>
        <v>4.2474999999999996</v>
        <stp/>
        <stp>##V3_BDHV12</stp>
        <stp>XAUUSD25R5y Curncy</stp>
        <stp>PX_LAST</stp>
        <stp>12/05/2020</stp>
        <stp>12/05/2020</stp>
        <stp>[QwackPricer.xlsb.xlsx]FX-IR!R157C5</stp>
        <tr r="E157" s="1"/>
      </tp>
      <tp>
        <v>1.635</v>
        <stp/>
        <stp>##V3_BDHV12</stp>
        <stp>XAUUSD25B4y Curncy</stp>
        <stp>PX_LAST</stp>
        <stp>12/05/2020</stp>
        <stp>12/05/2020</stp>
        <stp>[QwackPricer.xlsb.xlsx]FX-IR!R156C7</stp>
        <tr r="G156" s="1"/>
      </tp>
      <tp>
        <v>1.6675</v>
        <stp/>
        <stp>##V3_BDHV12</stp>
        <stp>XAUUSD25B5y Curncy</stp>
        <stp>PX_LAST</stp>
        <stp>12/05/2020</stp>
        <stp>12/05/2020</stp>
        <stp>[QwackPricer.xlsb.xlsx]FX-IR!R157C7</stp>
        <tr r="G157" s="1"/>
      </tp>
      <tp>
        <v>5.8650000000000002</v>
        <stp/>
        <stp>##V3_BDHV12</stp>
        <stp>XAUUSD10B4y Curncy</stp>
        <stp>PX_LAST</stp>
        <stp>12/05/2020</stp>
        <stp>12/05/2020</stp>
        <stp>[QwackPricer.xlsb.xlsx]FX-IR!R156C8</stp>
        <tr r="H156" s="1"/>
      </tp>
      <tp>
        <v>5.9950000000000001</v>
        <stp/>
        <stp>##V3_BDHV12</stp>
        <stp>XAUUSD10B5y Curncy</stp>
        <stp>PX_LAST</stp>
        <stp>12/05/2020</stp>
        <stp>12/05/2020</stp>
        <stp>[QwackPricer.xlsb.xlsx]FX-IR!R157C8</stp>
        <tr r="H157" s="1"/>
      </tp>
      <tp>
        <v>7.7949999999999999</v>
        <stp/>
        <stp>##V3_BDHV12</stp>
        <stp>XAUUSD10R4y Curncy</stp>
        <stp>PX_LAST</stp>
        <stp>12/05/2020</stp>
        <stp>12/05/2020</stp>
        <stp>[QwackPricer.xlsb.xlsx]FX-IR!R156C6</stp>
        <tr r="F156" s="1"/>
      </tp>
      <tp>
        <v>8.3825000000000003</v>
        <stp/>
        <stp>##V3_BDHV12</stp>
        <stp>XAUUSD10R5y Curncy</stp>
        <stp>PX_LAST</stp>
        <stp>12/05/2020</stp>
        <stp>12/05/2020</stp>
        <stp>[QwackPricer.xlsb.xlsx]FX-IR!R157C6</stp>
        <tr r="F157" s="1"/>
      </tp>
      <tp>
        <v>0.995</v>
        <stp/>
        <stp>##V3_BDHV12</stp>
        <stp>USDZAR25B6m Curncy</stp>
        <stp>PX_LAST</stp>
        <stp>12/05/2020</stp>
        <stp>12/05/2020</stp>
        <stp>[QwackPricer.xlsb.xlsx]FX-IR!R100C7</stp>
        <tr r="G100" s="1"/>
      </tp>
      <tp>
        <v>4.5</v>
        <stp/>
        <stp>##V3_BDHV12</stp>
        <stp>USDZAR25R6m Curncy</stp>
        <stp>PX_LAST</stp>
        <stp>12/05/2020</stp>
        <stp>12/05/2020</stp>
        <stp>[QwackPricer.xlsb.xlsx]FX-IR!R100C5</stp>
        <tr r="E100" s="1"/>
      </tp>
      <tp>
        <v>8.7899999999999991</v>
        <stp/>
        <stp>##V3_BDHV12</stp>
        <stp>USDZAR10R6m Curncy</stp>
        <stp>PX_LAST</stp>
        <stp>12/05/2020</stp>
        <stp>12/05/2020</stp>
        <stp>[QwackPricer.xlsb.xlsx]FX-IR!R100C6</stp>
        <tr r="F100" s="1"/>
      </tp>
      <tp>
        <v>2.87</v>
        <stp/>
        <stp>##V3_BDHV12</stp>
        <stp>USDZAR10B6m Curncy</stp>
        <stp>PX_LAST</stp>
        <stp>12/05/2020</stp>
        <stp>12/05/2020</stp>
        <stp>[QwackPricer.xlsb.xlsx]FX-IR!R100C8</stp>
        <tr r="H100" s="1"/>
      </tp>
      <tp>
        <v>-309</v>
        <stp/>
        <stp>##V3_BDPV12</stp>
        <stp>LMNIDS 03X21 Comdty</stp>
        <stp>PX_SETTLE</stp>
        <stp>[QwackPricer.xlsb.xlsx]Base!R36C17</stp>
        <tr r="Q36" s="2"/>
      </tp>
      <tp>
        <v>-71</v>
        <stp/>
        <stp>##V3_BDPV12</stp>
        <stp>LMNIDS 03X20 Comdty</stp>
        <stp>PX_SETTLE</stp>
        <stp>[QwackPricer.xlsb.xlsx]Base!R24C17</stp>
        <tr r="Q24" s="2"/>
      </tp>
      <tp>
        <v>-543</v>
        <stp/>
        <stp>##V3_BDPV12</stp>
        <stp>LMNIDS 03X22 Comdty</stp>
        <stp>PX_SETTLE</stp>
        <stp>[QwackPricer.xlsb.xlsx]Base!R48C17</stp>
        <tr r="Q48" s="2"/>
      </tp>
      <tp>
        <v>-774</v>
        <stp/>
        <stp>##V3_BDPV12</stp>
        <stp>LMNIDS 03X23 Comdty</stp>
        <stp>PX_SETTLE</stp>
        <stp>[QwackPricer.xlsb.xlsx]Base!R60C17</stp>
        <tr r="Q60" s="2"/>
      </tp>
      <tp>
        <v>-78.75</v>
        <stp/>
        <stp>##V3_BDPV12</stp>
        <stp>LMPBDS 03X22 Comdty</stp>
        <stp>PX_SETTLE</stp>
        <stp>[QwackPricer.xlsb.xlsx]Base!R48C21</stp>
        <tr r="U48" s="2"/>
      </tp>
      <tp>
        <v>-104</v>
        <stp/>
        <stp>##V3_BDPV12</stp>
        <stp>LMPBDS 03X23 Comdty</stp>
        <stp>PX_SETTLE</stp>
        <stp>[QwackPricer.xlsb.xlsx]Base!R60C21</stp>
        <tr r="U60" s="2"/>
      </tp>
      <tp>
        <v>-49</v>
        <stp/>
        <stp>##V3_BDPV12</stp>
        <stp>LMPBDS 03X21 Comdty</stp>
        <stp>PX_SETTLE</stp>
        <stp>[QwackPricer.xlsb.xlsx]Base!R36C21</stp>
        <tr r="U36" s="2"/>
      </tp>
      <tp>
        <v>-15.25</v>
        <stp/>
        <stp>##V3_BDPV12</stp>
        <stp>LMPBDS 03X20 Comdty</stp>
        <stp>PX_SETTLE</stp>
        <stp>[QwackPricer.xlsb.xlsx]Base!R24C21</stp>
        <tr r="U24" s="2"/>
      </tp>
      <tp>
        <v>60</v>
        <stp/>
        <stp>##V3_BDPV12</stp>
        <stp>LMSNDS 03X20 Comdty</stp>
        <stp>PX_SETTLE</stp>
        <stp>[QwackPricer.xlsb.xlsx]Base!R24C25</stp>
        <tr r="Y24" s="2"/>
      </tp>
      <tp>
        <v>-85</v>
        <stp/>
        <stp>##V3_BDPV12</stp>
        <stp>LMZSDS 03X23 Comdty</stp>
        <stp>PX_SETTLE</stp>
        <stp>[QwackPricer.xlsb.xlsx]Base!R60C13</stp>
        <tr r="M60" s="2"/>
      </tp>
      <tp>
        <v>-74</v>
        <stp/>
        <stp>##V3_BDPV12</stp>
        <stp>LMZSDS 03X22 Comdty</stp>
        <stp>PX_SETTLE</stp>
        <stp>[QwackPricer.xlsb.xlsx]Base!R48C13</stp>
        <tr r="M48" s="2"/>
      </tp>
      <tp>
        <v>-43.25</v>
        <stp/>
        <stp>##V3_BDPV12</stp>
        <stp>LMZSDS 03X21 Comdty</stp>
        <stp>PX_SETTLE</stp>
        <stp>[QwackPricer.xlsb.xlsx]Base!R36C13</stp>
        <tr r="M36" s="2"/>
      </tp>
      <tp>
        <v>-6</v>
        <stp/>
        <stp>##V3_BDPV12</stp>
        <stp>LMZSDS 03X20 Comdty</stp>
        <stp>PX_SETTLE</stp>
        <stp>[QwackPricer.xlsb.xlsx]Base!R24C13</stp>
        <tr r="M24" s="2"/>
      </tp>
      <tp>
        <v>7.7074999999999996</v>
        <stp/>
        <stp>##V3_BDHV12</stp>
        <stp>XAGUSD10B2y Curncy</stp>
        <stp>PX_LAST</stp>
        <stp>12/05/2020</stp>
        <stp>12/05/2020</stp>
        <stp>[QwackPricer.xlsb.xlsx]FX-IR!R171C8</stp>
        <tr r="H171" s="1"/>
      </tp>
      <tp>
        <v>5.4225000000000003</v>
        <stp/>
        <stp>##V3_BDHV12</stp>
        <stp>XAGUSD10R2y Curncy</stp>
        <stp>PX_LAST</stp>
        <stp>12/05/2020</stp>
        <stp>12/05/2020</stp>
        <stp>[QwackPricer.xlsb.xlsx]FX-IR!R171C6</stp>
        <tr r="F171" s="1"/>
      </tp>
      <tp>
        <v>2.6574999999999998</v>
        <stp/>
        <stp>##V3_BDHV12</stp>
        <stp>XAGUSD25R2y Curncy</stp>
        <stp>PX_LAST</stp>
        <stp>12/05/2020</stp>
        <stp>12/05/2020</stp>
        <stp>[QwackPricer.xlsb.xlsx]FX-IR!R171C5</stp>
        <tr r="E171" s="1"/>
      </tp>
      <tp>
        <v>1.87</v>
        <stp/>
        <stp>##V3_BDHV12</stp>
        <stp>XAGUSD25B2y Curncy</stp>
        <stp>PX_LAST</stp>
        <stp>12/05/2020</stp>
        <stp>12/05/2020</stp>
        <stp>[QwackPricer.xlsb.xlsx]FX-IR!R171C7</stp>
        <tr r="G171" s="1"/>
      </tp>
      <tp>
        <v>3.1924999999999999</v>
        <stp/>
        <stp>##V3_BDHV12</stp>
        <stp>XAUUSD25R1y Curncy</stp>
        <stp>PX_LAST</stp>
        <stp>12/05/2020</stp>
        <stp>12/05/2020</stp>
        <stp>[QwackPricer.xlsb.xlsx]FX-IR!R152C5</stp>
        <tr r="E152" s="1"/>
      </tp>
      <tp>
        <v>1.4375</v>
        <stp/>
        <stp>##V3_BDHV12</stp>
        <stp>XAUUSD25B1y Curncy</stp>
        <stp>PX_LAST</stp>
        <stp>12/05/2020</stp>
        <stp>12/05/2020</stp>
        <stp>[QwackPricer.xlsb.xlsx]FX-IR!R152C7</stp>
        <tr r="G152" s="1"/>
      </tp>
      <tp>
        <v>4.8650000000000002</v>
        <stp/>
        <stp>##V3_BDHV12</stp>
        <stp>XAUUSD10B1y Curncy</stp>
        <stp>PX_LAST</stp>
        <stp>12/05/2020</stp>
        <stp>12/05/2020</stp>
        <stp>[QwackPricer.xlsb.xlsx]FX-IR!R152C8</stp>
        <tr r="H152" s="1"/>
      </tp>
      <tp>
        <v>6.0949999999999998</v>
        <stp/>
        <stp>##V3_BDHV12</stp>
        <stp>XAUUSD10R1y Curncy</stp>
        <stp>PX_LAST</stp>
        <stp>12/05/2020</stp>
        <stp>12/05/2020</stp>
        <stp>[QwackPricer.xlsb.xlsx]FX-IR!R152C6</stp>
        <tr r="F152" s="1"/>
      </tp>
      <tp t="s">
        <v>43598{%f},14.2845{%f};43599{%f},14.2405{%f};43600{%f},14.2782{%f};43601{%f},14.1487{%f};43602{%f},14.3821{%f};43605{%f},14.3641{%f};43606{%f},14.4387{%f};43607{%f},14.3675{%f};43608{%f},14.4452{%f};43609{%f},14.4424{%f};43612{%f},14.4603{%f};43613{%f},14.607{%f};43614{%f},14.8074{%f};43615{%f},14.6116{%f};43616{%f},14.7089{%f};43619{%f},14.5453{%f};43620{%f},14.6214{%f};43621{%f},14.7262{%f};43622{%f},14.8648{%f};43623{%f},15.0713{%f};43626{%f},14.8856{%f};43627{%f},14.7823{%f};43628{%f},14.7664{%f};43629{%f},14.8439{%f};43630{%f},14.8034{%f};43633{%f},14.8181{%f};43634{%f},14.6408{%f};43635{%f},14.5334{%f};43636{%f},14.2706{%f};43637{%f},14.3305{%f};43640{%f},14.3425{%f};43641{%f},14.3035{%f};43642{%f},14.3256{%f};43643{%f},14.1347{%f};43644{%f},14.1717{%f};43647{%f},14.1214{%f};43648{%f},14.1315{%f};43649{%f},14.0991{%f};43650{%f},13.9871{%f};43651{%f},14.113{%f};43654{%f},14.1556{%f};43655{%f},14.1828{%f};43656{%f},14.1799{%f};43657{%f},13.9027{%f};43658{%f},13.9658{%f};43661{%f},13.869{%f};43662{%f},13.8642{%f};43663{%f},13.9658{%f};43664{%f},13.9863{%f};43665{%f},13.9235{%f};43668{%f},13.8929{%f};43669{%f},13.8942{%f};43670{%f},13.9162{%f};43671{%f},13.9323{%f};43672{%f},14.1538{%f};43675{%f},14.227{%f};43676{%f},14.1888{%f};43677{%f},14.2291{%f};43678{%f},14.4884{%f};43679{%f},14.6901{%f};43682{%f},14.9118{%f};43683{%f},14.7824{%f};43684{%f},14.857{%f};43685{%f},15.1342{%f};43686{%f},15.2022{%f};43689{%f},15.4178{%f};43690{%f},15.3396{%f};43691{%f},15.3197{%f};43692{%f},15.273{%f};43693{%f},15.1827{%f};43696{%f},15.3472{%f};43697{%f},15.368{%f};43698{%f},15.1796{%f};43699{%f},15.1784{%f};43700{%f},15.2001{%f};43703{%f},15.2598{%f};43704{%f},15.3087{%f};43705{%f},15.3682{%f};43706{%f},15.2823{%f};43707{%f},15.2236{%f};43710{%f},15.227{%f};43711{%f},15.1416{%f};43712{%f},14.8619{%f};43713{%f},14.8192{%f};43714{%f},14.7646{%f};43717{%f},14.6773{%f};43718{%f},14.6836{%f};43719{%f},14.685{%f};43720{%f},14.587{%f};43721{%f},14.5082{%f};43724{%f},14.6651{%f};43725{%f},14.7552{%f};43726{%f},14.6289{%f};43727{%f},14.6724{%f};43728{%f},14.8665{%f};43731{%f},14.8751{%f};43732{%f},14.8757{%f};43733{%f},15.0291{%f};43734{%f},14.9869{%f};43735{%f},15.0663{%f};43738{%f},15.1804{%f};43739{%f},15.2973{%f};43740{%f},15.2529{%f};43741{%f},15.162{%f};43742{%f},15.1456{%f};43745{%f},15.1413{%f};43746{%f},15.2801{%f};43747{%f},15.1523{%f};43748{%f},15.1622{%f};43749{%f},14.8338{%f};43752{%f},14.8085{%f};43753{%f},14.871{%f};43754{%f},14.9752{%f};43755{%f},14.8252{%f};43756{%f},14.7788{%f};43759{%f},14.7473{%f};43760{%f},14.6835{%f};43761{%f},14.6866{%f};43762{%f},14.613{%f};43763{%f},14.6313{%f};43766{%f},14.5502{%f};43767{%f},14.6251{%f};43768{%f},14.9128{%f};43769{%f},15.1475{%f};43770{%f},15.0956{%f};43773{%f},14.8014{%f};43774{%f},14.7481{%f};43775{%f},14.7939{%f};43776{%f},14.7446{%f};43777{%f},14.8197{%f};43780{%f},14.8757{%f};43781{%f},14.8096{%f};43782{%f},14.9587{%f};43783{%f},14.8413{%f};43784{%f},14.7271{%f};43787{%f},14.7655{%f};43788{%f},14.7539{%f};43789{%f},14.8078{%f};43790{%f},14.7063{%f};43791{%f},14.7047{%f};43794{%f},14.7376{%f};43795{%f},14.8011{%f};43796{%f},14.7186{%f};43797{%f},14.7419{%f};43798{%f},14.651{%f};43801{%f},14.6663{%f};43802{%f},14.6412{%f};43803{%f},14.565{%f};43804{%f},14.6542{%f};43805{%f},14.6322{%f};43808{%f},14.6097{%f};43809{%f},14.8181{%f};43810{%f},14.7602{%f};43811{%f},14.6542{%f};43812{%f},14.4461{%f};43815{%f},14.4833{%f};43816{%f},14.4128{%f};43817{%f},14.357{%f};43818{%f},14.3213{%f};43819{%f},14.2394{%f};43822{%f},14.2269{%f};43823{%f},14.1942{%f};43825{%f},14.1684{%f};43826{%f},14.0335{%f};43829{%f},14.0654{%f};43830{%f},14.0608{%f};43832{%f},14.0608{%f};43833{%f},14.3176{%f};43836{%f},14.2231{%f};43837{%f},14.3026{%f};43838{%f},14.2391{%f};43839{%f},14.2073{%f};43840{%f},14.2408{%f};43843{%f},14.3683{%f};43844{%f},14.4332{%f};43845{%f},14.355{%f};43846{%f},14.3698{%f};43847{%f},14.4326{%f};43850{%f},14.5278{%f};43851{%f},14.4885{%f};43852{%f},14.4009{%f};43853{%f},14.3738{%f};43854{%f},14.3707{%f};43857{%f},14.5456{%f};43858{%f},14.6305{%f};43859{%f},14.5948{%f};43860{%f},14.73{%f};43861{%f},14.9449{%f};43864{%f},14.8974{%f};43865{%f},14.7881{%f};43866{%f},14.7241{%f};43867{%f},14.8119{%f};43868{%f},14.9551{%f};43871{%f},15.0567{%f};43872{%f},14.8779{%f};43873{%f},14.7813{%f};43874{%f},14.8509{%f};43875{%f},14.8545{%f};43878{%f},14.9346{%f};43879{%f},15.0481{%f};43880{%f},14.9361{%f};43881{%f},15.0988{%f};43882{%f},15.0792{%f};43885{%f},15.1201{%f};43886{%f},15.1753{%f};43887{%f},15.1234{%f};43888{%f},15.3362{%f};43889{%f},15.5749{%f};43892{%f},15.6385{%f};43893{%f},15.5786{%f};43894{%f},15.26{%f};43895{%f},15.4354{%f};43896{%f},15.7574{%f};43899{%f},15.904{%f};43900{%f},15.8963{%f};43901{%f},16.1025{%f};43902{%f},16.4349{%f};43903{%f},16.1064{%f};43906{%f},16.689{%f};43907{%f},16.6492{%f};43908{%f},17.0018{%f};43909{%f},17.2863{%f};43910{%f},17.3421{%f};43913{%f},17.6653{%f};43914{%f},17.5966{%f};43915{%f},17.3971{%f};43916{%f},17.4614{%f};43917{%f},17.597{%f};43920{%f},17.8439{%f};43921{%f},17.9036{%f};43922{%f},18.018{%f};43923{%f},18.4705{%f};43924{%f},18.787{%f};43927{%f},18.8174{%f};43928{%f},18.3755{%f};43929{%f},18.1957{%f};43930{%f},18.0413{%f};43934{%f},18.0628{%f};43935{%f},18.2549{%f};43936{%f},18.6519{%f};43937{%f},18.6054{%f};43938{%f},18.7398{%f};43941{%f},18.7717{%f};43942{%f},18.9863{%f};43943{%f},18.7835{%f};43944{%f},19.0937{%f};43945{%f},18.96{%f};43948{%f},18.8235{%f};43949{%f},18.6257{%f};43950{%f},18.4272{%f};43951{%f},18.0754{%f};43952{%f},18.773{%f};43955{%f},18.6804{%f};43956{%f},18.3665{%f};43957{%f},18.5426{%f};43958{%f},18.535{%f};43959{%f},18.4717{%f};43962{%f},18.4415{%f}##BDH_RS##</v>
        <stp/>
        <stp>##V3_BDHV12</stp>
        <stp>ZAR L130 Curncy</stp>
        <stp>PX_LAST</stp>
        <stp>13/05/2019</stp>
        <stp>12/05/2020</stp>
        <stp>[QwackPricer.xlsb.xlsx]FX-IR!R22C14</stp>
        <stp>Array=true</stp>
        <tr r="N22" s="1"/>
      </tp>
      <tp>
        <v>-328</v>
        <stp/>
        <stp>##V3_BDPV12</stp>
        <stp>LMNIDS 03Z21 Comdty</stp>
        <stp>PX_SETTLE</stp>
        <stp>[QwackPricer.xlsb.xlsx]Base!R37C17</stp>
        <tr r="Q37" s="2"/>
      </tp>
      <tp>
        <v>-91</v>
        <stp/>
        <stp>##V3_BDPV12</stp>
        <stp>LMNIDS 03Z20 Comdty</stp>
        <stp>PX_SETTLE</stp>
        <stp>[QwackPricer.xlsb.xlsx]Base!R25C17</stp>
        <tr r="Q25" s="2"/>
      </tp>
      <tp>
        <v>-563</v>
        <stp/>
        <stp>##V3_BDPV12</stp>
        <stp>LMNIDS 03Z22 Comdty</stp>
        <stp>PX_SETTLE</stp>
        <stp>[QwackPricer.xlsb.xlsx]Base!R49C17</stp>
        <tr r="Q49" s="2"/>
      </tp>
      <tp>
        <v>-793</v>
        <stp/>
        <stp>##V3_BDPV12</stp>
        <stp>LMNIDS 03Z23 Comdty</stp>
        <stp>PX_SETTLE</stp>
        <stp>[QwackPricer.xlsb.xlsx]Base!R61C17</stp>
        <tr r="Q61" s="2"/>
      </tp>
      <tp>
        <v>-81</v>
        <stp/>
        <stp>##V3_BDPV12</stp>
        <stp>LMPBDS 03Z22 Comdty</stp>
        <stp>PX_SETTLE</stp>
        <stp>[QwackPricer.xlsb.xlsx]Base!R49C21</stp>
        <tr r="U49" s="2"/>
      </tp>
      <tp>
        <v>-106</v>
        <stp/>
        <stp>##V3_BDPV12</stp>
        <stp>LMPBDS 03Z23 Comdty</stp>
        <stp>PX_SETTLE</stp>
        <stp>[QwackPricer.xlsb.xlsx]Base!R61C21</stp>
        <tr r="U61" s="2"/>
      </tp>
      <tp>
        <v>-51</v>
        <stp/>
        <stp>##V3_BDPV12</stp>
        <stp>LMPBDS 03Z21 Comdty</stp>
        <stp>PX_SETTLE</stp>
        <stp>[QwackPricer.xlsb.xlsx]Base!R37C21</stp>
        <tr r="U37" s="2"/>
      </tp>
      <tp>
        <v>-20</v>
        <stp/>
        <stp>##V3_BDPV12</stp>
        <stp>LMPBDS 03Z20 Comdty</stp>
        <stp>PX_SETTLE</stp>
        <stp>[QwackPricer.xlsb.xlsx]Base!R25C21</stp>
        <tr r="U25" s="2"/>
      </tp>
      <tp>
        <v>75</v>
        <stp/>
        <stp>##V3_BDPV12</stp>
        <stp>LMSNDS 03Z20 Comdty</stp>
        <stp>PX_SETTLE</stp>
        <stp>[QwackPricer.xlsb.xlsx]Base!R25C25</stp>
        <tr r="Y25" s="2"/>
      </tp>
      <tp>
        <v>-85</v>
        <stp/>
        <stp>##V3_BDPV12</stp>
        <stp>LMZSDS 03Z23 Comdty</stp>
        <stp>PX_SETTLE</stp>
        <stp>[QwackPricer.xlsb.xlsx]Base!R61C13</stp>
        <tr r="M61" s="2"/>
      </tp>
      <tp>
        <v>-77</v>
        <stp/>
        <stp>##V3_BDPV12</stp>
        <stp>LMZSDS 03Z22 Comdty</stp>
        <stp>PX_SETTLE</stp>
        <stp>[QwackPricer.xlsb.xlsx]Base!R49C13</stp>
        <tr r="M49" s="2"/>
      </tp>
      <tp>
        <v>-45.75</v>
        <stp/>
        <stp>##V3_BDPV12</stp>
        <stp>LMZSDS 03Z21 Comdty</stp>
        <stp>PX_SETTLE</stp>
        <stp>[QwackPricer.xlsb.xlsx]Base!R37C13</stp>
        <tr r="M37" s="2"/>
      </tp>
      <tp>
        <v>-8.75</v>
        <stp/>
        <stp>##V3_BDPV12</stp>
        <stp>LMZSDS 03Z20 Comdty</stp>
        <stp>PX_SETTLE</stp>
        <stp>[QwackPricer.xlsb.xlsx]Base!R25C13</stp>
        <tr r="M25" s="2"/>
      </tp>
      <tp>
        <v>7.6624999999999996</v>
        <stp/>
        <stp>##V3_BDHV12</stp>
        <stp>XAGUSD10B3y Curncy</stp>
        <stp>PX_LAST</stp>
        <stp>12/05/2020</stp>
        <stp>12/05/2020</stp>
        <stp>[QwackPricer.xlsb.xlsx]FX-IR!R172C8</stp>
        <tr r="H172" s="1"/>
      </tp>
      <tp>
        <v>8.3025000000000002</v>
        <stp/>
        <stp>##V3_BDHV12</stp>
        <stp>XAGUSD10B5y Curncy</stp>
        <stp>PX_LAST</stp>
        <stp>12/05/2020</stp>
        <stp>12/05/2020</stp>
        <stp>[QwackPricer.xlsb.xlsx]FX-IR!R174C8</stp>
        <tr r="H174" s="1"/>
      </tp>
      <tp>
        <v>5.4874999999999998</v>
        <stp/>
        <stp>##V3_BDHV12</stp>
        <stp>XAGUSD10R3y Curncy</stp>
        <stp>PX_LAST</stp>
        <stp>12/05/2020</stp>
        <stp>12/05/2020</stp>
        <stp>[QwackPricer.xlsb.xlsx]FX-IR!R172C6</stp>
        <tr r="F172" s="1"/>
      </tp>
      <tp>
        <v>5.8049999999999997</v>
        <stp/>
        <stp>##V3_BDHV12</stp>
        <stp>XAGUSD10R5y Curncy</stp>
        <stp>PX_LAST</stp>
        <stp>12/05/2020</stp>
        <stp>12/05/2020</stp>
        <stp>[QwackPricer.xlsb.xlsx]FX-IR!R174C6</stp>
        <tr r="F174" s="1"/>
      </tp>
      <tp>
        <v>2.8224999999999998</v>
        <stp/>
        <stp>##V3_BDHV12</stp>
        <stp>XAGUSD25R3y Curncy</stp>
        <stp>PX_LAST</stp>
        <stp>12/05/2020</stp>
        <stp>12/05/2020</stp>
        <stp>[QwackPricer.xlsb.xlsx]FX-IR!R172C5</stp>
        <tr r="E172" s="1"/>
      </tp>
      <tp>
        <v>2.9725000000000001</v>
        <stp/>
        <stp>##V3_BDHV12</stp>
        <stp>XAGUSD25R5y Curncy</stp>
        <stp>PX_LAST</stp>
        <stp>12/05/2020</stp>
        <stp>12/05/2020</stp>
        <stp>[QwackPricer.xlsb.xlsx]FX-IR!R174C5</stp>
        <tr r="E174" s="1"/>
      </tp>
      <tp>
        <v>1.77</v>
        <stp/>
        <stp>##V3_BDHV12</stp>
        <stp>XAGUSD25B3y Curncy</stp>
        <stp>PX_LAST</stp>
        <stp>12/05/2020</stp>
        <stp>12/05/2020</stp>
        <stp>[QwackPricer.xlsb.xlsx]FX-IR!R172C7</stp>
        <tr r="G172" s="1"/>
      </tp>
      <tp>
        <v>1.9075</v>
        <stp/>
        <stp>##V3_BDHV12</stp>
        <stp>XAGUSD25B5y Curncy</stp>
        <stp>PX_LAST</stp>
        <stp>12/05/2020</stp>
        <stp>12/05/2020</stp>
        <stp>[QwackPricer.xlsb.xlsx]FX-IR!R174C7</stp>
        <tr r="G174" s="1"/>
      </tp>
      <tp>
        <v>6.9</v>
        <stp/>
        <stp>##V3_BDHV12</stp>
        <stp>XAGUSD10B6m Curncy</stp>
        <stp>PX_LAST</stp>
        <stp>12/05/2020</stp>
        <stp>12/05/2020</stp>
        <stp>[QwackPricer.xlsb.xlsx]FX-IR!R167C8</stp>
        <tr r="H167" s="1"/>
      </tp>
      <tp>
        <v>7.0149999999999997</v>
        <stp/>
        <stp>##V3_BDHV12</stp>
        <stp>XAGUSD10B9m Curncy</stp>
        <stp>PX_LAST</stp>
        <stp>12/05/2020</stp>
        <stp>12/05/2020</stp>
        <stp>[QwackPricer.xlsb.xlsx]FX-IR!R168C8</stp>
        <tr r="H168" s="1"/>
      </tp>
      <tp>
        <v>3.5474999999999999</v>
        <stp/>
        <stp>##V3_BDHV12</stp>
        <stp>XAGUSD10R6m Curncy</stp>
        <stp>PX_LAST</stp>
        <stp>12/05/2020</stp>
        <stp>12/05/2020</stp>
        <stp>[QwackPricer.xlsb.xlsx]FX-IR!R167C6</stp>
        <tr r="F167" s="1"/>
      </tp>
      <tp>
        <v>4.47</v>
        <stp/>
        <stp>##V3_BDHV12</stp>
        <stp>XAGUSD10R9m Curncy</stp>
        <stp>PX_LAST</stp>
        <stp>12/05/2020</stp>
        <stp>12/05/2020</stp>
        <stp>[QwackPricer.xlsb.xlsx]FX-IR!R168C6</stp>
        <tr r="F168" s="1"/>
      </tp>
      <tp>
        <v>1.8275000000000001</v>
        <stp/>
        <stp>##V3_BDHV12</stp>
        <stp>XAGUSD25R6m Curncy</stp>
        <stp>PX_LAST</stp>
        <stp>12/05/2020</stp>
        <stp>12/05/2020</stp>
        <stp>[QwackPricer.xlsb.xlsx]FX-IR!R167C5</stp>
        <tr r="E167" s="1"/>
      </tp>
      <tp>
        <v>2.2349999999999999</v>
        <stp/>
        <stp>##V3_BDHV12</stp>
        <stp>XAGUSD25R9m Curncy</stp>
        <stp>PX_LAST</stp>
        <stp>12/05/2020</stp>
        <stp>12/05/2020</stp>
        <stp>[QwackPricer.xlsb.xlsx]FX-IR!R168C5</stp>
        <tr r="E168" s="1"/>
      </tp>
      <tp>
        <v>1.6475</v>
        <stp/>
        <stp>##V3_BDHV12</stp>
        <stp>XAGUSD25B6m Curncy</stp>
        <stp>PX_LAST</stp>
        <stp>12/05/2020</stp>
        <stp>12/05/2020</stp>
        <stp>[QwackPricer.xlsb.xlsx]FX-IR!R167C7</stp>
        <tr r="G167" s="1"/>
      </tp>
      <tp>
        <v>1.7025000000000001</v>
        <stp/>
        <stp>##V3_BDHV12</stp>
        <stp>XAGUSD25B9m Curncy</stp>
        <stp>PX_LAST</stp>
        <stp>12/05/2020</stp>
        <stp>12/05/2020</stp>
        <stp>[QwackPricer.xlsb.xlsx]FX-IR!R168C7</stp>
        <tr r="G168" s="1"/>
      </tp>
      <tp>
        <v>0.93</v>
        <stp/>
        <stp>##V3_BDPV12</stp>
        <stp>XAGSR9m TPMT Curncy</stp>
        <stp>PX_LAST</stp>
        <stp>[QwackPricer.xlsb.xlsx]FX-IR!R55C4</stp>
        <tr r="D55" s="1"/>
      </tp>
      <tp>
        <v>0.48</v>
        <stp/>
        <stp>##V3_BDPV12</stp>
        <stp>XAUSR9m TPMT Curncy</stp>
        <stp>PX_LAST</stp>
        <stp>[QwackPricer.xlsb.xlsx]FX-IR!R55C3</stp>
        <tr r="C55" s="1"/>
      </tp>
      <tp>
        <v>-1</v>
        <stp/>
        <stp>##V3_BDPV12</stp>
        <stp>XPDSR9m TPMT Curncy</stp>
        <stp>PX_LAST</stp>
        <stp>[QwackPricer.xlsb.xlsx]FX-IR!R55C6</stp>
        <tr r="F55" s="1"/>
      </tp>
      <tp>
        <v>-1.5</v>
        <stp/>
        <stp>##V3_BDPV12</stp>
        <stp>XPTSR9m TPMT Curncy</stp>
        <stp>PX_LAST</stp>
        <stp>[QwackPricer.xlsb.xlsx]FX-IR!R55C5</stp>
        <tr r="E55" s="1"/>
      </tp>
      <tp>
        <v>25.439348220825195</v>
        <stp/>
        <stp>##V3_BDPV12</stp>
        <stp>LX JAN21 10DP VOL LME Comdty</stp>
        <stp>PX_LAST</stp>
        <stp>[QwackPricer.xlsb.xlsx]Base!R77C26</stp>
        <tr r="Z77" s="2"/>
      </tp>
      <tp>
        <v>30.379776000976563</v>
        <stp/>
        <stp>##V3_BDPV12</stp>
        <stp>LN MAY22 10DP VOL LME Comdty</stp>
        <stp>PX_LAST</stp>
        <stp>[QwackPricer.xlsb.xlsx]Base!R93C37</stp>
        <tr r="AK93" s="2"/>
      </tp>
      <tp>
        <v>26.029308319091797</v>
        <stp/>
        <stp>##V3_BDPV12</stp>
        <stp>LX JAN22 10DP VOL LME Comdty</stp>
        <stp>PX_LAST</stp>
        <stp>[QwackPricer.xlsb.xlsx]Base!R89C26</stp>
        <tr r="Z89" s="2"/>
      </tp>
      <tp>
        <v>31.019697189331055</v>
        <stp/>
        <stp>##V3_BDPV12</stp>
        <stp>LN MAY21 10DP VOL LME Comdty</stp>
        <stp>PX_LAST</stp>
        <stp>[QwackPricer.xlsb.xlsx]Base!R81C37</stp>
        <tr r="AK81" s="2"/>
      </tp>
      <tp>
        <v>29.779890060424805</v>
        <stp/>
        <stp>##V3_BDPV12</stp>
        <stp>LN MAY22 25DP VOL LME Comdty</stp>
        <stp>PX_LAST</stp>
        <stp>[QwackPricer.xlsb.xlsx]Base!R93C38</stp>
        <tr r="AL93" s="2"/>
      </tp>
      <tp>
        <v>30.299837112426758</v>
        <stp/>
        <stp>##V3_BDPV12</stp>
        <stp>LN MAY21 25DP VOL LME Comdty</stp>
        <stp>PX_LAST</stp>
        <stp>[QwackPricer.xlsb.xlsx]Base!R81C38</stp>
        <tr r="AL81" s="2"/>
      </tp>
      <tp>
        <v>23.91949462890625</v>
        <stp/>
        <stp>##V3_BDPV12</stp>
        <stp>LX JAN21 25DP VOL LME Comdty</stp>
        <stp>PX_LAST</stp>
        <stp>[QwackPricer.xlsb.xlsx]Base!R77C27</stp>
        <tr r="AA77" s="2"/>
      </tp>
      <tp>
        <v>24.189510345458984</v>
        <stp/>
        <stp>##V3_BDPV12</stp>
        <stp>LX JAN22 25DP VOL LME Comdty</stp>
        <stp>PX_LAST</stp>
        <stp>[QwackPricer.xlsb.xlsx]Base!R89C27</stp>
        <tr r="AA89" s="2"/>
      </tp>
      <tp>
        <v>23.889301300048828</v>
        <stp/>
        <stp>##V3_BDPV12</stp>
        <stp>LP JAN21 25DP VOL LME Comdty</stp>
        <stp>PX_LAST</stp>
        <stp>[QwackPricer.xlsb.xlsx]Base!R77C16</stp>
        <tr r="P77" s="2"/>
      </tp>
      <tp>
        <v>29.919883728027344</v>
        <stp/>
        <stp>##V3_BDPV12</stp>
        <stp>LN MAR22 25DP VOL LME Comdty</stp>
        <stp>PX_LAST</stp>
        <stp>[QwackPricer.xlsb.xlsx]Base!R91C38</stp>
        <tr r="AL91" s="2"/>
      </tp>
      <tp>
        <v>30.519819259643555</v>
        <stp/>
        <stp>##V3_BDPV12</stp>
        <stp>LN MAR21 25DP VOL LME Comdty</stp>
        <stp>PX_LAST</stp>
        <stp>[QwackPricer.xlsb.xlsx]Base!R79C38</stp>
        <tr r="AL79" s="2"/>
      </tp>
      <tp>
        <v>22.659509658813477</v>
        <stp/>
        <stp>##V3_BDPV12</stp>
        <stp>LP JAN22 25DP VOL LME Comdty</stp>
        <stp>PX_LAST</stp>
        <stp>[QwackPricer.xlsb.xlsx]Base!R89C16</stp>
        <tr r="P89" s="2"/>
      </tp>
      <tp>
        <v>31.259689331054688</v>
        <stp/>
        <stp>##V3_BDPV12</stp>
        <stp>LN MAR21 10DP VOL LME Comdty</stp>
        <stp>PX_LAST</stp>
        <stp>[QwackPricer.xlsb.xlsx]Base!R79C37</stp>
        <tr r="AK79" s="2"/>
      </tp>
      <tp>
        <v>26.029121398925781</v>
        <stp/>
        <stp>##V3_BDPV12</stp>
        <stp>LP JAN21 10DP VOL LME Comdty</stp>
        <stp>PX_LAST</stp>
        <stp>[QwackPricer.xlsb.xlsx]Base!R77C15</stp>
        <tr r="O77" s="2"/>
      </tp>
      <tp>
        <v>24.439325332641602</v>
        <stp/>
        <stp>##V3_BDPV12</stp>
        <stp>LP JAN22 10DP VOL LME Comdty</stp>
        <stp>PX_LAST</stp>
        <stp>[QwackPricer.xlsb.xlsx]Base!R89C15</stp>
        <tr r="O89" s="2"/>
      </tp>
      <tp>
        <v>30.50977897644043</v>
        <stp/>
        <stp>##V3_BDPV12</stp>
        <stp>LN MAR22 10DP VOL LME Comdty</stp>
        <stp>PX_LAST</stp>
        <stp>[QwackPricer.xlsb.xlsx]Base!R91C37</stp>
        <tr r="AK91" s="2"/>
      </tp>
      <tp>
        <v>20.250129699707031</v>
        <stp/>
        <stp>##V3_BDPV12</stp>
        <stp>LP NOV22 50D VOL LME Comdty</stp>
        <stp>PX_LAST</stp>
        <stp>[QwackPricer.xlsb.xlsx]Base!R99C17</stp>
        <tr r="Q99" s="2"/>
      </tp>
      <tp>
        <v>23.719358444213867</v>
        <stp/>
        <stp>##V3_BDPV12</stp>
        <stp>LP MAR21 25DP VOL LME Comdty</stp>
        <stp>PX_LAST</stp>
        <stp>[QwackPricer.xlsb.xlsx]Base!R79C16</stp>
        <tr r="P79" s="2"/>
      </tp>
      <tp>
        <v>30.049875259399414</v>
        <stp/>
        <stp>##V3_BDPV12</stp>
        <stp>LN JAN22 25DP VOL LME Comdty</stp>
        <stp>PX_LAST</stp>
        <stp>[QwackPricer.xlsb.xlsx]Base!R89C38</stp>
        <tr r="AL89" s="2"/>
      </tp>
      <tp>
        <v>24.039472579956055</v>
        <stp/>
        <stp>##V3_BDPV12</stp>
        <stp>LX MAY21 25DP VOL LME Comdty</stp>
        <stp>PX_LAST</stp>
        <stp>[QwackPricer.xlsb.xlsx]Base!R81C27</stp>
        <tr r="AA81" s="2"/>
      </tp>
      <tp>
        <v>30.799816131591797</v>
        <stp/>
        <stp>##V3_BDPV12</stp>
        <stp>LN JAN21 25DP VOL LME Comdty</stp>
        <stp>PX_LAST</stp>
        <stp>[QwackPricer.xlsb.xlsx]Base!R77C38</stp>
        <tr r="AL77" s="2"/>
      </tp>
      <tp>
        <v>22.569528579711914</v>
        <stp/>
        <stp>##V3_BDPV12</stp>
        <stp>LP MAR22 25DP VOL LME Comdty</stp>
        <stp>PX_LAST</stp>
        <stp>[QwackPricer.xlsb.xlsx]Base!R91C16</stp>
        <tr r="P91" s="2"/>
      </tp>
      <tp>
        <v>24.199544906616211</v>
        <stp/>
        <stp>##V3_BDPV12</stp>
        <stp>LX MAY22 25DP VOL LME Comdty</stp>
        <stp>PX_LAST</stp>
        <stp>[QwackPricer.xlsb.xlsx]Base!R93C27</stp>
        <tr r="AA93" s="2"/>
      </tp>
      <tp>
        <v>31.399688720703125</v>
        <stp/>
        <stp>##V3_BDPV12</stp>
        <stp>LN JAN21 10DP VOL LME Comdty</stp>
        <stp>PX_LAST</stp>
        <stp>[QwackPricer.xlsb.xlsx]Base!R77C37</stp>
        <tr r="AK77" s="2"/>
      </tp>
      <tp>
        <v>25.769168853759766</v>
        <stp/>
        <stp>##V3_BDPV12</stp>
        <stp>LP MAR21 10DP VOL LME Comdty</stp>
        <stp>PX_LAST</stp>
        <stp>[QwackPricer.xlsb.xlsx]Base!R79C15</stp>
        <tr r="O79" s="2"/>
      </tp>
      <tp>
        <v>24.319355010986328</v>
        <stp/>
        <stp>##V3_BDPV12</stp>
        <stp>LP MAR22 10DP VOL LME Comdty</stp>
        <stp>PX_LAST</stp>
        <stp>[QwackPricer.xlsb.xlsx]Base!R91C15</stp>
        <tr r="O91" s="2"/>
      </tp>
      <tp>
        <v>25.809270858764648</v>
        <stp/>
        <stp>##V3_BDPV12</stp>
        <stp>LX MAY21 10DP VOL LME Comdty</stp>
        <stp>PX_LAST</stp>
        <stp>[QwackPricer.xlsb.xlsx]Base!R81C26</stp>
        <tr r="Z81" s="2"/>
      </tp>
      <tp>
        <v>25.999366760253906</v>
        <stp/>
        <stp>##V3_BDPV12</stp>
        <stp>LX MAY22 10DP VOL LME Comdty</stp>
        <stp>PX_LAST</stp>
        <stp>[QwackPricer.xlsb.xlsx]Base!R93C26</stp>
        <tr r="Z93" s="2"/>
      </tp>
      <tp>
        <v>30.709753036499023</v>
        <stp/>
        <stp>##V3_BDPV12</stp>
        <stp>LN JAN22 10DP VOL LME Comdty</stp>
        <stp>PX_LAST</stp>
        <stp>[QwackPricer.xlsb.xlsx]Base!R89C37</stp>
        <tr r="AK89" s="2"/>
      </tp>
      <tp>
        <v>30.049966812133789</v>
        <stp/>
        <stp>##V3_BDPV12</stp>
        <stp>LN MAR21 50D VOL LME Comdty</stp>
        <stp>PX_LAST</stp>
        <stp>[QwackPricer.xlsb.xlsx]Base!R79C39</stp>
        <tr r="AM79" s="2"/>
      </tp>
      <tp>
        <v>29.859964370727539</v>
        <stp/>
        <stp>##V3_BDPV12</stp>
        <stp>LN MAY21 50D VOL LME Comdty</stp>
        <stp>PX_LAST</stp>
        <stp>[QwackPricer.xlsb.xlsx]Base!R81C39</stp>
        <tr r="AM81" s="2"/>
      </tp>
      <tp>
        <v>22.210090637207031</v>
        <stp/>
        <stp>##V3_BDPV12</stp>
        <stp>LX MAY21 50D VOL LME Comdty</stp>
        <stp>PX_LAST</stp>
        <stp>[QwackPricer.xlsb.xlsx]Base!R81C28</stp>
        <tr r="AB81" s="2"/>
      </tp>
      <tp>
        <v>22.27008056640625</v>
        <stp/>
        <stp>##V3_BDPV12</stp>
        <stp>LX MAR21 50D VOL LME Comdty</stp>
        <stp>PX_LAST</stp>
        <stp>[QwackPricer.xlsb.xlsx]Base!R79C28</stp>
        <tr r="AB79" s="2"/>
      </tp>
      <tp>
        <v>21.550115585327148</v>
        <stp/>
        <stp>##V3_BDPV12</stp>
        <stp>LP MAR21 50D VOL LME Comdty</stp>
        <stp>PX_LAST</stp>
        <stp>[QwackPricer.xlsb.xlsx]Base!R79C17</stp>
        <tr r="Q79" s="2"/>
      </tp>
      <tp>
        <v>21.180118560791016</v>
        <stp/>
        <stp>##V3_BDPV12</stp>
        <stp>LP MAY21 50D VOL LME Comdty</stp>
        <stp>PX_LAST</stp>
        <stp>[QwackPricer.xlsb.xlsx]Base!R81C17</stp>
        <tr r="Q81" s="2"/>
      </tp>
      <tp>
        <v>25.6693115234375</v>
        <stp/>
        <stp>##V3_BDPV12</stp>
        <stp>LX MAR21 10DP VOL LME Comdty</stp>
        <stp>PX_LAST</stp>
        <stp>[QwackPricer.xlsb.xlsx]Base!R79C26</stp>
        <tr r="Z79" s="2"/>
      </tp>
      <tp>
        <v>24.21937370300293</v>
        <stp/>
        <stp>##V3_BDPV12</stp>
        <stp>LP MAY22 10DP VOL LME Comdty</stp>
        <stp>PX_LAST</stp>
        <stp>[QwackPricer.xlsb.xlsx]Base!R93C15</stp>
        <tr r="O93" s="2"/>
      </tp>
      <tp>
        <v>25.149225234985352</v>
        <stp/>
        <stp>##V3_BDPV12</stp>
        <stp>LP MAY21 10DP VOL LME Comdty</stp>
        <stp>PX_LAST</stp>
        <stp>[QwackPricer.xlsb.xlsx]Base!R81C15</stp>
        <tr r="O81" s="2"/>
      </tp>
      <tp>
        <v>26.019336700439453</v>
        <stp/>
        <stp>##V3_BDPV12</stp>
        <stp>LX MAR22 10DP VOL LME Comdty</stp>
        <stp>PX_LAST</stp>
        <stp>[QwackPricer.xlsb.xlsx]Base!R91C26</stp>
        <tr r="Z91" s="2"/>
      </tp>
      <tp>
        <v>24.039482116699219</v>
        <stp/>
        <stp>##V3_BDPV12</stp>
        <stp>LX MAR21 25DP VOL LME Comdty</stp>
        <stp>PX_LAST</stp>
        <stp>[QwackPricer.xlsb.xlsx]Base!R79C27</stp>
        <tr r="AA79" s="2"/>
      </tp>
      <tp>
        <v>22.46954345703125</v>
        <stp/>
        <stp>##V3_BDPV12</stp>
        <stp>LP MAY22 25DP VOL LME Comdty</stp>
        <stp>PX_LAST</stp>
        <stp>[QwackPricer.xlsb.xlsx]Base!R93C16</stp>
        <tr r="P93" s="2"/>
      </tp>
      <tp>
        <v>23.259416580200195</v>
        <stp/>
        <stp>##V3_BDPV12</stp>
        <stp>LP MAY21 25DP VOL LME Comdty</stp>
        <stp>PX_LAST</stp>
        <stp>[QwackPricer.xlsb.xlsx]Base!R81C16</stp>
        <tr r="P81" s="2"/>
      </tp>
      <tp>
        <v>24.199525833129883</v>
        <stp/>
        <stp>##V3_BDPV12</stp>
        <stp>LX MAR22 25DP VOL LME Comdty</stp>
        <stp>PX_LAST</stp>
        <stp>[QwackPricer.xlsb.xlsx]Base!R91C27</stp>
        <tr r="AA91" s="2"/>
      </tp>
      <tp>
        <v>15.770058631896973</v>
        <stp/>
        <stp>##V3_BDPV12</stp>
        <stp>LA MAY22 50D VOL LME Comdty</stp>
        <stp>PX_LAST</stp>
        <stp>[QwackPricer.xlsb.xlsx]Base!R93C6</stp>
        <tr r="F93" s="2"/>
      </tp>
      <tp>
        <v>16.340055465698242</v>
        <stp/>
        <stp>##V3_BDPV12</stp>
        <stp>LA JUL21 50D VOL LME Comdty</stp>
        <stp>PX_LAST</stp>
        <stp>[QwackPricer.xlsb.xlsx]Base!R83C6</stp>
        <tr r="F83" s="2"/>
      </tp>
      <tp>
        <v>17.04005241394043</v>
        <stp/>
        <stp>##V3_BDPV12</stp>
        <stp>LA SEP20 50D VOL LME Comdty</stp>
        <stp>PX_LAST</stp>
        <stp>[QwackPricer.xlsb.xlsx]Base!R73C6</stp>
        <tr r="F73" s="2"/>
      </tp>
      <tp>
        <v>0.48</v>
        <stp/>
        <stp>##V3_BDPV12</stp>
        <stp>XAUSR6m TPMT Curncy</stp>
        <stp>PX_LAST</stp>
        <stp>[QwackPricer.xlsb.xlsx]FX-IR!R54C3</stp>
        <tr r="C54" s="1"/>
      </tp>
      <tp>
        <v>0.9</v>
        <stp/>
        <stp>##V3_BDPV12</stp>
        <stp>XAGSR6m TPMT Curncy</stp>
        <stp>PX_LAST</stp>
        <stp>[QwackPricer.xlsb.xlsx]FX-IR!R54C4</stp>
        <tr r="D54" s="1"/>
      </tp>
      <tp>
        <v>-1.25</v>
        <stp/>
        <stp>##V3_BDPV12</stp>
        <stp>XPTSR6m TPMT Curncy</stp>
        <stp>PX_LAST</stp>
        <stp>[QwackPricer.xlsb.xlsx]FX-IR!R54C5</stp>
        <tr r="E54" s="1"/>
      </tp>
      <tp>
        <v>-1</v>
        <stp/>
        <stp>##V3_BDPV12</stp>
        <stp>XPDSR6m TPMT Curncy</stp>
        <stp>PX_LAST</stp>
        <stp>[QwackPricer.xlsb.xlsx]FX-IR!R54C6</stp>
        <tr r="F54" s="1"/>
      </tp>
      <tp>
        <v>20.280128479003906</v>
        <stp/>
        <stp>##V3_BDPV12</stp>
        <stp>LP OCT22 50D VOL LME Comdty</stp>
        <stp>PX_LAST</stp>
        <stp>[QwackPricer.xlsb.xlsx]Base!R98C17</stp>
        <tr r="Q98" s="2"/>
      </tp>
      <tp>
        <v>16.420051574707031</v>
        <stp/>
        <stp>##V3_BDPV12</stp>
        <stp>LA JUN21 50D VOL LME Comdty</stp>
        <stp>PX_LAST</stp>
        <stp>[QwackPricer.xlsb.xlsx]Base!R82C6</stp>
        <tr r="F82" s="2"/>
      </tp>
      <tp>
        <v>15.780056953430176</v>
        <stp/>
        <stp>##V3_BDPV12</stp>
        <stp>LA APR22 50D VOL LME Comdty</stp>
        <stp>PX_LAST</stp>
        <stp>[QwackPricer.xlsb.xlsx]Base!R92C6</stp>
        <tr r="F92" s="2"/>
      </tp>
      <tp>
        <v>16.950048446655273</v>
        <stp/>
        <stp>##V3_BDPV12</stp>
        <stp>LA AUG20 50D VOL LME Comdty</stp>
        <stp>PX_LAST</stp>
        <stp>[QwackPricer.xlsb.xlsx]Base!R72C6</stp>
        <tr r="F72" s="2"/>
      </tp>
      <tp>
        <v>0.75</v>
        <stp/>
        <stp>##V3_BDPV12</stp>
        <stp>XAGSR2y TPMT Curncy</stp>
        <stp>PX_LAST</stp>
        <stp>[QwackPricer.xlsb.xlsx]FX-IR!R57C4</stp>
        <tr r="D57" s="1"/>
      </tp>
      <tp>
        <v>-0.08</v>
        <stp/>
        <stp>##V3_BDPV12</stp>
        <stp>XAUSR2y TPMT Curncy</stp>
        <stp>PX_LAST</stp>
        <stp>[QwackPricer.xlsb.xlsx]FX-IR!R57C3</stp>
        <tr r="C57" s="1"/>
      </tp>
      <tp>
        <v>-1.5</v>
        <stp/>
        <stp>##V3_BDPV12</stp>
        <stp>XPTSR2y TPMT Curncy</stp>
        <stp>PX_LAST</stp>
        <stp>[QwackPricer.xlsb.xlsx]FX-IR!R57C5</stp>
        <tr r="E57" s="1"/>
      </tp>
      <tp>
        <v>-0.75</v>
        <stp/>
        <stp>##V3_BDPV12</stp>
        <stp>XPDSR2y TPMT Curncy</stp>
        <stp>PX_LAST</stp>
        <stp>[QwackPricer.xlsb.xlsx]FX-IR!R57C6</stp>
        <tr r="F57" s="1"/>
      </tp>
      <tp>
        <v>4.415</v>
        <stp/>
        <stp>##V3_BDHV12</stp>
        <stp>USDZAR25R3m Curncy</stp>
        <stp>PX_LAST</stp>
        <stp>12/05/2020</stp>
        <stp>12/05/2020</stp>
        <stp>[QwackPricer.xlsb.xlsx]FX-IR!R99C5</stp>
        <tr r="E99" s="1"/>
      </tp>
      <tp>
        <v>8.3049999999999997</v>
        <stp/>
        <stp>##V3_BDHV12</stp>
        <stp>USDZAR10R3m Curncy</stp>
        <stp>PX_LAST</stp>
        <stp>12/05/2020</stp>
        <stp>12/05/2020</stp>
        <stp>[QwackPricer.xlsb.xlsx]FX-IR!R99C6</stp>
        <tr r="F99" s="1"/>
      </tp>
      <tp>
        <v>32.519607543945313</v>
        <stp/>
        <stp>##V3_BDPV12</stp>
        <stp>LN OCT20 10DP VOL LME Comdty</stp>
        <stp>PX_LAST</stp>
        <stp>[QwackPricer.xlsb.xlsx]Base!R74C37</stp>
        <tr r="AK74" s="2"/>
      </tp>
      <tp>
        <v>30.8597412109375</v>
        <stp/>
        <stp>##V3_BDPV12</stp>
        <stp>LN OCT21 10DP VOL LME Comdty</stp>
        <stp>PX_LAST</stp>
        <stp>[QwackPricer.xlsb.xlsx]Base!R86C37</stp>
        <tr r="AK86" s="2"/>
      </tp>
      <tp>
        <v>31.25933837890625</v>
        <stp/>
        <stp>##V3_BDPV12</stp>
        <stp>LN APR22 10DC VOL LME Comdty</stp>
        <stp>PX_LAST</stp>
        <stp>[QwackPricer.xlsb.xlsx]Base!R92C41</stp>
        <tr r="AO92" s="2"/>
      </tp>
      <tp>
        <v>31.879419326782227</v>
        <stp/>
        <stp>##V3_BDPV12</stp>
        <stp>LN APR21 10DC VOL LME Comdty</stp>
        <stp>PX_LAST</stp>
        <stp>[QwackPricer.xlsb.xlsx]Base!R80C41</stp>
        <tr r="AO80" s="2"/>
      </tp>
      <tp>
        <v>30.229207992553711</v>
        <stp/>
        <stp>##V3_BDPV12</stp>
        <stp>LN APR22 25DC VOL LME Comdty</stp>
        <stp>PX_LAST</stp>
        <stp>[QwackPricer.xlsb.xlsx]Base!R92C40</stp>
        <tr r="AN92" s="2"/>
      </tp>
      <tp>
        <v>30.899358749389648</v>
        <stp/>
        <stp>##V3_BDPV12</stp>
        <stp>LN APR21 25DC VOL LME Comdty</stp>
        <stp>PX_LAST</stp>
        <stp>[QwackPricer.xlsb.xlsx]Base!R80C40</stp>
        <tr r="AN80" s="2"/>
      </tp>
      <tp>
        <v>30.229866027832031</v>
        <stp/>
        <stp>##V3_BDPV12</stp>
        <stp>LN OCT21 25DP VOL LME Comdty</stp>
        <stp>PX_LAST</stp>
        <stp>[QwackPricer.xlsb.xlsx]Base!R86C38</stp>
        <tr r="AL86" s="2"/>
      </tp>
      <tp>
        <v>31.689731597900391</v>
        <stp/>
        <stp>##V3_BDPV12</stp>
        <stp>LN OCT20 25DP VOL LME Comdty</stp>
        <stp>PX_LAST</stp>
        <stp>[QwackPricer.xlsb.xlsx]Base!R74C38</stp>
        <tr r="AL74" s="2"/>
      </tp>
      <tp>
        <v>26.679069519042969</v>
        <stp/>
        <stp>##V3_BDPV12</stp>
        <stp>LP OCT20 10DP VOL LME Comdty</stp>
        <stp>PX_LAST</stp>
        <stp>[QwackPricer.xlsb.xlsx]Base!R74C15</stp>
        <tr r="O74" s="2"/>
      </tp>
      <tp>
        <v>23.869388580322266</v>
        <stp/>
        <stp>##V3_BDPV12</stp>
        <stp>LP OCT22 10DP VOL LME Comdty</stp>
        <stp>PX_LAST</stp>
        <stp>[QwackPricer.xlsb.xlsx]Base!R98C15</stp>
        <tr r="O98" s="2"/>
      </tp>
      <tp>
        <v>24.779273986816406</v>
        <stp/>
        <stp>##V3_BDPV12</stp>
        <stp>LP OCT21 10DP VOL LME Comdty</stp>
        <stp>PX_LAST</stp>
        <stp>[QwackPricer.xlsb.xlsx]Base!R86C15</stp>
        <tr r="O86" s="2"/>
      </tp>
      <tp>
        <v>24.449188232421875</v>
        <stp/>
        <stp>##V3_BDPV12</stp>
        <stp>LP OCT20 25DP VOL LME Comdty</stp>
        <stp>PX_LAST</stp>
        <stp>[QwackPricer.xlsb.xlsx]Base!R74C16</stp>
        <tr r="P74" s="2"/>
      </tp>
      <tp>
        <v>22.179597854614258</v>
        <stp/>
        <stp>##V3_BDPV12</stp>
        <stp>LP OCT22 25DP VOL LME Comdty</stp>
        <stp>PX_LAST</stp>
        <stp>[QwackPricer.xlsb.xlsx]Base!R98C16</stp>
        <tr r="P98" s="2"/>
      </tp>
      <tp>
        <v>22.889463424682617</v>
        <stp/>
        <stp>##V3_BDPV12</stp>
        <stp>LP OCT21 25DP VOL LME Comdty</stp>
        <stp>PX_LAST</stp>
        <stp>[QwackPricer.xlsb.xlsx]Base!R86C16</stp>
        <tr r="P86" s="2"/>
      </tp>
      <tp>
        <v>21.860107421875</v>
        <stp/>
        <stp>##V3_BDPV12</stp>
        <stp>LP NOV20 50D VOL LME Comdty</stp>
        <stp>PX_LAST</stp>
        <stp>[QwackPricer.xlsb.xlsx]Base!R75C17</stp>
        <tr r="Q75" s="2"/>
      </tp>
      <tp>
        <v>20.459890365600586</v>
        <stp/>
        <stp>##V3_BDPV12</stp>
        <stp>LP APR22 25DC VOL LME Comdty</stp>
        <stp>PX_LAST</stp>
        <stp>[QwackPricer.xlsb.xlsx]Base!R92C18</stp>
        <tr r="R92" s="2"/>
      </tp>
      <tp>
        <v>21.029924392700195</v>
        <stp/>
        <stp>##V3_BDPV12</stp>
        <stp>LP APR21 25DC VOL LME Comdty</stp>
        <stp>PX_LAST</stp>
        <stp>[QwackPricer.xlsb.xlsx]Base!R80C18</stp>
        <tr r="R80" s="2"/>
      </tp>
      <tp>
        <v>20.599912643432617</v>
        <stp/>
        <stp>##V3_BDPV12</stp>
        <stp>LP APR22 10DC VOL LME Comdty</stp>
        <stp>PX_LAST</stp>
        <stp>[QwackPricer.xlsb.xlsx]Base!R92C19</stp>
        <tr r="S92" s="2"/>
      </tp>
      <tp>
        <v>21.229850769042969</v>
        <stp/>
        <stp>##V3_BDPV12</stp>
        <stp>LP APR21 10DC VOL LME Comdty</stp>
        <stp>PX_LAST</stp>
        <stp>[QwackPricer.xlsb.xlsx]Base!R80C19</stp>
        <tr r="S80" s="2"/>
      </tp>
      <tp>
        <v>30.839986801147461</v>
        <stp/>
        <stp>##V3_BDPV12</stp>
        <stp>LN NOV20 50D VOL LME Comdty</stp>
        <stp>PX_LAST</stp>
        <stp>[QwackPricer.xlsb.xlsx]Base!R75C39</stp>
        <tr r="AM75" s="2"/>
      </tp>
      <tp>
        <v>22.330053329467773</v>
        <stp/>
        <stp>##V3_BDPV12</stp>
        <stp>LX NOV20 50D VOL LME Comdty</stp>
        <stp>PX_LAST</stp>
        <stp>[QwackPricer.xlsb.xlsx]Base!R75C28</stp>
        <tr r="AB75" s="2"/>
      </tp>
      <tp>
        <v>23.899499893188477</v>
        <stp/>
        <stp>##V3_BDPV12</stp>
        <stp>LX OCT20 25DP VOL LME Comdty</stp>
        <stp>PX_LAST</stp>
        <stp>[QwackPricer.xlsb.xlsx]Base!R74C27</stp>
        <tr r="AA74" s="2"/>
      </tp>
      <tp>
        <v>24.269493103027344</v>
        <stp/>
        <stp>##V3_BDPV12</stp>
        <stp>LX OCT21 25DP VOL LME Comdty</stp>
        <stp>PX_LAST</stp>
        <stp>[QwackPricer.xlsb.xlsx]Base!R86C27</stp>
        <tr r="AA86" s="2"/>
      </tp>
      <tp>
        <v>20.770137786865234</v>
        <stp/>
        <stp>##V3_BDPV12</stp>
        <stp>LP OCT21 50D VOL LME Comdty</stp>
        <stp>PX_LAST</stp>
        <stp>[QwackPricer.xlsb.xlsx]Base!R86C17</stp>
        <tr r="Q86" s="2"/>
      </tp>
      <tp>
        <v>29.729961395263672</v>
        <stp/>
        <stp>##V3_BDPV12</stp>
        <stp>LN OCT21 50D VOL LME Comdty</stp>
        <stp>PX_LAST</stp>
        <stp>[QwackPricer.xlsb.xlsx]Base!R86C39</stp>
        <tr r="AM86" s="2"/>
      </tp>
      <tp>
        <v>25.229402542114258</v>
        <stp/>
        <stp>##V3_BDPV12</stp>
        <stp>LX OCT20 10DP VOL LME Comdty</stp>
        <stp>PX_LAST</stp>
        <stp>[QwackPricer.xlsb.xlsx]Base!R74C26</stp>
        <tr r="Z74" s="2"/>
      </tp>
      <tp>
        <v>26.119272232055664</v>
        <stp/>
        <stp>##V3_BDPV12</stp>
        <stp>LX OCT21 10DP VOL LME Comdty</stp>
        <stp>PX_LAST</stp>
        <stp>[QwackPricer.xlsb.xlsx]Base!R86C26</stp>
        <tr r="Z86" s="2"/>
      </tp>
      <tp>
        <v>22.19012451171875</v>
        <stp/>
        <stp>##V3_BDPV12</stp>
        <stp>LX OCT21 50D VOL LME Comdty</stp>
        <stp>PX_LAST</stp>
        <stp>[QwackPricer.xlsb.xlsx]Base!R86C28</stp>
        <tr r="AB86" s="2"/>
      </tp>
      <tp>
        <v>21.990013122558594</v>
        <stp/>
        <stp>##V3_BDPV12</stp>
        <stp>LX APR21 10DC VOL LME Comdty</stp>
        <stp>PX_LAST</stp>
        <stp>[QwackPricer.xlsb.xlsx]Base!R80C30</stp>
        <tr r="AD80" s="2"/>
      </tp>
      <tp>
        <v>21.989980697631836</v>
        <stp/>
        <stp>##V3_BDPV12</stp>
        <stp>LX APR22 10DC VOL LME Comdty</stp>
        <stp>PX_LAST</stp>
        <stp>[QwackPricer.xlsb.xlsx]Base!R92C30</stp>
        <tr r="AD92" s="2"/>
      </tp>
      <tp>
        <v>22.090009689331055</v>
        <stp/>
        <stp>##V3_BDPV12</stp>
        <stp>LX APR21 25DC VOL LME Comdty</stp>
        <stp>PX_LAST</stp>
        <stp>[QwackPricer.xlsb.xlsx]Base!R80C29</stp>
        <tr r="AC80" s="2"/>
      </tp>
      <tp>
        <v>22.019935607910156</v>
        <stp/>
        <stp>##V3_BDPV12</stp>
        <stp>LX APR22 25DC VOL LME Comdty</stp>
        <stp>PX_LAST</stp>
        <stp>[QwackPricer.xlsb.xlsx]Base!R92C29</stp>
        <tr r="AC92" s="2"/>
      </tp>
      <tp>
        <v>15.790050506591797</v>
        <stp/>
        <stp>##V3_BDPV12</stp>
        <stp>LA MAR22 50D VOL LME Comdty</stp>
        <stp>PX_LAST</stp>
        <stp>[QwackPricer.xlsb.xlsx]Base!R91C6</stp>
        <tr r="F91" s="2"/>
      </tp>
      <tp>
        <v>16.460052490234375</v>
        <stp/>
        <stp>##V3_BDPV12</stp>
        <stp>LA MAY21 50D VOL LME Comdty</stp>
        <stp>PX_LAST</stp>
        <stp>[QwackPricer.xlsb.xlsx]Base!R81C6</stp>
        <tr r="F81" s="2"/>
      </tp>
      <tp>
        <v>16.810035705566406</v>
        <stp/>
        <stp>##V3_BDPV12</stp>
        <stp>LA JUL20 50D VOL LME Comdty</stp>
        <stp>PX_LAST</stp>
        <stp>[QwackPricer.xlsb.xlsx]Base!R71C6</stp>
        <tr r="F71" s="2"/>
      </tp>
      <tp>
        <v>4.34</v>
        <stp/>
        <stp>##V3_BDHV12</stp>
        <stp>USDZAR25R2m Curncy</stp>
        <stp>PX_LAST</stp>
        <stp>12/05/2020</stp>
        <stp>12/05/2020</stp>
        <stp>[QwackPricer.xlsb.xlsx]FX-IR!R98C5</stp>
        <tr r="E98" s="1"/>
      </tp>
      <tp>
        <v>8.0150000000000006</v>
        <stp/>
        <stp>##V3_BDHV12</stp>
        <stp>USDZAR10R2m Curncy</stp>
        <stp>PX_LAST</stp>
        <stp>12/05/2020</stp>
        <stp>12/05/2020</stp>
        <stp>[QwackPricer.xlsb.xlsx]FX-IR!R98C6</stp>
        <tr r="F98" s="1"/>
      </tp>
      <tp>
        <v>20.730138778686523</v>
        <stp/>
        <stp>##V3_BDPV12</stp>
        <stp>LP NOV21 50D VOL LME Comdty</stp>
        <stp>PX_LAST</stp>
        <stp>[QwackPricer.xlsb.xlsx]Base!R87C17</stp>
        <tr r="Q87" s="2"/>
      </tp>
      <tp>
        <v>29.669960021972656</v>
        <stp/>
        <stp>##V3_BDPV12</stp>
        <stp>LN NOV21 50D VOL LME Comdty</stp>
        <stp>PX_LAST</stp>
        <stp>[QwackPricer.xlsb.xlsx]Base!R87C39</stp>
        <tr r="AM87" s="2"/>
      </tp>
      <tp>
        <v>22.180130004882813</v>
        <stp/>
        <stp>##V3_BDPV12</stp>
        <stp>LX NOV21 50D VOL LME Comdty</stp>
        <stp>PX_LAST</stp>
        <stp>[QwackPricer.xlsb.xlsx]Base!R87C28</stp>
        <tr r="AB87" s="2"/>
      </tp>
      <tp>
        <v>21.950101852416992</v>
        <stp/>
        <stp>##V3_BDPV12</stp>
        <stp>LP OCT20 50D VOL LME Comdty</stp>
        <stp>PX_LAST</stp>
        <stp>[QwackPricer.xlsb.xlsx]Base!R74C17</stp>
        <tr r="Q74" s="2"/>
      </tp>
      <tp>
        <v>29.339973449707031</v>
        <stp/>
        <stp>##V3_BDPV12</stp>
        <stp>LN MAR22 50D VOL LME Comdty</stp>
        <stp>PX_LAST</stp>
        <stp>[QwackPricer.xlsb.xlsx]Base!R91C39</stp>
        <tr r="AM91" s="2"/>
      </tp>
      <tp>
        <v>29.189975738525391</v>
        <stp/>
        <stp>##V3_BDPV12</stp>
        <stp>LN MAY22 50D VOL LME Comdty</stp>
        <stp>PX_LAST</stp>
        <stp>[QwackPricer.xlsb.xlsx]Base!R93C39</stp>
        <tr r="AM93" s="2"/>
      </tp>
      <tp>
        <v>22.020135879516602</v>
        <stp/>
        <stp>##V3_BDPV12</stp>
        <stp>LX MAR22 50D VOL LME Comdty</stp>
        <stp>PX_LAST</stp>
        <stp>[QwackPricer.xlsb.xlsx]Base!R91C28</stp>
        <tr r="AB91" s="2"/>
      </tp>
      <tp>
        <v>22.010143280029297</v>
        <stp/>
        <stp>##V3_BDPV12</stp>
        <stp>LX MAY22 50D VOL LME Comdty</stp>
        <stp>PX_LAST</stp>
        <stp>[QwackPricer.xlsb.xlsx]Base!R93C28</stp>
        <tr r="AB93" s="2"/>
      </tp>
      <tp>
        <v>20.570127487182617</v>
        <stp/>
        <stp>##V3_BDPV12</stp>
        <stp>LP MAR22 50D VOL LME Comdty</stp>
        <stp>PX_LAST</stp>
        <stp>[QwackPricer.xlsb.xlsx]Base!R91C17</stp>
        <tr r="Q91" s="2"/>
      </tp>
      <tp>
        <v>20.480129241943359</v>
        <stp/>
        <stp>##V3_BDPV12</stp>
        <stp>LP MAY22 50D VOL LME Comdty</stp>
        <stp>PX_LAST</stp>
        <stp>[QwackPricer.xlsb.xlsx]Base!R93C17</stp>
        <tr r="Q93" s="2"/>
      </tp>
      <tp>
        <v>30.949993133544922</v>
        <stp/>
        <stp>##V3_BDPV12</stp>
        <stp>LN OCT20 50D VOL LME Comdty</stp>
        <stp>PX_LAST</stp>
        <stp>[QwackPricer.xlsb.xlsx]Base!R74C39</stp>
        <tr r="AM74" s="2"/>
      </tp>
      <tp>
        <v>22.350048065185547</v>
        <stp/>
        <stp>##V3_BDPV12</stp>
        <stp>LX OCT20 50D VOL LME Comdty</stp>
        <stp>PX_LAST</stp>
        <stp>[QwackPricer.xlsb.xlsx]Base!R74C28</stp>
        <tr r="AB74" s="2"/>
      </tp>
      <tp>
        <v>16.380023956298828</v>
        <stp/>
        <stp>##V3_BDPV12</stp>
        <stp>LA JUN20 50D VOL LME Comdty</stp>
        <stp>PX_LAST</stp>
        <stp>[QwackPricer.xlsb.xlsx]Base!R70C6</stp>
        <tr r="F70" s="2"/>
      </tp>
      <tp>
        <v>15.820048332214355</v>
        <stp/>
        <stp>##V3_BDPV12</stp>
        <stp>LA FEB22 50D VOL LME Comdty</stp>
        <stp>PX_LAST</stp>
        <stp>[QwackPricer.xlsb.xlsx]Base!R90C6</stp>
        <tr r="F90" s="2"/>
      </tp>
      <tp>
        <v>16.570056915283203</v>
        <stp/>
        <stp>##V3_BDPV12</stp>
        <stp>LA APR21 50D VOL LME Comdty</stp>
        <stp>PX_LAST</stp>
        <stp>[QwackPricer.xlsb.xlsx]Base!R80C6</stp>
        <tr r="F80" s="2"/>
      </tp>
      <tp>
        <v>3.85</v>
        <stp/>
        <stp>##V3_BDPV12</stp>
        <stp>SASW1 Curncy</stp>
        <stp>PX_LAST</stp>
        <stp>[QwackPricer.xlsb.xlsx]FX-IR!R69C9</stp>
        <tr r="I69" s="1"/>
      </tp>
      <tp>
        <v>0.65</v>
        <stp/>
        <stp>##V3_BDPV12</stp>
        <stp>XAGSR1m TPMT Curncy</stp>
        <stp>PX_LAST</stp>
        <stp>[QwackPricer.xlsb.xlsx]FX-IR!R51C4</stp>
        <tr r="D51" s="1"/>
      </tp>
      <tp>
        <v>0.35</v>
        <stp/>
        <stp>##V3_BDPV12</stp>
        <stp>XAUSR1m TPMT Curncy</stp>
        <stp>PX_LAST</stp>
        <stp>[QwackPricer.xlsb.xlsx]FX-IR!R51C3</stp>
        <tr r="C51" s="1"/>
      </tp>
      <tp>
        <v>-0.75</v>
        <stp/>
        <stp>##V3_BDPV12</stp>
        <stp>XPDSR1m TPMT Curncy</stp>
        <stp>PX_LAST</stp>
        <stp>[QwackPricer.xlsb.xlsx]FX-IR!R51C6</stp>
        <tr r="F51" s="1"/>
      </tp>
      <tp>
        <v>-0.75</v>
        <stp/>
        <stp>##V3_BDPV12</stp>
        <stp>XPTSR1m TPMT Curncy</stp>
        <stp>PX_LAST</stp>
        <stp>[QwackPricer.xlsb.xlsx]FX-IR!R51C5</stp>
        <tr r="E51" s="1"/>
      </tp>
      <tp>
        <v>24.069257736206055</v>
        <stp/>
        <stp>##V3_BDPV12</stp>
        <stp>LP DEC20 25DP VOL LME Comdty</stp>
        <stp>PX_LAST</stp>
        <stp>[QwackPricer.xlsb.xlsx]Base!R76C16</stp>
        <tr r="P76" s="2"/>
      </tp>
      <tp>
        <v>22.78948974609375</v>
        <stp/>
        <stp>##V3_BDPV12</stp>
        <stp>LP DEC21 25DP VOL LME Comdty</stp>
        <stp>PX_LAST</stp>
        <stp>[QwackPricer.xlsb.xlsx]Base!R88C16</stp>
        <tr r="P88" s="2"/>
      </tp>
      <tp>
        <v>23.819332122802734</v>
        <stp/>
        <stp>##V3_BDPV12</stp>
        <stp>LP FEB21 25DP VOL LME Comdty</stp>
        <stp>PX_LAST</stp>
        <stp>[QwackPricer.xlsb.xlsx]Base!R78C16</stp>
        <tr r="P78" s="2"/>
      </tp>
      <tp>
        <v>22.61952018737793</v>
        <stp/>
        <stp>##V3_BDPV12</stp>
        <stp>LP FEB22 25DP VOL LME Comdty</stp>
        <stp>PX_LAST</stp>
        <stp>[QwackPricer.xlsb.xlsx]Base!R90C16</stp>
        <tr r="P90" s="2"/>
      </tp>
      <tp>
        <v>25.919143676757813</v>
        <stp/>
        <stp>##V3_BDPV12</stp>
        <stp>LP FEB21 10DP VOL LME Comdty</stp>
        <stp>PX_LAST</stp>
        <stp>[QwackPricer.xlsb.xlsx]Base!R78C15</stp>
        <tr r="O78" s="2"/>
      </tp>
      <tp>
        <v>24.399343490600586</v>
        <stp/>
        <stp>##V3_BDPV12</stp>
        <stp>LP FEB22 10DP VOL LME Comdty</stp>
        <stp>PX_LAST</stp>
        <stp>[QwackPricer.xlsb.xlsx]Base!R90C15</stp>
        <tr r="O90" s="2"/>
      </tp>
      <tp>
        <v>26.25910758972168</v>
        <stp/>
        <stp>##V3_BDPV12</stp>
        <stp>LP DEC20 10DP VOL LME Comdty</stp>
        <stp>PX_LAST</stp>
        <stp>[QwackPricer.xlsb.xlsx]Base!R76C15</stp>
        <tr r="O76" s="2"/>
      </tp>
      <tp>
        <v>24.639312744140625</v>
        <stp/>
        <stp>##V3_BDPV12</stp>
        <stp>LP DEC21 10DP VOL LME Comdty</stp>
        <stp>PX_LAST</stp>
        <stp>[QwackPricer.xlsb.xlsx]Base!R88C15</stp>
        <tr r="O88" s="2"/>
      </tp>
      <tp>
        <v>32.789577484130859</v>
        <stp/>
        <stp>##V3_BDPV12</stp>
        <stp>LN SEP20 10DP VOL LME Comdty</stp>
        <stp>PX_LAST</stp>
        <stp>[QwackPricer.xlsb.xlsx]Base!R73C37</stp>
        <tr r="AK73" s="2"/>
      </tp>
      <tp>
        <v>30.879739761352539</v>
        <stp/>
        <stp>##V3_BDPV12</stp>
        <stp>LN SEP21 10DP VOL LME Comdty</stp>
        <stp>PX_LAST</stp>
        <stp>[QwackPricer.xlsb.xlsx]Base!R85C37</stp>
        <tr r="AK85" s="2"/>
      </tp>
      <tp>
        <v>30.249860763549805</v>
        <stp/>
        <stp>##V3_BDPV12</stp>
        <stp>LN SEP21 25DP VOL LME Comdty</stp>
        <stp>PX_LAST</stp>
        <stp>[QwackPricer.xlsb.xlsx]Base!R85C38</stp>
        <tr r="AL85" s="2"/>
      </tp>
      <tp>
        <v>31.899702072143555</v>
        <stp/>
        <stp>##V3_BDPV12</stp>
        <stp>LN SEP20 25DP VOL LME Comdty</stp>
        <stp>PX_LAST</stp>
        <stp>[QwackPricer.xlsb.xlsx]Base!R73C38</stp>
        <tr r="AL73" s="2"/>
      </tp>
      <tp>
        <v>25.509366989135742</v>
        <stp/>
        <stp>##V3_BDPV12</stp>
        <stp>LX DEC20 10DP VOL LME Comdty</stp>
        <stp>PX_LAST</stp>
        <stp>[QwackPricer.xlsb.xlsx]Base!R76C26</stp>
        <tr r="Z76" s="2"/>
      </tp>
      <tp>
        <v>26.139293670654297</v>
        <stp/>
        <stp>##V3_BDPV12</stp>
        <stp>LX DEC21 10DP VOL LME Comdty</stp>
        <stp>PX_LAST</stp>
        <stp>[QwackPricer.xlsb.xlsx]Base!R88C26</stp>
        <tr r="Z88" s="2"/>
      </tp>
      <tp>
        <v>28.999980926513672</v>
        <stp/>
        <stp>##V3_BDPV12</stp>
        <stp>LN JUL22 50D VOL LME Comdty</stp>
        <stp>PX_LAST</stp>
        <stp>[QwackPricer.xlsb.xlsx]Base!R95C39</stp>
        <tr r="AM95" s="2"/>
      </tp>
      <tp>
        <v>29.08997917175293</v>
        <stp/>
        <stp>##V3_BDPV12</stp>
        <stp>LN JUN22 50D VOL LME Comdty</stp>
        <stp>PX_LAST</stp>
        <stp>[QwackPricer.xlsb.xlsx]Base!R94C39</stp>
        <tr r="AM94" s="2"/>
      </tp>
      <tp>
        <v>25.449331283569336</v>
        <stp/>
        <stp>##V3_BDPV12</stp>
        <stp>LX FEB21 10DP VOL LME Comdty</stp>
        <stp>PX_LAST</stp>
        <stp>[QwackPricer.xlsb.xlsx]Base!R78C26</stp>
        <tr r="Z78" s="2"/>
      </tp>
      <tp>
        <v>26.019321441650391</v>
        <stp/>
        <stp>##V3_BDPV12</stp>
        <stp>LX FEB22 10DP VOL LME Comdty</stp>
        <stp>PX_LAST</stp>
        <stp>[QwackPricer.xlsb.xlsx]Base!R90C26</stp>
        <tr r="Z90" s="2"/>
      </tp>
      <tp>
        <v>21.990146636962891</v>
        <stp/>
        <stp>##V3_BDPV12</stp>
        <stp>LX JUN22 50D VOL LME Comdty</stp>
        <stp>PX_LAST</stp>
        <stp>[QwackPricer.xlsb.xlsx]Base!R94C28</stp>
        <tr r="AB94" s="2"/>
      </tp>
      <tp>
        <v>21.990148544311523</v>
        <stp/>
        <stp>##V3_BDPV12</stp>
        <stp>LX JUL22 50D VOL LME Comdty</stp>
        <stp>PX_LAST</stp>
        <stp>[QwackPricer.xlsb.xlsx]Base!R95C28</stp>
        <tr r="AB95" s="2"/>
      </tp>
      <tp>
        <v>23.899494171142578</v>
        <stp/>
        <stp>##V3_BDPV12</stp>
        <stp>LX FEB21 25DP VOL LME Comdty</stp>
        <stp>PX_LAST</stp>
        <stp>[QwackPricer.xlsb.xlsx]Base!R78C27</stp>
        <tr r="AA78" s="2"/>
      </tp>
      <tp>
        <v>24.189516067504883</v>
        <stp/>
        <stp>##V3_BDPV12</stp>
        <stp>LX FEB22 25DP VOL LME Comdty</stp>
        <stp>PX_LAST</stp>
        <stp>[QwackPricer.xlsb.xlsx]Base!R90C27</stp>
        <tr r="AA90" s="2"/>
      </tp>
      <tp>
        <v>20.390129089355469</v>
        <stp/>
        <stp>##V3_BDPV12</stp>
        <stp>LP JUL22 50D VOL LME Comdty</stp>
        <stp>PX_LAST</stp>
        <stp>[QwackPricer.xlsb.xlsx]Base!R95C17</stp>
        <tr r="Q95" s="2"/>
      </tp>
      <tp>
        <v>20.440130233764648</v>
        <stp/>
        <stp>##V3_BDPV12</stp>
        <stp>LP JUN22 50D VOL LME Comdty</stp>
        <stp>PX_LAST</stp>
        <stp>[QwackPricer.xlsb.xlsx]Base!R94C17</stp>
        <tr r="Q94" s="2"/>
      </tp>
      <tp>
        <v>24.009487152099609</v>
        <stp/>
        <stp>##V3_BDPV12</stp>
        <stp>LX DEC20 25DP VOL LME Comdty</stp>
        <stp>PX_LAST</stp>
        <stp>[QwackPricer.xlsb.xlsx]Base!R76C27</stp>
        <tr r="AA76" s="2"/>
      </tp>
      <tp>
        <v>24.289506912231445</v>
        <stp/>
        <stp>##V3_BDPV12</stp>
        <stp>LX DEC21 25DP VOL LME Comdty</stp>
        <stp>PX_LAST</stp>
        <stp>[QwackPricer.xlsb.xlsx]Base!R88C27</stp>
        <tr r="AA88" s="2"/>
      </tp>
      <tp>
        <v>26.869037628173828</v>
        <stp/>
        <stp>##V3_BDPV12</stp>
        <stp>LP SEP20 10DP VOL LME Comdty</stp>
        <stp>PX_LAST</stp>
        <stp>[QwackPricer.xlsb.xlsx]Base!R73C15</stp>
        <tr r="O73" s="2"/>
      </tp>
      <tp>
        <v>23.929386138916016</v>
        <stp/>
        <stp>##V3_BDPV12</stp>
        <stp>LP SEP22 10DP VOL LME Comdty</stp>
        <stp>PX_LAST</stp>
        <stp>[QwackPricer.xlsb.xlsx]Base!R97C15</stp>
        <tr r="O97" s="2"/>
      </tp>
      <tp>
        <v>24.849262237548828</v>
        <stp/>
        <stp>##V3_BDPV12</stp>
        <stp>LP SEP21 10DP VOL LME Comdty</stp>
        <stp>PX_LAST</stp>
        <stp>[QwackPricer.xlsb.xlsx]Base!R85C15</stp>
        <tr r="O85" s="2"/>
      </tp>
      <tp>
        <v>24.56913948059082</v>
        <stp/>
        <stp>##V3_BDPV12</stp>
        <stp>LP SEP20 25DP VOL LME Comdty</stp>
        <stp>PX_LAST</stp>
        <stp>[QwackPricer.xlsb.xlsx]Base!R73C16</stp>
        <tr r="P73" s="2"/>
      </tp>
      <tp>
        <v>22.219587326049805</v>
        <stp/>
        <stp>##V3_BDPV12</stp>
        <stp>LP SEP22 25DP VOL LME Comdty</stp>
        <stp>PX_LAST</stp>
        <stp>[QwackPricer.xlsb.xlsx]Base!R97C16</stp>
        <tr r="P97" s="2"/>
      </tp>
      <tp>
        <v>22.94944953918457</v>
        <stp/>
        <stp>##V3_BDPV12</stp>
        <stp>LP SEP21 25DP VOL LME Comdty</stp>
        <stp>PX_LAST</stp>
        <stp>[QwackPricer.xlsb.xlsx]Base!R85C16</stp>
        <tr r="P85" s="2"/>
      </tp>
      <tp>
        <v>30.209871292114258</v>
        <stp/>
        <stp>##V3_BDPV12</stp>
        <stp>LN DEC21 25DP VOL LME Comdty</stp>
        <stp>PX_LAST</stp>
        <stp>[QwackPricer.xlsb.xlsx]Base!R88C38</stp>
        <tr r="AL88" s="2"/>
      </tp>
      <tp>
        <v>31.389781951904297</v>
        <stp/>
        <stp>##V3_BDPV12</stp>
        <stp>LN DEC20 25DP VOL LME Comdty</stp>
        <stp>PX_LAST</stp>
        <stp>[QwackPricer.xlsb.xlsx]Base!R76C38</stp>
        <tr r="AL76" s="2"/>
      </tp>
      <tp>
        <v>29.549961090087891</v>
        <stp/>
        <stp>##V3_BDPV12</stp>
        <stp>LN JAN22 50D VOL LME Comdty</stp>
        <stp>PX_LAST</stp>
        <stp>[QwackPricer.xlsb.xlsx]Base!R89C39</stp>
        <tr r="AM89" s="2"/>
      </tp>
      <tp>
        <v>30.009881973266602</v>
        <stp/>
        <stp>##V3_BDPV12</stp>
        <stp>LN FEB22 25DP VOL LME Comdty</stp>
        <stp>PX_LAST</stp>
        <stp>[QwackPricer.xlsb.xlsx]Base!R90C38</stp>
        <tr r="AL90" s="2"/>
      </tp>
      <tp>
        <v>30.629829406738281</v>
        <stp/>
        <stp>##V3_BDPV12</stp>
        <stp>LN FEB21 25DP VOL LME Comdty</stp>
        <stp>PX_LAST</stp>
        <stp>[QwackPricer.xlsb.xlsx]Base!R78C38</stp>
        <tr r="AL78" s="2"/>
      </tp>
      <tp>
        <v>22.030130386352539</v>
        <stp/>
        <stp>##V3_BDPV12</stp>
        <stp>LX JAN22 50D VOL LME Comdty</stp>
        <stp>PX_LAST</stp>
        <stp>[QwackPricer.xlsb.xlsx]Base!R89C28</stp>
        <tr r="AB89" s="2"/>
      </tp>
      <tp>
        <v>31.269697189331055</v>
        <stp/>
        <stp>##V3_BDPV12</stp>
        <stp>LN FEB21 10DP VOL LME Comdty</stp>
        <stp>PX_LAST</stp>
        <stp>[QwackPricer.xlsb.xlsx]Base!R78C37</stp>
        <tr r="AK78" s="2"/>
      </tp>
      <tp>
        <v>30.589773178100586</v>
        <stp/>
        <stp>##V3_BDPV12</stp>
        <stp>LN FEB22 10DP VOL LME Comdty</stp>
        <stp>PX_LAST</stp>
        <stp>[QwackPricer.xlsb.xlsx]Base!R90C37</stp>
        <tr r="AK90" s="2"/>
      </tp>
      <tp>
        <v>20.650129318237305</v>
        <stp/>
        <stp>##V3_BDPV12</stp>
        <stp>LP JAN22 50D VOL LME Comdty</stp>
        <stp>PX_LAST</stp>
        <stp>[QwackPricer.xlsb.xlsx]Base!R89C17</stp>
        <tr r="Q89" s="2"/>
      </tp>
      <tp>
        <v>32.159652709960938</v>
        <stp/>
        <stp>##V3_BDPV12</stp>
        <stp>LN DEC20 10DP VOL LME Comdty</stp>
        <stp>PX_LAST</stp>
        <stp>[QwackPricer.xlsb.xlsx]Base!R76C37</stp>
        <tr r="AK76" s="2"/>
      </tp>
      <tp>
        <v>30.869745254516602</v>
        <stp/>
        <stp>##V3_BDPV12</stp>
        <stp>LN DEC21 10DP VOL LME Comdty</stp>
        <stp>PX_LAST</stp>
        <stp>[QwackPricer.xlsb.xlsx]Base!R88C37</stp>
        <tr r="AK88" s="2"/>
      </tp>
      <tp>
        <v>23.869497299194336</v>
        <stp/>
        <stp>##V3_BDPV12</stp>
        <stp>LX SEP20 25DP VOL LME Comdty</stp>
        <stp>PX_LAST</stp>
        <stp>[QwackPricer.xlsb.xlsx]Base!R73C27</stp>
        <tr r="AA73" s="2"/>
      </tp>
      <tp>
        <v>24.26948356628418</v>
        <stp/>
        <stp>##V3_BDPV12</stp>
        <stp>LX SEP21 25DP VOL LME Comdty</stp>
        <stp>PX_LAST</stp>
        <stp>[QwackPricer.xlsb.xlsx]Base!R85C27</stp>
        <tr r="AA85" s="2"/>
      </tp>
      <tp>
        <v>25.169412612915039</v>
        <stp/>
        <stp>##V3_BDPV12</stp>
        <stp>LX SEP20 10DP VOL LME Comdty</stp>
        <stp>PX_LAST</stp>
        <stp>[QwackPricer.xlsb.xlsx]Base!R73C26</stp>
        <tr r="Z73" s="2"/>
      </tp>
      <tp>
        <v>26.109264373779297</v>
        <stp/>
        <stp>##V3_BDPV12</stp>
        <stp>LX SEP21 10DP VOL LME Comdty</stp>
        <stp>PX_LAST</stp>
        <stp>[QwackPricer.xlsb.xlsx]Base!R85C26</stp>
        <tr r="Z85" s="2"/>
      </tp>
      <tp>
        <v>16.040054321289063</v>
        <stp/>
        <stp>##V3_BDPV12</stp>
        <stp>LA NOV21 50D VOL LME Comdty</stp>
        <stp>PX_LAST</stp>
        <stp>[QwackPricer.xlsb.xlsx]Base!R87C6</stp>
        <tr r="F87" s="2"/>
      </tp>
      <tp>
        <v>16.710054397583008</v>
        <stp/>
        <stp>##V3_BDPV12</stp>
        <stp>LA JAN21 50D VOL LME Comdty</stp>
        <stp>PX_LAST</stp>
        <stp>[QwackPricer.xlsb.xlsx]Base!R77C6</stp>
        <tr r="F77" s="2"/>
      </tp>
      <tp>
        <v>15.760056495666504</v>
        <stp/>
        <stp>##V3_BDPV12</stp>
        <stp>LA SEP22 50D VOL LME Comdty</stp>
        <stp>PX_LAST</stp>
        <stp>[QwackPricer.xlsb.xlsx]Base!R97C6</stp>
        <tr r="F97" s="2"/>
      </tp>
      <tp>
        <v>-0.4</v>
        <stp/>
        <stp>##V3_BDPV12</stp>
        <stp>XAUSR5y TPMT Curncy</stp>
        <stp>PX_LAST</stp>
        <stp>[QwackPricer.xlsb.xlsx]FX-IR!R60C3</stp>
        <tr r="C60" s="1"/>
      </tp>
      <tp>
        <v>0.19087999999999999</v>
        <stp/>
        <stp>##V3_BDPV12</stp>
        <stp>US0001M Index</stp>
        <stp>PX_LAST</stp>
        <stp>[QwackPricer.xlsb.xlsx]FX-IR!R66C3</stp>
        <tr r="C66" s="1"/>
      </tp>
      <tp>
        <v>16.120054244995117</v>
        <stp/>
        <stp>##V3_BDPV12</stp>
        <stp>LA OCT21 50D VOL LME Comdty</stp>
        <stp>PX_LAST</stp>
        <stp>[QwackPricer.xlsb.xlsx]Base!R86C6</stp>
        <tr r="F86" s="2"/>
      </tp>
      <tp>
        <v>16.640054702758789</v>
        <stp/>
        <stp>##V3_BDPV12</stp>
        <stp>LA DEC20 50D VOL LME Comdty</stp>
        <stp>PX_LAST</stp>
        <stp>[QwackPricer.xlsb.xlsx]Base!R76C6</stp>
        <tr r="F76" s="2"/>
      </tp>
      <tp>
        <v>15.76005744934082</v>
        <stp/>
        <stp>##V3_BDPV12</stp>
        <stp>LA AUG22 50D VOL LME Comdty</stp>
        <stp>PX_LAST</stp>
        <stp>[QwackPricer.xlsb.xlsx]Base!R96C6</stp>
        <tr r="F96" s="2"/>
      </tp>
      <tp>
        <v>0.9</v>
        <stp/>
        <stp>##V3_BDPV12</stp>
        <stp>XAGSR3m TPMT Curncy</stp>
        <stp>PX_LAST</stp>
        <stp>[QwackPricer.xlsb.xlsx]FX-IR!R53C4</stp>
        <tr r="D53" s="1"/>
      </tp>
      <tp>
        <v>0.44</v>
        <stp/>
        <stp>##V3_BDPV12</stp>
        <stp>XAUSR3m TPMT Curncy</stp>
        <stp>PX_LAST</stp>
        <stp>[QwackPricer.xlsb.xlsx]FX-IR!R53C3</stp>
        <tr r="C53" s="1"/>
      </tp>
      <tp>
        <v>-1.75</v>
        <stp/>
        <stp>##V3_BDPV12</stp>
        <stp>XPTSR3m TPMT Curncy</stp>
        <stp>PX_LAST</stp>
        <stp>[QwackPricer.xlsb.xlsx]FX-IR!R53C5</stp>
        <tr r="E53" s="1"/>
      </tp>
      <tp>
        <v>-1</v>
        <stp/>
        <stp>##V3_BDPV12</stp>
        <stp>XPDSR3m TPMT Curncy</stp>
        <stp>PX_LAST</stp>
        <stp>[QwackPricer.xlsb.xlsx]FX-IR!R53C6</stp>
        <tr r="F53" s="1"/>
      </tp>
      <tp>
        <v>9.5500000000000002E-2</v>
        <stp/>
        <stp>##V3_BDPV12</stp>
        <stp>US0001W Index</stp>
        <stp>PX_LAST</stp>
        <stp>[QwackPricer.xlsb.xlsx]FX-IR!R65C3</stp>
        <tr r="C65" s="1"/>
      </tp>
      <tp>
        <v>31.14000129699707</v>
        <stp/>
        <stp>##V3_BDPV12</stp>
        <stp>LN JUN20 50D VOL LME Comdty</stp>
        <stp>PX_LAST</stp>
        <stp>[QwackPricer.xlsb.xlsx]Base!R70C39</stp>
        <tr r="AM70" s="2"/>
      </tp>
      <tp>
        <v>31.170000076293945</v>
        <stp/>
        <stp>##V3_BDPV12</stp>
        <stp>LN JUL20 50D VOL LME Comdty</stp>
        <stp>PX_LAST</stp>
        <stp>[QwackPricer.xlsb.xlsx]Base!R71C39</stp>
        <tr r="AM71" s="2"/>
      </tp>
      <tp>
        <v>22.240026473999023</v>
        <stp/>
        <stp>##V3_BDPV12</stp>
        <stp>LX JUL20 50D VOL LME Comdty</stp>
        <stp>PX_LAST</stp>
        <stp>[QwackPricer.xlsb.xlsx]Base!R71C28</stp>
        <tr r="AB71" s="2"/>
      </tp>
      <tp>
        <v>22.100015640258789</v>
        <stp/>
        <stp>##V3_BDPV12</stp>
        <stp>LX JUN20 50D VOL LME Comdty</stp>
        <stp>PX_LAST</stp>
        <stp>[QwackPricer.xlsb.xlsx]Base!R70C28</stp>
        <tr r="AB70" s="2"/>
      </tp>
      <tp>
        <v>21.830043792724609</v>
        <stp/>
        <stp>##V3_BDPV12</stp>
        <stp>LP JUN20 50D VOL LME Comdty</stp>
        <stp>PX_LAST</stp>
        <stp>[QwackPricer.xlsb.xlsx]Base!R70C17</stp>
        <tr r="Q70" s="2"/>
      </tp>
      <tp>
        <v>22.030063629150391</v>
        <stp/>
        <stp>##V3_BDPV12</stp>
        <stp>LP JUL20 50D VOL LME Comdty</stp>
        <stp>PX_LAST</stp>
        <stp>[QwackPricer.xlsb.xlsx]Base!R71C17</stp>
        <tr r="Q71" s="2"/>
      </tp>
      <tp>
        <v>17.030057907104492</v>
        <stp/>
        <stp>##V3_BDPV12</stp>
        <stp>LA NOV20 50D VOL LME Comdty</stp>
        <stp>PX_LAST</stp>
        <stp>[QwackPricer.xlsb.xlsx]Base!R75C6</stp>
        <tr r="F75" s="2"/>
      </tp>
      <tp>
        <v>15.770057678222656</v>
        <stp/>
        <stp>##V3_BDPV12</stp>
        <stp>LA JUL22 50D VOL LME Comdty</stp>
        <stp>PX_LAST</stp>
        <stp>[QwackPricer.xlsb.xlsx]Base!R95C6</stp>
        <tr r="F95" s="2"/>
      </tp>
      <tp>
        <v>16.240055084228516</v>
        <stp/>
        <stp>##V3_BDPV12</stp>
        <stp>LA SEP21 50D VOL LME Comdty</stp>
        <stp>PX_LAST</stp>
        <stp>[QwackPricer.xlsb.xlsx]Base!R85C6</stp>
        <tr r="F85" s="2"/>
      </tp>
      <tp>
        <v>0.78</v>
        <stp/>
        <stp>##V3_BDPV12</stp>
        <stp>XAGSR2m TPMT Curncy</stp>
        <stp>PX_LAST</stp>
        <stp>[QwackPricer.xlsb.xlsx]FX-IR!R52C4</stp>
        <tr r="D52" s="1"/>
      </tp>
      <tp>
        <v>0.4</v>
        <stp/>
        <stp>##V3_BDPV12</stp>
        <stp>XAUSR2m TPMT Curncy</stp>
        <stp>PX_LAST</stp>
        <stp>[QwackPricer.xlsb.xlsx]FX-IR!R52C3</stp>
        <tr r="C52" s="1"/>
      </tp>
      <tp>
        <v>-1.5</v>
        <stp/>
        <stp>##V3_BDPV12</stp>
        <stp>XPTSR2m TPMT Curncy</stp>
        <stp>PX_LAST</stp>
        <stp>[QwackPricer.xlsb.xlsx]FX-IR!R52C5</stp>
        <tr r="E52" s="1"/>
      </tp>
      <tp>
        <v>-1</v>
        <stp/>
        <stp>##V3_BDPV12</stp>
        <stp>XPDSR2m TPMT Curncy</stp>
        <stp>PX_LAST</stp>
        <stp>[QwackPricer.xlsb.xlsx]FX-IR!R52C6</stp>
        <tr r="F52" s="1"/>
      </tp>
      <tp>
        <v>22.129997253417969</v>
        <stp/>
        <stp>##V3_BDPV12</stp>
        <stp>LX JUL21 25DC VOL LME Comdty</stp>
        <stp>PX_LAST</stp>
        <stp>[QwackPricer.xlsb.xlsx]Base!R83C29</stp>
        <tr r="AC83" s="2"/>
      </tp>
      <tp>
        <v>20.369863510131836</v>
        <stp/>
        <stp>##V3_BDPV12</stp>
        <stp>LP AUG22 25DC VOL LME Comdty</stp>
        <stp>PX_LAST</stp>
        <stp>[QwackPricer.xlsb.xlsx]Base!R96C18</stp>
        <tr r="R96" s="2"/>
      </tp>
      <tp>
        <v>22.009933471679688</v>
        <stp/>
        <stp>##V3_BDPV12</stp>
        <stp>LX JUL22 25DC VOL LME Comdty</stp>
        <stp>PX_LAST</stp>
        <stp>[QwackPricer.xlsb.xlsx]Base!R95C29</stp>
        <tr r="AC95" s="2"/>
      </tp>
      <tp>
        <v>20.589923858642578</v>
        <stp/>
        <stp>##V3_BDPV12</stp>
        <stp>LP AUG21 25DC VOL LME Comdty</stp>
        <stp>PX_LAST</stp>
        <stp>[QwackPricer.xlsb.xlsx]Base!R84C18</stp>
        <tr r="R84" s="2"/>
      </tp>
      <tp>
        <v>22.779722213745117</v>
        <stp/>
        <stp>##V3_BDPV12</stp>
        <stp>LX JUN20 10DC VOL LME Comdty</stp>
        <stp>PX_LAST</stp>
        <stp>[QwackPricer.xlsb.xlsx]Base!R70C30</stp>
        <tr r="AD70" s="2"/>
      </tp>
      <tp>
        <v>21.980009078979492</v>
        <stp/>
        <stp>##V3_BDPV12</stp>
        <stp>LX JUN21 10DC VOL LME Comdty</stp>
        <stp>PX_LAST</stp>
        <stp>[QwackPricer.xlsb.xlsx]Base!R82C30</stp>
        <tr r="AD82" s="2"/>
      </tp>
      <tp>
        <v>21.979978561401367</v>
        <stp/>
        <stp>##V3_BDPV12</stp>
        <stp>LX JUN22 10DC VOL LME Comdty</stp>
        <stp>PX_LAST</stp>
        <stp>[QwackPricer.xlsb.xlsx]Base!R94C30</stp>
        <tr r="AD94" s="2"/>
      </tp>
      <tp>
        <v>21.529926300048828</v>
        <stp/>
        <stp>##V3_BDPV12</stp>
        <stp>LP AUG20 25DC VOL LME Comdty</stp>
        <stp>PX_LAST</stp>
        <stp>[QwackPricer.xlsb.xlsx]Base!R72C18</stp>
        <tr r="R72" s="2"/>
      </tp>
      <tp>
        <v>22.359809875488281</v>
        <stp/>
        <stp>##V3_BDPV12</stp>
        <stp>LX JUL20 25DC VOL LME Comdty</stp>
        <stp>PX_LAST</stp>
        <stp>[QwackPricer.xlsb.xlsx]Base!R71C29</stp>
        <tr r="AC71" s="2"/>
      </tp>
      <tp>
        <v>22.050004959106445</v>
        <stp/>
        <stp>##V3_BDPV12</stp>
        <stp>LX JUN21 25DC VOL LME Comdty</stp>
        <stp>PX_LAST</stp>
        <stp>[QwackPricer.xlsb.xlsx]Base!R82C29</stp>
        <tr r="AC82" s="2"/>
      </tp>
      <tp>
        <v>21.999933242797852</v>
        <stp/>
        <stp>##V3_BDPV12</stp>
        <stp>LX JUN22 25DC VOL LME Comdty</stp>
        <stp>PX_LAST</stp>
        <stp>[QwackPricer.xlsb.xlsx]Base!R94C29</stp>
        <tr r="AC94" s="2"/>
      </tp>
      <tp>
        <v>22.759765625</v>
        <stp/>
        <stp>##V3_BDPV12</stp>
        <stp>LX JUL20 10DC VOL LME Comdty</stp>
        <stp>PX_LAST</stp>
        <stp>[QwackPricer.xlsb.xlsx]Base!R71C30</stp>
        <tr r="AD71" s="2"/>
      </tp>
      <tp>
        <v>22.030002593994141</v>
        <stp/>
        <stp>##V3_BDPV12</stp>
        <stp>LX JUL21 10DC VOL LME Comdty</stp>
        <stp>PX_LAST</stp>
        <stp>[QwackPricer.xlsb.xlsx]Base!R83C30</stp>
        <tr r="AD83" s="2"/>
      </tp>
      <tp>
        <v>21.97998046875</v>
        <stp/>
        <stp>##V3_BDPV12</stp>
        <stp>LX JUL22 10DC VOL LME Comdty</stp>
        <stp>PX_LAST</stp>
        <stp>[QwackPricer.xlsb.xlsx]Base!R95C30</stp>
        <tr r="AD95" s="2"/>
      </tp>
      <tp>
        <v>22.289777755737305</v>
        <stp/>
        <stp>##V3_BDPV12</stp>
        <stp>LX JUN20 25DC VOL LME Comdty</stp>
        <stp>PX_LAST</stp>
        <stp>[QwackPricer.xlsb.xlsx]Base!R70C29</stp>
        <tr r="AC70" s="2"/>
      </tp>
      <tp>
        <v>20.539884567260742</v>
        <stp/>
        <stp>##V3_BDPV12</stp>
        <stp>LP AUG22 10DC VOL LME Comdty</stp>
        <stp>PX_LAST</stp>
        <stp>[QwackPricer.xlsb.xlsx]Base!R96C19</stp>
        <tr r="S96" s="2"/>
      </tp>
      <tp>
        <v>20.759859085083008</v>
        <stp/>
        <stp>##V3_BDPV12</stp>
        <stp>LP AUG21 10DC VOL LME Comdty</stp>
        <stp>PX_LAST</stp>
        <stp>[QwackPricer.xlsb.xlsx]Base!R84C19</stp>
        <tr r="S84" s="2"/>
      </tp>
      <tp>
        <v>21.859767913818359</v>
        <stp/>
        <stp>##V3_BDPV12</stp>
        <stp>LP AUG20 10DC VOL LME Comdty</stp>
        <stp>PX_LAST</stp>
        <stp>[QwackPricer.xlsb.xlsx]Base!R72C19</stp>
        <tr r="S72" s="2"/>
      </tp>
      <tp>
        <v>20.549892425537109</v>
        <stp/>
        <stp>##V3_BDPV12</stp>
        <stp>LP JUL22 10DC VOL LME Comdty</stp>
        <stp>PX_LAST</stp>
        <stp>[QwackPricer.xlsb.xlsx]Base!R95C19</stp>
        <tr r="S95" s="2"/>
      </tp>
      <tp>
        <v>20.799854278564453</v>
        <stp/>
        <stp>##V3_BDPV12</stp>
        <stp>LP JUL21 10DC VOL LME Comdty</stp>
        <stp>PX_LAST</stp>
        <stp>[QwackPricer.xlsb.xlsx]Base!R83C19</stp>
        <tr r="S83" s="2"/>
      </tp>
      <tp>
        <v>21.819753646850586</v>
        <stp/>
        <stp>##V3_BDPV12</stp>
        <stp>LP JUL20 10DC VOL LME Comdty</stp>
        <stp>PX_LAST</stp>
        <stp>[QwackPricer.xlsb.xlsx]Base!R71C19</stp>
        <tr r="S71" s="2"/>
      </tp>
      <tp>
        <v>20.409879684448242</v>
        <stp/>
        <stp>##V3_BDPV12</stp>
        <stp>LP JUN22 25DC VOL LME Comdty</stp>
        <stp>PX_LAST</stp>
        <stp>[QwackPricer.xlsb.xlsx]Base!R94C18</stp>
        <tr r="R94" s="2"/>
      </tp>
      <tp>
        <v>20.739927291870117</v>
        <stp/>
        <stp>##V3_BDPV12</stp>
        <stp>LP JUN21 25DC VOL LME Comdty</stp>
        <stp>PX_LAST</stp>
        <stp>[QwackPricer.xlsb.xlsx]Base!R82C18</stp>
        <tr r="R82" s="2"/>
      </tp>
      <tp>
        <v>22.729814529418945</v>
        <stp/>
        <stp>##V3_BDPV12</stp>
        <stp>LX AUG20 10DC VOL LME Comdty</stp>
        <stp>PX_LAST</stp>
        <stp>[QwackPricer.xlsb.xlsx]Base!R72C30</stp>
        <tr r="AD72" s="2"/>
      </tp>
      <tp>
        <v>22.010000228881836</v>
        <stp/>
        <stp>##V3_BDPV12</stp>
        <stp>LX AUG21 10DC VOL LME Comdty</stp>
        <stp>PX_LAST</stp>
        <stp>[QwackPricer.xlsb.xlsx]Base!R84C30</stp>
        <tr r="AD84" s="2"/>
      </tp>
      <tp>
        <v>21.969980239868164</v>
        <stp/>
        <stp>##V3_BDPV12</stp>
        <stp>LX AUG22 10DC VOL LME Comdty</stp>
        <stp>PX_LAST</stp>
        <stp>[QwackPricer.xlsb.xlsx]Base!R96C30</stp>
        <tr r="AD96" s="2"/>
      </tp>
      <tp>
        <v>21.259920120239258</v>
        <stp/>
        <stp>##V3_BDPV12</stp>
        <stp>LP JUN20 25DC VOL LME Comdty</stp>
        <stp>PX_LAST</stp>
        <stp>[QwackPricer.xlsb.xlsx]Base!R70C18</stp>
        <tr r="R70" s="2"/>
      </tp>
      <tp>
        <v>20.559904098510742</v>
        <stp/>
        <stp>##V3_BDPV12</stp>
        <stp>LP JUN22 10DC VOL LME Comdty</stp>
        <stp>PX_LAST</stp>
        <stp>[QwackPricer.xlsb.xlsx]Base!R94C19</stp>
        <tr r="S94" s="2"/>
      </tp>
      <tp>
        <v>20.919862747192383</v>
        <stp/>
        <stp>##V3_BDPV12</stp>
        <stp>LP JUN21 10DC VOL LME Comdty</stp>
        <stp>PX_LAST</stp>
        <stp>[QwackPricer.xlsb.xlsx]Base!R82C19</stp>
        <tr r="S82" s="2"/>
      </tp>
      <tp>
        <v>21.639734268188477</v>
        <stp/>
        <stp>##V3_BDPV12</stp>
        <stp>LP JUN20 10DC VOL LME Comdty</stp>
        <stp>PX_LAST</stp>
        <stp>[QwackPricer.xlsb.xlsx]Base!R70C19</stp>
        <tr r="S70" s="2"/>
      </tp>
      <tp>
        <v>20.37986946105957</v>
        <stp/>
        <stp>##V3_BDPV12</stp>
        <stp>LP JUL22 25DC VOL LME Comdty</stp>
        <stp>PX_LAST</stp>
        <stp>[QwackPricer.xlsb.xlsx]Base!R95C18</stp>
        <tr r="R95" s="2"/>
      </tp>
      <tp>
        <v>22.109994888305664</v>
        <stp/>
        <stp>##V3_BDPV12</stp>
        <stp>LX AUG21 25DC VOL LME Comdty</stp>
        <stp>PX_LAST</stp>
        <stp>[QwackPricer.xlsb.xlsx]Base!R84C29</stp>
        <tr r="AC84" s="2"/>
      </tp>
      <tp>
        <v>20.619924545288086</v>
        <stp/>
        <stp>##V3_BDPV12</stp>
        <stp>LP JUL21 25DC VOL LME Comdty</stp>
        <stp>PX_LAST</stp>
        <stp>[QwackPricer.xlsb.xlsx]Base!R83C18</stp>
        <tr r="R83" s="2"/>
      </tp>
      <tp>
        <v>21.999933242797852</v>
        <stp/>
        <stp>##V3_BDPV12</stp>
        <stp>LX AUG22 25DC VOL LME Comdty</stp>
        <stp>PX_LAST</stp>
        <stp>[QwackPricer.xlsb.xlsx]Base!R96C29</stp>
        <tr r="AC96" s="2"/>
      </tp>
      <tp>
        <v>21.479923248291016</v>
        <stp/>
        <stp>##V3_BDPV12</stp>
        <stp>LP JUL20 25DC VOL LME Comdty</stp>
        <stp>PX_LAST</stp>
        <stp>[QwackPricer.xlsb.xlsx]Base!R71C18</stp>
        <tr r="R71" s="2"/>
      </tp>
      <tp>
        <v>22.439842224121094</v>
        <stp/>
        <stp>##V3_BDPV12</stp>
        <stp>LX AUG20 25DC VOL LME Comdty</stp>
        <stp>PX_LAST</stp>
        <stp>[QwackPricer.xlsb.xlsx]Base!R72C29</stp>
        <tr r="AC72" s="2"/>
      </tp>
      <tp>
        <v>29.759963989257813</v>
        <stp/>
        <stp>##V3_BDPV12</stp>
        <stp>LN JUL21 50D VOL LME Comdty</stp>
        <stp>PX_LAST</stp>
        <stp>[QwackPricer.xlsb.xlsx]Base!R83C39</stp>
        <tr r="AM83" s="2"/>
      </tp>
      <tp>
        <v>29.789966583251953</v>
        <stp/>
        <stp>##V3_BDPV12</stp>
        <stp>LN JUN21 50D VOL LME Comdty</stp>
        <stp>PX_LAST</stp>
        <stp>[QwackPricer.xlsb.xlsx]Base!R82C39</stp>
        <tr r="AM82" s="2"/>
      </tp>
      <tp>
        <v>22.200098037719727</v>
        <stp/>
        <stp>##V3_BDPV12</stp>
        <stp>LX JUN21 50D VOL LME Comdty</stp>
        <stp>PX_LAST</stp>
        <stp>[QwackPricer.xlsb.xlsx]Base!R82C28</stp>
        <tr r="AB82" s="2"/>
      </tp>
      <tp>
        <v>22.230106353759766</v>
        <stp/>
        <stp>##V3_BDPV12</stp>
        <stp>LX JUL21 50D VOL LME Comdty</stp>
        <stp>PX_LAST</stp>
        <stp>[QwackPricer.xlsb.xlsx]Base!R83C28</stp>
        <tr r="AB83" s="2"/>
      </tp>
      <tp>
        <v>20.920131683349609</v>
        <stp/>
        <stp>##V3_BDPV12</stp>
        <stp>LP JUL21 50D VOL LME Comdty</stp>
        <stp>PX_LAST</stp>
        <stp>[QwackPricer.xlsb.xlsx]Base!R83C17</stp>
        <tr r="Q83" s="2"/>
      </tp>
      <tp>
        <v>21.030122756958008</v>
        <stp/>
        <stp>##V3_BDPV12</stp>
        <stp>LP JUN21 50D VOL LME Comdty</stp>
        <stp>PX_LAST</stp>
        <stp>[QwackPricer.xlsb.xlsx]Base!R82C17</stp>
        <tr r="Q82" s="2"/>
      </tp>
      <tp>
        <v>31.989538192749023</v>
        <stp/>
        <stp>##V3_BDPV12</stp>
        <stp>LN JUL20 25DC VOL LME Comdty</stp>
        <stp>PX_LAST</stp>
        <stp>[QwackPricer.xlsb.xlsx]Base!R71C40</stp>
        <tr r="AN71" s="2"/>
      </tp>
      <tp>
        <v>29.939159393310547</v>
        <stp/>
        <stp>##V3_BDPV12</stp>
        <stp>LN JUL22 25DC VOL LME Comdty</stp>
        <stp>PX_LAST</stp>
        <stp>[QwackPricer.xlsb.xlsx]Base!R95C40</stp>
        <tr r="AN95" s="2"/>
      </tp>
      <tp>
        <v>30.749288558959961</v>
        <stp/>
        <stp>##V3_BDPV12</stp>
        <stp>LN JUL21 25DC VOL LME Comdty</stp>
        <stp>PX_LAST</stp>
        <stp>[QwackPricer.xlsb.xlsx]Base!R83C40</stp>
        <tr r="AN83" s="2"/>
      </tp>
      <tp>
        <v>32.779533386230469</v>
        <stp/>
        <stp>##V3_BDPV12</stp>
        <stp>LN JUN20 10DC VOL LME Comdty</stp>
        <stp>PX_LAST</stp>
        <stp>[QwackPricer.xlsb.xlsx]Base!R70C41</stp>
        <tr r="AO70" s="2"/>
      </tp>
      <tp>
        <v>31.169309616088867</v>
        <stp/>
        <stp>##V3_BDPV12</stp>
        <stp>LN JUN22 10DC VOL LME Comdty</stp>
        <stp>PX_LAST</stp>
        <stp>[QwackPricer.xlsb.xlsx]Base!R94C41</stp>
        <tr r="AO94" s="2"/>
      </tp>
      <tp>
        <v>31.759391784667969</v>
        <stp/>
        <stp>##V3_BDPV12</stp>
        <stp>LN JUN21 10DC VOL LME Comdty</stp>
        <stp>PX_LAST</stp>
        <stp>[QwackPricer.xlsb.xlsx]Base!R82C41</stp>
        <tr r="AO82" s="2"/>
      </tp>
      <tp>
        <v>31.959558486938477</v>
        <stp/>
        <stp>##V3_BDPV12</stp>
        <stp>LN JUN20 25DC VOL LME Comdty</stp>
        <stp>PX_LAST</stp>
        <stp>[QwackPricer.xlsb.xlsx]Base!R70C40</stp>
        <tr r="AN70" s="2"/>
      </tp>
      <tp>
        <v>30.049171447753906</v>
        <stp/>
        <stp>##V3_BDPV12</stp>
        <stp>LN JUN22 25DC VOL LME Comdty</stp>
        <stp>PX_LAST</stp>
        <stp>[QwackPricer.xlsb.xlsx]Base!R94C40</stp>
        <tr r="AN94" s="2"/>
      </tp>
      <tp>
        <v>30.749319076538086</v>
        <stp/>
        <stp>##V3_BDPV12</stp>
        <stp>LN JUN21 25DC VOL LME Comdty</stp>
        <stp>PX_LAST</stp>
        <stp>[QwackPricer.xlsb.xlsx]Base!R82C40</stp>
        <tr r="AN82" s="2"/>
      </tp>
      <tp>
        <v>32.819530487060547</v>
        <stp/>
        <stp>##V3_BDPV12</stp>
        <stp>LN JUL20 10DC VOL LME Comdty</stp>
        <stp>PX_LAST</stp>
        <stp>[QwackPricer.xlsb.xlsx]Base!R71C41</stp>
        <tr r="AO71" s="2"/>
      </tp>
      <tp>
        <v>31.069297790527344</v>
        <stp/>
        <stp>##V3_BDPV12</stp>
        <stp>LN JUL22 10DC VOL LME Comdty</stp>
        <stp>PX_LAST</stp>
        <stp>[QwackPricer.xlsb.xlsx]Base!R95C41</stp>
        <tr r="AO95" s="2"/>
      </tp>
      <tp>
        <v>31.769376754760742</v>
        <stp/>
        <stp>##V3_BDPV12</stp>
        <stp>LN JUL21 10DC VOL LME Comdty</stp>
        <stp>PX_LAST</stp>
        <stp>[QwackPricer.xlsb.xlsx]Base!R83C41</stp>
        <tr r="AO83" s="2"/>
      </tp>
      <tp>
        <v>32.819522857666016</v>
        <stp/>
        <stp>##V3_BDPV12</stp>
        <stp>LN AUG20 10DC VOL LME Comdty</stp>
        <stp>PX_LAST</stp>
        <stp>[QwackPricer.xlsb.xlsx]Base!R72C41</stp>
        <tr r="AO72" s="2"/>
      </tp>
      <tp>
        <v>30.989294052124023</v>
        <stp/>
        <stp>##V3_BDPV12</stp>
        <stp>LN AUG22 10DC VOL LME Comdty</stp>
        <stp>PX_LAST</stp>
        <stp>[QwackPricer.xlsb.xlsx]Base!R96C41</stp>
        <tr r="AO96" s="2"/>
      </tp>
      <tp>
        <v>31.779369354248047</v>
        <stp/>
        <stp>##V3_BDPV12</stp>
        <stp>LN AUG21 10DC VOL LME Comdty</stp>
        <stp>PX_LAST</stp>
        <stp>[QwackPricer.xlsb.xlsx]Base!R84C41</stp>
        <tr r="AO84" s="2"/>
      </tp>
      <tp>
        <v>30.309970855712891</v>
        <stp/>
        <stp>##V3_BDPV12</stp>
        <stp>LN JAN21 50D VOL LME Comdty</stp>
        <stp>PX_LAST</stp>
        <stp>[QwackPricer.xlsb.xlsx]Base!R77C39</stp>
        <tr r="AM77" s="2"/>
      </tp>
      <tp>
        <v>22.300067901611328</v>
        <stp/>
        <stp>##V3_BDPV12</stp>
        <stp>LX JAN21 50D VOL LME Comdty</stp>
        <stp>PX_LAST</stp>
        <stp>[QwackPricer.xlsb.xlsx]Base!R77C28</stp>
        <tr r="AB77" s="2"/>
      </tp>
      <tp>
        <v>21.640110015869141</v>
        <stp/>
        <stp>##V3_BDPV12</stp>
        <stp>LP JAN21 50D VOL LME Comdty</stp>
        <stp>PX_LAST</stp>
        <stp>[QwackPricer.xlsb.xlsx]Base!R77C17</stp>
        <tr r="Q77" s="2"/>
      </tp>
      <tp>
        <v>31.999517440795898</v>
        <stp/>
        <stp>##V3_BDPV12</stp>
        <stp>LN AUG20 25DC VOL LME Comdty</stp>
        <stp>PX_LAST</stp>
        <stp>[QwackPricer.xlsb.xlsx]Base!R72C40</stp>
        <tr r="AN72" s="2"/>
      </tp>
      <tp>
        <v>29.859153747558594</v>
        <stp/>
        <stp>##V3_BDPV12</stp>
        <stp>LN AUG22 25DC VOL LME Comdty</stp>
        <stp>PX_LAST</stp>
        <stp>[QwackPricer.xlsb.xlsx]Base!R96C40</stp>
        <tr r="AN96" s="2"/>
      </tp>
      <tp>
        <v>30.749273300170898</v>
        <stp/>
        <stp>##V3_BDPV12</stp>
        <stp>LN AUG21 25DC VOL LME Comdty</stp>
        <stp>PX_LAST</stp>
        <stp>[QwackPricer.xlsb.xlsx]Base!R84C40</stp>
        <tr r="AN84" s="2"/>
      </tp>
      <tp>
        <v>0.33912999999999999</v>
        <stp/>
        <stp>##V3_BDPV12</stp>
        <stp>US0002M Index</stp>
        <stp>PX_LAST</stp>
        <stp>[QwackPricer.xlsb.xlsx]FX-IR!R67C3</stp>
        <tr r="C67" s="1"/>
      </tp>
      <tp>
        <v>17.030054092407227</v>
        <stp/>
        <stp>##V3_BDPV12</stp>
        <stp>LA OCT20 50D VOL LME Comdty</stp>
        <stp>PX_LAST</stp>
        <stp>[QwackPricer.xlsb.xlsx]Base!R74C6</stp>
        <tr r="F74" s="2"/>
      </tp>
      <tp>
        <v>15.760058403015137</v>
        <stp/>
        <stp>##V3_BDPV12</stp>
        <stp>LA JUN22 50D VOL LME Comdty</stp>
        <stp>PX_LAST</stp>
        <stp>[QwackPricer.xlsb.xlsx]Base!R94C6</stp>
        <tr r="F94" s="2"/>
      </tp>
      <tp>
        <v>16.310054779052734</v>
        <stp/>
        <stp>##V3_BDPV12</stp>
        <stp>LA AUG21 50D VOL LME Comdty</stp>
        <stp>PX_LAST</stp>
        <stp>[QwackPricer.xlsb.xlsx]Base!R84C6</stp>
        <tr r="F84" s="2"/>
      </tp>
      <tp>
        <v>29.429971694946289</v>
        <stp/>
        <stp>##V3_BDPV12</stp>
        <stp>LN FEB22 50D VOL LME Comdty</stp>
        <stp>PX_LAST</stp>
        <stp>[QwackPricer.xlsb.xlsx]Base!R90C39</stp>
        <tr r="AM90" s="2"/>
      </tp>
      <tp>
        <v>30.779979705810547</v>
        <stp/>
        <stp>##V3_BDPV12</stp>
        <stp>LN DEC20 50D VOL LME Comdty</stp>
        <stp>PX_LAST</stp>
        <stp>[QwackPricer.xlsb.xlsx]Base!R76C39</stp>
        <tr r="AM76" s="2"/>
      </tp>
      <tp>
        <v>4.9524999999999997</v>
        <stp/>
        <stp>##V3_BDHV12</stp>
        <stp>XAUUSD10B18m Curncy</stp>
        <stp>PX_LAST</stp>
        <stp>12/05/2020</stp>
        <stp>12/05/2020</stp>
        <stp>[QwackPricer.xlsb.xlsx]FX-IR!R153C8</stp>
        <tr r="H153" s="1"/>
      </tp>
      <tp>
        <v>6.22</v>
        <stp/>
        <stp>##V3_BDHV12</stp>
        <stp>XAUUSD10R18m Curncy</stp>
        <stp>PX_LAST</stp>
        <stp>12/05/2020</stp>
        <stp>12/05/2020</stp>
        <stp>[QwackPricer.xlsb.xlsx]FX-IR!R153C6</stp>
        <tr r="F153" s="1"/>
      </tp>
      <tp>
        <v>22.020132064819336</v>
        <stp/>
        <stp>##V3_BDPV12</stp>
        <stp>LX FEB22 50D VOL LME Comdty</stp>
        <stp>PX_LAST</stp>
        <stp>[QwackPricer.xlsb.xlsx]Base!R90C28</stp>
        <tr r="AB90" s="2"/>
      </tp>
      <tp>
        <v>22.370061874389648</v>
        <stp/>
        <stp>##V3_BDPV12</stp>
        <stp>LX DEC20 50D VOL LME Comdty</stp>
        <stp>PX_LAST</stp>
        <stp>[QwackPricer.xlsb.xlsx]Base!R76C28</stp>
        <tr r="AB76" s="2"/>
      </tp>
      <tp>
        <v>20.620128631591797</v>
        <stp/>
        <stp>##V3_BDPV12</stp>
        <stp>LP FEB22 50D VOL LME Comdty</stp>
        <stp>PX_LAST</stp>
        <stp>[QwackPricer.xlsb.xlsx]Base!R90C17</stp>
        <tr r="Q90" s="2"/>
      </tp>
      <tp>
        <v>21.700109481811523</v>
        <stp/>
        <stp>##V3_BDPV12</stp>
        <stp>LP DEC20 50D VOL LME Comdty</stp>
        <stp>PX_LAST</stp>
        <stp>[QwackPricer.xlsb.xlsx]Base!R76C17</stp>
        <tr r="Q76" s="2"/>
      </tp>
      <tp>
        <v>29.709959030151367</v>
        <stp/>
        <stp>##V3_BDPV12</stp>
        <stp>LN DEC21 50D VOL LME Comdty</stp>
        <stp>PX_LAST</stp>
        <stp>[QwackPricer.xlsb.xlsx]Base!R88C39</stp>
        <tr r="AM88" s="2"/>
      </tp>
      <tp>
        <v>0.4335</v>
        <stp/>
        <stp>##V3_BDPV12</stp>
        <stp>US0003M Index</stp>
        <stp>PX_LAST</stp>
        <stp>[QwackPricer.xlsb.xlsx]FX-IR!R68C3</stp>
        <tr r="C68" s="1"/>
      </tp>
      <tp>
        <v>22.180131912231445</v>
        <stp/>
        <stp>##V3_BDPV12</stp>
        <stp>LX DEC21 50D VOL LME Comdty</stp>
        <stp>PX_LAST</stp>
        <stp>[QwackPricer.xlsb.xlsx]Base!R88C28</stp>
        <tr r="AB88" s="2"/>
      </tp>
      <tp>
        <v>20.69013786315918</v>
        <stp/>
        <stp>##V3_BDPV12</stp>
        <stp>LP DEC21 50D VOL LME Comdty</stp>
        <stp>PX_LAST</stp>
        <stp>[QwackPricer.xlsb.xlsx]Base!R88C17</stp>
        <tr r="Q88" s="2"/>
      </tp>
      <tp>
        <v>21.4990234375</v>
        <stp/>
        <stp>##V3_BDPV12</stp>
        <stp>LA SEP20 10DP VOL LME Comdty</stp>
        <stp>PX_LAST</stp>
        <stp>[QwackPricer.xlsb.xlsx]Base!R73C4</stp>
        <tr r="D73" s="2"/>
      </tp>
      <tp>
        <v>19.159130096435547</v>
        <stp/>
        <stp>##V3_BDPV12</stp>
        <stp>LA SEP20 25DP VOL LME Comdty</stp>
        <stp>PX_LAST</stp>
        <stp>[QwackPricer.xlsb.xlsx]Base!R73C5</stp>
        <tr r="E73" s="2"/>
      </tp>
      <tp>
        <v>16.629974365234375</v>
        <stp/>
        <stp>##V3_BDPV12</stp>
        <stp>LA SEP20 25DC VOL LME Comdty</stp>
        <stp>PX_LAST</stp>
        <stp>[QwackPricer.xlsb.xlsx]Base!R73C7</stp>
        <tr r="G73" s="2"/>
      </tp>
      <tp>
        <v>16.799888610839844</v>
        <stp/>
        <stp>##V3_BDPV12</stp>
        <stp>LA SEP20 10DC VOL LME Comdty</stp>
        <stp>PX_LAST</stp>
        <stp>[QwackPricer.xlsb.xlsx]Base!R73C8</stp>
        <tr r="H73" s="2"/>
      </tp>
      <tp>
        <v>5.0449999999999999</v>
        <stp/>
        <stp>##V3_BDPV12</stp>
        <stp>SASW4 Curncy</stp>
        <stp>PX_LAST</stp>
        <stp>[QwackPricer.xlsb.xlsx]FX-IR!R72C9</stp>
        <tr r="I72" s="1"/>
      </tp>
      <tp>
        <v>5.57</v>
        <stp/>
        <stp>##V3_BDPV12</stp>
        <stp>SASW5 Curncy</stp>
        <stp>PX_LAST</stp>
        <stp>[QwackPricer.xlsb.xlsx]FX-IR!R73C9</stp>
        <tr r="I73" s="1"/>
      </tp>
      <tp>
        <v>15.720053672790527</v>
        <stp/>
        <stp>##V3_BDPV12</stp>
        <stp>LA NOV22 50D VOL LME Comdty</stp>
        <stp>PX_LAST</stp>
        <stp>[QwackPricer.xlsb.xlsx]Base!R99C6</stp>
        <tr r="F99" s="2"/>
      </tp>
      <tp>
        <v>16.600057601928711</v>
        <stp/>
        <stp>##V3_BDPV12</stp>
        <stp>LA MAR21 50D VOL LME Comdty</stp>
        <stp>PX_LAST</stp>
        <stp>[QwackPricer.xlsb.xlsx]Base!R79C6</stp>
        <tr r="F79" s="2"/>
      </tp>
      <tp>
        <v>15.860049247741699</v>
        <stp/>
        <stp>##V3_BDPV12</stp>
        <stp>LA JAN22 50D VOL LME Comdty</stp>
        <stp>PX_LAST</stp>
        <stp>[QwackPricer.xlsb.xlsx]Base!R89C6</stp>
        <tr r="F89" s="2"/>
      </tp>
      <tp>
        <v>1.5125</v>
        <stp/>
        <stp>##V3_BDHV12</stp>
        <stp>XAUUSD25B18m Curncy</stp>
        <stp>PX_LAST</stp>
        <stp>12/05/2020</stp>
        <stp>12/05/2020</stp>
        <stp>[QwackPricer.xlsb.xlsx]FX-IR!R153C7</stp>
        <tr r="G153" s="1"/>
      </tp>
      <tp>
        <v>3.27</v>
        <stp/>
        <stp>##V3_BDHV12</stp>
        <stp>XAUUSD25R18m Curncy</stp>
        <stp>PX_LAST</stp>
        <stp>12/05/2020</stp>
        <stp>12/05/2020</stp>
        <stp>[QwackPricer.xlsb.xlsx]FX-IR!R153C5</stp>
        <tr r="E153" s="1"/>
      </tp>
      <tp>
        <v>30.199970245361328</v>
        <stp/>
        <stp>##V3_BDPV12</stp>
        <stp>LN FEB21 50D VOL LME Comdty</stp>
        <stp>PX_LAST</stp>
        <stp>[QwackPricer.xlsb.xlsx]Base!R78C39</stp>
        <tr r="AM78" s="2"/>
      </tp>
      <tp>
        <v>22.250072479248047</v>
        <stp/>
        <stp>##V3_BDPV12</stp>
        <stp>LX FEB21 50D VOL LME Comdty</stp>
        <stp>PX_LAST</stp>
        <stp>[QwackPricer.xlsb.xlsx]Base!R78C28</stp>
        <tr r="AB78" s="2"/>
      </tp>
      <tp>
        <v>21.620113372802734</v>
        <stp/>
        <stp>##V3_BDPV12</stp>
        <stp>LP FEB21 50D VOL LME Comdty</stp>
        <stp>PX_LAST</stp>
        <stp>[QwackPricer.xlsb.xlsx]Base!R78C17</stp>
        <tr r="Q78" s="2"/>
      </tp>
      <tp>
        <v>15.740055084228516</v>
        <stp/>
        <stp>##V3_BDPV12</stp>
        <stp>LA OCT22 50D VOL LME Comdty</stp>
        <stp>PX_LAST</stp>
        <stp>[QwackPricer.xlsb.xlsx]Base!R98C6</stp>
        <tr r="F98" s="2"/>
      </tp>
      <tp>
        <v>16.67005729675293</v>
        <stp/>
        <stp>##V3_BDPV12</stp>
        <stp>LA FEB21 50D VOL LME Comdty</stp>
        <stp>PX_LAST</stp>
        <stp>[QwackPricer.xlsb.xlsx]Base!R78C6</stp>
        <tr r="F78" s="2"/>
      </tp>
      <tp>
        <v>15.960052490234375</v>
        <stp/>
        <stp>##V3_BDPV12</stp>
        <stp>LA DEC21 50D VOL LME Comdty</stp>
        <stp>PX_LAST</stp>
        <stp>[QwackPricer.xlsb.xlsx]Base!R88C6</stp>
        <tr r="F88" s="2"/>
      </tp>
      <tp>
        <v>-0.3</v>
        <stp/>
        <stp>##V3_BDPV12</stp>
        <stp>XAUSR4y TPMT Curncy</stp>
        <stp>PX_LAST</stp>
        <stp>[QwackPricer.xlsb.xlsx]FX-IR!R59C3</stp>
        <tr r="C59" s="1"/>
      </tp>
      <tp>
        <v>4.2649999999999997</v>
        <stp/>
        <stp>##V3_BDHV12</stp>
        <stp>USDZAR25R1m Curncy</stp>
        <stp>PX_LAST</stp>
        <stp>12/05/2020</stp>
        <stp>12/05/2020</stp>
        <stp>[QwackPricer.xlsb.xlsx]FX-IR!R97C5</stp>
        <tr r="E97" s="1"/>
      </tp>
      <tp>
        <v>7.73</v>
        <stp/>
        <stp>##V3_BDHV12</stp>
        <stp>USDZAR10R1m Curncy</stp>
        <stp>PX_LAST</stp>
        <stp>12/05/2020</stp>
        <stp>12/05/2020</stp>
        <stp>[QwackPricer.xlsb.xlsx]FX-IR!R97C6</stp>
        <tr r="F97" s="1"/>
      </tp>
      <tp>
        <v>22.220085144042969</v>
        <stp/>
        <stp>##V3_BDPV12</stp>
        <stp>LX APR21 50D VOL LME Comdty</stp>
        <stp>PX_LAST</stp>
        <stp>[QwackPricer.xlsb.xlsx]Base!R80C28</stp>
        <tr r="AB80" s="2"/>
      </tp>
      <tp>
        <v>29.969964981079102</v>
        <stp/>
        <stp>##V3_BDPV12</stp>
        <stp>LN APR21 50D VOL LME Comdty</stp>
        <stp>PX_LAST</stp>
        <stp>[QwackPricer.xlsb.xlsx]Base!R80C39</stp>
        <tr r="AM80" s="2"/>
      </tp>
      <tp>
        <v>21.340116500854492</v>
        <stp/>
        <stp>##V3_BDPV12</stp>
        <stp>LP APR21 50D VOL LME Comdty</stp>
        <stp>PX_LAST</stp>
        <stp>[QwackPricer.xlsb.xlsx]Base!R80C17</stp>
        <tr r="Q80" s="2"/>
      </tp>
      <tp>
        <v>29.749963760375977</v>
        <stp/>
        <stp>##V3_BDPV12</stp>
        <stp>LN AUG21 50D VOL LME Comdty</stp>
        <stp>PX_LAST</stp>
        <stp>[QwackPricer.xlsb.xlsx]Base!R84C39</stp>
        <tr r="AM84" s="2"/>
      </tp>
      <tp>
        <v>22.210113525390625</v>
        <stp/>
        <stp>##V3_BDPV12</stp>
        <stp>LX AUG21 50D VOL LME Comdty</stp>
        <stp>PX_LAST</stp>
        <stp>[QwackPricer.xlsb.xlsx]Base!R84C28</stp>
        <tr r="AB84" s="2"/>
      </tp>
      <tp>
        <v>20.870134353637695</v>
        <stp/>
        <stp>##V3_BDPV12</stp>
        <stp>LP AUG21 50D VOL LME Comdty</stp>
        <stp>PX_LAST</stp>
        <stp>[QwackPricer.xlsb.xlsx]Base!R84C17</stp>
        <tr r="Q84" s="2"/>
      </tp>
      <tp>
        <v>4.6875</v>
        <stp/>
        <stp>##V3_BDHV12</stp>
        <stp>XPTUSD10B18m Curncy</stp>
        <stp>PX_LAST</stp>
        <stp>12/05/2020</stp>
        <stp>12/05/2020</stp>
        <stp>[QwackPricer.xlsb.xlsx]FX-IR!R186C8</stp>
        <tr r="H186" s="1"/>
      </tp>
      <tp>
        <v>-2.0274999999999999</v>
        <stp/>
        <stp>##V3_BDHV12</stp>
        <stp>EURUSD10R18m Curncy</stp>
        <stp>PX_LAST</stp>
        <stp>12/05/2020</stp>
        <stp>12/05/2020</stp>
        <stp>[QwackPricer.xlsb.xlsx]FX-IR!R120C6</stp>
        <tr r="F120" s="1"/>
      </tp>
      <tp>
        <v>1.4325000000000001</v>
        <stp/>
        <stp>##V3_BDHV12</stp>
        <stp>EURUSD10B18m Curncy</stp>
        <stp>PX_LAST</stp>
        <stp>12/05/2020</stp>
        <stp>12/05/2020</stp>
        <stp>[QwackPricer.xlsb.xlsx]FX-IR!R120C8</stp>
        <tr r="H120" s="1"/>
      </tp>
      <tp>
        <v>0.93</v>
        <stp/>
        <stp>##V3_BDHV12</stp>
        <stp>XPTUSD10R18m Curncy</stp>
        <stp>PX_LAST</stp>
        <stp>12/05/2020</stp>
        <stp>12/05/2020</stp>
        <stp>[QwackPricer.xlsb.xlsx]FX-IR!R186C6</stp>
        <tr r="F186" s="1"/>
      </tp>
    </main>
    <main first="bloomberg.rtd">
      <tp>
        <v>0.45</v>
        <stp/>
        <stp>##V3_BDPV12</stp>
        <stp>XAGSR3y TPMT Curncy</stp>
        <stp>PX_LAST</stp>
        <stp>[QwackPricer.xlsb.xlsx]FX-IR!R58C4</stp>
        <tr r="D58" s="1"/>
      </tp>
      <tp>
        <v>-0.15</v>
        <stp/>
        <stp>##V3_BDPV12</stp>
        <stp>XAUSR3y TPMT Curncy</stp>
        <stp>PX_LAST</stp>
        <stp>[QwackPricer.xlsb.xlsx]FX-IR!R58C3</stp>
        <tr r="C58" s="1"/>
      </tp>
      <tp>
        <v>3.5750000000000002</v>
        <stp/>
        <stp>##V3_BDHV12</stp>
        <stp>USDZAR25R1w Curncy</stp>
        <stp>PX_LAST</stp>
        <stp>12/05/2020</stp>
        <stp>12/05/2020</stp>
        <stp>[QwackPricer.xlsb.xlsx]FX-IR!R96C5</stp>
        <tr r="E96" s="1"/>
      </tp>
      <tp>
        <v>6.2549999999999999</v>
        <stp/>
        <stp>##V3_BDHV12</stp>
        <stp>USDZAR10R1w Curncy</stp>
        <stp>PX_LAST</stp>
        <stp>12/05/2020</stp>
        <stp>12/05/2020</stp>
        <stp>[QwackPricer.xlsb.xlsx]FX-IR!R96C6</stp>
        <tr r="F96" s="1"/>
      </tp>
      <tp>
        <v>31.169998168945313</v>
        <stp/>
        <stp>##V3_BDPV12</stp>
        <stp>LN AUG20 50D VOL LME Comdty</stp>
        <stp>PX_LAST</stp>
        <stp>[QwackPricer.xlsb.xlsx]Base!R72C39</stp>
        <tr r="AM72" s="2"/>
      </tp>
      <tp>
        <v>22.35003662109375</v>
        <stp/>
        <stp>##V3_BDPV12</stp>
        <stp>LX AUG20 50D VOL LME Comdty</stp>
        <stp>PX_LAST</stp>
        <stp>[QwackPricer.xlsb.xlsx]Base!R72C28</stp>
        <tr r="AB72" s="2"/>
      </tp>
      <tp>
        <v>22.07008171081543</v>
        <stp/>
        <stp>##V3_BDPV12</stp>
        <stp>LP AUG20 50D VOL LME Comdty</stp>
        <stp>PX_LAST</stp>
        <stp>[QwackPricer.xlsb.xlsx]Base!R72C17</stp>
        <tr r="Q72" s="2"/>
      </tp>
      <tp>
        <v>4.16</v>
        <stp/>
        <stp>##V3_BDPV12</stp>
        <stp>SASW2 Curncy</stp>
        <stp>PX_LAST</stp>
        <stp>[QwackPricer.xlsb.xlsx]FX-IR!R70C9</stp>
        <tr r="I70" s="1"/>
      </tp>
      <tp>
        <v>4.5650000000000004</v>
        <stp/>
        <stp>##V3_BDPV12</stp>
        <stp>SASW3 Curncy</stp>
        <stp>PX_LAST</stp>
        <stp>[QwackPricer.xlsb.xlsx]FX-IR!R71C9</stp>
        <tr r="I71" s="1"/>
      </tp>
      <tp>
        <v>30.169868469238281</v>
        <stp/>
        <stp>##V3_BDPV12</stp>
        <stp>LN NOV21 25DP VOL LME Comdty</stp>
        <stp>PX_LAST</stp>
        <stp>[QwackPricer.xlsb.xlsx]Base!R87C38</stp>
        <tr r="AL87" s="2"/>
      </tp>
      <tp>
        <v>31.53974723815918</v>
        <stp/>
        <stp>##V3_BDPV12</stp>
        <stp>LN NOV20 25DP VOL LME Comdty</stp>
        <stp>PX_LAST</stp>
        <stp>[QwackPricer.xlsb.xlsx]Base!R75C38</stp>
        <tr r="AL75" s="2"/>
      </tp>
      <tp>
        <v>32.379631042480469</v>
        <stp/>
        <stp>##V3_BDPV12</stp>
        <stp>LN NOV20 10DP VOL LME Comdty</stp>
        <stp>PX_LAST</stp>
        <stp>[QwackPricer.xlsb.xlsx]Base!R75C37</stp>
        <tr r="AK75" s="2"/>
      </tp>
      <tp>
        <v>30.819744110107422</v>
        <stp/>
        <stp>##V3_BDPV12</stp>
        <stp>LN NOV21 10DP VOL LME Comdty</stp>
        <stp>PX_LAST</stp>
        <stp>[QwackPricer.xlsb.xlsx]Base!R87C37</stp>
        <tr r="AK87" s="2"/>
      </tp>
      <tp>
        <v>24.309221267700195</v>
        <stp/>
        <stp>##V3_BDPV12</stp>
        <stp>LP NOV20 25DP VOL LME Comdty</stp>
        <stp>PX_LAST</stp>
        <stp>[QwackPricer.xlsb.xlsx]Base!R75C16</stp>
        <tr r="P75" s="2"/>
      </tp>
      <tp>
        <v>22.139604568481445</v>
        <stp/>
        <stp>##V3_BDPV12</stp>
        <stp>LP NOV22 25DP VOL LME Comdty</stp>
        <stp>PX_LAST</stp>
        <stp>[QwackPricer.xlsb.xlsx]Base!R99C16</stp>
        <tr r="P99" s="2"/>
      </tp>
      <tp>
        <v>22.839475631713867</v>
        <stp/>
        <stp>##V3_BDPV12</stp>
        <stp>LP NOV21 25DP VOL LME Comdty</stp>
        <stp>PX_LAST</stp>
        <stp>[QwackPricer.xlsb.xlsx]Base!R87C16</stp>
        <tr r="P87" s="2"/>
      </tp>
      <tp>
        <v>26.529085159301758</v>
        <stp/>
        <stp>##V3_BDPV12</stp>
        <stp>LP NOV20 10DP VOL LME Comdty</stp>
        <stp>PX_LAST</stp>
        <stp>[QwackPricer.xlsb.xlsx]Base!R75C15</stp>
        <tr r="O75" s="2"/>
      </tp>
      <tp>
        <v>23.829385757446289</v>
        <stp/>
        <stp>##V3_BDPV12</stp>
        <stp>LP NOV22 10DP VOL LME Comdty</stp>
        <stp>PX_LAST</stp>
        <stp>[QwackPricer.xlsb.xlsx]Base!R99C15</stp>
        <tr r="O99" s="2"/>
      </tp>
      <tp>
        <v>24.709287643432617</v>
        <stp/>
        <stp>##V3_BDPV12</stp>
        <stp>LP NOV21 10DP VOL LME Comdty</stp>
        <stp>PX_LAST</stp>
        <stp>[QwackPricer.xlsb.xlsx]Base!R87C15</stp>
        <tr r="O87" s="2"/>
      </tp>
      <tp>
        <v>25.249378204345703</v>
        <stp/>
        <stp>##V3_BDPV12</stp>
        <stp>LX NOV20 10DP VOL LME Comdty</stp>
        <stp>PX_LAST</stp>
        <stp>[QwackPricer.xlsb.xlsx]Base!R75C26</stp>
        <tr r="Z75" s="2"/>
      </tp>
      <tp>
        <v>26.119281768798828</v>
        <stp/>
        <stp>##V3_BDPV12</stp>
        <stp>LX NOV21 10DP VOL LME Comdty</stp>
        <stp>PX_LAST</stp>
        <stp>[QwackPricer.xlsb.xlsx]Base!R87C26</stp>
        <tr r="Z87" s="2"/>
      </tp>
      <tp>
        <v>23.879497528076172</v>
        <stp/>
        <stp>##V3_BDPV12</stp>
        <stp>LX NOV20 25DP VOL LME Comdty</stp>
        <stp>PX_LAST</stp>
        <stp>[QwackPricer.xlsb.xlsx]Base!R75C27</stp>
        <tr r="AA75" s="2"/>
      </tp>
      <tp>
        <v>24.269500732421875</v>
        <stp/>
        <stp>##V3_BDPV12</stp>
        <stp>LX NOV21 25DP VOL LME Comdty</stp>
        <stp>PX_LAST</stp>
        <stp>[QwackPricer.xlsb.xlsx]Base!R87C27</stp>
        <tr r="AA87" s="2"/>
      </tp>
      <tp>
        <v>18.779485702514648</v>
        <stp/>
        <stp>##V3_BDPV12</stp>
        <stp>LA SEP21 10DP VOL LME Comdty</stp>
        <stp>PX_LAST</stp>
        <stp>[QwackPricer.xlsb.xlsx]Base!R85C4</stp>
        <tr r="D85" s="2"/>
      </tp>
      <tp>
        <v>17.569595336914063</v>
        <stp/>
        <stp>##V3_BDPV12</stp>
        <stp>LA SEP21 25DP VOL LME Comdty</stp>
        <stp>PX_LAST</stp>
        <stp>[QwackPricer.xlsb.xlsx]Base!R85C5</stp>
        <tr r="E85" s="2"/>
      </tp>
      <tp>
        <v>16.349790573120117</v>
        <stp/>
        <stp>##V3_BDPV12</stp>
        <stp>LA SEP21 25DC VOL LME Comdty</stp>
        <stp>PX_LAST</stp>
        <stp>[QwackPricer.xlsb.xlsx]Base!R85C7</stp>
        <tr r="G85" s="2"/>
      </tp>
      <tp>
        <v>16.73974609375</v>
        <stp/>
        <stp>##V3_BDPV12</stp>
        <stp>LA SEP21 10DC VOL LME Comdty</stp>
        <stp>PX_LAST</stp>
        <stp>[QwackPricer.xlsb.xlsx]Base!R85C8</stp>
        <tr r="H85" s="2"/>
      </tp>
      <tp>
        <v>22.010139465332031</v>
        <stp/>
        <stp>##V3_BDPV12</stp>
        <stp>LX APR22 50D VOL LME Comdty</stp>
        <stp>PX_LAST</stp>
        <stp>[QwackPricer.xlsb.xlsx]Base!R92C28</stp>
        <tr r="AB92" s="2"/>
      </tp>
      <tp>
        <v>29.249973297119141</v>
        <stp/>
        <stp>##V3_BDPV12</stp>
        <stp>LN APR22 50D VOL LME Comdty</stp>
        <stp>PX_LAST</stp>
        <stp>[QwackPricer.xlsb.xlsx]Base!R92C39</stp>
        <tr r="AM92" s="2"/>
      </tp>
      <tp>
        <v>20.52012825012207</v>
        <stp/>
        <stp>##V3_BDPV12</stp>
        <stp>LP APR22 50D VOL LME Comdty</stp>
        <stp>PX_LAST</stp>
        <stp>[QwackPricer.xlsb.xlsx]Base!R92C17</stp>
        <tr r="Q92" s="2"/>
      </tp>
      <tp>
        <v>28.929981231689453</v>
        <stp/>
        <stp>##V3_BDPV12</stp>
        <stp>LN AUG22 50D VOL LME Comdty</stp>
        <stp>PX_LAST</stp>
        <stp>[QwackPricer.xlsb.xlsx]Base!R96C39</stp>
        <tr r="AM96" s="2"/>
      </tp>
      <tp>
        <v>21.980152130126953</v>
        <stp/>
        <stp>##V3_BDPV12</stp>
        <stp>LX AUG22 50D VOL LME Comdty</stp>
        <stp>PX_LAST</stp>
        <stp>[QwackPricer.xlsb.xlsx]Base!R96C28</stp>
        <tr r="AB96" s="2"/>
      </tp>
      <tp>
        <v>20.37013053894043</v>
        <stp/>
        <stp>##V3_BDPV12</stp>
        <stp>LP AUG22 50D VOL LME Comdty</stp>
        <stp>PX_LAST</stp>
        <stp>[QwackPricer.xlsb.xlsx]Base!R96C17</stp>
        <tr r="Q96" s="2"/>
      </tp>
      <tp>
        <v>1.415</v>
        <stp/>
        <stp>##V3_BDHV12</stp>
        <stp>XPTUSD25B18m Curncy</stp>
        <stp>PX_LAST</stp>
        <stp>12/05/2020</stp>
        <stp>12/05/2020</stp>
        <stp>[QwackPricer.xlsb.xlsx]FX-IR!R186C7</stp>
        <tr r="G186" s="1"/>
      </tp>
      <tp>
        <v>-1.07</v>
        <stp/>
        <stp>##V3_BDHV12</stp>
        <stp>EURUSD25R18m Curncy</stp>
        <stp>PX_LAST</stp>
        <stp>12/05/2020</stp>
        <stp>12/05/2020</stp>
        <stp>[QwackPricer.xlsb.xlsx]FX-IR!R120C5</stp>
        <tr r="E120" s="1"/>
      </tp>
      <tp>
        <v>0.61499999999999999</v>
        <stp/>
        <stp>##V3_BDHV12</stp>
        <stp>XPTUSD25R18m Curncy</stp>
        <stp>PX_LAST</stp>
        <stp>12/05/2020</stp>
        <stp>12/05/2020</stp>
        <stp>[QwackPricer.xlsb.xlsx]FX-IR!R186C5</stp>
        <tr r="E186" s="1"/>
      </tp>
      <tp>
        <v>0.42499999999999999</v>
        <stp/>
        <stp>##V3_BDHV12</stp>
        <stp>EURUSD25B18m Curncy</stp>
        <stp>PX_LAST</stp>
        <stp>12/05/2020</stp>
        <stp>12/05/2020</stp>
        <stp>[QwackPricer.xlsb.xlsx]FX-IR!R120C7</stp>
        <tr r="G120" s="1"/>
      </tp>
      <tp>
        <v>18.219532012939453</v>
        <stp/>
        <stp>##V3_BDPV12</stp>
        <stp>LA SEP22 10DP VOL LME Comdty</stp>
        <stp>PX_LAST</stp>
        <stp>[QwackPricer.xlsb.xlsx]Base!R97C4</stp>
        <tr r="D97" s="2"/>
      </tp>
      <tp>
        <v>17.049652099609375</v>
        <stp/>
        <stp>##V3_BDPV12</stp>
        <stp>LA SEP22 25DP VOL LME Comdty</stp>
        <stp>PX_LAST</stp>
        <stp>[QwackPricer.xlsb.xlsx]Base!R97C5</stp>
        <tr r="E97" s="2"/>
      </tp>
      <tp>
        <v>15.949816703796387</v>
        <stp/>
        <stp>##V3_BDPV12</stp>
        <stp>LA SEP22 25DC VOL LME Comdty</stp>
        <stp>PX_LAST</stp>
        <stp>[QwackPricer.xlsb.xlsx]Base!R97C7</stp>
        <tr r="G97" s="2"/>
      </tp>
      <tp>
        <v>16.209831237792969</v>
        <stp/>
        <stp>##V3_BDPV12</stp>
        <stp>LA SEP22 10DC VOL LME Comdty</stp>
        <stp>PX_LAST</stp>
        <stp>[QwackPricer.xlsb.xlsx]Base!R97C8</stp>
        <tr r="H97" s="2"/>
      </tp>
      <tp>
        <v>99.79</v>
        <stp/>
        <stp>##V3_BDPV12</stp>
        <stp>EDH1 Comdty</stp>
        <stp>PX_LAST</stp>
        <stp>[QwackPricer.xlsb.xlsx]FX-IR!R74C3</stp>
        <tr r="C74" s="1"/>
      </tp>
      <tp>
        <v>16.899749755859375</v>
        <stp/>
        <stp>##V3_BDPV12</stp>
        <stp>LA JUN21 10DC VOL LME Comdty</stp>
        <stp>PX_LAST</stp>
        <stp>[QwackPricer.xlsb.xlsx]Base!R82C8</stp>
        <tr r="H82" s="2"/>
      </tp>
      <tp>
        <v>16.479799270629883</v>
        <stp/>
        <stp>##V3_BDPV12</stp>
        <stp>LA JUN21 25DC VOL LME Comdty</stp>
        <stp>PX_LAST</stp>
        <stp>[QwackPricer.xlsb.xlsx]Base!R82C7</stp>
        <tr r="G82" s="2"/>
      </tp>
      <tp>
        <v>17.759559631347656</v>
        <stp/>
        <stp>##V3_BDPV12</stp>
        <stp>LA JUN21 25DP VOL LME Comdty</stp>
        <stp>PX_LAST</stp>
        <stp>[QwackPricer.xlsb.xlsx]Base!R82C5</stp>
        <tr r="E82" s="2"/>
      </tp>
      <tp>
        <v>19.079429626464844</v>
        <stp/>
        <stp>##V3_BDPV12</stp>
        <stp>LA JUN21 10DP VOL LME Comdty</stp>
        <stp>PX_LAST</stp>
        <stp>[QwackPricer.xlsb.xlsx]Base!R82C4</stp>
        <tr r="D82" s="2"/>
      </tp>
      <tp>
        <v>99.805000000000007</v>
        <stp/>
        <stp>##V3_BDPV12</stp>
        <stp>EDM1 Comdty</stp>
        <stp>PX_LAST</stp>
        <stp>[QwackPricer.xlsb.xlsx]FX-IR!R75C3</stp>
        <tr r="C75" s="1"/>
      </tp>
      <tp>
        <v>31.799465179443359</v>
        <stp/>
        <stp>##V3_BDPV12</stp>
        <stp>LN OCT20 25DC VOL LME Comdty</stp>
        <stp>PX_LAST</stp>
        <stp>[QwackPricer.xlsb.xlsx]Base!R74C40</stp>
        <tr r="AN74" s="2"/>
      </tp>
      <tp>
        <v>30.739240646362305</v>
        <stp/>
        <stp>##V3_BDPV12</stp>
        <stp>LN OCT21 25DC VOL LME Comdty</stp>
        <stp>PX_LAST</stp>
        <stp>[QwackPricer.xlsb.xlsx]Base!R86C40</stp>
        <tr r="AN86" s="2"/>
      </tp>
      <tp>
        <v>29.819887161254883</v>
        <stp/>
        <stp>##V3_BDPV12</stp>
        <stp>LN APR22 25DP VOL LME Comdty</stp>
        <stp>PX_LAST</stp>
        <stp>[QwackPricer.xlsb.xlsx]Base!R92C38</stp>
        <tr r="AL92" s="2"/>
      </tp>
      <tp>
        <v>30.419830322265625</v>
        <stp/>
        <stp>##V3_BDPV12</stp>
        <stp>LN APR21 25DP VOL LME Comdty</stp>
        <stp>PX_LAST</stp>
        <stp>[QwackPricer.xlsb.xlsx]Base!R80C38</stp>
        <tr r="AL80" s="2"/>
      </tp>
      <tp>
        <v>30.419776916503906</v>
        <stp/>
        <stp>##V3_BDPV12</stp>
        <stp>LN APR22 10DP VOL LME Comdty</stp>
        <stp>PX_LAST</stp>
        <stp>[QwackPricer.xlsb.xlsx]Base!R92C37</stp>
        <tr r="AK92" s="2"/>
      </tp>
      <tp>
        <v>31.149688720703125</v>
        <stp/>
        <stp>##V3_BDPV12</stp>
        <stp>LN APR21 10DP VOL LME Comdty</stp>
        <stp>PX_LAST</stp>
        <stp>[QwackPricer.xlsb.xlsx]Base!R80C37</stp>
        <tr r="AK80" s="2"/>
      </tp>
      <tp>
        <v>32.689487457275391</v>
        <stp/>
        <stp>##V3_BDPV12</stp>
        <stp>LN OCT20 10DC VOL LME Comdty</stp>
        <stp>PX_LAST</stp>
        <stp>[QwackPricer.xlsb.xlsx]Base!R74C41</stp>
        <tr r="AO74" s="2"/>
      </tp>
      <tp>
        <v>31.789350509643555</v>
        <stp/>
        <stp>##V3_BDPV12</stp>
        <stp>LN OCT21 10DC VOL LME Comdty</stp>
        <stp>PX_LAST</stp>
        <stp>[QwackPricer.xlsb.xlsx]Base!R86C41</stp>
        <tr r="AO86" s="2"/>
      </tp>
      <tp>
        <v>20.509859085083008</v>
        <stp/>
        <stp>##V3_BDPV12</stp>
        <stp>LP OCT22 10DC VOL LME Comdty</stp>
        <stp>PX_LAST</stp>
        <stp>[QwackPricer.xlsb.xlsx]Base!R98C19</stp>
        <tr r="S98" s="2"/>
      </tp>
      <tp>
        <v>20.699867248535156</v>
        <stp/>
        <stp>##V3_BDPV12</stp>
        <stp>LP OCT21 10DC VOL LME Comdty</stp>
        <stp>PX_LAST</stp>
        <stp>[QwackPricer.xlsb.xlsx]Base!R86C19</stp>
        <tr r="S86" s="2"/>
      </tp>
      <tp>
        <v>21.719810485839844</v>
        <stp/>
        <stp>##V3_BDPV12</stp>
        <stp>LP OCT20 10DC VOL LME Comdty</stp>
        <stp>PX_LAST</stp>
        <stp>[QwackPricer.xlsb.xlsx]Base!R74C19</stp>
        <tr r="S74" s="2"/>
      </tp>
      <tp>
        <v>20.309846878051758</v>
        <stp/>
        <stp>##V3_BDPV12</stp>
        <stp>LP OCT22 25DC VOL LME Comdty</stp>
        <stp>PX_LAST</stp>
        <stp>[QwackPricer.xlsb.xlsx]Base!R98C18</stp>
        <tr r="R98" s="2"/>
      </tp>
      <tp>
        <v>20.519916534423828</v>
        <stp/>
        <stp>##V3_BDPV12</stp>
        <stp>LP OCT21 25DC VOL LME Comdty</stp>
        <stp>PX_LAST</stp>
        <stp>[QwackPricer.xlsb.xlsx]Base!R86C18</stp>
        <tr r="R86" s="2"/>
      </tp>
      <tp>
        <v>21.469934463500977</v>
        <stp/>
        <stp>##V3_BDPV12</stp>
        <stp>LP OCT20 25DC VOL LME Comdty</stp>
        <stp>PX_LAST</stp>
        <stp>[QwackPricer.xlsb.xlsx]Base!R74C18</stp>
        <tr r="R74" s="2"/>
      </tp>
      <tp>
        <v>22.509538650512695</v>
        <stp/>
        <stp>##V3_BDPV12</stp>
        <stp>LP APR22 25DP VOL LME Comdty</stp>
        <stp>PX_LAST</stp>
        <stp>[QwackPricer.xlsb.xlsx]Base!R92C16</stp>
        <tr r="P92" s="2"/>
      </tp>
      <tp>
        <v>23.449396133422852</v>
        <stp/>
        <stp>##V3_BDPV12</stp>
        <stp>LP APR21 25DP VOL LME Comdty</stp>
        <stp>PX_LAST</stp>
        <stp>[QwackPricer.xlsb.xlsx]Base!R80C16</stp>
        <tr r="P80" s="2"/>
      </tp>
      <tp>
        <v>24.269369125366211</v>
        <stp/>
        <stp>##V3_BDPV12</stp>
        <stp>LP APR22 10DP VOL LME Comdty</stp>
        <stp>PX_LAST</stp>
        <stp>[QwackPricer.xlsb.xlsx]Base!R92C15</stp>
        <tr r="O92" s="2"/>
      </tp>
      <tp>
        <v>25.389204025268555</v>
        <stp/>
        <stp>##V3_BDPV12</stp>
        <stp>LP APR21 10DP VOL LME Comdty</stp>
        <stp>PX_LAST</stp>
        <stp>[QwackPricer.xlsb.xlsx]Base!R80C15</stp>
        <tr r="O80" s="2"/>
      </tp>
      <tp>
        <v>22.079994201660156</v>
        <stp/>
        <stp>##V3_BDPV12</stp>
        <stp>LX OCT21 25DC VOL LME Comdty</stp>
        <stp>PX_LAST</stp>
        <stp>[QwackPricer.xlsb.xlsx]Base!R86C29</stp>
        <tr r="AC86" s="2"/>
      </tp>
      <tp>
        <v>22.379880905151367</v>
        <stp/>
        <stp>##V3_BDPV12</stp>
        <stp>LX OCT20 25DC VOL LME Comdty</stp>
        <stp>PX_LAST</stp>
        <stp>[QwackPricer.xlsb.xlsx]Base!R74C29</stp>
        <tr r="AC74" s="2"/>
      </tp>
      <tp>
        <v>22.56987190246582</v>
        <stp/>
        <stp>##V3_BDPV12</stp>
        <stp>LX OCT20 10DC VOL LME Comdty</stp>
        <stp>PX_LAST</stp>
        <stp>[QwackPricer.xlsb.xlsx]Base!R74C30</stp>
        <tr r="AD74" s="2"/>
      </tp>
      <tp>
        <v>21.979999542236328</v>
        <stp/>
        <stp>##V3_BDPV12</stp>
        <stp>LX OCT21 10DC VOL LME Comdty</stp>
        <stp>PX_LAST</stp>
        <stp>[QwackPricer.xlsb.xlsx]Base!R86C30</stp>
        <tr r="AD86" s="2"/>
      </tp>
      <tp>
        <v>25.769287109375</v>
        <stp/>
        <stp>##V3_BDPV12</stp>
        <stp>LX APR21 10DP VOL LME Comdty</stp>
        <stp>PX_LAST</stp>
        <stp>[QwackPricer.xlsb.xlsx]Base!R80C26</stp>
        <tr r="Z80" s="2"/>
      </tp>
      <tp>
        <v>26.009353637695313</v>
        <stp/>
        <stp>##V3_BDPV12</stp>
        <stp>LX APR22 10DP VOL LME Comdty</stp>
        <stp>PX_LAST</stp>
        <stp>[QwackPricer.xlsb.xlsx]Base!R92C26</stp>
        <tr r="Z92" s="2"/>
      </tp>
      <tp>
        <v>24.029474258422852</v>
        <stp/>
        <stp>##V3_BDPV12</stp>
        <stp>LX APR21 25DP VOL LME Comdty</stp>
        <stp>PX_LAST</stp>
        <stp>[QwackPricer.xlsb.xlsx]Base!R80C27</stp>
        <tr r="AA80" s="2"/>
      </tp>
      <tp>
        <v>24.199535369873047</v>
        <stp/>
        <stp>##V3_BDPV12</stp>
        <stp>LX APR22 25DP VOL LME Comdty</stp>
        <stp>PX_LAST</stp>
        <stp>[QwackPricer.xlsb.xlsx]Base!R92C27</stp>
        <tr r="AA92" s="2"/>
      </tp>
      <tp>
        <v>18.619499206542969</v>
        <stp/>
        <stp>##V3_BDPV12</stp>
        <stp>LA OCT21 10DP VOL LME Comdty</stp>
        <stp>PX_LAST</stp>
        <stp>[QwackPricer.xlsb.xlsx]Base!R86C4</stp>
        <tr r="D86" s="2"/>
      </tp>
      <tp>
        <v>17.419609069824219</v>
        <stp/>
        <stp>##V3_BDPV12</stp>
        <stp>LA OCT21 25DP VOL LME Comdty</stp>
        <stp>PX_LAST</stp>
        <stp>[QwackPricer.xlsb.xlsx]Base!R86C5</stp>
        <tr r="E86" s="2"/>
      </tp>
      <tp>
        <v>16.769746780395508</v>
        <stp/>
        <stp>##V3_BDPV12</stp>
        <stp>LA JUL21 10DC VOL LME Comdty</stp>
        <stp>PX_LAST</stp>
        <stp>[QwackPricer.xlsb.xlsx]Base!R83C8</stp>
        <tr r="H83" s="2"/>
      </tp>
      <tp>
        <v>16.40980339050293</v>
        <stp/>
        <stp>##V3_BDPV12</stp>
        <stp>LA JUL21 25DC VOL LME Comdty</stp>
        <stp>PX_LAST</stp>
        <stp>[QwackPricer.xlsb.xlsx]Base!R83C7</stp>
        <tr r="G83" s="2"/>
      </tp>
      <tp>
        <v>17.319618225097656</v>
        <stp/>
        <stp>##V3_BDPV12</stp>
        <stp>LA NOV21 25DP VOL LME Comdty</stp>
        <stp>PX_LAST</stp>
        <stp>[QwackPricer.xlsb.xlsx]Base!R87C5</stp>
        <tr r="E87" s="2"/>
      </tp>
      <tp>
        <v>18.499513626098633</v>
        <stp/>
        <stp>##V3_BDPV12</stp>
        <stp>LA NOV21 10DP VOL LME Comdty</stp>
        <stp>PX_LAST</stp>
        <stp>[QwackPricer.xlsb.xlsx]Base!R87C4</stp>
        <tr r="D87" s="2"/>
      </tp>
      <tp>
        <v>16.249780654907227</v>
        <stp/>
        <stp>##V3_BDPV12</stp>
        <stp>LA OCT21 25DC VOL LME Comdty</stp>
        <stp>PX_LAST</stp>
        <stp>[QwackPricer.xlsb.xlsx]Base!R86C7</stp>
        <tr r="G86" s="2"/>
      </tp>
      <tp>
        <v>16.659740447998047</v>
        <stp/>
        <stp>##V3_BDPV12</stp>
        <stp>LA OCT21 10DC VOL LME Comdty</stp>
        <stp>PX_LAST</stp>
        <stp>[QwackPricer.xlsb.xlsx]Base!R86C8</stp>
        <tr r="H86" s="2"/>
      </tp>
      <tp>
        <v>19.019462585449219</v>
        <stp/>
        <stp>##V3_BDPV12</stp>
        <stp>LA JUL21 10DP VOL LME Comdty</stp>
        <stp>PX_LAST</stp>
        <stp>[QwackPricer.xlsb.xlsx]Base!R83C4</stp>
        <tr r="D83" s="2"/>
      </tp>
      <tp>
        <v>17.729570388793945</v>
        <stp/>
        <stp>##V3_BDPV12</stp>
        <stp>LA JUL21 25DP VOL LME Comdty</stp>
        <stp>PX_LAST</stp>
        <stp>[QwackPricer.xlsb.xlsx]Base!R83C5</stp>
        <tr r="E83" s="2"/>
      </tp>
      <tp>
        <v>16.189773559570313</v>
        <stp/>
        <stp>##V3_BDPV12</stp>
        <stp>LA NOV21 25DC VOL LME Comdty</stp>
        <stp>PX_LAST</stp>
        <stp>[QwackPricer.xlsb.xlsx]Base!R87C7</stp>
        <tr r="G87" s="2"/>
      </tp>
      <tp>
        <v>16.609735488891602</v>
        <stp/>
        <stp>##V3_BDPV12</stp>
        <stp>LA NOV21 10DC VOL LME Comdty</stp>
        <stp>PX_LAST</stp>
        <stp>[QwackPricer.xlsb.xlsx]Base!R87C8</stp>
        <tr r="H87" s="2"/>
      </tp>
      <tp>
        <v>99.58</v>
        <stp/>
        <stp>##V3_BDPV12</stp>
        <stp>EDU3 Comdty</stp>
        <stp>PX_LAST</stp>
        <stp>[QwackPricer.xlsb.xlsx]FX-IR!R84C3</stp>
        <tr r="C84" s="1"/>
      </tp>
      <tp>
        <v>99.81</v>
        <stp/>
        <stp>##V3_BDPV12</stp>
        <stp>EDU1 Comdty</stp>
        <stp>PX_LAST</stp>
        <stp>[QwackPricer.xlsb.xlsx]FX-IR!R76C3</stp>
        <tr r="C76" s="1"/>
      </tp>
      <tp>
        <v>0.98</v>
        <stp/>
        <stp>##V3_BDHV12</stp>
        <stp>USDZAR25B3m Curncy</stp>
        <stp>PX_LAST</stp>
        <stp>12/05/2020</stp>
        <stp>12/05/2020</stp>
        <stp>[QwackPricer.xlsb.xlsx]FX-IR!R99C7</stp>
        <tr r="G99" s="1"/>
      </tp>
      <tp>
        <v>2.875</v>
        <stp/>
        <stp>##V3_BDHV12</stp>
        <stp>USDZAR10B3m Curncy</stp>
        <stp>PX_LAST</stp>
        <stp>12/05/2020</stp>
        <stp>12/05/2020</stp>
        <stp>[QwackPricer.xlsb.xlsx]FX-IR!R99C8</stp>
        <tr r="H99" s="1"/>
      </tp>
      <tp>
        <v>21.16908073425293</v>
        <stp/>
        <stp>##V3_BDPV12</stp>
        <stp>LA OCT20 10DP VOL LME Comdty</stp>
        <stp>PX_LAST</stp>
        <stp>[QwackPricer.xlsb.xlsx]Base!R74C4</stp>
        <tr r="D74" s="2"/>
      </tp>
      <tp>
        <v>19.009214401245117</v>
        <stp/>
        <stp>##V3_BDPV12</stp>
        <stp>LA OCT20 25DP VOL LME Comdty</stp>
        <stp>PX_LAST</stp>
        <stp>[QwackPricer.xlsb.xlsx]Base!R74C5</stp>
        <tr r="E74" s="2"/>
      </tp>
      <tp>
        <v>16.429901123046875</v>
        <stp/>
        <stp>##V3_BDPV12</stp>
        <stp>LA JUL20 10DC VOL LME Comdty</stp>
        <stp>PX_LAST</stp>
        <stp>[QwackPricer.xlsb.xlsx]Base!R71C8</stp>
        <tr r="H71" s="2"/>
      </tp>
      <tp>
        <v>16.319997787475586</v>
        <stp/>
        <stp>##V3_BDPV12</stp>
        <stp>LA JUL20 25DC VOL LME Comdty</stp>
        <stp>PX_LAST</stp>
        <stp>[QwackPricer.xlsb.xlsx]Base!R71C7</stp>
        <tr r="G71" s="2"/>
      </tp>
      <tp>
        <v>18.959259033203125</v>
        <stp/>
        <stp>##V3_BDPV12</stp>
        <stp>LA NOV20 25DP VOL LME Comdty</stp>
        <stp>PX_LAST</stp>
        <stp>[QwackPricer.xlsb.xlsx]Base!R75C5</stp>
        <tr r="E75" s="2"/>
      </tp>
      <tp>
        <v>21.029123306274414</v>
        <stp/>
        <stp>##V3_BDPV12</stp>
        <stp>LA NOV20 10DP VOL LME Comdty</stp>
        <stp>PX_LAST</stp>
        <stp>[QwackPricer.xlsb.xlsx]Base!R75C4</stp>
        <tr r="D75" s="2"/>
      </tp>
      <tp>
        <v>16.759950637817383</v>
        <stp/>
        <stp>##V3_BDPV12</stp>
        <stp>LA OCT20 25DC VOL LME Comdty</stp>
        <stp>PX_LAST</stp>
        <stp>[QwackPricer.xlsb.xlsx]Base!R74C7</stp>
        <tr r="G74" s="2"/>
      </tp>
      <tp>
        <v>16.919881820678711</v>
        <stp/>
        <stp>##V3_BDPV12</stp>
        <stp>LA OCT20 10DC VOL LME Comdty</stp>
        <stp>PX_LAST</stp>
        <stp>[QwackPricer.xlsb.xlsx]Base!R74C8</stp>
        <tr r="H74" s="2"/>
      </tp>
      <tp>
        <v>21.728921890258789</v>
        <stp/>
        <stp>##V3_BDPV12</stp>
        <stp>LA JUL20 10DP VOL LME Comdty</stp>
        <stp>PX_LAST</stp>
        <stp>[QwackPricer.xlsb.xlsx]Base!R71C4</stp>
        <tr r="D71" s="2"/>
      </tp>
      <tp>
        <v>19.048955917358398</v>
        <stp/>
        <stp>##V3_BDPV12</stp>
        <stp>LA JUL20 25DP VOL LME Comdty</stp>
        <stp>PX_LAST</stp>
        <stp>[QwackPricer.xlsb.xlsx]Base!R71C5</stp>
        <tr r="E71" s="2"/>
      </tp>
      <tp>
        <v>16.799932479858398</v>
        <stp/>
        <stp>##V3_BDPV12</stp>
        <stp>LA NOV20 25DC VOL LME Comdty</stp>
        <stp>PX_LAST</stp>
        <stp>[QwackPricer.xlsb.xlsx]Base!R75C7</stp>
        <tr r="G75" s="2"/>
      </tp>
      <tp>
        <v>16.96986198425293</v>
        <stp/>
        <stp>##V3_BDPV12</stp>
        <stp>LA NOV20 10DC VOL LME Comdty</stp>
        <stp>PX_LAST</stp>
        <stp>[QwackPricer.xlsb.xlsx]Base!R75C8</stp>
        <tr r="H75" s="2"/>
      </tp>
      <tp>
        <v>99.795000000000002</v>
        <stp/>
        <stp>##V3_BDPV12</stp>
        <stp>EDZ1 Comdty</stp>
        <stp>PX_LAST</stp>
        <stp>[QwackPricer.xlsb.xlsx]FX-IR!R77C3</stp>
        <tr r="C77" s="1"/>
      </tp>
      <tp>
        <v>99.525000000000006</v>
        <stp/>
        <stp>##V3_BDPV12</stp>
        <stp>EDZ3 Comdty</stp>
        <stp>PX_LAST</stp>
        <stp>[QwackPricer.xlsb.xlsx]FX-IR!R85C3</stp>
        <tr r="C85" s="1"/>
      </tp>
      <tp>
        <v>0.97499999999999998</v>
        <stp/>
        <stp>##V3_BDHV12</stp>
        <stp>USDZAR25B2m Curncy</stp>
        <stp>PX_LAST</stp>
        <stp>12/05/2020</stp>
        <stp>12/05/2020</stp>
        <stp>[QwackPricer.xlsb.xlsx]FX-IR!R98C7</stp>
        <tr r="G98" s="1"/>
      </tp>
      <tp>
        <v>2.895</v>
        <stp/>
        <stp>##V3_BDHV12</stp>
        <stp>USDZAR10B2m Curncy</stp>
        <stp>PX_LAST</stp>
        <stp>12/05/2020</stp>
        <stp>12/05/2020</stp>
        <stp>[QwackPricer.xlsb.xlsx]FX-IR!R98C8</stp>
        <tr r="H98" s="1"/>
      </tp>
      <tp>
        <v>22.060003280639648</v>
        <stp/>
        <stp>##V3_BDPV12</stp>
        <stp>LX JAN21 10DC VOL LME Comdty</stp>
        <stp>PX_LAST</stp>
        <stp>[QwackPricer.xlsb.xlsx]Base!R77C30</stp>
        <tr r="AD77" s="2"/>
      </tp>
      <tp>
        <v>22.009986877441406</v>
        <stp/>
        <stp>##V3_BDPV12</stp>
        <stp>LX JAN22 10DC VOL LME Comdty</stp>
        <stp>PX_LAST</stp>
        <stp>[QwackPricer.xlsb.xlsx]Base!R89C30</stp>
        <tr r="AD89" s="2"/>
      </tp>
      <tp>
        <v>22.039953231811523</v>
        <stp/>
        <stp>##V3_BDPV12</stp>
        <stp>LX JAN22 25DC VOL LME Comdty</stp>
        <stp>PX_LAST</stp>
        <stp>[QwackPricer.xlsb.xlsx]Base!R89C29</stp>
        <tr r="AC89" s="2"/>
      </tp>
      <tp>
        <v>22.179994583129883</v>
        <stp/>
        <stp>##V3_BDPV12</stp>
        <stp>LX JAN21 25DC VOL LME Comdty</stp>
        <stp>PX_LAST</stp>
        <stp>[QwackPricer.xlsb.xlsx]Base!R77C29</stp>
        <tr r="AC77" s="2"/>
      </tp>
      <tp>
        <v>30.15919303894043</v>
        <stp/>
        <stp>##V3_BDPV12</stp>
        <stp>LN MAY22 25DC VOL LME Comdty</stp>
        <stp>PX_LAST</stp>
        <stp>[QwackPricer.xlsb.xlsx]Base!R93C40</stp>
        <tr r="AN93" s="2"/>
      </tp>
      <tp>
        <v>30.789339065551758</v>
        <stp/>
        <stp>##V3_BDPV12</stp>
        <stp>LN MAY21 25DC VOL LME Comdty</stp>
        <stp>PX_LAST</stp>
        <stp>[QwackPricer.xlsb.xlsx]Base!R81C40</stp>
        <tr r="AN81" s="2"/>
      </tp>
      <tp>
        <v>31.209325790405273</v>
        <stp/>
        <stp>##V3_BDPV12</stp>
        <stp>LN MAY22 10DC VOL LME Comdty</stp>
        <stp>PX_LAST</stp>
        <stp>[QwackPricer.xlsb.xlsx]Base!R93C41</stp>
        <tr r="AO93" s="2"/>
      </tp>
      <tp>
        <v>31.779403686523438</v>
        <stp/>
        <stp>##V3_BDPV12</stp>
        <stp>LN MAY21 10DC VOL LME Comdty</stp>
        <stp>PX_LAST</stp>
        <stp>[QwackPricer.xlsb.xlsx]Base!R81C41</stp>
        <tr r="AO81" s="2"/>
      </tp>
      <tp>
        <v>20.5299072265625</v>
        <stp/>
        <stp>##V3_BDPV12</stp>
        <stp>LP JAN22 25DC VOL LME Comdty</stp>
        <stp>PX_LAST</stp>
        <stp>[QwackPricer.xlsb.xlsx]Base!R89C18</stp>
        <tr r="R89" s="2"/>
      </tp>
      <tp>
        <v>21.259933471679688</v>
        <stp/>
        <stp>##V3_BDPV12</stp>
        <stp>LP JAN21 25DC VOL LME Comdty</stp>
        <stp>PX_LAST</stp>
        <stp>[QwackPricer.xlsb.xlsx]Base!R77C18</stp>
        <tr r="R77" s="2"/>
      </tp>
      <tp>
        <v>20.64990234375</v>
        <stp/>
        <stp>##V3_BDPV12</stp>
        <stp>LP JAN22 10DC VOL LME Comdty</stp>
        <stp>PX_LAST</stp>
        <stp>[QwackPricer.xlsb.xlsx]Base!R89C19</stp>
        <tr r="S89" s="2"/>
      </tp>
      <tp>
        <v>21.459840774536133</v>
        <stp/>
        <stp>##V3_BDPV12</stp>
        <stp>LP JAN21 10DC VOL LME Comdty</stp>
        <stp>PX_LAST</stp>
        <stp>[QwackPricer.xlsb.xlsx]Base!R77C19</stp>
        <tr r="S77" s="2"/>
      </tp>
      <tp>
        <v>31.949453353881836</v>
        <stp/>
        <stp>##V3_BDPV12</stp>
        <stp>LN MAR21 10DC VOL LME Comdty</stp>
        <stp>PX_LAST</stp>
        <stp>[QwackPricer.xlsb.xlsx]Base!R79C41</stp>
        <tr r="AO79" s="2"/>
      </tp>
      <tp>
        <v>31.349344253540039</v>
        <stp/>
        <stp>##V3_BDPV12</stp>
        <stp>LN MAR22 10DC VOL LME Comdty</stp>
        <stp>PX_LAST</stp>
        <stp>[QwackPricer.xlsb.xlsx]Base!R91C41</stp>
        <tr r="AO91" s="2"/>
      </tp>
      <tp>
        <v>30.97938346862793</v>
        <stp/>
        <stp>##V3_BDPV12</stp>
        <stp>LN MAR21 25DC VOL LME Comdty</stp>
        <stp>PX_LAST</stp>
        <stp>[QwackPricer.xlsb.xlsx]Base!R79C40</stp>
        <tr r="AN79" s="2"/>
      </tp>
      <tp>
        <v>30.329216003417969</v>
        <stp/>
        <stp>##V3_BDPV12</stp>
        <stp>LN MAR22 25DC VOL LME Comdty</stp>
        <stp>PX_LAST</stp>
        <stp>[QwackPricer.xlsb.xlsx]Base!R91C40</stp>
        <tr r="AN91" s="2"/>
      </tp>
      <tp>
        <v>31.959508895874023</v>
        <stp/>
        <stp>##V3_BDPV12</stp>
        <stp>LN JAN21 10DC VOL LME Comdty</stp>
        <stp>PX_LAST</stp>
        <stp>[QwackPricer.xlsb.xlsx]Base!R77C41</stp>
        <tr r="AO77" s="2"/>
      </tp>
      <tp>
        <v>31.67933464050293</v>
        <stp/>
        <stp>##V3_BDPV12</stp>
        <stp>LN JAN22 10DC VOL LME Comdty</stp>
        <stp>PX_LAST</stp>
        <stp>[QwackPricer.xlsb.xlsx]Base!R89C41</stp>
        <tr r="AO89" s="2"/>
      </tp>
      <tp>
        <v>31.199462890625</v>
        <stp/>
        <stp>##V3_BDPV12</stp>
        <stp>LN JAN21 25DC VOL LME Comdty</stp>
        <stp>PX_LAST</stp>
        <stp>[QwackPricer.xlsb.xlsx]Base!R77C40</stp>
        <tr r="AN77" s="2"/>
      </tp>
      <tp>
        <v>30.56920051574707</v>
        <stp/>
        <stp>##V3_BDPV12</stp>
        <stp>LN JAN22 25DC VOL LME Comdty</stp>
        <stp>PX_LAST</stp>
        <stp>[QwackPricer.xlsb.xlsx]Base!R89C40</stp>
        <tr r="AN89" s="2"/>
      </tp>
      <tp>
        <v>22.070005416870117</v>
        <stp/>
        <stp>##V3_BDPV12</stp>
        <stp>LX MAY21 25DC VOL LME Comdty</stp>
        <stp>PX_LAST</stp>
        <stp>[QwackPricer.xlsb.xlsx]Base!R81C29</stp>
        <tr r="AC81" s="2"/>
      </tp>
      <tp>
        <v>20.489896774291992</v>
        <stp/>
        <stp>##V3_BDPV12</stp>
        <stp>LP MAR22 25DC VOL LME Comdty</stp>
        <stp>PX_LAST</stp>
        <stp>[QwackPricer.xlsb.xlsx]Base!R91C18</stp>
        <tr r="R91" s="2"/>
      </tp>
      <tp>
        <v>22.029933929443359</v>
        <stp/>
        <stp>##V3_BDPV12</stp>
        <stp>LX MAY22 25DC VOL LME Comdty</stp>
        <stp>PX_LAST</stp>
        <stp>[QwackPricer.xlsb.xlsx]Base!R93C29</stp>
        <tr r="AC93" s="2"/>
      </tp>
      <tp>
        <v>21.219924926757813</v>
        <stp/>
        <stp>##V3_BDPV12</stp>
        <stp>LP MAR21 25DC VOL LME Comdty</stp>
        <stp>PX_LAST</stp>
        <stp>[QwackPricer.xlsb.xlsx]Base!R79C18</stp>
        <tr r="R79" s="2"/>
      </tp>
      <tp>
        <v>20.629911422729492</v>
        <stp/>
        <stp>##V3_BDPV12</stp>
        <stp>LP MAR22 10DC VOL LME Comdty</stp>
        <stp>PX_LAST</stp>
        <stp>[QwackPricer.xlsb.xlsx]Base!R91C19</stp>
        <tr r="S91" s="2"/>
      </tp>
      <tp>
        <v>21.419843673706055</v>
        <stp/>
        <stp>##V3_BDPV12</stp>
        <stp>LP MAR21 10DC VOL LME Comdty</stp>
        <stp>PX_LAST</stp>
        <stp>[QwackPricer.xlsb.xlsx]Base!R79C19</stp>
        <tr r="S79" s="2"/>
      </tp>
      <tp>
        <v>21.990009307861328</v>
        <stp/>
        <stp>##V3_BDPV12</stp>
        <stp>LX MAY21 10DC VOL LME Comdty</stp>
        <stp>PX_LAST</stp>
        <stp>[QwackPricer.xlsb.xlsx]Base!R81C30</stp>
        <tr r="AD81" s="2"/>
      </tp>
      <tp>
        <v>21.999980926513672</v>
        <stp/>
        <stp>##V3_BDPV12</stp>
        <stp>LX MAY22 10DC VOL LME Comdty</stp>
        <stp>PX_LAST</stp>
        <stp>[QwackPricer.xlsb.xlsx]Base!R93C30</stp>
        <tr r="AD93" s="2"/>
      </tp>
      <tp>
        <v>22.03001594543457</v>
        <stp/>
        <stp>##V3_BDPV12</stp>
        <stp>LX MAR21 10DC VOL LME Comdty</stp>
        <stp>PX_LAST</stp>
        <stp>[QwackPricer.xlsb.xlsx]Base!R79C30</stp>
        <tr r="AD79" s="2"/>
      </tp>
      <tp>
        <v>22.009981155395508</v>
        <stp/>
        <stp>##V3_BDPV12</stp>
        <stp>LX MAR22 10DC VOL LME Comdty</stp>
        <stp>PX_LAST</stp>
        <stp>[QwackPricer.xlsb.xlsx]Base!R91C30</stp>
        <tr r="AD91" s="2"/>
      </tp>
      <tp>
        <v>20.57990837097168</v>
        <stp/>
        <stp>##V3_BDPV12</stp>
        <stp>LP MAY22 10DC VOL LME Comdty</stp>
        <stp>PX_LAST</stp>
        <stp>[QwackPricer.xlsb.xlsx]Base!R93C19</stp>
        <tr r="S93" s="2"/>
      </tp>
      <tp>
        <v>21.079854965209961</v>
        <stp/>
        <stp>##V3_BDPV12</stp>
        <stp>LP MAY21 10DC VOL LME Comdty</stp>
        <stp>PX_LAST</stp>
        <stp>[QwackPricer.xlsb.xlsx]Base!R81C19</stp>
        <tr r="S81" s="2"/>
      </tp>
      <tp>
        <v>20.429885864257813</v>
        <stp/>
        <stp>##V3_BDPV12</stp>
        <stp>LP MAY22 25DC VOL LME Comdty</stp>
        <stp>PX_LAST</stp>
        <stp>[QwackPricer.xlsb.xlsx]Base!R93C18</stp>
        <tr r="R93" s="2"/>
      </tp>
      <tp>
        <v>20.879922866821289</v>
        <stp/>
        <stp>##V3_BDPV12</stp>
        <stp>LP MAY21 25DC VOL LME Comdty</stp>
        <stp>PX_LAST</stp>
        <stp>[QwackPricer.xlsb.xlsx]Base!R81C18</stp>
        <tr r="R81" s="2"/>
      </tp>
      <tp>
        <v>22.029935836791992</v>
        <stp/>
        <stp>##V3_BDPV12</stp>
        <stp>LX MAR22 25DC VOL LME Comdty</stp>
        <stp>PX_LAST</stp>
        <stp>[QwackPricer.xlsb.xlsx]Base!R91C29</stp>
        <tr r="AC91" s="2"/>
      </tp>
      <tp>
        <v>22.150014877319336</v>
        <stp/>
        <stp>##V3_BDPV12</stp>
        <stp>LX MAR21 25DC VOL LME Comdty</stp>
        <stp>PX_LAST</stp>
        <stp>[QwackPricer.xlsb.xlsx]Base!R79C29</stp>
        <tr r="AC79" s="2"/>
      </tp>
      <tp>
        <v>16.019886016845703</v>
        <stp/>
        <stp>##V3_BDPV12</stp>
        <stp>LA JUN20 10DC VOL LME Comdty</stp>
        <stp>PX_LAST</stp>
        <stp>[QwackPricer.xlsb.xlsx]Base!R70C8</stp>
        <tr r="H70" s="2"/>
      </tp>
      <tp>
        <v>15.859993934631348</v>
        <stp/>
        <stp>##V3_BDPV12</stp>
        <stp>LA JUN20 25DC VOL LME Comdty</stp>
        <stp>PX_LAST</stp>
        <stp>[QwackPricer.xlsb.xlsx]Base!R70C7</stp>
        <tr r="G70" s="2"/>
      </tp>
      <tp>
        <v>18.768842697143555</v>
        <stp/>
        <stp>##V3_BDPV12</stp>
        <stp>LA JUN20 25DP VOL LME Comdty</stp>
        <stp>PX_LAST</stp>
        <stp>[QwackPricer.xlsb.xlsx]Base!R70C5</stp>
        <tr r="E70" s="2"/>
      </tp>
      <tp>
        <v>21.538915634155273</v>
        <stp/>
        <stp>##V3_BDPV12</stp>
        <stp>LA JUN20 10DP VOL LME Comdty</stp>
        <stp>PX_LAST</stp>
        <stp>[QwackPricer.xlsb.xlsx]Base!R70C4</stp>
        <tr r="D70" s="2"/>
      </tp>
      <tp>
        <v>99.66</v>
        <stp/>
        <stp>##V3_BDPV12</stp>
        <stp>EDM0 Comdty</stp>
        <stp>PX_LAST</stp>
        <stp>[QwackPricer.xlsb.xlsx]FX-IR!R71C3</stp>
        <tr r="C71" s="1"/>
      </tp>
      <tp>
        <v>99.655000000000001</v>
        <stp/>
        <stp>##V3_BDPV12</stp>
        <stp>EDH3 Comdty</stp>
        <stp>PX_LAST</stp>
        <stp>[QwackPricer.xlsb.xlsx]FX-IR!R82C3</stp>
        <tr r="C82" s="1"/>
      </tp>
      <tp>
        <v>24.679082870483398</v>
        <stp/>
        <stp>##V3_BDPV12</stp>
        <stp>LP AUG20 25DP VOL LME Comdty</stp>
        <stp>PX_LAST</stp>
        <stp>[QwackPricer.xlsb.xlsx]Base!R72C16</stp>
        <tr r="P72" s="2"/>
      </tp>
      <tp>
        <v>23.699462890625</v>
        <stp/>
        <stp>##V3_BDPV12</stp>
        <stp>LX JUL20 25DP VOL LME Comdty</stp>
        <stp>PX_LAST</stp>
        <stp>[QwackPricer.xlsb.xlsx]Base!R71C27</stp>
        <tr r="AA71" s="2"/>
      </tp>
      <tp>
        <v>24.259469985961914</v>
        <stp/>
        <stp>##V3_BDPV12</stp>
        <stp>LX JUL21 25DP VOL LME Comdty</stp>
        <stp>PX_LAST</stp>
        <stp>[QwackPricer.xlsb.xlsx]Base!R83C27</stp>
        <tr r="AA83" s="2"/>
      </tp>
      <tp>
        <v>22.309572219848633</v>
        <stp/>
        <stp>##V3_BDPV12</stp>
        <stp>LP AUG22 25DP VOL LME Comdty</stp>
        <stp>PX_LAST</stp>
        <stp>[QwackPricer.xlsb.xlsx]Base!R96C16</stp>
        <tr r="P96" s="2"/>
      </tp>
      <tp>
        <v>24.189573287963867</v>
        <stp/>
        <stp>##V3_BDPV12</stp>
        <stp>LX JUL22 25DP VOL LME Comdty</stp>
        <stp>PX_LAST</stp>
        <stp>[QwackPricer.xlsb.xlsx]Base!R95C27</stp>
        <tr r="AA95" s="2"/>
      </tp>
      <tp>
        <v>23.019439697265625</v>
        <stp/>
        <stp>##V3_BDPV12</stp>
        <stp>LP AUG21 25DP VOL LME Comdty</stp>
        <stp>PX_LAST</stp>
        <stp>[QwackPricer.xlsb.xlsx]Base!R84C16</stp>
        <tr r="P84" s="2"/>
      </tp>
      <tp>
        <v>24.869365692138672</v>
        <stp/>
        <stp>##V3_BDPV12</stp>
        <stp>LX JUN20 10DP VOL LME Comdty</stp>
        <stp>PX_LAST</stp>
        <stp>[QwackPricer.xlsb.xlsx]Base!R70C26</stp>
        <tr r="Z70" s="2"/>
      </tp>
      <tp>
        <v>25.859264373779297</v>
        <stp/>
        <stp>##V3_BDPV12</stp>
        <stp>LX JUN21 10DP VOL LME Comdty</stp>
        <stp>PX_LAST</stp>
        <stp>[QwackPricer.xlsb.xlsx]Base!R82C26</stp>
        <tr r="Z82" s="2"/>
      </tp>
      <tp>
        <v>25.979387283325195</v>
        <stp/>
        <stp>##V3_BDPV12</stp>
        <stp>LX JUN22 10DP VOL LME Comdty</stp>
        <stp>PX_LAST</stp>
        <stp>[QwackPricer.xlsb.xlsx]Base!R94C26</stp>
        <tr r="Z94" s="2"/>
      </tp>
      <tp>
        <v>23.499431610107422</v>
        <stp/>
        <stp>##V3_BDPV12</stp>
        <stp>LX JUN20 25DP VOL LME Comdty</stp>
        <stp>PX_LAST</stp>
        <stp>[QwackPricer.xlsb.xlsx]Base!R70C27</stp>
        <tr r="AA70" s="2"/>
      </tp>
      <tp>
        <v>24.069473266601563</v>
        <stp/>
        <stp>##V3_BDPV12</stp>
        <stp>LX JUN21 25DP VOL LME Comdty</stp>
        <stp>PX_LAST</stp>
        <stp>[QwackPricer.xlsb.xlsx]Base!R82C27</stp>
        <tr r="AA82" s="2"/>
      </tp>
      <tp>
        <v>24.189556121826172</v>
        <stp/>
        <stp>##V3_BDPV12</stp>
        <stp>LX JUN22 25DP VOL LME Comdty</stp>
        <stp>PX_LAST</stp>
        <stp>[QwackPricer.xlsb.xlsx]Base!R94C27</stp>
        <tr r="AA94" s="2"/>
      </tp>
      <tp>
        <v>24.979393005371094</v>
        <stp/>
        <stp>##V3_BDPV12</stp>
        <stp>LX JUL20 10DP VOL LME Comdty</stp>
        <stp>PX_LAST</stp>
        <stp>[QwackPricer.xlsb.xlsx]Base!R71C26</stp>
        <tr r="Z71" s="2"/>
      </tp>
      <tp>
        <v>27.029006958007813</v>
        <stp/>
        <stp>##V3_BDPV12</stp>
        <stp>LP AUG20 10DP VOL LME Comdty</stp>
        <stp>PX_LAST</stp>
        <stp>[QwackPricer.xlsb.xlsx]Base!R72C15</stp>
        <tr r="O72" s="2"/>
      </tp>
      <tp>
        <v>24.059385299682617</v>
        <stp/>
        <stp>##V3_BDPV12</stp>
        <stp>LP AUG22 10DP VOL LME Comdty</stp>
        <stp>PX_LAST</stp>
        <stp>[QwackPricer.xlsb.xlsx]Base!R96C15</stp>
        <tr r="O96" s="2"/>
      </tp>
      <tp>
        <v>24.929256439208984</v>
        <stp/>
        <stp>##V3_BDPV12</stp>
        <stp>LP AUG21 10DP VOL LME Comdty</stp>
        <stp>PX_LAST</stp>
        <stp>[QwackPricer.xlsb.xlsx]Base!R84C15</stp>
        <tr r="O84" s="2"/>
      </tp>
      <tp>
        <v>26.089262008666992</v>
        <stp/>
        <stp>##V3_BDPV12</stp>
        <stp>LX JUL21 10DP VOL LME Comdty</stp>
        <stp>PX_LAST</stp>
        <stp>[QwackPricer.xlsb.xlsx]Base!R83C26</stp>
        <tr r="Z83" s="2"/>
      </tp>
      <tp>
        <v>25.87940788269043</v>
        <stp/>
        <stp>##V3_BDPV12</stp>
        <stp>LX JUL22 10DP VOL LME Comdty</stp>
        <stp>PX_LAST</stp>
        <stp>[QwackPricer.xlsb.xlsx]Base!R95C26</stp>
        <tr r="Z95" s="2"/>
      </tp>
      <tp>
        <v>25.109411239624023</v>
        <stp/>
        <stp>##V3_BDPV12</stp>
        <stp>LX AUG20 10DP VOL LME Comdty</stp>
        <stp>PX_LAST</stp>
        <stp>[QwackPricer.xlsb.xlsx]Base!R72C26</stp>
        <tr r="Z72" s="2"/>
      </tp>
      <tp>
        <v>27.148952484130859</v>
        <stp/>
        <stp>##V3_BDPV12</stp>
        <stp>LP JUL20 10DP VOL LME Comdty</stp>
        <stp>PX_LAST</stp>
        <stp>[QwackPricer.xlsb.xlsx]Base!R71C15</stp>
        <tr r="O71" s="2"/>
      </tp>
      <tp>
        <v>24.099382400512695</v>
        <stp/>
        <stp>##V3_BDPV12</stp>
        <stp>LP JUL22 10DP VOL LME Comdty</stp>
        <stp>PX_LAST</stp>
        <stp>[QwackPricer.xlsb.xlsx]Base!R95C15</stp>
        <tr r="O95" s="2"/>
      </tp>
      <tp>
        <v>24.9892578125</v>
        <stp/>
        <stp>##V3_BDPV12</stp>
        <stp>LP JUL21 10DP VOL LME Comdty</stp>
        <stp>PX_LAST</stp>
        <stp>[QwackPricer.xlsb.xlsx]Base!R83C15</stp>
        <tr r="O83" s="2"/>
      </tp>
      <tp>
        <v>26.089258193969727</v>
        <stp/>
        <stp>##V3_BDPV12</stp>
        <stp>LX AUG21 10DP VOL LME Comdty</stp>
        <stp>PX_LAST</stp>
        <stp>[QwackPricer.xlsb.xlsx]Base!R84C26</stp>
        <tr r="Z84" s="2"/>
      </tp>
      <tp>
        <v>25.869424819946289</v>
        <stp/>
        <stp>##V3_BDPV12</stp>
        <stp>LX AUG22 10DP VOL LME Comdty</stp>
        <stp>PX_LAST</stp>
        <stp>[QwackPricer.xlsb.xlsx]Base!R96C26</stp>
        <tr r="Z96" s="2"/>
      </tp>
      <tp>
        <v>24.608871459960938</v>
        <stp/>
        <stp>##V3_BDPV12</stp>
        <stp>LP JUN20 25DP VOL LME Comdty</stp>
        <stp>PX_LAST</stp>
        <stp>[QwackPricer.xlsb.xlsx]Base!R70C16</stp>
        <tr r="P70" s="2"/>
      </tp>
      <tp>
        <v>22.419553756713867</v>
        <stp/>
        <stp>##V3_BDPV12</stp>
        <stp>LP JUN22 25DP VOL LME Comdty</stp>
        <stp>PX_LAST</stp>
        <stp>[QwackPricer.xlsb.xlsx]Base!R94C16</stp>
        <tr r="P94" s="2"/>
      </tp>
      <tp>
        <v>23.089427947998047</v>
        <stp/>
        <stp>##V3_BDPV12</stp>
        <stp>LP JUN21 25DP VOL LME Comdty</stp>
        <stp>PX_LAST</stp>
        <stp>[QwackPricer.xlsb.xlsx]Base!R82C16</stp>
        <tr r="P82" s="2"/>
      </tp>
      <tp>
        <v>27.278898239135742</v>
        <stp/>
        <stp>##V3_BDPV12</stp>
        <stp>LP JUN20 10DP VOL LME Comdty</stp>
        <stp>PX_LAST</stp>
        <stp>[QwackPricer.xlsb.xlsx]Base!R70C15</stp>
        <tr r="O70" s="2"/>
      </tp>
      <tp>
        <v>24.159379959106445</v>
        <stp/>
        <stp>##V3_BDPV12</stp>
        <stp>LP JUN22 10DP VOL LME Comdty</stp>
        <stp>PX_LAST</stp>
        <stp>[QwackPricer.xlsb.xlsx]Base!R94C15</stp>
        <tr r="O94" s="2"/>
      </tp>
      <tp>
        <v>24.979238510131836</v>
        <stp/>
        <stp>##V3_BDPV12</stp>
        <stp>LP JUN21 10DP VOL LME Comdty</stp>
        <stp>PX_LAST</stp>
        <stp>[QwackPricer.xlsb.xlsx]Base!R82C15</stp>
        <tr r="O82" s="2"/>
      </tp>
      <tp>
        <v>24.668998718261719</v>
        <stp/>
        <stp>##V3_BDPV12</stp>
        <stp>LP JUL20 25DP VOL LME Comdty</stp>
        <stp>PX_LAST</stp>
        <stp>[QwackPricer.xlsb.xlsx]Base!R71C16</stp>
        <tr r="P71" s="2"/>
      </tp>
      <tp>
        <v>23.829486846923828</v>
        <stp/>
        <stp>##V3_BDPV12</stp>
        <stp>LX AUG20 25DP VOL LME Comdty</stp>
        <stp>PX_LAST</stp>
        <stp>[QwackPricer.xlsb.xlsx]Base!R72C27</stp>
        <tr r="AA72" s="2"/>
      </tp>
      <tp>
        <v>22.359561920166016</v>
        <stp/>
        <stp>##V3_BDPV12</stp>
        <stp>LP JUL22 25DP VOL LME Comdty</stp>
        <stp>PX_LAST</stp>
        <stp>[QwackPricer.xlsb.xlsx]Base!R95C16</stp>
        <tr r="P95" s="2"/>
      </tp>
      <tp>
        <v>24.25947380065918</v>
        <stp/>
        <stp>##V3_BDPV12</stp>
        <stp>LX AUG21 25DP VOL LME Comdty</stp>
        <stp>PX_LAST</stp>
        <stp>[QwackPricer.xlsb.xlsx]Base!R84C27</stp>
        <tr r="AA84" s="2"/>
      </tp>
      <tp>
        <v>23.079431533813477</v>
        <stp/>
        <stp>##V3_BDPV12</stp>
        <stp>LP JUL21 25DP VOL LME Comdty</stp>
        <stp>PX_LAST</stp>
        <stp>[QwackPricer.xlsb.xlsx]Base!R83C16</stp>
        <tr r="P83" s="2"/>
      </tp>
      <tp>
        <v>24.189582824707031</v>
        <stp/>
        <stp>##V3_BDPV12</stp>
        <stp>LX AUG22 25DP VOL LME Comdty</stp>
        <stp>PX_LAST</stp>
        <stp>[QwackPricer.xlsb.xlsx]Base!R96C27</stp>
        <tr r="AA96" s="2"/>
      </tp>
      <tp>
        <v>33.049503326416016</v>
        <stp/>
        <stp>##V3_BDPV12</stp>
        <stp>LN JUL20 10DP VOL LME Comdty</stp>
        <stp>PX_LAST</stp>
        <stp>[QwackPricer.xlsb.xlsx]Base!R71C37</stp>
        <tr r="AK71" s="2"/>
      </tp>
      <tp>
        <v>30.249763488769531</v>
        <stp/>
        <stp>##V3_BDPV12</stp>
        <stp>LN JUL22 10DP VOL LME Comdty</stp>
        <stp>PX_LAST</stp>
        <stp>[QwackPricer.xlsb.xlsx]Base!R95C37</stp>
        <tr r="AK95" s="2"/>
      </tp>
      <tp>
        <v>30.889724731445313</v>
        <stp/>
        <stp>##V3_BDPV12</stp>
        <stp>LN JUL21 10DP VOL LME Comdty</stp>
        <stp>PX_LAST</stp>
        <stp>[QwackPricer.xlsb.xlsx]Base!R83C37</stp>
        <tr r="AK83" s="2"/>
      </tp>
      <tp>
        <v>29.679887771606445</v>
        <stp/>
        <stp>##V3_BDPV12</stp>
        <stp>LN JUN22 25DP VOL LME Comdty</stp>
        <stp>PX_LAST</stp>
        <stp>[QwackPricer.xlsb.xlsx]Base!R94C38</stp>
        <tr r="AL94" s="2"/>
      </tp>
      <tp>
        <v>30.259843826293945</v>
        <stp/>
        <stp>##V3_BDPV12</stp>
        <stp>LN JUN21 25DP VOL LME Comdty</stp>
        <stp>PX_LAST</stp>
        <stp>[QwackPricer.xlsb.xlsx]Base!R82C38</stp>
        <tr r="AL82" s="2"/>
      </tp>
      <tp>
        <v>32.049579620361328</v>
        <stp/>
        <stp>##V3_BDPV12</stp>
        <stp>LN JUN20 25DP VOL LME Comdty</stp>
        <stp>PX_LAST</stp>
        <stp>[QwackPricer.xlsb.xlsx]Base!R70C38</stp>
        <tr r="AL70" s="2"/>
      </tp>
      <tp>
        <v>33.13946533203125</v>
        <stp/>
        <stp>##V3_BDPV12</stp>
        <stp>LN JUN20 10DP VOL LME Comdty</stp>
        <stp>PX_LAST</stp>
        <stp>[QwackPricer.xlsb.xlsx]Base!R70C37</stp>
        <tr r="AK70" s="2"/>
      </tp>
      <tp>
        <v>30.349769592285156</v>
        <stp/>
        <stp>##V3_BDPV12</stp>
        <stp>LN JUN22 10DP VOL LME Comdty</stp>
        <stp>PX_LAST</stp>
        <stp>[QwackPricer.xlsb.xlsx]Base!R94C37</stp>
        <tr r="AK94" s="2"/>
      </tp>
      <tp>
        <v>30.939708709716797</v>
        <stp/>
        <stp>##V3_BDPV12</stp>
        <stp>LN JUN21 10DP VOL LME Comdty</stp>
        <stp>PX_LAST</stp>
        <stp>[QwackPricer.xlsb.xlsx]Base!R82C37</stp>
        <tr r="AK82" s="2"/>
      </tp>
      <tp>
        <v>29.58989143371582</v>
        <stp/>
        <stp>##V3_BDPV12</stp>
        <stp>LN JUL22 25DP VOL LME Comdty</stp>
        <stp>PX_LAST</stp>
        <stp>[QwackPricer.xlsb.xlsx]Base!R95C38</stp>
        <tr r="AL95" s="2"/>
      </tp>
      <tp>
        <v>30.259851455688477</v>
        <stp/>
        <stp>##V3_BDPV12</stp>
        <stp>LN JUL21 25DP VOL LME Comdty</stp>
        <stp>PX_LAST</stp>
        <stp>[QwackPricer.xlsb.xlsx]Base!R83C38</stp>
        <tr r="AL83" s="2"/>
      </tp>
      <tp>
        <v>32.049629211425781</v>
        <stp/>
        <stp>##V3_BDPV12</stp>
        <stp>LN JUL20 25DP VOL LME Comdty</stp>
        <stp>PX_LAST</stp>
        <stp>[QwackPricer.xlsb.xlsx]Base!R71C38</stp>
        <tr r="AL71" s="2"/>
      </tp>
      <tp>
        <v>29.519893646240234</v>
        <stp/>
        <stp>##V3_BDPV12</stp>
        <stp>LN AUG22 25DP VOL LME Comdty</stp>
        <stp>PX_LAST</stp>
        <stp>[QwackPricer.xlsb.xlsx]Base!R96C38</stp>
        <tr r="AL96" s="2"/>
      </tp>
      <tp>
        <v>30.249856948852539</v>
        <stp/>
        <stp>##V3_BDPV12</stp>
        <stp>LN AUG21 25DP VOL LME Comdty</stp>
        <stp>PX_LAST</stp>
        <stp>[QwackPricer.xlsb.xlsx]Base!R84C38</stp>
        <tr r="AL84" s="2"/>
      </tp>
      <tp>
        <v>31.97967529296875</v>
        <stp/>
        <stp>##V3_BDPV12</stp>
        <stp>LN AUG20 25DP VOL LME Comdty</stp>
        <stp>PX_LAST</stp>
        <stp>[QwackPricer.xlsb.xlsx]Base!R72C38</stp>
        <tr r="AL72" s="2"/>
      </tp>
      <tp>
        <v>32.919548034667969</v>
        <stp/>
        <stp>##V3_BDPV12</stp>
        <stp>LN AUG20 10DP VOL LME Comdty</stp>
        <stp>PX_LAST</stp>
        <stp>[QwackPricer.xlsb.xlsx]Base!R72C37</stp>
        <tr r="AK72" s="2"/>
      </tp>
      <tp>
        <v>30.189762115478516</v>
        <stp/>
        <stp>##V3_BDPV12</stp>
        <stp>LN AUG22 10DP VOL LME Comdty</stp>
        <stp>PX_LAST</stp>
        <stp>[QwackPricer.xlsb.xlsx]Base!R96C37</stp>
        <tr r="AK96" s="2"/>
      </tp>
      <tp>
        <v>30.879732131958008</v>
        <stp/>
        <stp>##V3_BDPV12</stp>
        <stp>LN AUG21 10DP VOL LME Comdty</stp>
        <stp>PX_LAST</stp>
        <stp>[QwackPricer.xlsb.xlsx]Base!R84C37</stp>
        <tr r="AK84" s="2"/>
      </tp>
      <tp>
        <v>19.229412078857422</v>
        <stp/>
        <stp>##V3_BDPV12</stp>
        <stp>LA MAY21 10DP VOL LME Comdty</stp>
        <stp>PX_LAST</stp>
        <stp>[QwackPricer.xlsb.xlsx]Base!R81C4</stp>
        <tr r="D81" s="2"/>
      </tp>
      <tp>
        <v>17.849536895751953</v>
        <stp/>
        <stp>##V3_BDPV12</stp>
        <stp>LA MAY21 25DP VOL LME Comdty</stp>
        <stp>PX_LAST</stp>
        <stp>[QwackPricer.xlsb.xlsx]Base!R81C5</stp>
        <tr r="E81" s="2"/>
      </tp>
      <tp>
        <v>16.229816436767578</v>
        <stp/>
        <stp>##V3_BDPV12</stp>
        <stp>LA JUL22 10DC VOL LME Comdty</stp>
        <stp>PX_LAST</stp>
        <stp>[QwackPricer.xlsb.xlsx]Base!R95C8</stp>
        <tr r="H95" s="2"/>
      </tp>
      <tp>
        <v>15.949811935424805</v>
        <stp/>
        <stp>##V3_BDPV12</stp>
        <stp>LA JUL22 25DC VOL LME Comdty</stp>
        <stp>PX_LAST</stp>
        <stp>[QwackPricer.xlsb.xlsx]Base!R95C7</stp>
        <tr r="G95" s="2"/>
      </tp>
      <tp>
        <v>17.22962760925293</v>
        <stp/>
        <stp>##V3_BDPV12</stp>
        <stp>LA DEC21 25DP VOL LME Comdty</stp>
        <stp>PX_LAST</stp>
        <stp>[QwackPricer.xlsb.xlsx]Base!R88C5</stp>
        <tr r="E88" s="2"/>
      </tp>
      <tp>
        <v>18.379526138305664</v>
        <stp/>
        <stp>##V3_BDPV12</stp>
        <stp>LA DEC21 10DP VOL LME Comdty</stp>
        <stp>PX_LAST</stp>
        <stp>[QwackPricer.xlsb.xlsx]Base!R88C4</stp>
        <tr r="D88" s="2"/>
      </tp>
      <tp>
        <v>16.899747848510742</v>
        <stp/>
        <stp>##V3_BDPV12</stp>
        <stp>LA MAY21 10DC VOL LME Comdty</stp>
        <stp>PX_LAST</stp>
        <stp>[QwackPricer.xlsb.xlsx]Base!R81C8</stp>
        <tr r="H81" s="2"/>
      </tp>
      <tp>
        <v>16.489809036254883</v>
        <stp/>
        <stp>##V3_BDPV12</stp>
        <stp>LA MAY21 25DC VOL LME Comdty</stp>
        <stp>PX_LAST</stp>
        <stp>[QwackPricer.xlsb.xlsx]Base!R81C7</stp>
        <tr r="G81" s="2"/>
      </tp>
      <tp>
        <v>16.139764785766602</v>
        <stp/>
        <stp>##V3_BDPV12</stp>
        <stp>LA DEC21 25DC VOL LME Comdty</stp>
        <stp>PX_LAST</stp>
        <stp>[QwackPricer.xlsb.xlsx]Base!R88C7</stp>
        <tr r="G88" s="2"/>
      </tp>
      <tp>
        <v>16.559736251831055</v>
        <stp/>
        <stp>##V3_BDPV12</stp>
        <stp>LA DEC21 10DC VOL LME Comdty</stp>
        <stp>PX_LAST</stp>
        <stp>[QwackPricer.xlsb.xlsx]Base!R88C8</stp>
        <tr r="H88" s="2"/>
      </tp>
      <tp>
        <v>18.229532241821289</v>
        <stp/>
        <stp>##V3_BDPV12</stp>
        <stp>LA JUL22 10DP VOL LME Comdty</stp>
        <stp>PX_LAST</stp>
        <stp>[QwackPricer.xlsb.xlsx]Base!R95C4</stp>
        <tr r="D95" s="2"/>
      </tp>
      <tp>
        <v>17.069644927978516</v>
        <stp/>
        <stp>##V3_BDPV12</stp>
        <stp>LA JUL22 25DP VOL LME Comdty</stp>
        <stp>PX_LAST</stp>
        <stp>[QwackPricer.xlsb.xlsx]Base!R95C5</stp>
        <tr r="E95" s="2"/>
      </tp>
      <tp>
        <v>99.62</v>
        <stp/>
        <stp>##V3_BDPV12</stp>
        <stp>EDM3 Comdty</stp>
        <stp>PX_LAST</stp>
        <stp>[QwackPricer.xlsb.xlsx]FX-IR!R83C3</stp>
        <tr r="C83" s="1"/>
      </tp>
      <tp>
        <v>-0.4</v>
        <stp/>
        <stp>##V3_BDPV12</stp>
        <stp>FDBSM U22 Index</stp>
        <stp>PX_LAST</stp>
        <stp>[QwackPricer.xlsb.xlsx]Energy!R100C6</stp>
        <tr r="F100" s="3"/>
      </tp>
      <tp>
        <v>18.219541549682617</v>
        <stp/>
        <stp>##V3_BDPV12</stp>
        <stp>LA MAY22 10DP VOL LME Comdty</stp>
        <stp>PX_LAST</stp>
        <stp>[QwackPricer.xlsb.xlsx]Base!R93C4</stp>
        <tr r="D93" s="2"/>
      </tp>
      <tp>
        <v>17.06964111328125</v>
        <stp/>
        <stp>##V3_BDPV12</stp>
        <stp>LA MAY22 25DP VOL LME Comdty</stp>
        <stp>PX_LAST</stp>
        <stp>[QwackPricer.xlsb.xlsx]Base!R93C5</stp>
        <tr r="E93" s="2"/>
      </tp>
      <tp>
        <v>18.439376831054688</v>
        <stp/>
        <stp>##V3_BDPV12</stp>
        <stp>LA JAN21 25DP VOL LME Comdty</stp>
        <stp>PX_LAST</stp>
        <stp>[QwackPricer.xlsb.xlsx]Base!R77C5</stp>
        <tr r="E77" s="2"/>
      </tp>
      <tp>
        <v>20.179241180419922</v>
        <stp/>
        <stp>##V3_BDPV12</stp>
        <stp>LA JAN21 10DP VOL LME Comdty</stp>
        <stp>PX_LAST</stp>
        <stp>[QwackPricer.xlsb.xlsx]Base!R77C4</stp>
        <tr r="D77" s="2"/>
      </tp>
      <tp>
        <v>16.229806900024414</v>
        <stp/>
        <stp>##V3_BDPV12</stp>
        <stp>LA JUN22 10DC VOL LME Comdty</stp>
        <stp>PX_LAST</stp>
        <stp>[QwackPricer.xlsb.xlsx]Base!R94C8</stp>
        <tr r="H94" s="2"/>
      </tp>
      <tp>
        <v>15.929807662963867</v>
        <stp/>
        <stp>##V3_BDPV12</stp>
        <stp>LA JUN22 25DC VOL LME Comdty</stp>
        <stp>PX_LAST</stp>
        <stp>[QwackPricer.xlsb.xlsx]Base!R94C7</stp>
        <tr r="G94" s="2"/>
      </tp>
      <tp>
        <v>16.229795455932617</v>
        <stp/>
        <stp>##V3_BDPV12</stp>
        <stp>LA MAY22 10DC VOL LME Comdty</stp>
        <stp>PX_LAST</stp>
        <stp>[QwackPricer.xlsb.xlsx]Base!R93C8</stp>
        <tr r="H93" s="2"/>
      </tp>
      <tp>
        <v>15.929803848266602</v>
        <stp/>
        <stp>##V3_BDPV12</stp>
        <stp>LA MAY22 25DC VOL LME Comdty</stp>
        <stp>PX_LAST</stp>
        <stp>[QwackPricer.xlsb.xlsx]Base!R93C7</stp>
        <tr r="G93" s="2"/>
      </tp>
      <tp>
        <v>16.939811706542969</v>
        <stp/>
        <stp>##V3_BDPV12</stp>
        <stp>LA JAN21 10DC VOL LME Comdty</stp>
        <stp>PX_LAST</stp>
        <stp>[QwackPricer.xlsb.xlsx]Base!R77C8</stp>
        <tr r="H77" s="2"/>
      </tp>
      <tp>
        <v>16.639865875244141</v>
        <stp/>
        <stp>##V3_BDPV12</stp>
        <stp>LA JAN21 25DC VOL LME Comdty</stp>
        <stp>PX_LAST</stp>
        <stp>[QwackPricer.xlsb.xlsx]Base!R77C7</stp>
        <tr r="G77" s="2"/>
      </tp>
      <tp>
        <v>17.059642791748047</v>
        <stp/>
        <stp>##V3_BDPV12</stp>
        <stp>LA JUN22 25DP VOL LME Comdty</stp>
        <stp>PX_LAST</stp>
        <stp>[QwackPricer.xlsb.xlsx]Base!R94C5</stp>
        <tr r="E94" s="2"/>
      </tp>
      <tp>
        <v>18.209535598754883</v>
        <stp/>
        <stp>##V3_BDPV12</stp>
        <stp>LA JUN22 10DP VOL LME Comdty</stp>
        <stp>PX_LAST</stp>
        <stp>[QwackPricer.xlsb.xlsx]Base!R94C4</stp>
        <tr r="D94" s="2"/>
      </tp>
      <tp>
        <v>99.435000000000002</v>
        <stp/>
        <stp>##V3_BDPV12</stp>
        <stp>EDM4 Comdty</stp>
        <stp>PX_LAST</stp>
        <stp>[QwackPricer.xlsb.xlsx]FX-IR!R87C3</stp>
        <tr r="C87" s="1"/>
      </tp>
      <tp>
        <v>99.704999999999998</v>
        <stp/>
        <stp>##V3_BDPV12</stp>
        <stp>EDZ0 Comdty</stp>
        <stp>PX_LAST</stp>
        <stp>[QwackPricer.xlsb.xlsx]FX-IR!R73C3</stp>
        <tr r="C73" s="1"/>
      </tp>
      <tp>
        <v>99.685000000000002</v>
        <stp/>
        <stp>##V3_BDPV12</stp>
        <stp>EDZ2 Comdty</stp>
        <stp>PX_LAST</stp>
        <stp>[QwackPricer.xlsb.xlsx]FX-IR!R81C3</stp>
        <tr r="C81" s="1"/>
      </tp>
      <tp>
        <v>19.035</v>
        <stp/>
        <stp>##V3_BDHV12</stp>
        <stp>USDZARV1m Curncy</stp>
        <stp>PX_LAST</stp>
        <stp>12/05/2020</stp>
        <stp>12/05/2020</stp>
        <stp>[QwackPricer.xlsb.xlsx]FX-IR!R97C4</stp>
        <tr r="D97" s="1"/>
      </tp>
      <tp>
        <v>18.349424362182617</v>
        <stp/>
        <stp>##V3_BDPV12</stp>
        <stp>LA FEB21 25DP VOL LME Comdty</stp>
        <stp>PX_LAST</stp>
        <stp>[QwackPricer.xlsb.xlsx]Base!R78C5</stp>
        <tr r="E78" s="2"/>
      </tp>
      <tp>
        <v>19.979301452636719</v>
        <stp/>
        <stp>##V3_BDPV12</stp>
        <stp>LA FEB21 10DP VOL LME Comdty</stp>
        <stp>PX_LAST</stp>
        <stp>[QwackPricer.xlsb.xlsx]Base!R78C4</stp>
        <tr r="D78" s="2"/>
      </tp>
      <tp>
        <v>16.619853973388672</v>
        <stp/>
        <stp>##V3_BDPV12</stp>
        <stp>LA FEB21 25DC VOL LME Comdty</stp>
        <stp>PX_LAST</stp>
        <stp>[QwackPricer.xlsb.xlsx]Base!R78C7</stp>
        <tr r="G78" s="2"/>
      </tp>
      <tp>
        <v>16.939788818359375</v>
        <stp/>
        <stp>##V3_BDPV12</stp>
        <stp>LA FEB21 10DC VOL LME Comdty</stp>
        <stp>PX_LAST</stp>
        <stp>[QwackPricer.xlsb.xlsx]Base!R78C8</stp>
        <tr r="H78" s="2"/>
      </tp>
      <tp>
        <v>99.484999999999999</v>
        <stp/>
        <stp>##V3_BDPV12</stp>
        <stp>EDH4 Comdty</stp>
        <stp>PX_LAST</stp>
        <stp>[QwackPricer.xlsb.xlsx]FX-IR!R86C3</stp>
        <tr r="C86" s="1"/>
      </tp>
      <tp>
        <v>99.734999999999999</v>
        <stp/>
        <stp>##V3_BDPV12</stp>
        <stp>EDU2 Comdty</stp>
        <stp>PX_LAST</stp>
        <stp>[QwackPricer.xlsb.xlsx]FX-IR!R80C3</stp>
        <tr r="C80" s="1"/>
      </tp>
      <tp>
        <v>99.710000000000008</v>
        <stp/>
        <stp>##V3_BDPV12</stp>
        <stp>EDU0 Comdty</stp>
        <stp>PX_LAST</stp>
        <stp>[QwackPricer.xlsb.xlsx]FX-IR!R72C3</stp>
        <tr r="C72" s="1"/>
      </tp>
      <tp>
        <v>19.329999999999998</v>
        <stp/>
        <stp>##V3_BDHV12</stp>
        <stp>USDZARV1w Curncy</stp>
        <stp>PX_LAST</stp>
        <stp>12/05/2020</stp>
        <stp>12/05/2020</stp>
        <stp>[QwackPricer.xlsb.xlsx]FX-IR!R96C4</stp>
        <tr r="D96" s="1"/>
      </tp>
      <tp>
        <v>20.469907760620117</v>
        <stp/>
        <stp>##V3_BDPV12</stp>
        <stp>LP DEC21 25DC VOL LME Comdty</stp>
        <stp>PX_LAST</stp>
        <stp>[QwackPricer.xlsb.xlsx]Base!R88C18</stp>
        <tr r="R88" s="2"/>
      </tp>
      <tp>
        <v>21.279939651489258</v>
        <stp/>
        <stp>##V3_BDPV12</stp>
        <stp>LP DEC20 25DC VOL LME Comdty</stp>
        <stp>PX_LAST</stp>
        <stp>[QwackPricer.xlsb.xlsx]Base!R76C18</stp>
        <tr r="R76" s="2"/>
      </tp>
      <tp>
        <v>20.519903182983398</v>
        <stp/>
        <stp>##V3_BDPV12</stp>
        <stp>LP FEB22 25DC VOL LME Comdty</stp>
        <stp>PX_LAST</stp>
        <stp>[QwackPricer.xlsb.xlsx]Base!R90C18</stp>
        <tr r="R90" s="2"/>
      </tp>
      <tp>
        <v>21.269929885864258</v>
        <stp/>
        <stp>##V3_BDPV12</stp>
        <stp>LP FEB21 25DC VOL LME Comdty</stp>
        <stp>PX_LAST</stp>
        <stp>[QwackPricer.xlsb.xlsx]Base!R78C18</stp>
        <tr r="R78" s="2"/>
      </tp>
      <tp>
        <v>20.649909973144531</v>
        <stp/>
        <stp>##V3_BDPV12</stp>
        <stp>LP FEB22 10DC VOL LME Comdty</stp>
        <stp>PX_LAST</stp>
        <stp>[QwackPricer.xlsb.xlsx]Base!R90C19</stp>
        <tr r="S90" s="2"/>
      </tp>
      <tp>
        <v>21.479843139648438</v>
        <stp/>
        <stp>##V3_BDPV12</stp>
        <stp>LP FEB21 10DC VOL LME Comdty</stp>
        <stp>PX_LAST</stp>
        <stp>[QwackPricer.xlsb.xlsx]Base!R78C19</stp>
        <tr r="S78" s="2"/>
      </tp>
      <tp>
        <v>20.659873962402344</v>
        <stp/>
        <stp>##V3_BDPV12</stp>
        <stp>LP DEC21 10DC VOL LME Comdty</stp>
        <stp>PX_LAST</stp>
        <stp>[QwackPricer.xlsb.xlsx]Base!R88C19</stp>
        <tr r="S88" s="2"/>
      </tp>
      <tp>
        <v>21.479833602905273</v>
        <stp/>
        <stp>##V3_BDPV12</stp>
        <stp>LP DEC20 10DC VOL LME Comdty</stp>
        <stp>PX_LAST</stp>
        <stp>[QwackPricer.xlsb.xlsx]Base!R76C19</stp>
        <tr r="S76" s="2"/>
      </tp>
      <tp>
        <v>31.949493408203125</v>
        <stp/>
        <stp>##V3_BDPV12</stp>
        <stp>LN SEP20 25DC VOL LME Comdty</stp>
        <stp>PX_LAST</stp>
        <stp>[QwackPricer.xlsb.xlsx]Base!R73C40</stp>
        <tr r="AN73" s="2"/>
      </tp>
      <tp>
        <v>22.000015258789063</v>
        <stp/>
        <stp>##V3_BDPV12</stp>
        <stp>LX FEB21 10DC VOL LME Comdty</stp>
        <stp>PX_LAST</stp>
        <stp>[QwackPricer.xlsb.xlsx]Base!R78C30</stp>
        <tr r="AD78" s="2"/>
      </tp>
      <tp>
        <v>21.999982833862305</v>
        <stp/>
        <stp>##V3_BDPV12</stp>
        <stp>LX FEB22 10DC VOL LME Comdty</stp>
        <stp>PX_LAST</stp>
        <stp>[QwackPricer.xlsb.xlsx]Base!R90C30</stp>
        <tr r="AD90" s="2"/>
      </tp>
      <tp>
        <v>30.749258041381836</v>
        <stp/>
        <stp>##V3_BDPV12</stp>
        <stp>LN SEP21 25DC VOL LME Comdty</stp>
        <stp>PX_LAST</stp>
        <stp>[QwackPricer.xlsb.xlsx]Base!R85C40</stp>
        <tr r="AN85" s="2"/>
      </tp>
      <tp>
        <v>22.399944305419922</v>
        <stp/>
        <stp>##V3_BDPV12</stp>
        <stp>LX DEC20 10DC VOL LME Comdty</stp>
        <stp>PX_LAST</stp>
        <stp>[QwackPricer.xlsb.xlsx]Base!R76C30</stp>
        <tr r="AD76" s="2"/>
      </tp>
      <tp>
        <v>21.969993591308594</v>
        <stp/>
        <stp>##V3_BDPV12</stp>
        <stp>LX DEC21 10DC VOL LME Comdty</stp>
        <stp>PX_LAST</stp>
        <stp>[QwackPricer.xlsb.xlsx]Base!R88C30</stp>
        <tr r="AD88" s="2"/>
      </tp>
      <tp>
        <v>22.029941558837891</v>
        <stp/>
        <stp>##V3_BDPV12</stp>
        <stp>LX FEB22 25DC VOL LME Comdty</stp>
        <stp>PX_LAST</stp>
        <stp>[QwackPricer.xlsb.xlsx]Base!R90C29</stp>
        <tr r="AC90" s="2"/>
      </tp>
      <tp>
        <v>22.120014190673828</v>
        <stp/>
        <stp>##V3_BDPV12</stp>
        <stp>LX FEB21 25DC VOL LME Comdty</stp>
        <stp>PX_LAST</stp>
        <stp>[QwackPricer.xlsb.xlsx]Base!R78C29</stp>
        <tr r="AC78" s="2"/>
      </tp>
      <tp>
        <v>22.069980621337891</v>
        <stp/>
        <stp>##V3_BDPV12</stp>
        <stp>LX DEC21 25DC VOL LME Comdty</stp>
        <stp>PX_LAST</stp>
        <stp>[QwackPricer.xlsb.xlsx]Base!R88C29</stp>
        <tr r="AC88" s="2"/>
      </tp>
      <tp>
        <v>32.809501647949219</v>
        <stp/>
        <stp>##V3_BDPV12</stp>
        <stp>LN SEP20 10DC VOL LME Comdty</stp>
        <stp>PX_LAST</stp>
        <stp>[QwackPricer.xlsb.xlsx]Base!R73C41</stp>
        <tr r="AO73" s="2"/>
      </tp>
      <tp>
        <v>31.789360046386719</v>
        <stp/>
        <stp>##V3_BDPV12</stp>
        <stp>LN SEP21 10DC VOL LME Comdty</stp>
        <stp>PX_LAST</stp>
        <stp>[QwackPricer.xlsb.xlsx]Base!R85C41</stp>
        <tr r="AO85" s="2"/>
      </tp>
      <tp>
        <v>22.289936065673828</v>
        <stp/>
        <stp>##V3_BDPV12</stp>
        <stp>LX DEC20 25DC VOL LME Comdty</stp>
        <stp>PX_LAST</stp>
        <stp>[QwackPricer.xlsb.xlsx]Base!R76C29</stp>
        <tr r="AC76" s="2"/>
      </tp>
      <tp>
        <v>20.529869079589844</v>
        <stp/>
        <stp>##V3_BDPV12</stp>
        <stp>LP SEP22 10DC VOL LME Comdty</stp>
        <stp>PX_LAST</stp>
        <stp>[QwackPricer.xlsb.xlsx]Base!R97C19</stp>
        <tr r="S97" s="2"/>
      </tp>
      <tp>
        <v>20.71986198425293</v>
        <stp/>
        <stp>##V3_BDPV12</stp>
        <stp>LP SEP21 10DC VOL LME Comdty</stp>
        <stp>PX_LAST</stp>
        <stp>[QwackPricer.xlsb.xlsx]Base!R85C19</stp>
        <tr r="S85" s="2"/>
      </tp>
      <tp>
        <v>21.829788208007813</v>
        <stp/>
        <stp>##V3_BDPV12</stp>
        <stp>LP SEP20 10DC VOL LME Comdty</stp>
        <stp>PX_LAST</stp>
        <stp>[QwackPricer.xlsb.xlsx]Base!R73C19</stp>
        <tr r="S73" s="2"/>
      </tp>
      <tp>
        <v>20.339853286743164</v>
        <stp/>
        <stp>##V3_BDPV12</stp>
        <stp>LP SEP22 25DC VOL LME Comdty</stp>
        <stp>PX_LAST</stp>
        <stp>[QwackPricer.xlsb.xlsx]Base!R97C18</stp>
        <tr r="R97" s="2"/>
      </tp>
      <tp>
        <v>20.539920806884766</v>
        <stp/>
        <stp>##V3_BDPV12</stp>
        <stp>LP SEP21 25DC VOL LME Comdty</stp>
        <stp>PX_LAST</stp>
        <stp>[QwackPricer.xlsb.xlsx]Base!R85C18</stp>
        <tr r="R85" s="2"/>
      </tp>
      <tp>
        <v>21.53993034362793</v>
        <stp/>
        <stp>##V3_BDPV12</stp>
        <stp>LP SEP20 25DC VOL LME Comdty</stp>
        <stp>PX_LAST</stp>
        <stp>[QwackPricer.xlsb.xlsx]Base!R73C18</stp>
        <tr r="R73" s="2"/>
      </tp>
      <tp>
        <v>22.099994659423828</v>
        <stp/>
        <stp>##V3_BDPV12</stp>
        <stp>LX SEP21 25DC VOL LME Comdty</stp>
        <stp>PX_LAST</stp>
        <stp>[QwackPricer.xlsb.xlsx]Base!R85C29</stp>
        <tr r="AC85" s="2"/>
      </tp>
      <tp>
        <v>32.609489440917969</v>
        <stp/>
        <stp>##V3_BDPV12</stp>
        <stp>LN DEC20 10DC VOL LME Comdty</stp>
        <stp>PX_LAST</stp>
        <stp>[QwackPricer.xlsb.xlsx]Base!R76C41</stp>
        <tr r="AO76" s="2"/>
      </tp>
      <tp>
        <v>31.809333801269531</v>
        <stp/>
        <stp>##V3_BDPV12</stp>
        <stp>LN DEC21 10DC VOL LME Comdty</stp>
        <stp>PX_LAST</stp>
        <stp>[QwackPricer.xlsb.xlsx]Base!R88C41</stp>
        <tr r="AO88" s="2"/>
      </tp>
      <tp>
        <v>22.419862747192383</v>
        <stp/>
        <stp>##V3_BDPV12</stp>
        <stp>LX SEP20 25DC VOL LME Comdty</stp>
        <stp>PX_LAST</stp>
        <stp>[QwackPricer.xlsb.xlsx]Base!R73C29</stp>
        <tr r="AC73" s="2"/>
      </tp>
      <tp>
        <v>31.859493255615234</v>
        <stp/>
        <stp>##V3_BDPV12</stp>
        <stp>LN FEB21 10DC VOL LME Comdty</stp>
        <stp>PX_LAST</stp>
        <stp>[QwackPricer.xlsb.xlsx]Base!R78C41</stp>
        <tr r="AO78" s="2"/>
      </tp>
      <tp>
        <v>31.439338684082031</v>
        <stp/>
        <stp>##V3_BDPV12</stp>
        <stp>LN FEB22 10DC VOL LME Comdty</stp>
        <stp>PX_LAST</stp>
        <stp>[QwackPricer.xlsb.xlsx]Base!R90C41</stp>
        <tr r="AO90" s="2"/>
      </tp>
      <tp>
        <v>31.069446563720703</v>
        <stp/>
        <stp>##V3_BDPV12</stp>
        <stp>LN FEB21 25DC VOL LME Comdty</stp>
        <stp>PX_LAST</stp>
        <stp>[QwackPricer.xlsb.xlsx]Base!R78C40</stp>
        <tr r="AN78" s="2"/>
      </tp>
      <tp>
        <v>22.659843444824219</v>
        <stp/>
        <stp>##V3_BDPV12</stp>
        <stp>LX SEP20 10DC VOL LME Comdty</stp>
        <stp>PX_LAST</stp>
        <stp>[QwackPricer.xlsb.xlsx]Base!R73C30</stp>
        <tr r="AD73" s="2"/>
      </tp>
      <tp>
        <v>22</v>
        <stp/>
        <stp>##V3_BDPV12</stp>
        <stp>LX SEP21 10DC VOL LME Comdty</stp>
        <stp>PX_LAST</stp>
        <stp>[QwackPricer.xlsb.xlsx]Base!R85C30</stp>
        <tr r="AD85" s="2"/>
      </tp>
      <tp>
        <v>30.409215927124023</v>
        <stp/>
        <stp>##V3_BDPV12</stp>
        <stp>LN FEB22 25DC VOL LME Comdty</stp>
        <stp>PX_LAST</stp>
        <stp>[QwackPricer.xlsb.xlsx]Base!R90C40</stp>
        <tr r="AN90" s="2"/>
      </tp>
      <tp>
        <v>31.719430923461914</v>
        <stp/>
        <stp>##V3_BDPV12</stp>
        <stp>LN DEC20 25DC VOL LME Comdty</stp>
        <stp>PX_LAST</stp>
        <stp>[QwackPricer.xlsb.xlsx]Base!R76C40</stp>
        <tr r="AN76" s="2"/>
      </tp>
      <tp>
        <v>30.729209899902344</v>
        <stp/>
        <stp>##V3_BDPV12</stp>
        <stp>LN DEC21 25DC VOL LME Comdty</stp>
        <stp>PX_LAST</stp>
        <stp>[QwackPricer.xlsb.xlsx]Base!R88C40</stp>
        <tr r="AN88" s="2"/>
      </tp>
      <tp>
        <v>-1</v>
        <stp/>
        <stp>##V3_BDPV12</stp>
        <stp>XPTSR12m TPMT Curncy</stp>
        <stp>PX_LAST</stp>
        <stp>[QwackPricer.xlsb.xlsx]FX-IR!R56C5</stp>
        <tr r="E56" s="1"/>
      </tp>
      <tp>
        <v>-0.5</v>
        <stp/>
        <stp>##V3_BDPV12</stp>
        <stp>XPDSR12m TPMT Curncy</stp>
        <stp>PX_LAST</stp>
        <stp>[QwackPricer.xlsb.xlsx]FX-IR!R56C6</stp>
        <tr r="F56" s="1"/>
      </tp>
      <tp>
        <v>17.009647369384766</v>
        <stp/>
        <stp>##V3_BDPV12</stp>
        <stp>LA MAR22 25DP VOL LME Comdty</stp>
        <stp>PX_LAST</stp>
        <stp>[QwackPricer.xlsb.xlsx]Base!R91C5</stp>
        <tr r="E91" s="2"/>
      </tp>
      <tp>
        <v>18.099540710449219</v>
        <stp/>
        <stp>##V3_BDPV12</stp>
        <stp>LA MAR22 10DP VOL LME Comdty</stp>
        <stp>PX_LAST</stp>
        <stp>[QwackPricer.xlsb.xlsx]Base!R91C4</stp>
        <tr r="D91" s="2"/>
      </tp>
      <tp>
        <v>16.019771575927734</v>
        <stp/>
        <stp>##V3_BDPV12</stp>
        <stp>LA MAR22 25DC VOL LME Comdty</stp>
        <stp>PX_LAST</stp>
        <stp>[QwackPricer.xlsb.xlsx]Base!R91C7</stp>
        <tr r="G91" s="2"/>
      </tp>
      <tp>
        <v>16.409767150878906</v>
        <stp/>
        <stp>##V3_BDPV12</stp>
        <stp>LA MAR22 10DC VOL LME Comdty</stp>
        <stp>PX_LAST</stp>
        <stp>[QwackPricer.xlsb.xlsx]Base!R91C8</stp>
        <tr r="H91" s="2"/>
      </tp>
      <tp>
        <v>0.47</v>
        <stp/>
        <stp>##V3_BDPV12</stp>
        <stp>XAUSR12m TPMT Curncy</stp>
        <stp>PX_LAST</stp>
        <stp>[QwackPricer.xlsb.xlsx]FX-IR!R56C3</stp>
        <tr r="C56" s="1"/>
      </tp>
      <tp>
        <v>0.88</v>
        <stp/>
        <stp>##V3_BDPV12</stp>
        <stp>XAGSR12m TPMT Curncy</stp>
        <stp>PX_LAST</stp>
        <stp>[QwackPricer.xlsb.xlsx]FX-IR!R56C4</stp>
        <tr r="D56" s="1"/>
      </tp>
      <tp>
        <v>99.33</v>
        <stp/>
        <stp>##V3_BDPV12</stp>
        <stp>EDZ4 Comdty</stp>
        <stp>PX_LAST</stp>
        <stp>[QwackPricer.xlsb.xlsx]FX-IR!R89C3</stp>
        <tr r="C89" s="1"/>
      </tp>
      <tp>
        <v>18.21</v>
        <stp/>
        <stp>##V3_BDHV12</stp>
        <stp>USDZARV3m Curncy</stp>
        <stp>PX_LAST</stp>
        <stp>12/05/2020</stp>
        <stp>12/05/2020</stp>
        <stp>[QwackPricer.xlsb.xlsx]FX-IR!R99C4</stp>
        <tr r="D99" s="1"/>
      </tp>
      <tp>
        <v>9.4649999999999999</v>
        <stp/>
        <stp>##V3_BDHV12</stp>
        <stp>XPDUSD10B18m Curncy</stp>
        <stp>PX_LAST</stp>
        <stp>12/05/2020</stp>
        <stp>12/05/2020</stp>
        <stp>[QwackPricer.xlsb.xlsx]FX-IR!R202C8</stp>
        <tr r="H202" s="1"/>
      </tp>
      <tp>
        <v>4.4175000000000004</v>
        <stp/>
        <stp>##V3_BDHV12</stp>
        <stp>XPDUSD10R18m Curncy</stp>
        <stp>PX_LAST</stp>
        <stp>12/05/2020</stp>
        <stp>12/05/2020</stp>
        <stp>[QwackPricer.xlsb.xlsx]FX-IR!R202C6</stp>
        <tr r="F202" s="1"/>
      </tp>
      <tp>
        <v>15.929793357849121</v>
        <stp/>
        <stp>##V3_BDPV12</stp>
        <stp>LA APR22 25DC VOL LME Comdty</stp>
        <stp>PX_LAST</stp>
        <stp>[QwackPricer.xlsb.xlsx]Base!R92C7</stp>
        <tr r="G92" s="2"/>
      </tp>
      <tp>
        <v>16.249778747558594</v>
        <stp/>
        <stp>##V3_BDPV12</stp>
        <stp>LA APR22 10DC VOL LME Comdty</stp>
        <stp>PX_LAST</stp>
        <stp>[QwackPricer.xlsb.xlsx]Base!R92C8</stp>
        <tr r="H92" s="2"/>
      </tp>
      <tp>
        <v>17.089641571044922</v>
        <stp/>
        <stp>##V3_BDPV12</stp>
        <stp>LA JAN22 25DP VOL LME Comdty</stp>
        <stp>PX_LAST</stp>
        <stp>[QwackPricer.xlsb.xlsx]Base!R89C5</stp>
        <tr r="E89" s="2"/>
      </tp>
      <tp>
        <v>18.179536819458008</v>
        <stp/>
        <stp>##V3_BDPV12</stp>
        <stp>LA JAN22 10DP VOL LME Comdty</stp>
        <stp>PX_LAST</stp>
        <stp>[QwackPricer.xlsb.xlsx]Base!R89C4</stp>
        <tr r="D89" s="2"/>
      </tp>
      <tp>
        <v>16.469743728637695</v>
        <stp/>
        <stp>##V3_BDPV12</stp>
        <stp>LA JAN22 10DC VOL LME Comdty</stp>
        <stp>PX_LAST</stp>
        <stp>[QwackPricer.xlsb.xlsx]Base!R89C8</stp>
        <tr r="H89" s="2"/>
      </tp>
      <tp>
        <v>16.06976318359375</v>
        <stp/>
        <stp>##V3_BDPV12</stp>
        <stp>LA JAN22 25DC VOL LME Comdty</stp>
        <stp>PX_LAST</stp>
        <stp>[QwackPricer.xlsb.xlsx]Base!R89C7</stp>
        <tr r="G89" s="2"/>
      </tp>
      <tp>
        <v>17.079641342163086</v>
        <stp/>
        <stp>##V3_BDPV12</stp>
        <stp>LA APR22 25DP VOL LME Comdty</stp>
        <stp>PX_LAST</stp>
        <stp>[QwackPricer.xlsb.xlsx]Base!R92C5</stp>
        <tr r="E92" s="2"/>
      </tp>
      <tp>
        <v>18.229545593261719</v>
        <stp/>
        <stp>##V3_BDPV12</stp>
        <stp>LA APR22 10DP VOL LME Comdty</stp>
        <stp>PX_LAST</stp>
        <stp>[QwackPricer.xlsb.xlsx]Base!R92C4</stp>
        <tr r="D92" s="2"/>
      </tp>
      <tp>
        <v>99.385000000000005</v>
        <stp/>
        <stp>##V3_BDPV12</stp>
        <stp>EDU4 Comdty</stp>
        <stp>PX_LAST</stp>
        <stp>[QwackPricer.xlsb.xlsx]FX-IR!R88C3</stp>
        <tr r="C88" s="1"/>
      </tp>
      <tp>
        <v>18.594999999999999</v>
        <stp/>
        <stp>##V3_BDHV12</stp>
        <stp>USDZARV2m Curncy</stp>
        <stp>PX_LAST</stp>
        <stp>12/05/2020</stp>
        <stp>12/05/2020</stp>
        <stp>[QwackPricer.xlsb.xlsx]FX-IR!R98C4</stp>
        <tr r="D98" s="1"/>
      </tp>
      <tp>
        <v>8.8475000000000001</v>
        <stp/>
        <stp>##V3_BDHV12</stp>
        <stp>USDZAR10R18m Curncy</stp>
        <stp>PX_LAST</stp>
        <stp>12/05/2020</stp>
        <stp>12/05/2020</stp>
        <stp>[QwackPricer.xlsb.xlsx]FX-IR!R103C6</stp>
        <tr r="F103" s="1"/>
      </tp>
      <tp>
        <v>2.9325000000000001</v>
        <stp/>
        <stp>##V3_BDHV12</stp>
        <stp>USDZAR10B18m Curncy</stp>
        <stp>PX_LAST</stp>
        <stp>12/05/2020</stp>
        <stp>12/05/2020</stp>
        <stp>[QwackPricer.xlsb.xlsx]FX-IR!R103C8</stp>
        <tr r="H103" s="1"/>
      </tp>
      <tp>
        <v>7.2975000000000003</v>
        <stp/>
        <stp>##V3_BDHV12</stp>
        <stp>XAGUSD10B18m Curncy</stp>
        <stp>PX_LAST</stp>
        <stp>12/05/2020</stp>
        <stp>12/05/2020</stp>
        <stp>[QwackPricer.xlsb.xlsx]FX-IR!R170C8</stp>
        <tr r="H170" s="1"/>
      </tp>
      <tp>
        <v>4.6050000000000004</v>
        <stp/>
        <stp>##V3_BDHV12</stp>
        <stp>XAGUSD10R18m Curncy</stp>
        <stp>PX_LAST</stp>
        <stp>12/05/2020</stp>
        <stp>12/05/2020</stp>
        <stp>[QwackPricer.xlsb.xlsx]FX-IR!R170C6</stp>
        <tr r="F170" s="1"/>
      </tp>
      <tp>
        <v>6.1629999999999997E-2</v>
        <stp/>
        <stp>##V3_BDPV12</stp>
        <stp>US00O/N Index</stp>
        <stp>PX_LAST</stp>
        <stp>[QwackPricer.xlsb.xlsx]FX-IR!R64C3</stp>
        <tr r="C64" s="1"/>
      </tp>
      <tp>
        <v>16.559820175170898</v>
        <stp/>
        <stp>##V3_BDPV12</stp>
        <stp>LA APR21 25DC VOL LME Comdty</stp>
        <stp>PX_LAST</stp>
        <stp>[QwackPricer.xlsb.xlsx]Base!R80C7</stp>
        <tr r="G80" s="2"/>
      </tp>
      <tp>
        <v>16.949748992919922</v>
        <stp/>
        <stp>##V3_BDPV12</stp>
        <stp>LA APR21 10DC VOL LME Comdty</stp>
        <stp>PX_LAST</stp>
        <stp>[QwackPricer.xlsb.xlsx]Base!R80C8</stp>
        <tr r="H80" s="2"/>
      </tp>
      <tp>
        <v>18.089506149291992</v>
        <stp/>
        <stp>##V3_BDPV12</stp>
        <stp>LA APR21 25DP VOL LME Comdty</stp>
        <stp>PX_LAST</stp>
        <stp>[QwackPricer.xlsb.xlsx]Base!R80C5</stp>
        <tr r="E80" s="2"/>
      </tp>
      <tp>
        <v>19.499393463134766</v>
        <stp/>
        <stp>##V3_BDPV12</stp>
        <stp>LA APR21 10DP VOL LME Comdty</stp>
        <stp>PX_LAST</stp>
        <stp>[QwackPricer.xlsb.xlsx]Base!R80C4</stp>
        <tr r="D80" s="2"/>
      </tp>
      <tp>
        <v>4.5750000000000002</v>
        <stp/>
        <stp>##V3_BDHV12</stp>
        <stp>USDZAR25R18m Curncy</stp>
        <stp>PX_LAST</stp>
        <stp>12/05/2020</stp>
        <stp>12/05/2020</stp>
        <stp>[QwackPricer.xlsb.xlsx]FX-IR!R103C5</stp>
        <tr r="E103" s="1"/>
      </tp>
      <tp>
        <v>1.04</v>
        <stp/>
        <stp>##V3_BDHV12</stp>
        <stp>USDZAR25B18m Curncy</stp>
        <stp>PX_LAST</stp>
        <stp>12/05/2020</stp>
        <stp>12/05/2020</stp>
        <stp>[QwackPricer.xlsb.xlsx]FX-IR!R103C7</stp>
        <tr r="G103" s="1"/>
      </tp>
      <tp>
        <v>1.855</v>
        <stp/>
        <stp>##V3_BDHV12</stp>
        <stp>XAGUSD25B18m Curncy</stp>
        <stp>PX_LAST</stp>
        <stp>12/05/2020</stp>
        <stp>12/05/2020</stp>
        <stp>[QwackPricer.xlsb.xlsx]FX-IR!R170C7</stp>
        <tr r="G170" s="1"/>
      </tp>
      <tp>
        <v>2.5550000000000002</v>
        <stp/>
        <stp>##V3_BDHV12</stp>
        <stp>XAGUSD25R18m Curncy</stp>
        <stp>PX_LAST</stp>
        <stp>12/05/2020</stp>
        <stp>12/05/2020</stp>
        <stp>[QwackPricer.xlsb.xlsx]FX-IR!R170C5</stp>
        <tr r="E170" s="1"/>
      </tp>
      <tp>
        <v>16.469997406005859</v>
        <stp/>
        <stp>##V3_BDPV12</stp>
        <stp>LA AUG20 25DC VOL LME Comdty</stp>
        <stp>PX_LAST</stp>
        <stp>[QwackPricer.xlsb.xlsx]Base!R72C7</stp>
        <tr r="G72" s="2"/>
      </tp>
      <tp>
        <v>16.579904556274414</v>
        <stp/>
        <stp>##V3_BDPV12</stp>
        <stp>LA AUG20 10DC VOL LME Comdty</stp>
        <stp>PX_LAST</stp>
        <stp>[QwackPricer.xlsb.xlsx]Base!R72C8</stp>
        <tr r="H72" s="2"/>
      </tp>
      <tp>
        <v>19.089061737060547</v>
        <stp/>
        <stp>##V3_BDPV12</stp>
        <stp>LA AUG20 25DP VOL LME Comdty</stp>
        <stp>PX_LAST</stp>
        <stp>[QwackPricer.xlsb.xlsx]Base!R72C5</stp>
        <tr r="E72" s="2"/>
      </tp>
      <tp>
        <v>21.598974227905273</v>
        <stp/>
        <stp>##V3_BDPV12</stp>
        <stp>LA AUG20 10DP VOL LME Comdty</stp>
        <stp>PX_LAST</stp>
        <stp>[QwackPricer.xlsb.xlsx]Base!R72C4</stp>
        <tr r="D72" s="2"/>
      </tp>
      <tp>
        <v>2.0099999999999998</v>
        <stp/>
        <stp>##V3_BDHV12</stp>
        <stp>XPDUSD25B18m Curncy</stp>
        <stp>PX_LAST</stp>
        <stp>12/05/2020</stp>
        <stp>12/05/2020</stp>
        <stp>[QwackPricer.xlsb.xlsx]FX-IR!R202C7</stp>
        <tr r="G202" s="1"/>
      </tp>
      <tp>
        <v>2.9950000000000001</v>
        <stp/>
        <stp>##V3_BDHV12</stp>
        <stp>XPDUSD25R18m Curncy</stp>
        <stp>PX_LAST</stp>
        <stp>12/05/2020</stp>
        <stp>12/05/2020</stp>
        <stp>[QwackPricer.xlsb.xlsx]FX-IR!R202C5</stp>
        <tr r="E202" s="1"/>
      </tp>
      <tp>
        <v>18.489301681518555</v>
        <stp/>
        <stp>##V3_BDPV12</stp>
        <stp>LA DEC20 25DP VOL LME Comdty</stp>
        <stp>PX_LAST</stp>
        <stp>[QwackPricer.xlsb.xlsx]Base!R76C5</stp>
        <tr r="E76" s="2"/>
      </tp>
      <tp>
        <v>20.479188919067383</v>
        <stp/>
        <stp>##V3_BDPV12</stp>
        <stp>LA DEC20 10DP VOL LME Comdty</stp>
        <stp>PX_LAST</stp>
        <stp>[QwackPricer.xlsb.xlsx]Base!R76C4</stp>
        <tr r="D76" s="2"/>
      </tp>
      <tp>
        <v>16.47990608215332</v>
        <stp/>
        <stp>##V3_BDPV12</stp>
        <stp>LA DEC20 25DC VOL LME Comdty</stp>
        <stp>PX_LAST</stp>
        <stp>[QwackPricer.xlsb.xlsx]Base!R76C7</stp>
        <tr r="G76" s="2"/>
      </tp>
      <tp>
        <v>16.669839859008789</v>
        <stp/>
        <stp>##V3_BDPV12</stp>
        <stp>LA DEC20 10DC VOL LME Comdty</stp>
        <stp>PX_LAST</stp>
        <stp>[QwackPricer.xlsb.xlsx]Base!R76C8</stp>
        <tr r="H76" s="2"/>
      </tp>
      <tp>
        <v>0.98</v>
        <stp/>
        <stp>##V3_BDHV12</stp>
        <stp>USDZAR25B1m Curncy</stp>
        <stp>PX_LAST</stp>
        <stp>12/05/2020</stp>
        <stp>12/05/2020</stp>
        <stp>[QwackPricer.xlsb.xlsx]FX-IR!R97C7</stp>
        <tr r="G97" s="1"/>
      </tp>
      <tp>
        <v>2.94</v>
        <stp/>
        <stp>##V3_BDHV12</stp>
        <stp>USDZAR10B1m Curncy</stp>
        <stp>PX_LAST</stp>
        <stp>12/05/2020</stp>
        <stp>12/05/2020</stp>
        <stp>[QwackPricer.xlsb.xlsx]FX-IR!R97C8</stp>
        <tr r="H97" s="1"/>
      </tp>
      <tp>
        <v>-6.65</v>
        <stp/>
        <stp>##V3_BDHV12</stp>
        <stp>AUDUSD10R18m Curncy</stp>
        <stp>PX_LAST</stp>
        <stp>12/05/2020</stp>
        <stp>12/05/2020</stp>
        <stp>[QwackPricer.xlsb.xlsx]FX-IR!R136C6</stp>
        <tr r="F136" s="1"/>
      </tp>
      <tp>
        <v>2.2549999999999999</v>
        <stp/>
        <stp>##V3_BDHV12</stp>
        <stp>AUDUSD10B18m Curncy</stp>
        <stp>PX_LAST</stp>
        <stp>12/05/2020</stp>
        <stp>12/05/2020</stp>
        <stp>[QwackPricer.xlsb.xlsx]FX-IR!R136C8</stp>
        <tr r="H136" s="1"/>
      </tp>
      <tp>
        <v>18.199531555175781</v>
        <stp/>
        <stp>##V3_BDPV12</stp>
        <stp>LA OCT22 10DP VOL LME Comdty</stp>
        <stp>PX_LAST</stp>
        <stp>[QwackPricer.xlsb.xlsx]Base!R98C4</stp>
        <tr r="D98" s="2"/>
      </tp>
      <tp>
        <v>17.029653549194336</v>
        <stp/>
        <stp>##V3_BDPV12</stp>
        <stp>LA OCT22 25DP VOL LME Comdty</stp>
        <stp>PX_LAST</stp>
        <stp>[QwackPricer.xlsb.xlsx]Base!R98C5</stp>
        <tr r="E98" s="2"/>
      </tp>
      <tp>
        <v>18.199466705322266</v>
        <stp/>
        <stp>##V3_BDPV12</stp>
        <stp>LA MAR21 25DP VOL LME Comdty</stp>
        <stp>PX_LAST</stp>
        <stp>[QwackPricer.xlsb.xlsx]Base!R79C5</stp>
        <tr r="E79" s="2"/>
      </tp>
      <tp>
        <v>19.699350357055664</v>
        <stp/>
        <stp>##V3_BDPV12</stp>
        <stp>LA MAR21 10DP VOL LME Comdty</stp>
        <stp>PX_LAST</stp>
        <stp>[QwackPricer.xlsb.xlsx]Base!R79C4</stp>
        <tr r="D79" s="2"/>
      </tp>
      <tp>
        <v>15.939814567565918</v>
        <stp/>
        <stp>##V3_BDPV12</stp>
        <stp>LA AUG22 25DC VOL LME Comdty</stp>
        <stp>PX_LAST</stp>
        <stp>[QwackPricer.xlsb.xlsx]Base!R96C7</stp>
        <tr r="G96" s="2"/>
      </tp>
      <tp>
        <v>16.209821701049805</v>
        <stp/>
        <stp>##V3_BDPV12</stp>
        <stp>LA AUG22 10DC VOL LME Comdty</stp>
        <stp>PX_LAST</stp>
        <stp>[QwackPricer.xlsb.xlsx]Base!R96C8</stp>
        <tr r="H96" s="2"/>
      </tp>
      <tp>
        <v>16.999656677246094</v>
        <stp/>
        <stp>##V3_BDPV12</stp>
        <stp>LA NOV22 25DP VOL LME Comdty</stp>
        <stp>PX_LAST</stp>
        <stp>[QwackPricer.xlsb.xlsx]Base!R99C5</stp>
        <tr r="E99" s="2"/>
      </tp>
      <tp>
        <v>18.179533004760742</v>
        <stp/>
        <stp>##V3_BDPV12</stp>
        <stp>LA NOV22 10DP VOL LME Comdty</stp>
        <stp>PX_LAST</stp>
        <stp>[QwackPricer.xlsb.xlsx]Base!R99C4</stp>
        <tr r="D99" s="2"/>
      </tp>
      <tp>
        <v>16.56983757019043</v>
        <stp/>
        <stp>##V3_BDPV12</stp>
        <stp>LA MAR21 25DC VOL LME Comdty</stp>
        <stp>PX_LAST</stp>
        <stp>[QwackPricer.xlsb.xlsx]Base!R79C7</stp>
        <tr r="G79" s="2"/>
      </tp>
      <tp>
        <v>16.919769287109375</v>
        <stp/>
        <stp>##V3_BDPV12</stp>
        <stp>LA MAR21 10DC VOL LME Comdty</stp>
        <stp>PX_LAST</stp>
        <stp>[QwackPricer.xlsb.xlsx]Base!R79C8</stp>
        <tr r="H79" s="2"/>
      </tp>
      <tp>
        <v>15.939818382263184</v>
        <stp/>
        <stp>##V3_BDPV12</stp>
        <stp>LA OCT22 25DC VOL LME Comdty</stp>
        <stp>PX_LAST</stp>
        <stp>[QwackPricer.xlsb.xlsx]Base!R98C7</stp>
        <tr r="G98" s="2"/>
      </tp>
      <tp>
        <v>16.189840316772461</v>
        <stp/>
        <stp>##V3_BDPV12</stp>
        <stp>LA OCT22 10DC VOL LME Comdty</stp>
        <stp>PX_LAST</stp>
        <stp>[QwackPricer.xlsb.xlsx]Base!R98C8</stp>
        <tr r="H98" s="2"/>
      </tp>
      <tp>
        <v>17.049648284912109</v>
        <stp/>
        <stp>##V3_BDPV12</stp>
        <stp>LA AUG22 25DP VOL LME Comdty</stp>
        <stp>PX_LAST</stp>
        <stp>[QwackPricer.xlsb.xlsx]Base!R96C5</stp>
        <tr r="E96" s="2"/>
      </tp>
      <tp>
        <v>18.219532012939453</v>
        <stp/>
        <stp>##V3_BDPV12</stp>
        <stp>LA AUG22 10DP VOL LME Comdty</stp>
        <stp>PX_LAST</stp>
        <stp>[QwackPricer.xlsb.xlsx]Base!R96C4</stp>
        <tr r="D96" s="2"/>
      </tp>
      <tp>
        <v>15.959822654724121</v>
        <stp/>
        <stp>##V3_BDPV12</stp>
        <stp>LA NOV22 25DC VOL LME Comdty</stp>
        <stp>PX_LAST</stp>
        <stp>[QwackPricer.xlsb.xlsx]Base!R99C7</stp>
        <tr r="G99" s="2"/>
      </tp>
      <tp>
        <v>16.169853210449219</v>
        <stp/>
        <stp>##V3_BDPV12</stp>
        <stp>LA NOV22 10DC VOL LME Comdty</stp>
        <stp>PX_LAST</stp>
        <stp>[QwackPricer.xlsb.xlsx]Base!R99C8</stp>
        <tr r="H99" s="2"/>
      </tp>
      <tp>
        <v>3.04</v>
        <stp/>
        <stp>##V3_BDHV12</stp>
        <stp>USDZAR10B1w Curncy</stp>
        <stp>PX_LAST</stp>
        <stp>12/05/2020</stp>
        <stp>12/05/2020</stp>
        <stp>[QwackPricer.xlsb.xlsx]FX-IR!R96C8</stp>
        <tr r="H96" s="1"/>
      </tp>
      <tp>
        <v>0.97</v>
        <stp/>
        <stp>##V3_BDHV12</stp>
        <stp>USDZAR25B1w Curncy</stp>
        <stp>PX_LAST</stp>
        <stp>12/05/2020</stp>
        <stp>12/05/2020</stp>
        <stp>[QwackPricer.xlsb.xlsx]FX-IR!R96C7</stp>
        <tr r="G96" s="1"/>
      </tp>
      <tp>
        <v>32.609477996826172</v>
        <stp/>
        <stp>##V3_BDPV12</stp>
        <stp>LN NOV20 10DC VOL LME Comdty</stp>
        <stp>PX_LAST</stp>
        <stp>[QwackPricer.xlsb.xlsx]Base!R75C41</stp>
        <tr r="AO75" s="2"/>
      </tp>
      <tp>
        <v>31.749343872070313</v>
        <stp/>
        <stp>##V3_BDPV12</stp>
        <stp>LN NOV21 10DC VOL LME Comdty</stp>
        <stp>PX_LAST</stp>
        <stp>[QwackPricer.xlsb.xlsx]Base!R87C41</stp>
        <tr r="AO87" s="2"/>
      </tp>
      <tp>
        <v>31.729448318481445</v>
        <stp/>
        <stp>##V3_BDPV12</stp>
        <stp>LN NOV20 25DC VOL LME Comdty</stp>
        <stp>PX_LAST</stp>
        <stp>[QwackPricer.xlsb.xlsx]Base!R75C40</stp>
        <tr r="AN75" s="2"/>
      </tp>
      <tp>
        <v>30.689224243164063</v>
        <stp/>
        <stp>##V3_BDPV12</stp>
        <stp>LN NOV21 25DC VOL LME Comdty</stp>
        <stp>PX_LAST</stp>
        <stp>[QwackPricer.xlsb.xlsx]Base!R87C40</stp>
        <tr r="AN87" s="2"/>
      </tp>
      <tp>
        <v>20.289838790893555</v>
        <stp/>
        <stp>##V3_BDPV12</stp>
        <stp>LP NOV22 25DC VOL LME Comdty</stp>
        <stp>PX_LAST</stp>
        <stp>[QwackPricer.xlsb.xlsx]Base!R99C18</stp>
        <tr r="R99" s="2"/>
      </tp>
      <tp>
        <v>20.499912261962891</v>
        <stp/>
        <stp>##V3_BDPV12</stp>
        <stp>LP NOV21 25DC VOL LME Comdty</stp>
        <stp>PX_LAST</stp>
        <stp>[QwackPricer.xlsb.xlsx]Base!R87C18</stp>
        <tr r="R87" s="2"/>
      </tp>
      <tp>
        <v>21.429939270019531</v>
        <stp/>
        <stp>##V3_BDPV12</stp>
        <stp>LP NOV20 25DC VOL LME Comdty</stp>
        <stp>PX_LAST</stp>
        <stp>[QwackPricer.xlsb.xlsx]Base!R75C18</stp>
        <tr r="R75" s="2"/>
      </tp>
      <tp>
        <v>20.499849319458008</v>
        <stp/>
        <stp>##V3_BDPV12</stp>
        <stp>LP NOV22 10DC VOL LME Comdty</stp>
        <stp>PX_LAST</stp>
        <stp>[QwackPricer.xlsb.xlsx]Base!R99C19</stp>
        <tr r="S99" s="2"/>
      </tp>
      <tp>
        <v>20.679868698120117</v>
        <stp/>
        <stp>##V3_BDPV12</stp>
        <stp>LP NOV21 10DC VOL LME Comdty</stp>
        <stp>PX_LAST</stp>
        <stp>[QwackPricer.xlsb.xlsx]Base!R87C19</stp>
        <tr r="S87" s="2"/>
      </tp>
      <tp>
        <v>21.639825820922852</v>
        <stp/>
        <stp>##V3_BDPV12</stp>
        <stp>LP NOV20 10DC VOL LME Comdty</stp>
        <stp>PX_LAST</stp>
        <stp>[QwackPricer.xlsb.xlsx]Base!R75C19</stp>
        <tr r="S75" s="2"/>
      </tp>
      <tp>
        <v>22.5299072265625</v>
        <stp/>
        <stp>##V3_BDPV12</stp>
        <stp>LX NOV20 10DC VOL LME Comdty</stp>
        <stp>PX_LAST</stp>
        <stp>[QwackPricer.xlsb.xlsx]Base!R75C30</stp>
        <tr r="AD75" s="2"/>
      </tp>
      <tp>
        <v>21.969997406005859</v>
        <stp/>
        <stp>##V3_BDPV12</stp>
        <stp>LX NOV21 10DC VOL LME Comdty</stp>
        <stp>PX_LAST</stp>
        <stp>[QwackPricer.xlsb.xlsx]Base!R87C30</stp>
        <tr r="AD87" s="2"/>
      </tp>
      <tp>
        <v>22.069990158081055</v>
        <stp/>
        <stp>##V3_BDPV12</stp>
        <stp>LX NOV21 25DC VOL LME Comdty</stp>
        <stp>PX_LAST</stp>
        <stp>[QwackPricer.xlsb.xlsx]Base!R87C29</stp>
        <tr r="AC87" s="2"/>
      </tp>
      <tp>
        <v>22.359901428222656</v>
        <stp/>
        <stp>##V3_BDPV12</stp>
        <stp>LX NOV20 25DC VOL LME Comdty</stp>
        <stp>PX_LAST</stp>
        <stp>[QwackPricer.xlsb.xlsx]Base!R75C29</stp>
        <tr r="AC75" s="2"/>
      </tp>
      <tp>
        <v>20.320127487182617</v>
        <stp/>
        <stp>##V3_BDPV12</stp>
        <stp>LP SEP22 50D VOL LME Comdty</stp>
        <stp>PX_LAST</stp>
        <stp>[QwackPricer.xlsb.xlsx]Base!R97C17</stp>
        <tr r="Q97" s="2"/>
      </tp>
      <tp>
        <v>16.389797210693359</v>
        <stp/>
        <stp>##V3_BDPV12</stp>
        <stp>LA AUG21 25DC VOL LME Comdty</stp>
        <stp>PX_LAST</stp>
        <stp>[QwackPricer.xlsb.xlsx]Base!R84C7</stp>
        <tr r="G84" s="2"/>
      </tp>
      <tp>
        <v>16.779747009277344</v>
        <stp/>
        <stp>##V3_BDPV12</stp>
        <stp>LA AUG21 10DC VOL LME Comdty</stp>
        <stp>PX_LAST</stp>
        <stp>[QwackPricer.xlsb.xlsx]Base!R84C8</stp>
        <tr r="H84" s="2"/>
      </tp>
      <tp>
        <v>17.049646377563477</v>
        <stp/>
        <stp>##V3_BDPV12</stp>
        <stp>LA FEB22 25DP VOL LME Comdty</stp>
        <stp>PX_LAST</stp>
        <stp>[QwackPricer.xlsb.xlsx]Base!R90C5</stp>
        <tr r="E90" s="2"/>
      </tp>
      <tp>
        <v>18.129541397094727</v>
        <stp/>
        <stp>##V3_BDPV12</stp>
        <stp>LA FEB22 10DP VOL LME Comdty</stp>
        <stp>PX_LAST</stp>
        <stp>[QwackPricer.xlsb.xlsx]Base!R90C4</stp>
        <tr r="D90" s="2"/>
      </tp>
      <tp>
        <v>16.039766311645508</v>
        <stp/>
        <stp>##V3_BDPV12</stp>
        <stp>LA FEB22 25DC VOL LME Comdty</stp>
        <stp>PX_LAST</stp>
        <stp>[QwackPricer.xlsb.xlsx]Base!R90C7</stp>
        <tr r="G90" s="2"/>
      </tp>
      <tp>
        <v>16.429752349853516</v>
        <stp/>
        <stp>##V3_BDPV12</stp>
        <stp>LA FEB22 10DC VOL LME Comdty</stp>
        <stp>PX_LAST</stp>
        <stp>[QwackPricer.xlsb.xlsx]Base!R90C8</stp>
        <tr r="H90" s="2"/>
      </tp>
      <tp>
        <v>17.669582366943359</v>
        <stp/>
        <stp>##V3_BDPV12</stp>
        <stp>LA AUG21 25DP VOL LME Comdty</stp>
        <stp>PX_LAST</stp>
        <stp>[QwackPricer.xlsb.xlsx]Base!R84C5</stp>
        <tr r="E84" s="2"/>
      </tp>
      <tp>
        <v>18.919473648071289</v>
        <stp/>
        <stp>##V3_BDPV12</stp>
        <stp>LA AUG21 10DP VOL LME Comdty</stp>
        <stp>PX_LAST</stp>
        <stp>[QwackPricer.xlsb.xlsx]Base!R84C4</stp>
        <tr r="D84" s="2"/>
      </tp>
      <tp>
        <v>99.76</v>
        <stp/>
        <stp>##V3_BDPV12</stp>
        <stp>EDM2 Comdty</stp>
        <stp>PX_LAST</stp>
        <stp>[QwackPricer.xlsb.xlsx]FX-IR!R79C3</stp>
        <tr r="C79" s="1"/>
      </tp>
      <tp>
        <v>29.749963760375977</v>
        <stp/>
        <stp>##V3_BDPV12</stp>
        <stp>LN SEP21 50D VOL LME Comdty</stp>
        <stp>PX_LAST</stp>
        <stp>[QwackPricer.xlsb.xlsx]Base!R85C39</stp>
        <tr r="AM85" s="2"/>
      </tp>
      <tp>
        <v>22.200119018554688</v>
        <stp/>
        <stp>##V3_BDPV12</stp>
        <stp>LX SEP21 50D VOL LME Comdty</stp>
        <stp>PX_LAST</stp>
        <stp>[QwackPricer.xlsb.xlsx]Base!R85C28</stp>
        <tr r="AB85" s="2"/>
      </tp>
      <tp>
        <v>20.820135116577148</v>
        <stp/>
        <stp>##V3_BDPV12</stp>
        <stp>LP SEP21 50D VOL LME Comdty</stp>
        <stp>PX_LAST</stp>
        <stp>[QwackPricer.xlsb.xlsx]Base!R85C17</stp>
        <tr r="Q85" s="2"/>
      </tp>
      <tp>
        <v>99.79</v>
        <stp/>
        <stp>##V3_BDPV12</stp>
        <stp>EDH2 Comdty</stp>
        <stp>PX_LAST</stp>
        <stp>[QwackPricer.xlsb.xlsx]FX-IR!R78C3</stp>
        <tr r="C78" s="1"/>
      </tp>
      <tp>
        <v>-3.66</v>
        <stp/>
        <stp>##V3_BDHV12</stp>
        <stp>AUDUSD25R18m Curncy</stp>
        <stp>PX_LAST</stp>
        <stp>12/05/2020</stp>
        <stp>12/05/2020</stp>
        <stp>[QwackPricer.xlsb.xlsx]FX-IR!R136C5</stp>
        <tr r="E136" s="1"/>
      </tp>
      <tp>
        <v>0.76500000000000001</v>
        <stp/>
        <stp>##V3_BDHV12</stp>
        <stp>AUDUSD25B18m Curncy</stp>
        <stp>PX_LAST</stp>
        <stp>12/05/2020</stp>
        <stp>12/05/2020</stp>
        <stp>[QwackPricer.xlsb.xlsx]FX-IR!R136C7</stp>
        <tr r="G136" s="1"/>
      </tp>
      <tp>
        <v>31.109996795654297</v>
        <stp/>
        <stp>##V3_BDPV12</stp>
        <stp>LN SEP20 50D VOL LME Comdty</stp>
        <stp>PX_LAST</stp>
        <stp>[QwackPricer.xlsb.xlsx]Base!R73C39</stp>
        <tr r="AM73" s="2"/>
      </tp>
      <tp>
        <v>22.37004280090332</v>
        <stp/>
        <stp>##V3_BDPV12</stp>
        <stp>LX SEP20 50D VOL LME Comdty</stp>
        <stp>PX_LAST</stp>
        <stp>[QwackPricer.xlsb.xlsx]Base!R73C28</stp>
        <tr r="AB73" s="2"/>
      </tp>
      <tp>
        <v>22.040092468261719</v>
        <stp/>
        <stp>##V3_BDPV12</stp>
        <stp>LP SEP20 50D VOL LME Comdty</stp>
        <stp>PX_LAST</stp>
        <stp>[QwackPricer.xlsb.xlsx]Base!R73C17</stp>
        <tr r="Q73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lta%20Vol%20Bootstrapper_201807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"/>
      <sheetName val="Surface"/>
      <sheetName val="BB Data"/>
      <sheetName val="Chains"/>
      <sheetName val="Delta Vol Bootstrapper_20180709"/>
    </sheetNames>
    <sheetDataSet>
      <sheetData sheetId="0"/>
      <sheetData sheetId="1">
        <row r="37">
          <cell r="E37" t="str">
            <v>RR</v>
          </cell>
          <cell r="H37" t="str">
            <v>BF</v>
          </cell>
        </row>
        <row r="38">
          <cell r="D38" t="str">
            <v>ATM</v>
          </cell>
          <cell r="E38">
            <v>0.25</v>
          </cell>
          <cell r="F38">
            <v>0.1</v>
          </cell>
          <cell r="G38">
            <v>0.05</v>
          </cell>
          <cell r="H38">
            <v>0.25</v>
          </cell>
          <cell r="I38">
            <v>0.1</v>
          </cell>
          <cell r="J38">
            <v>0.05</v>
          </cell>
        </row>
        <row r="39">
          <cell r="C39">
            <v>43977</v>
          </cell>
          <cell r="D39">
            <v>0.94953327096016926</v>
          </cell>
          <cell r="E39">
            <v>-0.23470192947809199</v>
          </cell>
          <cell r="F39">
            <v>-0.42059861077292671</v>
          </cell>
          <cell r="G39">
            <v>-0.58994940654753569</v>
          </cell>
          <cell r="H39">
            <v>8.5746805573386764E-3</v>
          </cell>
          <cell r="I39">
            <v>6.7767178716917953E-2</v>
          </cell>
          <cell r="J39">
            <v>0.19860045004214066</v>
          </cell>
          <cell r="L39">
            <v>43977</v>
          </cell>
          <cell r="M39">
            <v>0.64072929715689808</v>
          </cell>
          <cell r="N39">
            <v>-0.13612711909729336</v>
          </cell>
          <cell r="O39">
            <v>-0.24394719424829758</v>
          </cell>
          <cell r="P39">
            <v>4.9733147232564612E-3</v>
          </cell>
          <cell r="Q39">
            <v>3.9304963655812597E-2</v>
          </cell>
        </row>
        <row r="40">
          <cell r="C40">
            <v>44007</v>
          </cell>
          <cell r="D40">
            <v>0.74986464453022106</v>
          </cell>
          <cell r="E40">
            <v>-0.17964082926112879</v>
          </cell>
          <cell r="F40">
            <v>-0.38362891375948771</v>
          </cell>
          <cell r="G40">
            <v>-0.55591755390346842</v>
          </cell>
          <cell r="H40">
            <v>1.8591549109074679E-2</v>
          </cell>
          <cell r="I40">
            <v>0.11504929849973144</v>
          </cell>
          <cell r="J40">
            <v>0.27943899944178452</v>
          </cell>
          <cell r="L40">
            <v>44007</v>
          </cell>
          <cell r="M40">
            <v>0.52492149382752817</v>
          </cell>
          <cell r="N40">
            <v>-0.1041916809714547</v>
          </cell>
          <cell r="O40">
            <v>-0.22250476998050284</v>
          </cell>
          <cell r="P40">
            <v>1.0783098483263309E-2</v>
          </cell>
          <cell r="Q40">
            <v>6.6728593129844249E-2</v>
          </cell>
        </row>
        <row r="41">
          <cell r="C41">
            <v>44040</v>
          </cell>
          <cell r="D41">
            <v>0.62553030730750458</v>
          </cell>
          <cell r="E41">
            <v>-0.16070770140074098</v>
          </cell>
          <cell r="F41">
            <v>-0.30700409210822677</v>
          </cell>
          <cell r="G41">
            <v>-0.4227404493112118</v>
          </cell>
          <cell r="H41">
            <v>1.750455772091708E-2</v>
          </cell>
          <cell r="I41">
            <v>0.10476630238957518</v>
          </cell>
          <cell r="J41">
            <v>0.25030827958096558</v>
          </cell>
          <cell r="L41">
            <v>44040</v>
          </cell>
          <cell r="M41">
            <v>0.4528075782383526</v>
          </cell>
          <cell r="N41">
            <v>-9.3210466812429837E-2</v>
          </cell>
          <cell r="O41">
            <v>-0.17806237342277142</v>
          </cell>
          <cell r="P41">
            <v>1.015264347813194E-2</v>
          </cell>
          <cell r="Q41">
            <v>6.0764455385953542E-2</v>
          </cell>
        </row>
        <row r="42">
          <cell r="C42">
            <v>44068</v>
          </cell>
          <cell r="D42">
            <v>0.57550963945717493</v>
          </cell>
          <cell r="E42">
            <v>-0.13269454846944406</v>
          </cell>
          <cell r="F42">
            <v>-0.24785710536101502</v>
          </cell>
          <cell r="G42">
            <v>-0.37663664791508078</v>
          </cell>
          <cell r="H42">
            <v>1.4657543097060466E-2</v>
          </cell>
          <cell r="I42">
            <v>8.8349133134075442E-2</v>
          </cell>
          <cell r="J42">
            <v>0.21005735097403588</v>
          </cell>
          <cell r="L42">
            <v>44068</v>
          </cell>
          <cell r="M42">
            <v>0.42379559088516139</v>
          </cell>
          <cell r="N42">
            <v>-7.6962838112277554E-2</v>
          </cell>
          <cell r="O42">
            <v>-0.14375712110938876</v>
          </cell>
          <cell r="P42">
            <v>8.501374996295108E-3</v>
          </cell>
          <cell r="Q42">
            <v>5.1242497217763805E-2</v>
          </cell>
        </row>
        <row r="43">
          <cell r="C43">
            <v>44099</v>
          </cell>
          <cell r="D43">
            <v>0.54478332135835073</v>
          </cell>
          <cell r="E43">
            <v>-0.10668322316098489</v>
          </cell>
          <cell r="F43">
            <v>-0.20370398091976827</v>
          </cell>
          <cell r="G43">
            <v>-0.33086558219202844</v>
          </cell>
          <cell r="H43">
            <v>1.075711397368917E-2</v>
          </cell>
          <cell r="I43">
            <v>7.1770908190927907E-2</v>
          </cell>
          <cell r="J43">
            <v>0.17244069450813015</v>
          </cell>
          <cell r="L43">
            <v>44099</v>
          </cell>
          <cell r="M43">
            <v>0.40597432638784337</v>
          </cell>
          <cell r="N43">
            <v>-6.1876269433371212E-2</v>
          </cell>
          <cell r="O43">
            <v>-0.11814830893346562</v>
          </cell>
          <cell r="P43">
            <v>6.2391261047397562E-3</v>
          </cell>
          <cell r="Q43">
            <v>4.1627126750738208E-2</v>
          </cell>
        </row>
        <row r="44">
          <cell r="C44">
            <v>44131</v>
          </cell>
          <cell r="D44">
            <v>0.51293997988147422</v>
          </cell>
          <cell r="E44">
            <v>-0.10427754095857605</v>
          </cell>
          <cell r="F44">
            <v>-0.18737285160809403</v>
          </cell>
          <cell r="G44">
            <v>-0.26948942114063112</v>
          </cell>
          <cell r="H44">
            <v>8.1680359695992522E-3</v>
          </cell>
          <cell r="I44">
            <v>5.3134380566480122E-2</v>
          </cell>
          <cell r="J44">
            <v>0.12472632698867248</v>
          </cell>
          <cell r="L44">
            <v>44131</v>
          </cell>
          <cell r="M44">
            <v>0.38750518833125502</v>
          </cell>
          <cell r="N44">
            <v>-6.0480973755974166E-2</v>
          </cell>
          <cell r="O44">
            <v>-0.10867625393269453</v>
          </cell>
          <cell r="P44">
            <v>4.7374608623675929E-3</v>
          </cell>
          <cell r="Q44">
            <v>3.0817940728558535E-2</v>
          </cell>
        </row>
        <row r="45">
          <cell r="C45">
            <v>44160</v>
          </cell>
          <cell r="D45">
            <v>0.4853806795032008</v>
          </cell>
          <cell r="E45">
            <v>-9.0249290307133578E-2</v>
          </cell>
          <cell r="F45">
            <v>-0.17041186134514097</v>
          </cell>
          <cell r="G45">
            <v>-0.27282968906420563</v>
          </cell>
          <cell r="H45">
            <v>1.1697271414938482E-2</v>
          </cell>
          <cell r="I45">
            <v>5.978235530285686E-2</v>
          </cell>
          <cell r="J45">
            <v>0.13991804367279365</v>
          </cell>
          <cell r="L45">
            <v>44160</v>
          </cell>
          <cell r="M45">
            <v>0.37152079411185646</v>
          </cell>
          <cell r="N45">
            <v>-5.2344588378137491E-2</v>
          </cell>
          <cell r="O45">
            <v>-9.8838879580181782E-2</v>
          </cell>
          <cell r="P45">
            <v>6.7844174206642682E-3</v>
          </cell>
          <cell r="Q45">
            <v>3.4673766075656975E-2</v>
          </cell>
        </row>
        <row r="46">
          <cell r="C46">
            <v>44189</v>
          </cell>
          <cell r="D46">
            <v>0.46262475141452275</v>
          </cell>
          <cell r="E46">
            <v>-8.3260664407303508E-2</v>
          </cell>
          <cell r="F46">
            <v>-0.13385459345144585</v>
          </cell>
          <cell r="G46">
            <v>-0.39758270693947134</v>
          </cell>
          <cell r="H46">
            <v>1.3921603286779938E-2</v>
          </cell>
          <cell r="I46">
            <v>5.0527772609631816E-2</v>
          </cell>
          <cell r="J46">
            <v>0.20934144910965746</v>
          </cell>
          <cell r="L46">
            <v>44189</v>
          </cell>
          <cell r="M46">
            <v>0.35832235582042316</v>
          </cell>
          <cell r="N46">
            <v>-4.8291185356235999E-2</v>
          </cell>
          <cell r="O46">
            <v>-7.7635664201838539E-2</v>
          </cell>
          <cell r="P46">
            <v>8.074529906332395E-3</v>
          </cell>
          <cell r="Q46">
            <v>2.9306108113586471E-2</v>
          </cell>
        </row>
        <row r="47">
          <cell r="C47">
            <v>44222</v>
          </cell>
          <cell r="D47">
            <v>0.4463506842701126</v>
          </cell>
          <cell r="E47">
            <v>-7.0883938465342411E-2</v>
          </cell>
          <cell r="F47">
            <v>-0.12545320032459115</v>
          </cell>
          <cell r="G47">
            <v>-0.2398378026646111</v>
          </cell>
          <cell r="H47">
            <v>1.1811240650795529E-2</v>
          </cell>
          <cell r="I47">
            <v>5.7136991347803603E-2</v>
          </cell>
          <cell r="J47">
            <v>0.16569613708819758</v>
          </cell>
          <cell r="L47">
            <v>44222</v>
          </cell>
          <cell r="M47">
            <v>0.34888339687666525</v>
          </cell>
          <cell r="N47">
            <v>-4.1112684309898617E-2</v>
          </cell>
          <cell r="O47">
            <v>-7.2762856188262878E-2</v>
          </cell>
          <cell r="P47">
            <v>6.8505195774615224E-3</v>
          </cell>
          <cell r="Q47">
            <v>3.3139454981726657E-2</v>
          </cell>
        </row>
        <row r="48">
          <cell r="C48">
            <v>44313</v>
          </cell>
          <cell r="D48">
            <v>0.41792020964713761</v>
          </cell>
          <cell r="E48">
            <v>-5.5874503863171443E-2</v>
          </cell>
          <cell r="F48">
            <v>-0.11872935813870195</v>
          </cell>
          <cell r="G48">
            <v>-0.21664802382837478</v>
          </cell>
          <cell r="H48">
            <v>1.1269798917016405E-2</v>
          </cell>
          <cell r="I48">
            <v>5.8071995201284254E-2</v>
          </cell>
          <cell r="J48">
            <v>0.12591857401085293</v>
          </cell>
          <cell r="L48">
            <v>44313</v>
          </cell>
          <cell r="M48">
            <v>0.33239372159533975</v>
          </cell>
          <cell r="N48">
            <v>-3.2407212240639471E-2</v>
          </cell>
          <cell r="O48">
            <v>-6.8863027720447056E-2</v>
          </cell>
          <cell r="P48">
            <v>6.5364833718695725E-3</v>
          </cell>
          <cell r="Q48">
            <v>3.3681757216744879E-2</v>
          </cell>
        </row>
        <row r="49">
          <cell r="C49">
            <v>44495</v>
          </cell>
          <cell r="D49">
            <v>0.3581017683611003</v>
          </cell>
          <cell r="E49">
            <v>-3.3529173497648002E-2</v>
          </cell>
          <cell r="F49">
            <v>-8.0224044970632458E-2</v>
          </cell>
          <cell r="G49">
            <v>-0.17053393440000275</v>
          </cell>
          <cell r="H49">
            <v>5.5049266812450259E-3</v>
          </cell>
          <cell r="I49">
            <v>3.4473837958196252E-2</v>
          </cell>
          <cell r="J49">
            <v>9.2667614596322445E-2</v>
          </cell>
          <cell r="L49">
            <v>44495</v>
          </cell>
          <cell r="M49">
            <v>0.29769902564943818</v>
          </cell>
          <cell r="N49">
            <v>-1.9446920628635844E-2</v>
          </cell>
          <cell r="O49">
            <v>-4.6529946082966789E-2</v>
          </cell>
          <cell r="P49">
            <v>3.1928574751221017E-3</v>
          </cell>
          <cell r="Q49">
            <v>1.9994826015753808E-2</v>
          </cell>
        </row>
        <row r="50">
          <cell r="C50">
            <v>44677</v>
          </cell>
          <cell r="D50">
            <v>0.32525280036972593</v>
          </cell>
          <cell r="E50">
            <v>-4.4342256712065209E-2</v>
          </cell>
          <cell r="F50">
            <v>-8.9744431061706403E-2</v>
          </cell>
          <cell r="G50">
            <v>-0.1734598837081</v>
          </cell>
          <cell r="H50">
            <v>3.8564773005734798E-3</v>
          </cell>
          <cell r="I50">
            <v>2.019341973501099E-2</v>
          </cell>
          <cell r="J50">
            <v>5.1842783733248146E-2</v>
          </cell>
          <cell r="L50">
            <v>44677</v>
          </cell>
          <cell r="M50">
            <v>0.27864662421444103</v>
          </cell>
          <cell r="N50">
            <v>-2.5718508892997816E-2</v>
          </cell>
          <cell r="O50">
            <v>-5.2051770015789638E-2</v>
          </cell>
          <cell r="P50">
            <v>2.2367568343326094E-3</v>
          </cell>
          <cell r="Q50">
            <v>1.171218344630629E-2</v>
          </cell>
        </row>
        <row r="51">
          <cell r="C51">
            <v>44860</v>
          </cell>
          <cell r="D51">
            <v>0.30123213728768461</v>
          </cell>
          <cell r="E51">
            <v>-4.0505695973004352E-2</v>
          </cell>
          <cell r="F51">
            <v>-8.7433736061272915E-2</v>
          </cell>
          <cell r="G51">
            <v>-0.16979348311888706</v>
          </cell>
          <cell r="H51">
            <v>1.0140499671354442E-2</v>
          </cell>
          <cell r="I51">
            <v>5.5412782402033227E-2</v>
          </cell>
          <cell r="J51">
            <v>0.13291929310130754</v>
          </cell>
          <cell r="L51">
            <v>44860</v>
          </cell>
          <cell r="M51">
            <v>0.26471463962685704</v>
          </cell>
          <cell r="N51">
            <v>-2.3493303664342491E-2</v>
          </cell>
          <cell r="O51">
            <v>-5.0711566915538152E-2</v>
          </cell>
          <cell r="P51">
            <v>5.8814898093856316E-3</v>
          </cell>
          <cell r="Q51">
            <v>3.2139413793179444E-2</v>
          </cell>
        </row>
        <row r="52">
          <cell r="C52">
            <v>45225</v>
          </cell>
          <cell r="D52">
            <v>0.25941436415626884</v>
          </cell>
          <cell r="E52">
            <v>-4.0469929896682189E-2</v>
          </cell>
          <cell r="F52">
            <v>-8.7998837398708729E-2</v>
          </cell>
          <cell r="G52">
            <v>-0.1756499480344495</v>
          </cell>
          <cell r="H52">
            <v>1.1525418949069666E-2</v>
          </cell>
          <cell r="I52">
            <v>6.505614029231517E-2</v>
          </cell>
          <cell r="J52">
            <v>0.16395801556181738</v>
          </cell>
          <cell r="L52">
            <v>45225</v>
          </cell>
          <cell r="M52">
            <v>0.24046033121063592</v>
          </cell>
          <cell r="N52">
            <v>-2.3472559340075666E-2</v>
          </cell>
          <cell r="O52">
            <v>-5.1039325691251004E-2</v>
          </cell>
          <cell r="P52">
            <v>6.6847429904604017E-3</v>
          </cell>
          <cell r="Q52">
            <v>3.77325613695427E-2</v>
          </cell>
        </row>
      </sheetData>
      <sheetData sheetId="2"/>
      <sheetData sheetId="3"/>
      <sheetData sheetId="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vin Brennan" id="{0CE68563-33B9-4C11-9B76-E5FB4149211B}" userId="9798bcd43cf414b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0-05-11T12:18:59.59" personId="{0CE68563-33B9-4C11-9B76-E5FB4149211B}" id="{F5E58993-FF94-41D8-B77E-F22115EAA9A7}">
    <text>Additional time spread in units/year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31EE-CDEF-4A3C-AFE6-7A493A0BB9BE}">
  <sheetPr>
    <tabColor theme="4"/>
  </sheetPr>
  <dimension ref="A1:AC206"/>
  <sheetViews>
    <sheetView workbookViewId="0">
      <selection activeCell="B42" sqref="B42"/>
    </sheetView>
  </sheetViews>
  <sheetFormatPr defaultRowHeight="15" x14ac:dyDescent="0.25"/>
  <cols>
    <col min="1" max="1" width="11.28515625" style="3" customWidth="1"/>
    <col min="2" max="2" width="13.85546875" bestFit="1" customWidth="1"/>
    <col min="3" max="3" width="24.42578125" bestFit="1" customWidth="1"/>
    <col min="4" max="4" width="12.28515625" customWidth="1"/>
    <col min="5" max="5" width="10.5703125" customWidth="1"/>
    <col min="6" max="6" width="11.140625" customWidth="1"/>
    <col min="7" max="7" width="9.85546875" bestFit="1" customWidth="1"/>
    <col min="8" max="8" width="11.5703125" customWidth="1"/>
    <col min="9" max="9" width="13.85546875" customWidth="1"/>
    <col min="10" max="10" width="14.85546875" customWidth="1"/>
    <col min="11" max="11" width="14.42578125" customWidth="1"/>
    <col min="12" max="13" width="17" bestFit="1" customWidth="1"/>
    <col min="14" max="14" width="17.85546875" customWidth="1"/>
    <col min="16" max="16" width="13.42578125" bestFit="1" customWidth="1"/>
    <col min="17" max="17" width="24.42578125" bestFit="1" customWidth="1"/>
    <col min="18" max="18" width="26.5703125" bestFit="1" customWidth="1"/>
    <col min="19" max="19" width="10.140625" bestFit="1" customWidth="1"/>
    <col min="20" max="20" width="11.5703125" bestFit="1" customWidth="1"/>
    <col min="21" max="21" width="15.28515625" bestFit="1" customWidth="1"/>
    <col min="22" max="22" width="15.7109375" bestFit="1" customWidth="1"/>
    <col min="23" max="24" width="26.140625" bestFit="1" customWidth="1"/>
    <col min="25" max="25" width="26.5703125" bestFit="1" customWidth="1"/>
    <col min="26" max="27" width="26.42578125" bestFit="1" customWidth="1"/>
    <col min="28" max="28" width="26" bestFit="1" customWidth="1"/>
    <col min="29" max="29" width="26.28515625" bestFit="1" customWidth="1"/>
  </cols>
  <sheetData>
    <row r="1" spans="1:29" x14ac:dyDescent="0.25">
      <c r="A1" s="3" t="s">
        <v>0</v>
      </c>
      <c r="B1" s="1">
        <f ca="1">TODAY()</f>
        <v>43963</v>
      </c>
      <c r="K1" s="3" t="s">
        <v>81</v>
      </c>
      <c r="P1" s="3" t="s">
        <v>82</v>
      </c>
    </row>
    <row r="2" spans="1:29" x14ac:dyDescent="0.25">
      <c r="A2" s="3" t="s">
        <v>59</v>
      </c>
      <c r="B2" s="1" cm="1">
        <f t="array" aca="1" ref="B2" ca="1">_xll.QDates_SpotDate(valDate,"2b","LON","NYC")</f>
        <v>43965</v>
      </c>
      <c r="L2" t="str">
        <f t="array" aca="1" ref="L2:N15" ca="1">_xll.QCurves_ExtractCalibrationInfoFromModel(B6)</f>
        <v>Time (ms)</v>
      </c>
      <c r="M2">
        <f ca="1"/>
        <v>88</v>
      </c>
      <c r="N2" s="21" t="str">
        <f ca="1"/>
        <v>Curves in stage</v>
      </c>
      <c r="Q2" s="5" t="s">
        <v>83</v>
      </c>
      <c r="R2" s="5" t="s">
        <v>54</v>
      </c>
      <c r="T2" s="5" t="s">
        <v>84</v>
      </c>
      <c r="U2" t="str">
        <f t="array" aca="1" ref="U2:AC2" ca="1">TRANSPOSE(R3:R11)</f>
        <v>ZAR.JIBAR.3M¬1</v>
      </c>
      <c r="V2" t="str">
        <f ca="1"/>
        <v>USD.LIBOR.3M¬1</v>
      </c>
      <c r="W2" t="str">
        <f ca="1"/>
        <v>ZAR.DISC.[USD.LIBOR.3M]¬1</v>
      </c>
      <c r="X2" t="str">
        <f ca="1"/>
        <v>EUR.DISC.[USD.LIBOR.3M]¬1</v>
      </c>
      <c r="Y2" t="str">
        <f ca="1"/>
        <v>AUD.DISC.[USD.LIBOR.3M]¬1</v>
      </c>
      <c r="Z2" t="str">
        <f ca="1"/>
        <v>XAU.DISC.[USD.LIBOR.3M]¬1</v>
      </c>
      <c r="AA2" t="str">
        <f ca="1"/>
        <v>XAG.DISC.[USD.LIBOR.3M]¬1</v>
      </c>
      <c r="AB2" t="str">
        <f ca="1"/>
        <v>XPT.DISC.[USD.LIBOR.3M]¬1</v>
      </c>
      <c r="AC2" t="str">
        <f ca="1"/>
        <v>XPD.DISC.[USD.LIBOR.3M]¬1</v>
      </c>
    </row>
    <row r="3" spans="1:29" x14ac:dyDescent="0.25">
      <c r="L3" t="str">
        <f ca="1"/>
        <v>Passes Stage 0</v>
      </c>
      <c r="M3" s="8">
        <f ca="1"/>
        <v>4</v>
      </c>
      <c r="N3" t="str">
        <f ca="1"/>
        <v>ZAR.JIBAR.3M</v>
      </c>
      <c r="Q3" t="str">
        <f t="array" aca="1" ref="Q3:Q12" ca="1">_xll.QCurves_ListCurvesInModel(B6)</f>
        <v>ZAR.JIBAR.3M</v>
      </c>
      <c r="R3" t="str" cm="1">
        <f t="array" aca="1" ref="R3" ca="1">_xll.QCurves_ExtractCurveFromModel($B$6,Q3,Q3)</f>
        <v>ZAR.JIBAR.3M¬1</v>
      </c>
      <c r="T3" s="1">
        <f ca="1">valDate+1</f>
        <v>43964</v>
      </c>
      <c r="U3" s="11" cm="1">
        <f t="array" aca="1" ref="U3" ca="1">_xll.QCurves_GetForwardRate(U$2,valDate,$T3,"CC","Act365F")</f>
        <v>4.2477528204917681E-2</v>
      </c>
      <c r="V3" s="11" cm="1">
        <f t="array" aca="1" ref="V3" ca="1">_xll.QCurves_GetForwardRate(V$2,valDate,$T3,"CC","Act365F")</f>
        <v>6.2485918734730419E-4</v>
      </c>
      <c r="W3" s="11" cm="1">
        <f t="array" aca="1" ref="W3" ca="1">_xll.QCurves_GetForwardRate(W$2,valDate,$T3,"CC","Act365F")</f>
        <v>4.6309266164959888E-2</v>
      </c>
      <c r="X3" s="11" cm="1">
        <f t="array" aca="1" ref="X3" ca="1">_xll.QCurves_GetForwardRate(X$2,valDate,$T3,"CC","Act365F")</f>
        <v>-5.6175039713416306E-3</v>
      </c>
      <c r="Y3" s="11" cm="1">
        <f t="array" aca="1" ref="Y3" ca="1">_xll.QCurves_GetForwardRate(Y$2,valDate,$T3,"CC","Act365F")</f>
        <v>3.4346202961613853E-4</v>
      </c>
      <c r="Z3" s="11" cm="1">
        <f t="array" aca="1" ref="Z3" ca="1">_xll.QCurves_GetForwardRate(Z$2,valDate,$T3,"CC","Act365F")</f>
        <v>-1.4805600001759152E-3</v>
      </c>
      <c r="AA3" s="11" cm="1">
        <f t="array" aca="1" ref="AA3" ca="1">_xll.QCurves_GetForwardRate(AA$2,valDate,$T3,"CC","Act365F")</f>
        <v>-4.5219901120409521E-3</v>
      </c>
      <c r="AB3" s="11" cm="1">
        <f t="array" aca="1" ref="AB3" ca="1">_xll.QCurves_GetForwardRate(AB$2,valDate,$T3,"CC","Act365F")</f>
        <v>1.1193975358200379E-2</v>
      </c>
      <c r="AC3" s="11" cm="1">
        <f t="array" aca="1" ref="AC3" ca="1">_xll.QCurves_GetForwardRate(AC$2,valDate,$T3,"CC","Act365F")</f>
        <v>6.1237915079278404E-3</v>
      </c>
    </row>
    <row r="4" spans="1:29" x14ac:dyDescent="0.25">
      <c r="A4" s="3" t="s">
        <v>23</v>
      </c>
      <c r="B4" t="str" cm="1">
        <f t="array" aca="1" ref="B4" ca="1">_xll.QIns_CreateFundingInstrumentCollection(A4,E64:E89,K64:L86,O50:R60,L32:N45)</f>
        <v>Instruments¬1</v>
      </c>
      <c r="L4" t="str">
        <f ca="1"/>
        <v>Passes Stage 1</v>
      </c>
      <c r="M4" s="8">
        <f ca="1"/>
        <v>4</v>
      </c>
      <c r="N4" t="str">
        <f ca="1"/>
        <v>USD.LIBOR.3M</v>
      </c>
      <c r="Q4" t="str">
        <f ca="1"/>
        <v>USD.LIBOR.3M</v>
      </c>
      <c r="R4" t="str" cm="1">
        <f t="array" aca="1" ref="R4" ca="1">_xll.QCurves_ExtractCurveFromModel($B$6,Q4,Q4)</f>
        <v>USD.LIBOR.3M¬1</v>
      </c>
      <c r="T4" s="1">
        <f ca="1">T3+1</f>
        <v>43965</v>
      </c>
      <c r="U4" s="11" cm="1">
        <f t="array" aca="1" ref="U4" ca="1">_xll.QCurves_GetForwardRate(U$2,valDate,$T4,"CC","Act365F")</f>
        <v>4.2536502509617984E-2</v>
      </c>
      <c r="V4" s="11" cm="1">
        <f t="array" aca="1" ref="V4" ca="1">_xll.QCurves_GetForwardRate(V$2,valDate,$T4,"CC","Act365F")</f>
        <v>6.6778333024617093E-4</v>
      </c>
      <c r="W4" s="11" cm="1">
        <f t="array" aca="1" ref="W4" ca="1">_xll.QCurves_GetForwardRate(W$2,valDate,$T4,"CC","Act365F")</f>
        <v>4.7113139966183659E-2</v>
      </c>
      <c r="X4" s="11" cm="1">
        <f t="array" aca="1" ref="X4" ca="1">_xll.QCurves_GetForwardRate(X$2,valDate,$T4,"CC","Act365F")</f>
        <v>-5.6588805251771394E-3</v>
      </c>
      <c r="Y4" s="11" cm="1">
        <f t="array" aca="1" ref="Y4" ca="1">_xll.QCurves_GetForwardRate(Y$2,valDate,$T4,"CC","Act365F")</f>
        <v>4.7080535022243078E-4</v>
      </c>
      <c r="Z4" s="11" cm="1">
        <f t="array" aca="1" ref="Z4" ca="1">_xll.QCurves_GetForwardRate(Z$2,valDate,$T4,"CC","Act365F")</f>
        <v>-1.480560000190424E-3</v>
      </c>
      <c r="AA4" s="11" cm="1">
        <f t="array" aca="1" ref="AA4" ca="1">_xll.QCurves_GetForwardRate(AA$2,valDate,$T4,"CC","Act365F")</f>
        <v>-4.5219901120584381E-3</v>
      </c>
      <c r="AB4" s="11" cm="1">
        <f t="array" aca="1" ref="AB4" ca="1">_xll.QCurves_GetForwardRate(AB$2,valDate,$T4,"CC","Act365F")</f>
        <v>1.1193975358189156E-2</v>
      </c>
      <c r="AC4" s="11" cm="1">
        <f t="array" aca="1" ref="AC4" ca="1">_xll.QCurves_GetForwardRate(AC$2,valDate,$T4,"CC","Act365F")</f>
        <v>6.1237915079241229E-3</v>
      </c>
    </row>
    <row r="5" spans="1:29" x14ac:dyDescent="0.25">
      <c r="A5" s="3" t="s">
        <v>78</v>
      </c>
      <c r="B5" t="str" cm="1">
        <f t="array" aca="1" ref="B5" ca="1">_xll.QIns_CreateFxMatrix(A5,"USD",valDate,$H$12:$I$18,I21:I27,B20:C27)</f>
        <v>FX Matrix¬1</v>
      </c>
      <c r="L5" t="str">
        <f ca="1"/>
        <v>Passes Stage 2</v>
      </c>
      <c r="M5" s="8">
        <f ca="1"/>
        <v>3</v>
      </c>
      <c r="N5" t="str">
        <f ca="1"/>
        <v>ZAR.DISC.[USD.LIBOR.3M]</v>
      </c>
      <c r="Q5" t="str">
        <f ca="1"/>
        <v>ZAR.DISC.[USD.LIBOR.3M]</v>
      </c>
      <c r="R5" t="str" cm="1">
        <f t="array" aca="1" ref="R5" ca="1">_xll.QCurves_ExtractCurveFromModel($B$6,Q5,Q5)</f>
        <v>ZAR.DISC.[USD.LIBOR.3M]¬1</v>
      </c>
      <c r="T5" s="1">
        <f ca="1">MetalSpotDate</f>
        <v>43965</v>
      </c>
      <c r="U5" s="11" cm="1">
        <f t="array" aca="1" ref="U5" ca="1">_xll.QCurves_GetForwardRate(U$2,valDate,$T5,"CC","Act365F")</f>
        <v>4.2536502509617984E-2</v>
      </c>
      <c r="V5" s="11" cm="1">
        <f t="array" aca="1" ref="V5" ca="1">_xll.QCurves_GetForwardRate(V$2,valDate,$T5,"CC","Act365F")</f>
        <v>6.6778333024617093E-4</v>
      </c>
      <c r="W5" s="11" cm="1">
        <f t="array" aca="1" ref="W5" ca="1">_xll.QCurves_GetForwardRate(W$2,valDate,$T5,"CC","Act365F")</f>
        <v>4.7113139966183659E-2</v>
      </c>
      <c r="X5" s="11" cm="1">
        <f t="array" aca="1" ref="X5" ca="1">_xll.QCurves_GetForwardRate(X$2,valDate,$T5,"CC","Act365F")</f>
        <v>-5.6588805251771394E-3</v>
      </c>
      <c r="Y5" s="11" cm="1">
        <f t="array" aca="1" ref="Y5" ca="1">_xll.QCurves_GetForwardRate(Y$2,valDate,$T5,"CC","Act365F")</f>
        <v>4.7080535022243078E-4</v>
      </c>
      <c r="Z5" s="11" cm="1">
        <f t="array" aca="1" ref="Z5" ca="1">_xll.QCurves_GetForwardRate(Z$2,valDate,$T5,"CC","Act365F")</f>
        <v>-1.480560000190424E-3</v>
      </c>
      <c r="AA5" s="11" cm="1">
        <f t="array" aca="1" ref="AA5" ca="1">_xll.QCurves_GetForwardRate(AA$2,valDate,$T5,"CC","Act365F")</f>
        <v>-4.5219901120584381E-3</v>
      </c>
      <c r="AB5" s="11" cm="1">
        <f t="array" aca="1" ref="AB5" ca="1">_xll.QCurves_GetForwardRate(AB$2,valDate,$T5,"CC","Act365F")</f>
        <v>1.1193975358189156E-2</v>
      </c>
      <c r="AC5" s="11" cm="1">
        <f t="array" aca="1" ref="AC5" ca="1">_xll.QCurves_GetForwardRate(AC$2,valDate,$T5,"CC","Act365F")</f>
        <v>6.1237915079241229E-3</v>
      </c>
    </row>
    <row r="6" spans="1:29" x14ac:dyDescent="0.25">
      <c r="A6" s="3" t="s">
        <v>80</v>
      </c>
      <c r="B6" t="str" cm="1">
        <f t="array" aca="1" ref="B6" ca="1">_xll.QCurves_CreateFundingModel(A6,valDate,B4,,B5,M93:M206)</f>
        <v>F-Model¬1</v>
      </c>
      <c r="L6" t="str">
        <f ca="1"/>
        <v>Passes Stage 3</v>
      </c>
      <c r="M6" s="8">
        <f ca="1"/>
        <v>6</v>
      </c>
      <c r="N6" t="str">
        <f ca="1"/>
        <v>EUR.DISC.[USD.LIBOR.3M]</v>
      </c>
      <c r="Q6" t="str">
        <f ca="1"/>
        <v>EUR.DISC.[USD.LIBOR.3M]</v>
      </c>
      <c r="R6" t="str" cm="1">
        <f t="array" aca="1" ref="R6" ca="1">_xll.QCurves_ExtractCurveFromModel($B$6,Q6,Q6)</f>
        <v>EUR.DISC.[USD.LIBOR.3M]¬1</v>
      </c>
      <c r="T6" s="1">
        <f ca="1">S50</f>
        <v>43972</v>
      </c>
      <c r="U6" s="11" cm="1">
        <f t="array" aca="1" ref="U6" ca="1">_xll.QCurves_GetForwardRate(U$2,valDate,$T6,"CC","Act365F")</f>
        <v>4.294932264248337E-2</v>
      </c>
      <c r="V6" s="11" cm="1">
        <f t="array" aca="1" ref="V6" ca="1">_xll.QCurves_GetForwardRate(V$2,valDate,$T6,"CC","Act365F")</f>
        <v>9.682523304217612E-4</v>
      </c>
      <c r="W6" s="11" cm="1">
        <f t="array" aca="1" ref="W6" ca="1">_xll.QCurves_GetForwardRate(W$2,valDate,$T6,"CC","Act365F")</f>
        <v>4.6256710504511654E-2</v>
      </c>
      <c r="X6" s="11" cm="1">
        <f t="array" aca="1" ref="X6" ca="1">_xll.QCurves_GetForwardRate(X$2,valDate,$T6,"CC","Act365F")</f>
        <v>-5.5360865327876482E-3</v>
      </c>
      <c r="Y6" s="11" cm="1">
        <f t="array" aca="1" ref="Y6" ca="1">_xll.QCurves_GetForwardRate(Y$2,valDate,$T6,"CC","Act365F")</f>
        <v>6.7434958403029069E-4</v>
      </c>
      <c r="Z6" s="11" cm="1">
        <f t="array" aca="1" ref="Z6" ca="1">_xll.QCurves_GetForwardRate(Z$2,valDate,$T6,"CC","Act365F")</f>
        <v>-1.4805600001996924E-3</v>
      </c>
      <c r="AA6" s="11" cm="1">
        <f t="array" aca="1" ref="AA6" ca="1">_xll.QCurves_GetForwardRate(AA$2,valDate,$T6,"CC","Act365F")</f>
        <v>-4.5219901120512442E-3</v>
      </c>
      <c r="AB6" s="11" cm="1">
        <f t="array" aca="1" ref="AB6" ca="1">_xll.QCurves_GetForwardRate(AB$2,valDate,$T6,"CC","Act365F")</f>
        <v>1.1193975358180583E-2</v>
      </c>
      <c r="AC6" s="11" cm="1">
        <f t="array" aca="1" ref="AC6" ca="1">_xll.QCurves_GetForwardRate(AC$2,valDate,$T6,"CC","Act365F")</f>
        <v>6.1237915079297408E-3</v>
      </c>
    </row>
    <row r="7" spans="1:29" x14ac:dyDescent="0.25">
      <c r="A7" s="3" t="s">
        <v>156</v>
      </c>
      <c r="B7" t="str" cm="1">
        <f t="array" aca="1" ref="B7" ca="1">_xll.QCurves_CreateAssetFxModel(A7,valDate,_xll.QUtils_Join(CurvesBase,CurvesEnergyBasis,CurvesEnergyFlat),_xll.QUtils_Join(VolsBase,VolsEnergy),FundingModel,_xll.QUtils_Join(FixingsBase,FixingsEnergy,$N$22:$N$26),CorrelMatrix)</f>
        <v>A-Model¬1</v>
      </c>
      <c r="L7" t="str">
        <f ca="1"/>
        <v>Passes Stage 4</v>
      </c>
      <c r="M7" s="8">
        <f ca="1"/>
        <v>5</v>
      </c>
      <c r="N7" t="str">
        <f ca="1"/>
        <v>AUD.DISC.[USD.LIBOR.3M]</v>
      </c>
      <c r="Q7" t="str">
        <f ca="1"/>
        <v>AUD.DISC.[USD.LIBOR.3M]</v>
      </c>
      <c r="R7" t="str" cm="1">
        <f t="array" aca="1" ref="R7" ca="1">_xll.QCurves_ExtractCurveFromModel($B$6,Q7,Q7)</f>
        <v>AUD.DISC.[USD.LIBOR.3M]¬1</v>
      </c>
      <c r="T7" s="1">
        <f t="shared" ref="T7:T14" ca="1" si="0">S51</f>
        <v>43997</v>
      </c>
      <c r="U7" s="11" cm="1">
        <f t="array" aca="1" ref="U7" ca="1">_xll.QCurves_GetForwardRate(U$2,valDate,$T7,"CC","Act365F")</f>
        <v>4.4287391914291346E-2</v>
      </c>
      <c r="V7" s="11" cm="1">
        <f t="array" aca="1" ref="V7" ca="1">_xll.QCurves_GetForwardRate(V$2,valDate,$T7,"CC","Act365F")</f>
        <v>1.9351366874306168E-3</v>
      </c>
      <c r="W7" s="11" cm="1">
        <f t="array" aca="1" ref="W7" ca="1">_xll.QCurves_GetForwardRate(W$2,valDate,$T7,"CC","Act365F")</f>
        <v>4.291961549159963E-2</v>
      </c>
      <c r="X7" s="11" cm="1">
        <f t="array" aca="1" ref="X7" ca="1">_xll.QCurves_GetForwardRate(X$2,valDate,$T7,"CC","Act365F")</f>
        <v>-4.9749491012837594E-3</v>
      </c>
      <c r="Y7" s="11" cm="1">
        <f t="array" aca="1" ref="Y7" ca="1">_xll.QCurves_GetForwardRate(Y$2,valDate,$T7,"CC","Act365F")</f>
        <v>1.1952529024247959E-3</v>
      </c>
      <c r="Z7" s="11" cm="1">
        <f t="array" aca="1" ref="Z7" ca="1">_xll.QCurves_GetForwardRate(Z$2,valDate,$T7,"CC","Act365F")</f>
        <v>-1.5305863032088027E-3</v>
      </c>
      <c r="AA7" s="11" cm="1">
        <f t="array" aca="1" ref="AA7" ca="1">_xll.QCurves_GetForwardRate(AA$2,valDate,$T7,"CC","Act365F")</f>
        <v>-4.5709673059040204E-3</v>
      </c>
      <c r="AB7" s="11" cm="1">
        <f t="array" aca="1" ref="AB7" ca="1">_xll.QCurves_GetForwardRate(AB$2,valDate,$T7,"CC","Act365F")</f>
        <v>9.7135738805968642E-3</v>
      </c>
      <c r="AC7" s="11" cm="1">
        <f t="array" aca="1" ref="AC7" ca="1">_xll.QCurves_GetForwardRate(AC$2,valDate,$T7,"CC","Act365F")</f>
        <v>9.4153277717605264E-3</v>
      </c>
    </row>
    <row r="8" spans="1:29" x14ac:dyDescent="0.25">
      <c r="L8" t="str">
        <f ca="1"/>
        <v>Passes Stage 5</v>
      </c>
      <c r="M8" s="8">
        <f ca="1"/>
        <v>5</v>
      </c>
      <c r="N8" t="str">
        <f ca="1"/>
        <v>XAU.DISC.[USD.LIBOR.3M]</v>
      </c>
      <c r="Q8" t="str">
        <f ca="1"/>
        <v>XAU.DISC.[USD.LIBOR.3M]</v>
      </c>
      <c r="R8" t="str" cm="1">
        <f t="array" aca="1" ref="R8" ca="1">_xll.QCurves_ExtractCurveFromModel($B$6,Q8,Q8)</f>
        <v>XAU.DISC.[USD.LIBOR.3M]¬1</v>
      </c>
      <c r="T8" s="1">
        <f t="shared" ca="1" si="0"/>
        <v>44026</v>
      </c>
      <c r="U8" s="11" cm="1">
        <f t="array" aca="1" ref="U8" ca="1">_xll.QCurves_GetForwardRate(U$2,valDate,$T8,"CC","Act365F")</f>
        <v>4.4680192743345802E-2</v>
      </c>
      <c r="V8" s="11" cm="1">
        <f t="array" aca="1" ref="V8" ca="1">_xll.QCurves_GetForwardRate(V$2,valDate,$T8,"CC","Act365F")</f>
        <v>3.4373814854651522E-3</v>
      </c>
      <c r="W8" s="11" cm="1">
        <f t="array" aca="1" ref="W8" ca="1">_xll.QCurves_GetForwardRate(W$2,valDate,$T8,"CC","Act365F")</f>
        <v>4.0699989895319949E-2</v>
      </c>
      <c r="X8" s="11" cm="1">
        <f t="array" aca="1" ref="X8" ca="1">_xll.QCurves_GetForwardRate(X$2,valDate,$T8,"CC","Act365F")</f>
        <v>-3.8983686798519492E-3</v>
      </c>
      <c r="Y8" s="11" cm="1">
        <f t="array" aca="1" ref="Y8" ca="1">_xll.QCurves_GetForwardRate(Y$2,valDate,$T8,"CC","Act365F")</f>
        <v>2.7879708592218177E-3</v>
      </c>
      <c r="Z8" s="11" cm="1">
        <f t="array" aca="1" ref="Z8" ca="1">_xll.QCurves_GetForwardRate(Z$2,valDate,$T8,"CC","Act365F")</f>
        <v>-5.5629749972181382E-4</v>
      </c>
      <c r="AA8" s="11" cm="1">
        <f t="array" aca="1" ref="AA8" ca="1">_xll.QCurves_GetForwardRate(AA$2,valDate,$T8,"CC","Act365F")</f>
        <v>-4.3795926307827401E-3</v>
      </c>
      <c r="AB8" s="11" cm="1">
        <f t="array" aca="1" ref="AB8" ca="1">_xll.QCurves_GetForwardRate(AB$2,valDate,$T8,"CC","Act365F")</f>
        <v>1.8515820875392892E-2</v>
      </c>
      <c r="AC8" s="11" cm="1">
        <f t="array" aca="1" ref="AC8" ca="1">_xll.QCurves_GetForwardRate(AC$2,valDate,$T8,"CC","Act365F")</f>
        <v>1.3435934098933294E-2</v>
      </c>
    </row>
    <row r="9" spans="1:29" x14ac:dyDescent="0.25">
      <c r="L9" t="str">
        <f ca="1"/>
        <v>Passes Stage 6</v>
      </c>
      <c r="M9" s="8">
        <f ca="1"/>
        <v>5</v>
      </c>
      <c r="N9" t="str">
        <f ca="1"/>
        <v>XAG.DISC.[USD.LIBOR.3M]</v>
      </c>
      <c r="Q9" t="str">
        <f ca="1"/>
        <v>XAG.DISC.[USD.LIBOR.3M]</v>
      </c>
      <c r="R9" t="str" cm="1">
        <f t="array" aca="1" ref="R9" ca="1">_xll.QCurves_ExtractCurveFromModel($B$6,Q9,Q9)</f>
        <v>XAG.DISC.[USD.LIBOR.3M]¬1</v>
      </c>
      <c r="T9" s="1">
        <f t="shared" ca="1" si="0"/>
        <v>44057</v>
      </c>
      <c r="U9" s="11" cm="1">
        <f t="array" aca="1" ref="U9" ca="1">_xll.QCurves_GetForwardRate(U$2,valDate,$T9,"CC","Act365F")</f>
        <v>4.4971532205973094E-2</v>
      </c>
      <c r="V9" s="11" cm="1">
        <f t="array" aca="1" ref="V9" ca="1">_xll.QCurves_GetForwardRate(V$2,valDate,$T9,"CC","Act365F")</f>
        <v>4.3927227040569611E-3</v>
      </c>
      <c r="W9" s="11" cm="1">
        <f t="array" aca="1" ref="W9" ca="1">_xll.QCurves_GetForwardRate(W$2,valDate,$T9,"CC","Act365F")</f>
        <v>4.0453043453207667E-2</v>
      </c>
      <c r="X9" s="11" cm="1">
        <f t="array" aca="1" ref="X9" ca="1">_xll.QCurves_GetForwardRate(X$2,valDate,$T9,"CC","Act365F")</f>
        <v>-3.0863032634417397E-3</v>
      </c>
      <c r="Y9" s="11" cm="1">
        <f t="array" aca="1" ref="Y9" ca="1">_xll.QCurves_GetForwardRate(Y$2,valDate,$T9,"CC","Act365F")</f>
        <v>3.8676828781490716E-3</v>
      </c>
      <c r="Z9" s="11" cm="1">
        <f t="array" aca="1" ref="Z9" ca="1">_xll.QCurves_GetForwardRate(Z$2,valDate,$T9,"CC","Act365F")</f>
        <v>-1.6727649341149041E-5</v>
      </c>
      <c r="AA9" s="11" cm="1">
        <f t="array" aca="1" ref="AA9" ca="1">_xll.QCurves_GetForwardRate(AA$2,valDate,$T9,"CC","Act365F")</f>
        <v>-4.6382943135396554E-3</v>
      </c>
      <c r="AB9" s="11" cm="1">
        <f t="array" aca="1" ref="AB9" ca="1">_xll.QCurves_GetForwardRate(AB$2,valDate,$T9,"CC","Act365F")</f>
        <v>2.2021175421567375E-2</v>
      </c>
      <c r="AC9" s="11" cm="1">
        <f t="array" aca="1" ref="AC9" ca="1">_xll.QCurves_GetForwardRate(AC$2,valDate,$T9,"CC","Act365F")</f>
        <v>1.4444677080271561E-2</v>
      </c>
    </row>
    <row r="10" spans="1:29" x14ac:dyDescent="0.25">
      <c r="L10" t="str">
        <f ca="1"/>
        <v>Passes Stage 7</v>
      </c>
      <c r="M10" s="8">
        <f ca="1"/>
        <v>6</v>
      </c>
      <c r="N10" t="str">
        <f ca="1"/>
        <v>XPT.DISC.[USD.LIBOR.3M]</v>
      </c>
      <c r="Q10" t="str">
        <f ca="1"/>
        <v>XPT.DISC.[USD.LIBOR.3M]</v>
      </c>
      <c r="R10" t="str" cm="1">
        <f t="array" aca="1" ref="R10" ca="1">_xll.QCurves_ExtractCurveFromModel($B$6,Q10,Q10)</f>
        <v>XPT.DISC.[USD.LIBOR.3M]¬1</v>
      </c>
      <c r="T10" s="1">
        <f t="shared" ca="1" si="0"/>
        <v>44151</v>
      </c>
      <c r="U10" s="11" cm="1">
        <f t="array" aca="1" ref="U10" ca="1">_xll.QCurves_GetForwardRate(U$2,valDate,$T10,"CC","Act365F")</f>
        <v>4.0335975347221838E-2</v>
      </c>
      <c r="V10" s="11" cm="1">
        <f t="array" aca="1" ref="V10" ca="1">_xll.QCurves_GetForwardRate(V$2,valDate,$T10,"CC","Act365F")</f>
        <v>3.0345113577119665E-3</v>
      </c>
      <c r="W10" s="11" cm="1">
        <f t="array" aca="1" ref="W10" ca="1">_xll.QCurves_GetForwardRate(W$2,valDate,$T10,"CC","Act365F")</f>
        <v>3.67846438838711E-2</v>
      </c>
      <c r="X10" s="11" cm="1">
        <f t="array" aca="1" ref="X10" ca="1">_xll.QCurves_GetForwardRate(X$2,valDate,$T10,"CC","Act365F")</f>
        <v>-4.6777881543945176E-3</v>
      </c>
      <c r="Y10" s="11" cm="1">
        <f t="array" aca="1" ref="Y10" ca="1">_xll.QCurves_GetForwardRate(Y$2,valDate,$T10,"CC","Act365F")</f>
        <v>2.9066893605641671E-3</v>
      </c>
      <c r="Z10" s="11" cm="1">
        <f t="array" aca="1" ref="Z10" ca="1">_xll.QCurves_GetForwardRate(Z$2,valDate,$T10,"CC","Act365F")</f>
        <v>-1.7972763603552042E-3</v>
      </c>
      <c r="AA10" s="11" cm="1">
        <f t="array" aca="1" ref="AA10" ca="1">_xll.QCurves_GetForwardRate(AA$2,valDate,$T10,"CC","Act365F")</f>
        <v>-6.0276994457970079E-3</v>
      </c>
      <c r="AB10" s="11" cm="1">
        <f t="array" aca="1" ref="AB10" ca="1">_xll.QCurves_GetForwardRate(AB$2,valDate,$T10,"CC","Act365F")</f>
        <v>1.5725942593017884E-2</v>
      </c>
      <c r="AC10" s="11" cm="1">
        <f t="array" aca="1" ref="AC10" ca="1">_xll.QCurves_GetForwardRate(AC$2,valDate,$T10,"CC","Act365F")</f>
        <v>1.3149585461532852E-2</v>
      </c>
    </row>
    <row r="11" spans="1:29" x14ac:dyDescent="0.25">
      <c r="A11" s="3" t="s">
        <v>2</v>
      </c>
      <c r="B11" s="5" t="s">
        <v>40</v>
      </c>
      <c r="C11" s="5" t="s">
        <v>14</v>
      </c>
      <c r="D11" s="5" t="s">
        <v>15</v>
      </c>
      <c r="E11" s="5" t="s">
        <v>16</v>
      </c>
      <c r="F11" s="5" t="s">
        <v>17</v>
      </c>
      <c r="G11" s="5" t="s">
        <v>41</v>
      </c>
      <c r="H11" s="5" t="s">
        <v>19</v>
      </c>
      <c r="I11" s="7" t="s">
        <v>18</v>
      </c>
      <c r="L11" t="str">
        <f ca="1"/>
        <v>Passes Stage 8</v>
      </c>
      <c r="M11" s="8">
        <f ca="1"/>
        <v>5</v>
      </c>
      <c r="N11" t="str">
        <f ca="1"/>
        <v>XPD.DISC.[USD.LIBOR.3M]</v>
      </c>
      <c r="Q11" t="str">
        <f ca="1"/>
        <v>XPD.DISC.[USD.LIBOR.3M]</v>
      </c>
      <c r="R11" t="str" cm="1">
        <f t="array" aca="1" ref="R11" ca="1">_xll.QCurves_ExtractCurveFromModel($B$6,Q11,Q11)</f>
        <v>XPD.DISC.[USD.LIBOR.3M]¬1</v>
      </c>
      <c r="T11" s="1">
        <f t="shared" ca="1" si="0"/>
        <v>44243</v>
      </c>
      <c r="U11" s="11" cm="1">
        <f t="array" aca="1" ref="U11" ca="1">_xll.QCurves_GetForwardRate(U$2,valDate,$T11,"CC","Act365F")</f>
        <v>3.8777315658056873E-2</v>
      </c>
      <c r="V11" s="11" cm="1">
        <f t="array" aca="1" ref="V11" ca="1">_xll.QCurves_GetForwardRate(V$2,valDate,$T11,"CC","Act365F")</f>
        <v>3.0193353910190806E-3</v>
      </c>
      <c r="W11" s="11" cm="1">
        <f t="array" aca="1" ref="W11" ca="1">_xll.QCurves_GetForwardRate(W$2,valDate,$T11,"CC","Act365F")</f>
        <v>3.5838932980062528E-2</v>
      </c>
      <c r="X11" s="11" cm="1">
        <f t="array" aca="1" ref="X11" ca="1">_xll.QCurves_GetForwardRate(X$2,valDate,$T11,"CC","Act365F")</f>
        <v>-5.2616610272019819E-3</v>
      </c>
      <c r="Y11" s="11" cm="1">
        <f t="array" aca="1" ref="Y11" ca="1">_xll.QCurves_GetForwardRate(Y$2,valDate,$T11,"CC","Act365F")</f>
        <v>3.1345123601807271E-3</v>
      </c>
      <c r="Z11" s="11" cm="1">
        <f t="array" aca="1" ref="Z11" ca="1">_xll.QCurves_GetForwardRate(Z$2,valDate,$T11,"CC","Act365F")</f>
        <v>-1.8189816180143605E-3</v>
      </c>
      <c r="AA11" s="11" cm="1">
        <f t="array" aca="1" ref="AA11" ca="1">_xll.QCurves_GetForwardRate(AA$2,valDate,$T11,"CC","Act365F")</f>
        <v>-6.3460932638190149E-3</v>
      </c>
      <c r="AB11" s="11" cm="1">
        <f t="array" aca="1" ref="AB11" ca="1">_xll.QCurves_GetForwardRate(AB$2,valDate,$T11,"CC","Act365F")</f>
        <v>1.8282358549841674E-2</v>
      </c>
      <c r="AC11" s="11" cm="1">
        <f t="array" aca="1" ref="AC11" ca="1">_xll.QCurves_GetForwardRate(AC$2,valDate,$T11,"CC","Act365F")</f>
        <v>1.316384414744416E-2</v>
      </c>
    </row>
    <row r="12" spans="1:29" x14ac:dyDescent="0.25">
      <c r="B12" s="8" t="str">
        <f t="shared" ref="B12:B18" si="1">H12</f>
        <v>ZAR</v>
      </c>
      <c r="C12" s="8" t="s">
        <v>7</v>
      </c>
      <c r="D12" cm="1">
        <f t="array" ref="D12">_xll.BDP(C12&amp;" Curncy","PX_LAST")</f>
        <v>18.3796</v>
      </c>
      <c r="E12" s="6"/>
      <c r="F12">
        <f>IF(E12&lt;&gt;"",E12,D12)</f>
        <v>18.3796</v>
      </c>
      <c r="G12" t="b">
        <f>LEFT(C12,3)="USD"</f>
        <v>1</v>
      </c>
      <c r="H12" s="8" t="str">
        <f>IF(G12,RIGHT(C12,3),LEFT(C12,3))</f>
        <v>ZAR</v>
      </c>
      <c r="I12" s="13">
        <f>IF(G12,F12,1/F12)</f>
        <v>18.3796</v>
      </c>
      <c r="L12" t="e">
        <f ca="1"/>
        <v>#N/A</v>
      </c>
      <c r="M12" t="e">
        <f ca="1"/>
        <v>#N/A</v>
      </c>
      <c r="N12" t="e">
        <f ca="1"/>
        <v>#N/A</v>
      </c>
      <c r="Q12" t="e">
        <f ca="1"/>
        <v>#N/A</v>
      </c>
      <c r="T12" s="1">
        <f t="shared" ca="1" si="0"/>
        <v>44330</v>
      </c>
      <c r="U12" s="11" cm="1">
        <f t="array" aca="1" ref="U12" ca="1">_xll.QCurves_GetForwardRate(U$2,valDate,$T12,"CC","Act365F")</f>
        <v>3.8302103844089448E-2</v>
      </c>
      <c r="V12" s="11" cm="1">
        <f t="array" aca="1" ref="V12" ca="1">_xll.QCurves_GetForwardRate(V$2,valDate,$T12,"CC","Act365F")</f>
        <v>2.8857433385550053E-3</v>
      </c>
      <c r="W12" s="11" cm="1">
        <f t="array" aca="1" ref="W12" ca="1">_xll.QCurves_GetForwardRate(W$2,valDate,$T12,"CC","Act365F")</f>
        <v>3.51286734475399E-2</v>
      </c>
      <c r="X12" s="11" cm="1">
        <f t="array" aca="1" ref="X12" ca="1">_xll.QCurves_GetForwardRate(X$2,valDate,$T12,"CC","Act365F")</f>
        <v>-5.3753379127345962E-3</v>
      </c>
      <c r="Y12" s="11" cm="1">
        <f t="array" aca="1" ref="Y12" ca="1">_xll.QCurves_GetForwardRate(Y$2,valDate,$T12,"CC","Act365F")</f>
        <v>3.1929508481191487E-3</v>
      </c>
      <c r="Z12" s="11" cm="1">
        <f t="array" aca="1" ref="Z12" ca="1">_xll.QCurves_GetForwardRate(Z$2,valDate,$T12,"CC","Act365F")</f>
        <v>-1.8540168997231701E-3</v>
      </c>
      <c r="AA12" s="11" cm="1">
        <f t="array" aca="1" ref="AA12" ca="1">_xll.QCurves_GetForwardRate(AA$2,valDate,$T12,"CC","Act365F")</f>
        <v>-5.9767863484555886E-3</v>
      </c>
      <c r="AB12" s="11" cm="1">
        <f t="array" aca="1" ref="AB12" ca="1">_xll.QCurves_GetForwardRate(AB$2,valDate,$T12,"CC","Act365F")</f>
        <v>1.3078209475848319E-2</v>
      </c>
      <c r="AC12" s="11" cm="1">
        <f t="array" aca="1" ref="AC12" ca="1">_xll.QCurves_GetForwardRate(AC$2,valDate,$T12,"CC","Act365F")</f>
        <v>7.9701173608113206E-3</v>
      </c>
    </row>
    <row r="13" spans="1:29" x14ac:dyDescent="0.25">
      <c r="B13" s="8" t="str">
        <f t="shared" si="1"/>
        <v>EUR</v>
      </c>
      <c r="C13" s="8" t="s">
        <v>8</v>
      </c>
      <c r="D13" cm="1">
        <f t="array" ref="D13">_xll.BDP(C13&amp;" Curncy","PX_LAST")</f>
        <v>1.08175</v>
      </c>
      <c r="E13" s="6"/>
      <c r="F13">
        <f t="shared" ref="F13:F18" si="2">IF(E13&lt;&gt;"",E13,D13)</f>
        <v>1.08175</v>
      </c>
      <c r="G13" t="b">
        <f t="shared" ref="G13:G18" si="3">LEFT(C13,3)="USD"</f>
        <v>0</v>
      </c>
      <c r="H13" s="8" t="str">
        <f t="shared" ref="H13:H18" si="4">IF(G13,RIGHT(C13,3),LEFT(C13,3))</f>
        <v>EUR</v>
      </c>
      <c r="I13" s="13">
        <f t="shared" ref="I13:I18" si="5">IF(G13,F13,1/F13)</f>
        <v>0.92442801016870813</v>
      </c>
      <c r="L13" t="e">
        <f ca="1"/>
        <v>#N/A</v>
      </c>
      <c r="M13" t="e">
        <f ca="1"/>
        <v>#N/A</v>
      </c>
      <c r="N13" t="e">
        <f ca="1"/>
        <v>#N/A</v>
      </c>
      <c r="T13" s="1">
        <f t="shared" ca="1" si="0"/>
        <v>44697</v>
      </c>
      <c r="U13" s="11" cm="1">
        <f t="array" aca="1" ref="U13" ca="1">_xll.QCurves_GetForwardRate(U$2,valDate,$T13,"CC","Act365F")</f>
        <v>4.1428295916438922E-2</v>
      </c>
      <c r="V13" s="11" cm="1">
        <f t="array" aca="1" ref="V13" ca="1">_xll.QCurves_GetForwardRate(V$2,valDate,$T13,"CC","Act365F")</f>
        <v>2.4527812328933051E-3</v>
      </c>
      <c r="W13" s="11" cm="1">
        <f t="array" aca="1" ref="W13" ca="1">_xll.QCurves_GetForwardRate(W$2,valDate,$T13,"CC","Act365F")</f>
        <v>3.9045117102950819E-2</v>
      </c>
      <c r="X13" s="11" cm="1">
        <f t="array" aca="1" ref="X13" ca="1">_xll.QCurves_GetForwardRate(X$2,valDate,$T13,"CC","Act365F")</f>
        <v>-6.0199653905935822E-3</v>
      </c>
      <c r="Y13" s="11" cm="1">
        <f t="array" aca="1" ref="Y13" ca="1">_xll.QCurves_GetForwardRate(Y$2,valDate,$T13,"CC","Act365F")</f>
        <v>3.5330009893820738E-3</v>
      </c>
      <c r="Z13" s="11" cm="1">
        <f t="array" aca="1" ref="Z13" ca="1">_xll.QCurves_GetForwardRate(Z$2,valDate,$T13,"CC","Act365F")</f>
        <v>3.2564870559244497E-3</v>
      </c>
      <c r="AA13" s="11" cm="1">
        <f t="array" aca="1" ref="AA13" ca="1">_xll.QCurves_GetForwardRate(AA$2,valDate,$T13,"CC","Act365F")</f>
        <v>-5.0875641555851439E-3</v>
      </c>
      <c r="AB13" s="11" cm="1">
        <f t="array" aca="1" ref="AB13" ca="1">_xll.QCurves_GetForwardRate(AB$2,valDate,$T13,"CC","Act365F")</f>
        <v>1.7884465093040491E-2</v>
      </c>
      <c r="AC13" s="11" cm="1">
        <f t="array" aca="1" ref="AC13" ca="1">_xll.QCurves_GetForwardRate(AC$2,valDate,$T13,"CC","Act365F")</f>
        <v>1.0109513071060639E-2</v>
      </c>
    </row>
    <row r="14" spans="1:29" x14ac:dyDescent="0.25">
      <c r="B14" s="8" t="str">
        <f t="shared" si="1"/>
        <v>AUD</v>
      </c>
      <c r="C14" s="8" t="s">
        <v>9</v>
      </c>
      <c r="D14" cm="1">
        <f t="array" ref="D14">_xll.BDP(C14&amp;" Curncy","PX_LAST")</f>
        <v>0.64854999999999996</v>
      </c>
      <c r="E14" s="6"/>
      <c r="F14">
        <f t="shared" si="2"/>
        <v>0.64854999999999996</v>
      </c>
      <c r="G14" t="b">
        <f t="shared" si="3"/>
        <v>0</v>
      </c>
      <c r="H14" s="8" t="str">
        <f t="shared" si="4"/>
        <v>AUD</v>
      </c>
      <c r="I14" s="13">
        <f t="shared" si="5"/>
        <v>1.541901164135379</v>
      </c>
      <c r="L14" t="e">
        <f ca="1"/>
        <v>#N/A</v>
      </c>
      <c r="M14" t="e">
        <f ca="1"/>
        <v>#N/A</v>
      </c>
      <c r="N14" t="e">
        <f ca="1"/>
        <v>#N/A</v>
      </c>
      <c r="T14" s="1">
        <f t="shared" ca="1" si="0"/>
        <v>45061</v>
      </c>
      <c r="U14" s="11" cm="1">
        <f t="array" aca="1" ref="U14" ca="1">_xll.QCurves_GetForwardRate(U$2,valDate,$T14,"CC","Act365F")</f>
        <v>4.5612508412712187E-2</v>
      </c>
      <c r="V14" s="11" cm="1">
        <f t="array" aca="1" ref="V14" ca="1">_xll.QCurves_GetForwardRate(V$2,valDate,$T14,"CC","Act365F")</f>
        <v>2.5743405394781935E-3</v>
      </c>
      <c r="W14" s="11" cm="1">
        <f t="array" aca="1" ref="W14" ca="1">_xll.QCurves_GetForwardRate(W$2,valDate,$T14,"CC","Act365F")</f>
        <v>4.3329655904046721E-2</v>
      </c>
      <c r="X14" s="11" cm="1">
        <f t="array" aca="1" ref="X14" ca="1">_xll.QCurves_GetForwardRate(X$2,valDate,$T14,"CC","Act365F")</f>
        <v>-6.2764321462139292E-3</v>
      </c>
      <c r="Y14" s="11" cm="1">
        <f t="array" aca="1" ref="Y14" ca="1">_xll.QCurves_GetForwardRate(Y$2,valDate,$T14,"CC","Act365F")</f>
        <v>4.2367866969154474E-3</v>
      </c>
      <c r="Z14" s="11" cm="1">
        <f t="array" aca="1" ref="Z14" ca="1">_xll.QCurves_GetForwardRate(Z$2,valDate,$T14,"CC","Act365F")</f>
        <v>4.0919673241553356E-3</v>
      </c>
      <c r="AA14" s="11" cm="1">
        <f t="array" aca="1" ref="AA14" ca="1">_xll.QCurves_GetForwardRate(AA$2,valDate,$T14,"CC","Act365F")</f>
        <v>-1.9583878668549418E-3</v>
      </c>
      <c r="AB14" s="11" cm="1">
        <f t="array" aca="1" ref="AB14" ca="1">_xll.QCurves_GetForwardRate(AB$2,valDate,$T14,"CC","Act365F")</f>
        <v>1.1829004887019875E-2</v>
      </c>
      <c r="AC14" s="11" cm="1">
        <f t="array" aca="1" ref="AC14" ca="1">_xll.QCurves_GetForwardRate(AC$2,valDate,$T14,"CC","Act365F")</f>
        <v>7.1699521418956604E-3</v>
      </c>
    </row>
    <row r="15" spans="1:29" x14ac:dyDescent="0.25">
      <c r="B15" s="8" t="str">
        <f t="shared" si="1"/>
        <v>XAU</v>
      </c>
      <c r="C15" s="8" t="s">
        <v>10</v>
      </c>
      <c r="D15" cm="1">
        <f t="array" ref="D15">_xll.BDP(C15&amp;" Curncy","PX_LAST")</f>
        <v>1705.86</v>
      </c>
      <c r="E15" s="6"/>
      <c r="F15">
        <f t="shared" si="2"/>
        <v>1705.86</v>
      </c>
      <c r="G15" t="b">
        <f t="shared" si="3"/>
        <v>0</v>
      </c>
      <c r="H15" s="8" t="str">
        <f t="shared" si="4"/>
        <v>XAU</v>
      </c>
      <c r="I15" s="13">
        <f t="shared" si="5"/>
        <v>5.8621457798412535E-4</v>
      </c>
      <c r="L15" t="e">
        <f ca="1"/>
        <v>#N/A</v>
      </c>
      <c r="M15" t="e">
        <f ca="1"/>
        <v>#N/A</v>
      </c>
      <c r="N15" t="e">
        <f ca="1"/>
        <v>#N/A</v>
      </c>
      <c r="U15" s="11" t="str">
        <f t="array" ref="U15:AA15">TRANSPOSE(C12:C18)</f>
        <v>USD/ZAR</v>
      </c>
      <c r="V15" t="str">
        <v>EUR/USD</v>
      </c>
      <c r="W15" t="str">
        <v>AUD/USD</v>
      </c>
      <c r="X15" t="str">
        <v>XAU/USD</v>
      </c>
      <c r="Y15" t="str">
        <v>XAG/USD</v>
      </c>
      <c r="Z15" t="str">
        <v>XPD/USD</v>
      </c>
      <c r="AA15" t="str">
        <v>XPT/USD</v>
      </c>
    </row>
    <row r="16" spans="1:29" x14ac:dyDescent="0.25">
      <c r="B16" s="8" t="str">
        <f t="shared" si="1"/>
        <v>XAG</v>
      </c>
      <c r="C16" s="8" t="s">
        <v>11</v>
      </c>
      <c r="D16" cm="1">
        <f t="array" ref="D16">_xll.BDP(C16&amp;" Curncy","PX_LAST")</f>
        <v>15.514250000000001</v>
      </c>
      <c r="E16" s="6"/>
      <c r="F16">
        <f t="shared" si="2"/>
        <v>15.514250000000001</v>
      </c>
      <c r="G16" t="b">
        <f t="shared" si="3"/>
        <v>0</v>
      </c>
      <c r="H16" s="8" t="str">
        <f t="shared" si="4"/>
        <v>XAG</v>
      </c>
      <c r="I16" s="13">
        <f t="shared" si="5"/>
        <v>6.4456870296662749E-2</v>
      </c>
      <c r="S16" s="23"/>
      <c r="T16" s="1">
        <f ca="1">valDate</f>
        <v>43963</v>
      </c>
      <c r="U16" s="22" cm="1">
        <f t="array" aca="1" ref="U16" ca="1">_xll.QCurves_GetForwardFxRate($B$6,$T16,U$15)</f>
        <v>18.374923076923075</v>
      </c>
      <c r="V16" s="21" cm="1">
        <f t="array" aca="1" ref="V16" ca="1">_xll.QCurves_GetForwardFxRate($B$6,$T16,V$15)</f>
        <v>1.0817125000000001</v>
      </c>
      <c r="W16" s="21" cm="1">
        <f t="array" aca="1" ref="W16" ca="1">_xll.QCurves_GetForwardFxRate($B$6,$T16,W$15)</f>
        <v>0.6485493</v>
      </c>
      <c r="X16" s="21" cm="1">
        <f t="array" aca="1" ref="X16" ca="1">_xll.QCurves_GetForwardFxRate($B$6,$T16,X$15)</f>
        <v>1705.8399191705021</v>
      </c>
      <c r="Y16" s="21" cm="1">
        <f t="array" aca="1" ref="Y16" ca="1">_xll.QCurves_GetForwardFxRate($B$6,$T16,Y$15)</f>
        <v>15.513808825765341</v>
      </c>
      <c r="Z16" s="21" cm="1">
        <f t="array" aca="1" ref="Z16" ca="1">_xll.QCurves_GetForwardFxRate($B$6,$T16,Z$15)</f>
        <v>1866.6208035404698</v>
      </c>
      <c r="AA16" s="21" cm="1">
        <f t="array" aca="1" ref="AA16" ca="1">_xll.QCurves_GetForwardFxRate($B$6,$T16,AA$15)</f>
        <v>769.36937422589301</v>
      </c>
    </row>
    <row r="17" spans="1:27" x14ac:dyDescent="0.25">
      <c r="B17" s="8" t="str">
        <f t="shared" si="1"/>
        <v>XPD</v>
      </c>
      <c r="C17" s="8" t="s">
        <v>12</v>
      </c>
      <c r="D17" cm="1">
        <f t="array" ref="D17">_xll.BDP(C17&amp;" Curncy","PX_LAST")</f>
        <v>1866.5650000000001</v>
      </c>
      <c r="E17" s="6"/>
      <c r="F17">
        <f t="shared" si="2"/>
        <v>1866.5650000000001</v>
      </c>
      <c r="G17" t="b">
        <f t="shared" si="3"/>
        <v>0</v>
      </c>
      <c r="H17" s="8" t="str">
        <f t="shared" si="4"/>
        <v>XPD</v>
      </c>
      <c r="I17" s="13">
        <f t="shared" si="5"/>
        <v>5.3574346459941123E-4</v>
      </c>
      <c r="S17" s="23">
        <f ca="1">(U17-U16)*10000</f>
        <v>23.000000000017451</v>
      </c>
      <c r="T17" s="1">
        <f ca="1">T16+1</f>
        <v>43964</v>
      </c>
      <c r="U17" s="22" cm="1">
        <f t="array" aca="1" ref="U17" ca="1">_xll.QCurves_GetForwardFxRate($B$6,$T17,U$15)</f>
        <v>18.377223076923077</v>
      </c>
      <c r="V17" s="21" cm="1">
        <f t="array" aca="1" ref="V17" ca="1">_xll.QCurves_GetForwardFxRate($B$6,$T17,V$15)</f>
        <v>1.0817310000000002</v>
      </c>
      <c r="W17" s="21" cm="1">
        <f t="array" aca="1" ref="W17" ca="1">_xll.QCurves_GetForwardFxRate($B$6,$T17,W$15)</f>
        <v>0.64854979999999995</v>
      </c>
      <c r="X17" s="21" cm="1">
        <f t="array" aca="1" ref="X17" ca="1">_xll.QCurves_GetForwardFxRate($B$6,$T17,X$15)</f>
        <v>1705.8497589470912</v>
      </c>
      <c r="Y17" s="21" cm="1">
        <f t="array" aca="1" ref="Y17" ca="1">_xll.QCurves_GetForwardFxRate($B$6,$T17,Y$15)</f>
        <v>15.514027586858628</v>
      </c>
      <c r="Z17" s="21" cm="1">
        <f t="array" aca="1" ref="Z17" ca="1">_xll.QCurves_GetForwardFxRate($B$6,$T17,Z$15)</f>
        <v>1866.5926820496543</v>
      </c>
      <c r="AA17" s="21" cm="1">
        <f t="array" aca="1" ref="AA17" ca="1">_xll.QCurves_GetForwardFxRate($B$6,$T17,AA$15)</f>
        <v>769.34709631749547</v>
      </c>
    </row>
    <row r="18" spans="1:27" x14ac:dyDescent="0.25">
      <c r="B18" s="8" t="str">
        <f t="shared" si="1"/>
        <v>XPT</v>
      </c>
      <c r="C18" s="8" t="s">
        <v>13</v>
      </c>
      <c r="D18" cm="1">
        <f t="array" ref="D18">_xll.BDP(C18&amp;" Curncy","PX_LAST")</f>
        <v>769.32500000000005</v>
      </c>
      <c r="E18" s="6"/>
      <c r="F18">
        <f t="shared" si="2"/>
        <v>769.32500000000005</v>
      </c>
      <c r="G18" t="b">
        <f t="shared" si="3"/>
        <v>0</v>
      </c>
      <c r="H18" s="8" t="str">
        <f t="shared" si="4"/>
        <v>XPT</v>
      </c>
      <c r="I18" s="13">
        <f t="shared" si="5"/>
        <v>1.2998407695057354E-3</v>
      </c>
      <c r="S18" s="23">
        <f ca="1">(U18-U17)*10000</f>
        <v>23.769230769232763</v>
      </c>
      <c r="T18" s="1">
        <f t="shared" ref="T18:T26" ca="1" si="6">T5</f>
        <v>43965</v>
      </c>
      <c r="U18" s="22" cm="1">
        <f t="array" aca="1" ref="U18" ca="1">_xll.QCurves_GetForwardFxRate($B$6,$T18,U$15)</f>
        <v>18.3796</v>
      </c>
      <c r="V18" s="21" cm="1">
        <f t="array" aca="1" ref="V18" ca="1">_xll.QCurves_GetForwardFxRate($B$6,$T18,V$15)</f>
        <v>1.08175</v>
      </c>
      <c r="W18" s="21" cm="1">
        <f t="array" aca="1" ref="W18" ca="1">_xll.QCurves_GetForwardFxRate($B$6,$T18,W$15)</f>
        <v>0.64854999999999996</v>
      </c>
      <c r="X18" s="21" cm="1">
        <f t="array" aca="1" ref="X18" ca="1">_xll.QCurves_GetForwardFxRate($B$6,$T18,X$15)</f>
        <v>1705.86</v>
      </c>
      <c r="Y18" s="21" cm="1">
        <f t="array" aca="1" ref="Y18" ca="1">_xll.QCurves_GetForwardFxRate($B$6,$T18,Y$15)</f>
        <v>15.514249999999999</v>
      </c>
      <c r="Z18" s="21" cm="1">
        <f t="array" aca="1" ref="Z18" ca="1">_xll.QCurves_GetForwardFxRate($B$6,$T18,Z$15)</f>
        <v>1866.5650000000001</v>
      </c>
      <c r="AA18" s="21" cm="1">
        <f t="array" aca="1" ref="AA18" ca="1">_xll.QCurves_GetForwardFxRate($B$6,$T18,AA$15)</f>
        <v>769.32500000000005</v>
      </c>
    </row>
    <row r="19" spans="1:27" x14ac:dyDescent="0.25">
      <c r="T19" s="1">
        <f t="shared" ca="1" si="6"/>
        <v>43972</v>
      </c>
      <c r="U19" s="22" cm="1">
        <f t="array" aca="1" ref="U19" ca="1">_xll.QCurves_GetForwardFxRate($B$6,$T19,U$15)</f>
        <v>18.395453846153845</v>
      </c>
      <c r="V19" s="21" cm="1">
        <f t="array" aca="1" ref="V19" ca="1">_xll.QCurves_GetForwardFxRate($B$6,$T19,V$15)</f>
        <v>1.0818859999999999</v>
      </c>
      <c r="W19" s="21" cm="1">
        <f t="array" aca="1" ref="W19" ca="1">_xll.QCurves_GetForwardFxRate($B$6,$T19,W$15)</f>
        <v>0.64855399999999985</v>
      </c>
      <c r="X19" s="21" cm="1">
        <f t="array" aca="1" ref="X19" ca="1">_xll.QCurves_GetForwardFxRate($B$6,$T19,X$15)</f>
        <v>1705.9429237499999</v>
      </c>
      <c r="Y19" s="21" cm="1">
        <f t="array" aca="1" ref="Y19" ca="1">_xll.QCurves_GetForwardFxRate($B$6,$T19,Y$15)</f>
        <v>15.515909162847217</v>
      </c>
      <c r="Z19" s="21" cm="1">
        <f t="array" aca="1" ref="Z19" ca="1">_xll.QCurves_GetForwardFxRate($B$6,$T19,Z$15)</f>
        <v>1866.3835284027778</v>
      </c>
      <c r="AA19" s="21" cm="1">
        <f t="array" aca="1" ref="AA19" ca="1">_xll.QCurves_GetForwardFxRate($B$6,$T19,AA$15)</f>
        <v>769.17540902777785</v>
      </c>
    </row>
    <row r="20" spans="1:27" x14ac:dyDescent="0.25">
      <c r="A20" s="3" t="s">
        <v>20</v>
      </c>
      <c r="B20" s="8" t="s">
        <v>21</v>
      </c>
      <c r="C20" s="8" t="s">
        <v>22</v>
      </c>
      <c r="E20" s="3" t="s">
        <v>53</v>
      </c>
      <c r="F20" s="5" t="s">
        <v>54</v>
      </c>
      <c r="H20" s="2" t="s">
        <v>79</v>
      </c>
      <c r="I20" s="5" t="s">
        <v>54</v>
      </c>
      <c r="K20" s="3" t="s">
        <v>122</v>
      </c>
      <c r="L20" s="12" t="s">
        <v>123</v>
      </c>
      <c r="M20" s="80">
        <f ca="1">M21-365</f>
        <v>43598</v>
      </c>
      <c r="T20" s="1">
        <f t="shared" ca="1" si="6"/>
        <v>43997</v>
      </c>
      <c r="U20" s="22" cm="1">
        <f t="array" aca="1" ref="U20" ca="1">_xll.QCurves_GetForwardFxRate($B$6,$T20,U$15)</f>
        <v>18.445207692307697</v>
      </c>
      <c r="V20" s="21" cm="1">
        <f t="array" aca="1" ref="V20" ca="1">_xll.QCurves_GetForwardFxRate($B$6,$T20,V$15)</f>
        <v>1.082409</v>
      </c>
      <c r="W20" s="21" cm="1">
        <f t="array" aca="1" ref="W20" ca="1">_xll.QCurves_GetForwardFxRate($B$6,$T20,W$15)</f>
        <v>0.648594</v>
      </c>
      <c r="X20" s="21" cm="1">
        <f t="array" aca="1" ref="X20" ca="1">_xll.QCurves_GetForwardFxRate($B$6,$T20,X$15)</f>
        <v>1706.3907119999999</v>
      </c>
      <c r="Y20" s="21" cm="1">
        <f t="array" aca="1" ref="Y20" ca="1">_xll.QCurves_GetForwardFxRate($B$6,$T20,Y$15)</f>
        <v>15.523213788888889</v>
      </c>
      <c r="Z20" s="21" cm="1">
        <f t="array" aca="1" ref="Z20" ca="1">_xll.QCurves_GetForwardFxRate($B$6,$T20,Z$15)</f>
        <v>1865.3206233333333</v>
      </c>
      <c r="AA20" s="21" cm="1">
        <f t="array" aca="1" ref="AA20" ca="1">_xll.QCurves_GetForwardFxRate($B$6,$T20,AA$15)</f>
        <v>768.81211666666684</v>
      </c>
    </row>
    <row r="21" spans="1:27" x14ac:dyDescent="0.25">
      <c r="B21" s="8" t="str">
        <f t="shared" ref="B21:B27" si="7">H12</f>
        <v>ZAR</v>
      </c>
      <c r="C21" s="8" t="str">
        <f>B21&amp;".DISC.[USD.LIBOR.3M]"</f>
        <v>ZAR.DISC.[USD.LIBOR.3M]</v>
      </c>
      <c r="E21" s="8" t="s">
        <v>22</v>
      </c>
      <c r="F21" t="str">
        <f ca="1">_xll.QIns_CreateRateIndex($E$21,"USD","3m","ACT360","ACT360","3m","NYC+LON","2b","MF")</f>
        <v>USD.LIBOR.3M¬1</v>
      </c>
      <c r="H21" t="str" cm="1">
        <f t="array" aca="1" ref="H21" ca="1">_xll.QUtils_Replace(C12,"/","")</f>
        <v>USDZAR</v>
      </c>
      <c r="I21" t="str" cm="1">
        <f t="array" aca="1" ref="I21" ca="1">_xll.QIns_CreateFxPair(C12,LEFT(C12,3),RIGHT(C12,3),LEFT(C12,3)&amp;"+"&amp;RIGHT(C12,3),"2b")</f>
        <v>USD/ZAR¬1</v>
      </c>
      <c r="L21" s="12" t="s">
        <v>124</v>
      </c>
      <c r="M21" s="80">
        <f ca="1">valDate</f>
        <v>43963</v>
      </c>
      <c r="T21" s="1">
        <f t="shared" ca="1" si="6"/>
        <v>44026</v>
      </c>
      <c r="U21" s="22" cm="1">
        <f t="array" aca="1" ref="U21" ca="1">_xll.QCurves_GetForwardFxRate($B$6,$T21,U$15)</f>
        <v>18.493484615384627</v>
      </c>
      <c r="V21" s="21" cm="1">
        <f t="array" aca="1" ref="V21" ca="1">_xll.QCurves_GetForwardFxRate($B$6,$T21,V$15)</f>
        <v>1.083083</v>
      </c>
      <c r="W21" s="21" cm="1">
        <f t="array" aca="1" ref="W21" ca="1">_xll.QCurves_GetForwardFxRate($B$6,$T21,W$15)</f>
        <v>0.64862199999999992</v>
      </c>
      <c r="X21" s="21" cm="1">
        <f t="array" aca="1" ref="X21" ca="1">_xll.QCurves_GetForwardFxRate($B$6,$T21,X$15)</f>
        <v>1707.0161939999994</v>
      </c>
      <c r="Y21" s="21" cm="1">
        <f t="array" aca="1" ref="Y21" ca="1">_xll.QCurves_GetForwardFxRate($B$6,$T21,Y$15)</f>
        <v>15.53475466708333</v>
      </c>
      <c r="Z21" s="21" cm="1">
        <f t="array" aca="1" ref="Z21" ca="1">_xll.QCurves_GetForwardFxRate($B$6,$T21,Z$15)</f>
        <v>1863.4022093055555</v>
      </c>
      <c r="AA21" s="21" cm="1">
        <f t="array" aca="1" ref="AA21" ca="1">_xll.QCurves_GetForwardFxRate($B$6,$T21,AA$15)</f>
        <v>767.36963229166679</v>
      </c>
    </row>
    <row r="22" spans="1:27" x14ac:dyDescent="0.25">
      <c r="B22" s="8" t="str">
        <f t="shared" si="7"/>
        <v>EUR</v>
      </c>
      <c r="C22" s="8" t="str">
        <f t="shared" ref="C22:C27" si="8">B22&amp;".DISC.[USD.LIBOR.3M]"</f>
        <v>EUR.DISC.[USD.LIBOR.3M]</v>
      </c>
      <c r="E22" s="8" t="s">
        <v>52</v>
      </c>
      <c r="F22" t="str">
        <f ca="1">_xll.QIns_CreateRateIndex($E$22,"ZAR","3m","ACT365F","ACT365F","3m","JHB","0b","MF")</f>
        <v>ZAR.JIBAR.3M¬1</v>
      </c>
      <c r="H22" t="str" cm="1">
        <f t="array" aca="1" ref="H22" ca="1">_xll.QUtils_Replace(C13,"/","")</f>
        <v>EURUSD</v>
      </c>
      <c r="I22" t="str" cm="1">
        <f t="array" aca="1" ref="I22" ca="1">_xll.QIns_CreateFxPair(C13,LEFT(C13,3),RIGHT(C13,3),LEFT(C13,3)&amp;"+"&amp;RIGHT(C13,3),"2b")</f>
        <v>EUR/USD¬1</v>
      </c>
      <c r="L22" s="8" t="s">
        <v>7</v>
      </c>
      <c r="M22" t="s">
        <v>125</v>
      </c>
      <c r="N22" t="str">
        <f ca="1">_xll.QCurves_CreateFixingDictionary("Fixings."&amp;L22,L22,_xll.BDH(M22,"PX_LAST",$M$20,$M$21,"Array=true"),"FX",L22)</f>
        <v>Fixings.USD/ZAR¬1</v>
      </c>
      <c r="T22" s="1">
        <f t="shared" ca="1" si="6"/>
        <v>44057</v>
      </c>
      <c r="U22" s="22" cm="1">
        <f t="array" aca="1" ref="U22" ca="1">_xll.QCurves_GetForwardFxRate($B$6,$T22,U$15)</f>
        <v>18.546361538461557</v>
      </c>
      <c r="V22" s="21" cm="1">
        <f t="array" aca="1" ref="V22" ca="1">_xll.QCurves_GetForwardFxRate($B$6,$T22,V$15)</f>
        <v>1.083798</v>
      </c>
      <c r="W22" s="21" cm="1">
        <f t="array" aca="1" ref="W22" ca="1">_xll.QCurves_GetForwardFxRate($B$6,$T22,W$15)</f>
        <v>0.64863699999999991</v>
      </c>
      <c r="X22" s="21" cm="1">
        <f t="array" aca="1" ref="X22" ca="1">_xll.QCurves_GetForwardFxRate($B$6,$T22,X$15)</f>
        <v>1707.7781447999998</v>
      </c>
      <c r="Y22" s="21" cm="1">
        <f t="array" aca="1" ref="Y22" ca="1">_xll.QCurves_GetForwardFxRate($B$6,$T22,Y$15)</f>
        <v>15.549932774999998</v>
      </c>
      <c r="Z22" s="21" cm="1">
        <f t="array" aca="1" ref="Z22" ca="1">_xll.QCurves_GetForwardFxRate($B$6,$T22,Z$15)</f>
        <v>1861.7948894444444</v>
      </c>
      <c r="AA22" s="21" cm="1">
        <f t="array" aca="1" ref="AA22" ca="1">_xll.QCurves_GetForwardFxRate($B$6,$T22,AA$15)</f>
        <v>765.884407638889</v>
      </c>
    </row>
    <row r="23" spans="1:27" x14ac:dyDescent="0.25">
      <c r="B23" s="8" t="str">
        <f t="shared" si="7"/>
        <v>AUD</v>
      </c>
      <c r="C23" s="8" t="str">
        <f t="shared" si="8"/>
        <v>AUD.DISC.[USD.LIBOR.3M]</v>
      </c>
      <c r="H23" t="str" cm="1">
        <f t="array" aca="1" ref="H23" ca="1">_xll.QUtils_Replace(C14,"/","")</f>
        <v>AUDUSD</v>
      </c>
      <c r="I23" t="str" cm="1">
        <f t="array" aca="1" ref="I23" ca="1">_xll.QIns_CreateFxPair(C14,LEFT(C14,3),RIGHT(C14,3),LEFT(C14,3)&amp;"+"&amp;RIGHT(C14,3),"2b")</f>
        <v>AUD/USD¬1</v>
      </c>
      <c r="L23" s="8" t="s">
        <v>10</v>
      </c>
      <c r="M23" t="s">
        <v>126</v>
      </c>
      <c r="N23" t="str">
        <f ca="1">_xll.QCurves_CreateFixingDictionary("Fixings."&amp;L23,L23,_xll.BDH(M23,"PX_LAST",$M$20,$M$21,"Array=true"),"FX",L23)</f>
        <v>Fixings.XAU/USD¬1</v>
      </c>
      <c r="T23" s="1">
        <f t="shared" ca="1" si="6"/>
        <v>44151</v>
      </c>
      <c r="U23" s="22" cm="1">
        <f t="array" aca="1" ref="U23" ca="1">_xll.QCurves_GetForwardFxRate($B$6,$T23,U$15)</f>
        <v>18.69713846153854</v>
      </c>
      <c r="V23" s="21" cm="1">
        <f t="array" aca="1" ref="V23" ca="1">_xll.QCurves_GetForwardFxRate($B$6,$T23,V$15)</f>
        <v>1.0860179999999999</v>
      </c>
      <c r="W23" s="21" cm="1">
        <f t="array" aca="1" ref="W23" ca="1">_xll.QCurves_GetForwardFxRate($B$6,$T23,W$15)</f>
        <v>0.64859199999999984</v>
      </c>
      <c r="X23" s="21" cm="1">
        <f t="array" aca="1" ref="X23" ca="1">_xll.QCurves_GetForwardFxRate($B$6,$T23,X$15)</f>
        <v>1710.0905327999999</v>
      </c>
      <c r="Y23" s="21" cm="1">
        <f t="array" aca="1" ref="Y23" ca="1">_xll.QCurves_GetForwardFxRate($B$6,$T23,Y$15)</f>
        <v>15.586391262499999</v>
      </c>
      <c r="Z23" s="21" cm="1">
        <f t="array" aca="1" ref="Z23" ca="1">_xll.QCurves_GetForwardFxRate($B$6,$T23,Z$15)</f>
        <v>1856.9210808333332</v>
      </c>
      <c r="AA23" s="21" cm="1">
        <f t="array" aca="1" ref="AA23" ca="1">_xll.QCurves_GetForwardFxRate($B$6,$T23,AA$15)</f>
        <v>764.35644270833347</v>
      </c>
    </row>
    <row r="24" spans="1:27" x14ac:dyDescent="0.25">
      <c r="B24" s="8" t="str">
        <f t="shared" si="7"/>
        <v>XAU</v>
      </c>
      <c r="C24" s="8" t="str">
        <f t="shared" si="8"/>
        <v>XAU.DISC.[USD.LIBOR.3M]</v>
      </c>
      <c r="H24" t="str" cm="1">
        <f t="array" aca="1" ref="H24" ca="1">_xll.QUtils_Replace(C15,"/","")</f>
        <v>XAUUSD</v>
      </c>
      <c r="I24" t="str" cm="1">
        <f t="array" aca="1" ref="I24" ca="1">_xll.QIns_CreateFxPair(C15,LEFT(C15,3),RIGHT(C15,3),LEFT(C15,3)&amp;"+"&amp;RIGHT(C15,3),"2b")</f>
        <v>XAU/USD¬1</v>
      </c>
      <c r="L24" s="8" t="s">
        <v>11</v>
      </c>
      <c r="M24" t="s">
        <v>127</v>
      </c>
      <c r="N24" t="str">
        <f ca="1">_xll.QCurves_CreateFixingDictionary("Fixings."&amp;L24,L24,_xll.BDH(M24,"PX_LAST",$M$20,$M$21,"Array=true"),"FX",L24)</f>
        <v>Fixings.XAG/USD¬1</v>
      </c>
      <c r="T24" s="1">
        <f t="shared" ca="1" si="6"/>
        <v>44243</v>
      </c>
      <c r="U24" s="22" cm="1">
        <f t="array" aca="1" ref="U24" ca="1">_xll.QCurves_GetForwardFxRate($B$6,$T24,U$15)</f>
        <v>18.843415384615518</v>
      </c>
      <c r="V24" s="21" cm="1">
        <f t="array" aca="1" ref="V24" ca="1">_xll.QCurves_GetForwardFxRate($B$6,$T24,V$15)</f>
        <v>1.088606</v>
      </c>
      <c r="W24" s="21" cm="1">
        <f t="array" aca="1" ref="W24" ca="1">_xll.QCurves_GetForwardFxRate($B$6,$T24,W$15)</f>
        <v>0.64849199999999985</v>
      </c>
      <c r="X24" s="21" cm="1">
        <f t="array" aca="1" ref="X24" ca="1">_xll.QCurves_GetForwardFxRate($B$6,$T24,X$15)</f>
        <v>1712.1830543999997</v>
      </c>
      <c r="Y24" s="21" cm="1">
        <f t="array" aca="1" ref="Y24" ca="1">_xll.QCurves_GetForwardFxRate($B$6,$T24,Y$15)</f>
        <v>15.625668172083332</v>
      </c>
      <c r="Z24" s="21" cm="1">
        <f t="array" aca="1" ref="Z24" ca="1">_xll.QCurves_GetForwardFxRate($B$6,$T24,Z$15)</f>
        <v>1852.1509702777778</v>
      </c>
      <c r="AA24" s="21" cm="1">
        <f t="array" aca="1" ref="AA24" ca="1">_xll.QCurves_GetForwardFxRate($B$6,$T24,AA$15)</f>
        <v>760.41365208333355</v>
      </c>
    </row>
    <row r="25" spans="1:27" x14ac:dyDescent="0.25">
      <c r="B25" s="8" t="str">
        <f t="shared" si="7"/>
        <v>XAG</v>
      </c>
      <c r="C25" s="8" t="str">
        <f t="shared" si="8"/>
        <v>XAG.DISC.[USD.LIBOR.3M]</v>
      </c>
      <c r="H25" t="str" cm="1">
        <f t="array" aca="1" ref="H25" ca="1">_xll.QUtils_Replace(C16,"/","")</f>
        <v>XAGUSD</v>
      </c>
      <c r="I25" t="str" cm="1">
        <f t="array" aca="1" ref="I25" ca="1">_xll.QIns_CreateFxPair(C16,LEFT(C16,3),RIGHT(C16,3),LEFT(C16,3)&amp;"+"&amp;RIGHT(C16,3),"2b")</f>
        <v>XAG/USD¬1</v>
      </c>
      <c r="L25" s="8" t="s">
        <v>13</v>
      </c>
      <c r="M25" t="s">
        <v>128</v>
      </c>
      <c r="N25" t="str">
        <f ca="1">_xll.QCurves_CreateFixingDictionary("Fixings."&amp;L25,L25,_xll.BDH(M25,"PX_LAST",$M$20,$M$21,"Array=true"),"FX",L25)</f>
        <v>Fixings.XPT/USD¬1</v>
      </c>
      <c r="T25" s="1">
        <f t="shared" ca="1" si="6"/>
        <v>44330</v>
      </c>
      <c r="U25" s="22" cm="1">
        <f t="array" aca="1" ref="U25" ca="1">_xll.QCurves_GetForwardFxRate($B$6,$T25,U$15)</f>
        <v>18.980392307692501</v>
      </c>
      <c r="V25" s="21" cm="1">
        <f t="array" aca="1" ref="V25" ca="1">_xll.QCurves_GetForwardFxRate($B$6,$T25,V$15)</f>
        <v>1.0907349999999998</v>
      </c>
      <c r="W25" s="21" cm="1">
        <f t="array" aca="1" ref="W25" ca="1">_xll.QCurves_GetForwardFxRate($B$6,$T25,W$15)</f>
        <v>0.64834899999999995</v>
      </c>
      <c r="X25" s="21" cm="1">
        <f t="array" aca="1" ref="X25" ca="1">_xll.QCurves_GetForwardFxRate($B$6,$T25,X$15)</f>
        <v>1713.9888967499999</v>
      </c>
      <c r="Y25" s="21" cm="1">
        <f t="array" aca="1" ref="Y25" ca="1">_xll.QCurves_GetForwardFxRate($B$6,$T25,Y$15)</f>
        <v>15.652671586111108</v>
      </c>
      <c r="Z25" s="21" cm="1">
        <f t="array" aca="1" ref="Z25" ca="1">_xll.QCurves_GetForwardFxRate($B$6,$T25,Z$15)</f>
        <v>1857.1025524305555</v>
      </c>
      <c r="AA25" s="21" cm="1">
        <f t="array" aca="1" ref="AA25" ca="1">_xll.QCurves_GetForwardFxRate($B$6,$T25,AA$15)</f>
        <v>761.52489930555555</v>
      </c>
    </row>
    <row r="26" spans="1:27" x14ac:dyDescent="0.25">
      <c r="B26" s="8" t="str">
        <f t="shared" si="7"/>
        <v>XPD</v>
      </c>
      <c r="C26" s="8" t="str">
        <f t="shared" si="8"/>
        <v>XPD.DISC.[USD.LIBOR.3M]</v>
      </c>
      <c r="H26" t="str" cm="1">
        <f t="array" aca="1" ref="H26" ca="1">_xll.QUtils_Replace(C17,"/","")</f>
        <v>XPDUSD</v>
      </c>
      <c r="I26" t="str" cm="1">
        <f t="array" aca="1" ref="I26" ca="1">_xll.QIns_CreateFxPair(C17,LEFT(C17,3),RIGHT(C17,3),LEFT(C17,3)&amp;"+"&amp;RIGHT(C17,3),"2b")</f>
        <v>XPD/USD¬1</v>
      </c>
      <c r="L26" s="8" t="s">
        <v>12</v>
      </c>
      <c r="M26" t="s">
        <v>129</v>
      </c>
      <c r="N26" t="str">
        <f ca="1">_xll.QCurves_CreateFixingDictionary("Fixings."&amp;L26,L26,_xll.BDH(M26,"PX_LAST",$M$20,$M$21,"Array=true"),"FX",L26)</f>
        <v>Fixings.XPD/USD¬1</v>
      </c>
      <c r="T26" s="1">
        <f t="shared" ca="1" si="6"/>
        <v>44697</v>
      </c>
      <c r="U26" s="22" cm="1">
        <f t="array" aca="1" ref="U26" ca="1">_xll.QCurves_GetForwardFxRate($B$6,$T26,U$15)</f>
        <v>19.778046153846294</v>
      </c>
      <c r="V26" s="21" cm="1">
        <f t="array" aca="1" ref="V26" ca="1">_xll.QCurves_GetForwardFxRate($B$6,$T26,V$15)</f>
        <v>1.1003010000000002</v>
      </c>
      <c r="W26" s="21" cm="1">
        <f t="array" aca="1" ref="W26" ca="1">_xll.QCurves_GetForwardFxRate($B$6,$T26,W$15)</f>
        <v>0.64714200000000033</v>
      </c>
      <c r="X26" s="21" cm="1">
        <f t="array" aca="1" ref="X26" ca="1">_xll.QCurves_GetForwardFxRate($B$6,$T26,X$15)</f>
        <v>1703.0851344</v>
      </c>
      <c r="Y26" s="21" cm="1">
        <f t="array" aca="1" ref="Y26" ca="1">_xll.QCurves_GetForwardFxRate($B$6,$T26,Y$15)</f>
        <v>15.750842312499998</v>
      </c>
      <c r="Z26" s="21" cm="1">
        <f t="array" aca="1" ref="Z26" ca="1">_xll.QCurves_GetForwardFxRate($B$6,$T26,Z$15)</f>
        <v>1838.0998837499999</v>
      </c>
      <c r="AA26" s="21" cm="1">
        <f t="array" aca="1" ref="AA26" ca="1">_xll.QCurves_GetForwardFxRate($B$6,$T26,AA$15)</f>
        <v>745.86058750000007</v>
      </c>
    </row>
    <row r="27" spans="1:27" x14ac:dyDescent="0.25">
      <c r="B27" s="8" t="str">
        <f t="shared" si="7"/>
        <v>XPT</v>
      </c>
      <c r="C27" s="8" t="str">
        <f t="shared" si="8"/>
        <v>XPT.DISC.[USD.LIBOR.3M]</v>
      </c>
      <c r="H27" t="str" cm="1">
        <f t="array" aca="1" ref="H27" ca="1">_xll.QUtils_Replace(C18,"/","")</f>
        <v>XPTUSD</v>
      </c>
      <c r="I27" t="str" cm="1">
        <f t="array" aca="1" ref="I27" ca="1">_xll.QIns_CreateFxPair(C18,LEFT(C18,3),RIGHT(C18,3),LEFT(C18,3)&amp;"+"&amp;RIGHT(C18,3),"2b")</f>
        <v>XPT/USD¬1</v>
      </c>
    </row>
    <row r="29" spans="1:27" x14ac:dyDescent="0.25">
      <c r="A29" s="3" t="s">
        <v>38</v>
      </c>
      <c r="K29" s="4" t="s">
        <v>41</v>
      </c>
      <c r="L29" t="b">
        <f>VLOOKUP(L31,$B$12:$G$18,6,FALSE)</f>
        <v>1</v>
      </c>
      <c r="M29" t="b">
        <f>VLOOKUP(M31,$B$12:$G$18,6,FALSE)</f>
        <v>0</v>
      </c>
      <c r="N29" t="b">
        <f>VLOOKUP(N31,$B$12:$G$18,6,FALSE)</f>
        <v>0</v>
      </c>
    </row>
    <row r="30" spans="1:27" x14ac:dyDescent="0.25">
      <c r="C30" s="107" t="s">
        <v>15</v>
      </c>
      <c r="D30" s="107"/>
      <c r="E30" s="107"/>
      <c r="F30" s="107" t="s">
        <v>16</v>
      </c>
      <c r="G30" s="107"/>
      <c r="H30" s="107"/>
      <c r="I30" s="107" t="s">
        <v>17</v>
      </c>
      <c r="J30" s="107"/>
      <c r="K30" s="107"/>
      <c r="L30" s="107" t="s">
        <v>39</v>
      </c>
      <c r="M30" s="107"/>
      <c r="N30" s="107"/>
    </row>
    <row r="31" spans="1:27" x14ac:dyDescent="0.25">
      <c r="C31" s="5" t="s">
        <v>1</v>
      </c>
      <c r="D31" s="5" t="s">
        <v>3</v>
      </c>
      <c r="E31" s="5" t="s">
        <v>4</v>
      </c>
      <c r="F31" s="5" t="s">
        <v>1</v>
      </c>
      <c r="G31" s="5" t="s">
        <v>3</v>
      </c>
      <c r="H31" s="5" t="s">
        <v>4</v>
      </c>
      <c r="I31" s="5" t="s">
        <v>1</v>
      </c>
      <c r="J31" s="5" t="s">
        <v>3</v>
      </c>
      <c r="K31" s="5" t="s">
        <v>4</v>
      </c>
      <c r="L31" s="5" t="s">
        <v>1</v>
      </c>
      <c r="M31" s="5" t="s">
        <v>3</v>
      </c>
      <c r="N31" s="5" t="s">
        <v>4</v>
      </c>
    </row>
    <row r="32" spans="1:27" x14ac:dyDescent="0.25">
      <c r="B32" s="9" t="s">
        <v>24</v>
      </c>
      <c r="C32">
        <f>_xll.BDP(C$31&amp;$B32&amp;" Curncy","PX_LAST")</f>
        <v>23</v>
      </c>
      <c r="D32">
        <f>_xll.BDP(D$31&amp;$B32&amp;" Curncy","PX_LAST")</f>
        <v>0.185</v>
      </c>
      <c r="E32">
        <f>_xll.BDP(E$31&amp;$B32&amp;" Curncy","PX_LAST")</f>
        <v>5.0000000000000001E-3</v>
      </c>
      <c r="F32" s="6">
        <f>C32</f>
        <v>23</v>
      </c>
      <c r="G32" s="6"/>
      <c r="H32" s="6"/>
      <c r="I32" s="14">
        <f t="array" aca="1" ref="I32:I45" ca="1">_xll.QCurves_BendCurve(C32:C45,F32:F45)</f>
        <v>23</v>
      </c>
      <c r="J32">
        <f t="array" aca="1" ref="J32:J45" ca="1">_xll.QCurves_BendCurve(D32:D45,G32:G45)</f>
        <v>0.185</v>
      </c>
      <c r="K32">
        <f t="array" aca="1" ref="K32:K45" ca="1">_xll.QCurves_BendCurve(E32:E45,H32:H45)</f>
        <v>5.0000000000000001E-3</v>
      </c>
      <c r="L32" t="str" cm="1">
        <f t="array" aca="1" ref="L32" ca="1">_xll.QIns_CreateFxSwap(L$31&amp;"_Swap_"&amp;$B32,valDate,$B32,VLOOKUP(L$31,$B$12:$D$18,3,FALSE),IF(L$29,"USD",L$31),IF(L$29,L$31,"USD"),100000,I32,IF(L$29,VLOOKUP(L$31,$B$20:$C$27,2,FALSE),$C$20),VLOOKUP(L$31,$B$20:$C$27,2,FALSE))</f>
        <v>ZAR_Swap_ON¬1</v>
      </c>
      <c r="M32" t="str" cm="1">
        <f t="array" aca="1" ref="M32" ca="1">_xll.QIns_CreateFxSwap(M$31&amp;"_Swap_"&amp;$B32,valDate,$B32,VLOOKUP(M$31,$B$12:$D$18,3,FALSE),IF(M$29,"USD",M$31),IF(M$29,M$31,"USD"),100000,J32,IF(M$29,VLOOKUP(M$31,$B$20:$C$27,2,FALSE),$C$20),VLOOKUP(M$31,$B$20:$C$27,2,FALSE))</f>
        <v>EUR_Swap_ON¬1</v>
      </c>
      <c r="N32" t="str" cm="1">
        <f t="array" aca="1" ref="N32" ca="1">_xll.QIns_CreateFxSwap(N$31&amp;"_Swap_"&amp;$B32,valDate,$B32,VLOOKUP(N$31,$B$12:$D$18,3,FALSE),IF(N$29,"USD",N$31),IF(N$29,N$31,"USD"),100000,K32,IF(N$29,VLOOKUP(N$31,$B$20:$C$27,2,FALSE),$C$20),VLOOKUP(N$31,$B$20:$C$27,2,FALSE))</f>
        <v>AUD_Swap_ON¬1</v>
      </c>
    </row>
    <row r="33" spans="1:18" x14ac:dyDescent="0.25">
      <c r="B33" s="9" t="s">
        <v>25</v>
      </c>
      <c r="C33">
        <f>_xll.BDP(C$31&amp;$B33&amp;" Curncy","PX_LAST")</f>
        <v>23</v>
      </c>
      <c r="D33">
        <f>_xll.BDP(D$31&amp;$B33&amp;" Curncy","PX_LAST")</f>
        <v>0.19</v>
      </c>
      <c r="E33">
        <f>_xll.BDP(E$31&amp;$B33&amp;" Curncy","PX_LAST")</f>
        <v>2E-3</v>
      </c>
      <c r="F33" s="6"/>
      <c r="G33" s="6"/>
      <c r="H33" s="6"/>
      <c r="I33" s="14">
        <f ca="1"/>
        <v>23.76923076923077</v>
      </c>
      <c r="J33">
        <f ca="1"/>
        <v>0.19</v>
      </c>
      <c r="K33">
        <f ca="1"/>
        <v>2E-3</v>
      </c>
      <c r="L33" t="str" cm="1">
        <f t="array" aca="1" ref="L33" ca="1">_xll.QIns_CreateFxSwap(L$31&amp;"_Swap_"&amp;$B33,valDate,$B33,VLOOKUP(L$31,$B$12:$D$18,3,FALSE),IF(L$29,"USD",L$31),IF(L$29,L$31,"USD"),100000,I33,IF(L$29,VLOOKUP(L$31,$B$20:$C$27,2,FALSE),$C$20),VLOOKUP(L$31,$B$20:$C$27,2,FALSE))</f>
        <v>ZAR_Swap_TN¬1</v>
      </c>
      <c r="M33" t="str" cm="1">
        <f t="array" aca="1" ref="M33" ca="1">_xll.QIns_CreateFxSwap(M$31&amp;"_Swap_"&amp;$B33,valDate,$B33,VLOOKUP(M$31,$B$12:$D$18,3,FALSE),IF(M$29,"USD",M$31),IF(M$29,M$31,"USD"),100000,J33,IF(M$29,VLOOKUP(M$31,$B$20:$C$27,2,FALSE),$C$20),VLOOKUP(M$31,$B$20:$C$27,2,FALSE))</f>
        <v>EUR_Swap_TN¬1</v>
      </c>
      <c r="N33" t="str" cm="1">
        <f t="array" aca="1" ref="N33" ca="1">_xll.QIns_CreateFxSwap(N$31&amp;"_Swap_"&amp;$B33,valDate,$B33,VLOOKUP(N$31,$B$12:$D$18,3,FALSE),IF(N$29,"USD",N$31),IF(N$29,N$31,"USD"),100000,K33,IF(N$29,VLOOKUP(N$31,$B$20:$C$27,2,FALSE),$C$20),VLOOKUP(N$31,$B$20:$C$27,2,FALSE))</f>
        <v>AUD_Swap_TN¬1</v>
      </c>
    </row>
    <row r="34" spans="1:18" x14ac:dyDescent="0.25">
      <c r="B34" s="9" t="s">
        <v>26</v>
      </c>
      <c r="C34">
        <f>_xll.BDP(C$31&amp;$B34&amp;" Curncy","PX_LAST")</f>
        <v>157</v>
      </c>
      <c r="D34">
        <f>_xll.BDP(D$31&amp;$B34&amp;" Curncy","PX_LAST")</f>
        <v>1.36</v>
      </c>
      <c r="E34">
        <f>_xll.BDP(E$31&amp;$B34&amp;" Curncy","PX_LAST")</f>
        <v>0.04</v>
      </c>
      <c r="F34" s="6"/>
      <c r="G34" s="6"/>
      <c r="H34" s="6"/>
      <c r="I34" s="14">
        <f ca="1"/>
        <v>158.53846153846155</v>
      </c>
      <c r="J34">
        <f ca="1"/>
        <v>1.36</v>
      </c>
      <c r="K34">
        <f ca="1"/>
        <v>0.04</v>
      </c>
      <c r="L34" t="str" cm="1">
        <f t="array" aca="1" ref="L34" ca="1">_xll.QIns_CreateFxSwap(L$31&amp;"_Swap_"&amp;$B34,valDate,$B34,VLOOKUP(L$31,$B$12:$D$18,3,FALSE),IF(L$29,"USD",L$31),IF(L$29,L$31,"USD"),100000,I34,IF(L$29,VLOOKUP(L$31,$B$20:$C$27,2,FALSE),$C$20),VLOOKUP(L$31,$B$20:$C$27,2,FALSE))</f>
        <v>ZAR_Swap_1w¬1</v>
      </c>
      <c r="M34" t="str" cm="1">
        <f t="array" aca="1" ref="M34" ca="1">_xll.QIns_CreateFxSwap(M$31&amp;"_Swap_"&amp;$B34,valDate,$B34,VLOOKUP(M$31,$B$12:$D$18,3,FALSE),IF(M$29,"USD",M$31),IF(M$29,M$31,"USD"),100000,J34,IF(M$29,VLOOKUP(M$31,$B$20:$C$27,2,FALSE),$C$20),VLOOKUP(M$31,$B$20:$C$27,2,FALSE))</f>
        <v>EUR_Swap_1w¬1</v>
      </c>
      <c r="N34" t="str" cm="1">
        <f t="array" aca="1" ref="N34" ca="1">_xll.QIns_CreateFxSwap(N$31&amp;"_Swap_"&amp;$B34,valDate,$B34,VLOOKUP(N$31,$B$12:$D$18,3,FALSE),IF(N$29,"USD",N$31),IF(N$29,N$31,"USD"),100000,K34,IF(N$29,VLOOKUP(N$31,$B$20:$C$27,2,FALSE),$C$20),VLOOKUP(N$31,$B$20:$C$27,2,FALSE))</f>
        <v>AUD_Swap_1w¬1</v>
      </c>
    </row>
    <row r="35" spans="1:18" x14ac:dyDescent="0.25">
      <c r="B35" s="9" t="s">
        <v>27</v>
      </c>
      <c r="C35">
        <f>_xll.BDP(C$31&amp;$B35&amp;" Curncy","PX_LAST")</f>
        <v>295</v>
      </c>
      <c r="D35">
        <f>_xll.BDP(D$31&amp;$B35&amp;" Curncy","PX_LAST")</f>
        <v>2.78</v>
      </c>
      <c r="E35">
        <f>_xll.BDP(E$31&amp;$B35&amp;" Curncy","PX_LAST")</f>
        <v>0.14000000000000001</v>
      </c>
      <c r="F35" s="6"/>
      <c r="G35" s="6"/>
      <c r="H35" s="6"/>
      <c r="I35" s="14">
        <f ca="1"/>
        <v>297.30769230769232</v>
      </c>
      <c r="J35">
        <f ca="1"/>
        <v>2.78</v>
      </c>
      <c r="K35">
        <f ca="1"/>
        <v>0.14000000000000001</v>
      </c>
      <c r="L35" t="str" cm="1">
        <f t="array" aca="1" ref="L35" ca="1">_xll.QIns_CreateFxSwap(L$31&amp;"_Swap_"&amp;$B35,valDate,$B35,VLOOKUP(L$31,$B$12:$D$18,3,FALSE),IF(L$29,"USD",L$31),IF(L$29,L$31,"USD"),100000,I35,IF(L$29,VLOOKUP(L$31,$B$20:$C$27,2,FALSE),$C$20),VLOOKUP(L$31,$B$20:$C$27,2,FALSE))</f>
        <v>ZAR_Swap_2w¬1</v>
      </c>
      <c r="M35" t="str" cm="1">
        <f t="array" aca="1" ref="M35" ca="1">_xll.QIns_CreateFxSwap(M$31&amp;"_Swap_"&amp;$B35,valDate,$B35,VLOOKUP(M$31,$B$12:$D$18,3,FALSE),IF(M$29,"USD",M$31),IF(M$29,M$31,"USD"),100000,J35,IF(M$29,VLOOKUP(M$31,$B$20:$C$27,2,FALSE),$C$20),VLOOKUP(M$31,$B$20:$C$27,2,FALSE))</f>
        <v>EUR_Swap_2w¬1</v>
      </c>
      <c r="N35" t="str" cm="1">
        <f t="array" aca="1" ref="N35" ca="1">_xll.QIns_CreateFxSwap(N$31&amp;"_Swap_"&amp;$B35,valDate,$B35,VLOOKUP(N$31,$B$12:$D$18,3,FALSE),IF(N$29,"USD",N$31),IF(N$29,N$31,"USD"),100000,K35,IF(N$29,VLOOKUP(N$31,$B$20:$C$27,2,FALSE),$C$20),VLOOKUP(N$31,$B$20:$C$27,2,FALSE))</f>
        <v>AUD_Swap_2w¬1</v>
      </c>
    </row>
    <row r="36" spans="1:18" x14ac:dyDescent="0.25">
      <c r="B36" s="9" t="s">
        <v>28</v>
      </c>
      <c r="C36">
        <f>_xll.BDP(C$31&amp;$B36&amp;" Curncy","PX_LAST")</f>
        <v>653</v>
      </c>
      <c r="D36">
        <f>_xll.BDP(D$31&amp;$B36&amp;" Curncy","PX_LAST")</f>
        <v>6.59</v>
      </c>
      <c r="E36">
        <f>_xll.BDP(E$31&amp;$B36&amp;" Curncy","PX_LAST")</f>
        <v>0.44</v>
      </c>
      <c r="F36" s="6"/>
      <c r="G36" s="6"/>
      <c r="H36" s="6"/>
      <c r="I36" s="14">
        <f ca="1"/>
        <v>656.07692307692309</v>
      </c>
      <c r="J36">
        <f ca="1"/>
        <v>6.59</v>
      </c>
      <c r="K36">
        <f ca="1"/>
        <v>0.44</v>
      </c>
      <c r="L36" t="str" cm="1">
        <f t="array" aca="1" ref="L36" ca="1">_xll.QIns_CreateFxSwap(L$31&amp;"_Swap_"&amp;$B36,valDate,$B36,VLOOKUP(L$31,$B$12:$D$18,3,FALSE),IF(L$29,"USD",L$31),IF(L$29,L$31,"USD"),100000,I36,IF(L$29,VLOOKUP(L$31,$B$20:$C$27,2,FALSE),$C$20),VLOOKUP(L$31,$B$20:$C$27,2,FALSE))</f>
        <v>ZAR_Swap_1m¬1</v>
      </c>
      <c r="M36" t="str" cm="1">
        <f t="array" aca="1" ref="M36" ca="1">_xll.QIns_CreateFxSwap(M$31&amp;"_Swap_"&amp;$B36,valDate,$B36,VLOOKUP(M$31,$B$12:$D$18,3,FALSE),IF(M$29,"USD",M$31),IF(M$29,M$31,"USD"),100000,J36,IF(M$29,VLOOKUP(M$31,$B$20:$C$27,2,FALSE),$C$20),VLOOKUP(M$31,$B$20:$C$27,2,FALSE))</f>
        <v>EUR_Swap_1m¬1</v>
      </c>
      <c r="N36" t="str" cm="1">
        <f t="array" aca="1" ref="N36" ca="1">_xll.QIns_CreateFxSwap(N$31&amp;"_Swap_"&amp;$B36,valDate,$B36,VLOOKUP(N$31,$B$12:$D$18,3,FALSE),IF(N$29,"USD",N$31),IF(N$29,N$31,"USD"),100000,K36,IF(N$29,VLOOKUP(N$31,$B$20:$C$27,2,FALSE),$C$20),VLOOKUP(N$31,$B$20:$C$27,2,FALSE))</f>
        <v>AUD_Swap_1m¬1</v>
      </c>
    </row>
    <row r="37" spans="1:18" x14ac:dyDescent="0.25">
      <c r="B37" s="9" t="s">
        <v>29</v>
      </c>
      <c r="C37">
        <f>_xll.BDP(C$31&amp;$B37&amp;" Curncy","PX_LAST")</f>
        <v>1135</v>
      </c>
      <c r="D37">
        <f>_xll.BDP(D$31&amp;$B37&amp;" Curncy","PX_LAST")</f>
        <v>13.33</v>
      </c>
      <c r="E37">
        <f>_xll.BDP(E$31&amp;$B37&amp;" Curncy","PX_LAST")</f>
        <v>0.72</v>
      </c>
      <c r="F37" s="6"/>
      <c r="G37" s="6"/>
      <c r="H37" s="6"/>
      <c r="I37" s="14">
        <f ca="1"/>
        <v>1138.8461538461538</v>
      </c>
      <c r="J37">
        <f ca="1"/>
        <v>13.33</v>
      </c>
      <c r="K37">
        <f ca="1"/>
        <v>0.72</v>
      </c>
      <c r="L37" t="str" cm="1">
        <f t="array" aca="1" ref="L37" ca="1">_xll.QIns_CreateFxSwap(L$31&amp;"_Swap_"&amp;$B37,valDate,$B37,VLOOKUP(L$31,$B$12:$D$18,3,FALSE),IF(L$29,"USD",L$31),IF(L$29,L$31,"USD"),100000,I37,IF(L$29,VLOOKUP(L$31,$B$20:$C$27,2,FALSE),$C$20),VLOOKUP(L$31,$B$20:$C$27,2,FALSE))</f>
        <v>ZAR_Swap_2m¬1</v>
      </c>
      <c r="M37" t="str" cm="1">
        <f t="array" aca="1" ref="M37" ca="1">_xll.QIns_CreateFxSwap(M$31&amp;"_Swap_"&amp;$B37,valDate,$B37,VLOOKUP(M$31,$B$12:$D$18,3,FALSE),IF(M$29,"USD",M$31),IF(M$29,M$31,"USD"),100000,J37,IF(M$29,VLOOKUP(M$31,$B$20:$C$27,2,FALSE),$C$20),VLOOKUP(M$31,$B$20:$C$27,2,FALSE))</f>
        <v>EUR_Swap_2m¬1</v>
      </c>
      <c r="N37" t="str" cm="1">
        <f t="array" aca="1" ref="N37" ca="1">_xll.QIns_CreateFxSwap(N$31&amp;"_Swap_"&amp;$B37,valDate,$B37,VLOOKUP(N$31,$B$12:$D$18,3,FALSE),IF(N$29,"USD",N$31),IF(N$29,N$31,"USD"),100000,K37,IF(N$29,VLOOKUP(N$31,$B$20:$C$27,2,FALSE),$C$20),VLOOKUP(N$31,$B$20:$C$27,2,FALSE))</f>
        <v>AUD_Swap_2m¬1</v>
      </c>
    </row>
    <row r="38" spans="1:18" x14ac:dyDescent="0.25">
      <c r="B38" s="9" t="s">
        <v>30</v>
      </c>
      <c r="C38">
        <f>_xll.BDP(C$31&amp;$B38&amp;" Curncy","PX_LAST")</f>
        <v>1663</v>
      </c>
      <c r="D38">
        <f>_xll.BDP(D$31&amp;$B38&amp;" Curncy","PX_LAST")</f>
        <v>20.48</v>
      </c>
      <c r="E38">
        <f>_xll.BDP(E$31&amp;$B38&amp;" Curncy","PX_LAST")</f>
        <v>0.87</v>
      </c>
      <c r="F38" s="6"/>
      <c r="G38" s="6"/>
      <c r="H38" s="6"/>
      <c r="I38" s="14">
        <f ca="1"/>
        <v>1667.6153846153845</v>
      </c>
      <c r="J38">
        <f ca="1"/>
        <v>20.48</v>
      </c>
      <c r="K38">
        <f ca="1"/>
        <v>0.87</v>
      </c>
      <c r="L38" t="str" cm="1">
        <f t="array" aca="1" ref="L38" ca="1">_xll.QIns_CreateFxSwap(L$31&amp;"_Swap_"&amp;$B38,valDate,$B38,VLOOKUP(L$31,$B$12:$D$18,3,FALSE),IF(L$29,"USD",L$31),IF(L$29,L$31,"USD"),100000,I38,IF(L$29,VLOOKUP(L$31,$B$20:$C$27,2,FALSE),$C$20),VLOOKUP(L$31,$B$20:$C$27,2,FALSE))</f>
        <v>ZAR_Swap_3m¬1</v>
      </c>
      <c r="M38" t="str" cm="1">
        <f t="array" aca="1" ref="M38" ca="1">_xll.QIns_CreateFxSwap(M$31&amp;"_Swap_"&amp;$B38,valDate,$B38,VLOOKUP(M$31,$B$12:$D$18,3,FALSE),IF(M$29,"USD",M$31),IF(M$29,M$31,"USD"),100000,J38,IF(M$29,VLOOKUP(M$31,$B$20:$C$27,2,FALSE),$C$20),VLOOKUP(M$31,$B$20:$C$27,2,FALSE))</f>
        <v>EUR_Swap_3m¬1</v>
      </c>
      <c r="N38" t="str" cm="1">
        <f t="array" aca="1" ref="N38" ca="1">_xll.QIns_CreateFxSwap(N$31&amp;"_Swap_"&amp;$B38,valDate,$B38,VLOOKUP(N$31,$B$12:$D$18,3,FALSE),IF(N$29,"USD",N$31),IF(N$29,N$31,"USD"),100000,K38,IF(N$29,VLOOKUP(N$31,$B$20:$C$27,2,FALSE),$C$20),VLOOKUP(N$31,$B$20:$C$27,2,FALSE))</f>
        <v>AUD_Swap_3m¬1</v>
      </c>
    </row>
    <row r="39" spans="1:18" x14ac:dyDescent="0.25">
      <c r="B39" s="9" t="s">
        <v>31</v>
      </c>
      <c r="C39">
        <f>_xll.BDP(C$31&amp;$B39&amp;" Curncy","PX_LAST")</f>
        <v>3170</v>
      </c>
      <c r="D39">
        <f>_xll.BDP(D$31&amp;$B39&amp;" Curncy","PX_LAST")</f>
        <v>42.68</v>
      </c>
      <c r="E39">
        <f>_xll.BDP(E$31&amp;$B39&amp;" Curncy","PX_LAST")</f>
        <v>0.42</v>
      </c>
      <c r="F39" s="6"/>
      <c r="G39" s="6"/>
      <c r="H39" s="6"/>
      <c r="I39" s="14">
        <f ca="1"/>
        <v>3175.3846153846152</v>
      </c>
      <c r="J39">
        <f ca="1"/>
        <v>42.68</v>
      </c>
      <c r="K39">
        <f ca="1"/>
        <v>0.42</v>
      </c>
      <c r="L39" t="str" cm="1">
        <f t="array" aca="1" ref="L39" ca="1">_xll.QIns_CreateFxSwap(L$31&amp;"_Swap_"&amp;$B39,valDate,$B39,VLOOKUP(L$31,$B$12:$D$18,3,FALSE),IF(L$29,"USD",L$31),IF(L$29,L$31,"USD"),100000,I39,IF(L$29,VLOOKUP(L$31,$B$20:$C$27,2,FALSE),$C$20),VLOOKUP(L$31,$B$20:$C$27,2,FALSE))</f>
        <v>ZAR_Swap_6m¬1</v>
      </c>
      <c r="M39" t="str" cm="1">
        <f t="array" aca="1" ref="M39" ca="1">_xll.QIns_CreateFxSwap(M$31&amp;"_Swap_"&amp;$B39,valDate,$B39,VLOOKUP(M$31,$B$12:$D$18,3,FALSE),IF(M$29,"USD",M$31),IF(M$29,M$31,"USD"),100000,J39,IF(M$29,VLOOKUP(M$31,$B$20:$C$27,2,FALSE),$C$20),VLOOKUP(M$31,$B$20:$C$27,2,FALSE))</f>
        <v>EUR_Swap_6m¬1</v>
      </c>
      <c r="N39" t="str" cm="1">
        <f t="array" aca="1" ref="N39" ca="1">_xll.QIns_CreateFxSwap(N$31&amp;"_Swap_"&amp;$B39,valDate,$B39,VLOOKUP(N$31,$B$12:$D$18,3,FALSE),IF(N$29,"USD",N$31),IF(N$29,N$31,"USD"),100000,K39,IF(N$29,VLOOKUP(N$31,$B$20:$C$27,2,FALSE),$C$20),VLOOKUP(N$31,$B$20:$C$27,2,FALSE))</f>
        <v>AUD_Swap_6m¬1</v>
      </c>
    </row>
    <row r="40" spans="1:18" x14ac:dyDescent="0.25">
      <c r="B40" s="9" t="s">
        <v>32</v>
      </c>
      <c r="C40">
        <f>_xll.BDP(C$31&amp;$B40&amp;" Curncy","PX_LAST")</f>
        <v>4632</v>
      </c>
      <c r="D40">
        <f>_xll.BDP(D$31&amp;$B40&amp;" Curncy","PX_LAST")</f>
        <v>68.56</v>
      </c>
      <c r="E40">
        <f>_xll.BDP(E$31&amp;$B40&amp;" Curncy","PX_LAST")</f>
        <v>-0.57999999999999996</v>
      </c>
      <c r="F40" s="6"/>
      <c r="G40" s="6"/>
      <c r="H40" s="6"/>
      <c r="I40" s="14">
        <f ca="1"/>
        <v>4638.1538461538457</v>
      </c>
      <c r="J40">
        <f ca="1"/>
        <v>68.56</v>
      </c>
      <c r="K40">
        <f ca="1"/>
        <v>-0.57999999999999996</v>
      </c>
      <c r="L40" t="str" cm="1">
        <f t="array" aca="1" ref="L40" ca="1">_xll.QIns_CreateFxSwap(L$31&amp;"_Swap_"&amp;$B40,valDate,$B40,VLOOKUP(L$31,$B$12:$D$18,3,FALSE),IF(L$29,"USD",L$31),IF(L$29,L$31,"USD"),100000,I40,IF(L$29,VLOOKUP(L$31,$B$20:$C$27,2,FALSE),$C$20),VLOOKUP(L$31,$B$20:$C$27,2,FALSE))</f>
        <v>ZAR_Swap_9m¬1</v>
      </c>
      <c r="M40" t="str" cm="1">
        <f t="array" aca="1" ref="M40" ca="1">_xll.QIns_CreateFxSwap(M$31&amp;"_Swap_"&amp;$B40,valDate,$B40,VLOOKUP(M$31,$B$12:$D$18,3,FALSE),IF(M$29,"USD",M$31),IF(M$29,M$31,"USD"),100000,J40,IF(M$29,VLOOKUP(M$31,$B$20:$C$27,2,FALSE),$C$20),VLOOKUP(M$31,$B$20:$C$27,2,FALSE))</f>
        <v>EUR_Swap_9m¬1</v>
      </c>
      <c r="N40" t="str" cm="1">
        <f t="array" aca="1" ref="N40" ca="1">_xll.QIns_CreateFxSwap(N$31&amp;"_Swap_"&amp;$B40,valDate,$B40,VLOOKUP(N$31,$B$12:$D$18,3,FALSE),IF(N$29,"USD",N$31),IF(N$29,N$31,"USD"),100000,K40,IF(N$29,VLOOKUP(N$31,$B$20:$C$27,2,FALSE),$C$20),VLOOKUP(N$31,$B$20:$C$27,2,FALSE))</f>
        <v>AUD_Swap_9m¬1</v>
      </c>
    </row>
    <row r="41" spans="1:18" x14ac:dyDescent="0.25">
      <c r="B41" s="9" t="s">
        <v>33</v>
      </c>
      <c r="C41">
        <f>_xll.BDP(C$31&amp;$B41&amp;" Curncy","PX_LAST")</f>
        <v>6001</v>
      </c>
      <c r="D41">
        <f>_xll.BDP(D$31&amp;$B41&amp;" Curncy","PX_LAST")</f>
        <v>89.85</v>
      </c>
      <c r="E41">
        <f>_xll.BDP(E$31&amp;$B41&amp;" Curncy","PX_LAST")</f>
        <v>-2.0099999999999998</v>
      </c>
      <c r="F41" s="6"/>
      <c r="G41" s="6"/>
      <c r="H41" s="6"/>
      <c r="I41" s="14">
        <f ca="1"/>
        <v>6007.9230769230771</v>
      </c>
      <c r="J41">
        <f ca="1"/>
        <v>89.85</v>
      </c>
      <c r="K41">
        <f ca="1"/>
        <v>-2.0099999999999998</v>
      </c>
      <c r="L41" t="str" cm="1">
        <f t="array" aca="1" ref="L41" ca="1">_xll.QIns_CreateFxSwap(L$31&amp;"_Swap_"&amp;$B41,valDate,$B41,VLOOKUP(L$31,$B$12:$D$18,3,FALSE),IF(L$29,"USD",L$31),IF(L$29,L$31,"USD"),100000,I41,IF(L$29,VLOOKUP(L$31,$B$20:$C$27,2,FALSE),$C$20),VLOOKUP(L$31,$B$20:$C$27,2,FALSE))</f>
        <v>ZAR_Swap_12m¬1</v>
      </c>
      <c r="M41" t="str" cm="1">
        <f t="array" aca="1" ref="M41" ca="1">_xll.QIns_CreateFxSwap(M$31&amp;"_Swap_"&amp;$B41,valDate,$B41,VLOOKUP(M$31,$B$12:$D$18,3,FALSE),IF(M$29,"USD",M$31),IF(M$29,M$31,"USD"),100000,J41,IF(M$29,VLOOKUP(M$31,$B$20:$C$27,2,FALSE),$C$20),VLOOKUP(M$31,$B$20:$C$27,2,FALSE))</f>
        <v>EUR_Swap_12m¬1</v>
      </c>
      <c r="N41" t="str" cm="1">
        <f t="array" aca="1" ref="N41" ca="1">_xll.QIns_CreateFxSwap(N$31&amp;"_Swap_"&amp;$B41,valDate,$B41,VLOOKUP(N$31,$B$12:$D$18,3,FALSE),IF(N$29,"USD",N$31),IF(N$29,N$31,"USD"),100000,K41,IF(N$29,VLOOKUP(N$31,$B$20:$C$27,2,FALSE),$C$20),VLOOKUP(N$31,$B$20:$C$27,2,FALSE))</f>
        <v>AUD_Swap_12m¬1</v>
      </c>
    </row>
    <row r="42" spans="1:18" x14ac:dyDescent="0.25">
      <c r="B42" s="9" t="s">
        <v>34</v>
      </c>
      <c r="C42">
        <f>_xll.BDP(C$31&amp;$B42&amp;" Curncy","PX_LAST")</f>
        <v>9596</v>
      </c>
      <c r="D42">
        <f>_xll.BDP(D$31&amp;$B42&amp;" Curncy","PX_LAST")</f>
        <v>136.71</v>
      </c>
      <c r="E42">
        <f>_xll.BDP(E$31&amp;$B42&amp;" Curncy","PX_LAST")</f>
        <v>-5.98</v>
      </c>
      <c r="F42" s="6"/>
      <c r="G42" s="6"/>
      <c r="H42" s="6"/>
      <c r="I42" s="14">
        <f ca="1"/>
        <v>9603.6923076923085</v>
      </c>
      <c r="J42">
        <f ca="1"/>
        <v>136.71</v>
      </c>
      <c r="K42">
        <f ca="1"/>
        <v>-5.98</v>
      </c>
      <c r="L42" t="str" cm="1">
        <f t="array" aca="1" ref="L42" ca="1">_xll.QIns_CreateFxSwap(L$31&amp;"_Swap_"&amp;$B42,valDate,$B42,VLOOKUP(L$31,$B$12:$D$18,3,FALSE),IF(L$29,"USD",L$31),IF(L$29,L$31,"USD"),100000,I42,IF(L$29,VLOOKUP(L$31,$B$20:$C$27,2,FALSE),$C$20),VLOOKUP(L$31,$B$20:$C$27,2,FALSE))</f>
        <v>ZAR_Swap_18m¬1</v>
      </c>
      <c r="M42" t="str" cm="1">
        <f t="array" aca="1" ref="M42" ca="1">_xll.QIns_CreateFxSwap(M$31&amp;"_Swap_"&amp;$B42,valDate,$B42,VLOOKUP(M$31,$B$12:$D$18,3,FALSE),IF(M$29,"USD",M$31),IF(M$29,M$31,"USD"),100000,J42,IF(M$29,VLOOKUP(M$31,$B$20:$C$27,2,FALSE),$C$20),VLOOKUP(M$31,$B$20:$C$27,2,FALSE))</f>
        <v>EUR_Swap_18m¬1</v>
      </c>
      <c r="N42" t="str" cm="1">
        <f t="array" aca="1" ref="N42" ca="1">_xll.QIns_CreateFxSwap(N$31&amp;"_Swap_"&amp;$B42,valDate,$B42,VLOOKUP(N$31,$B$12:$D$18,3,FALSE),IF(N$29,"USD",N$31),IF(N$29,N$31,"USD"),100000,K42,IF(N$29,VLOOKUP(N$31,$B$20:$C$27,2,FALSE),$C$20),VLOOKUP(N$31,$B$20:$C$27,2,FALSE))</f>
        <v>AUD_Swap_18m¬1</v>
      </c>
    </row>
    <row r="43" spans="1:18" x14ac:dyDescent="0.25">
      <c r="B43" s="9" t="s">
        <v>35</v>
      </c>
      <c r="C43">
        <f>_xll.BDP(C$31&amp;$B43&amp;" Curncy","PX_LAST")</f>
        <v>13976</v>
      </c>
      <c r="D43">
        <f>_xll.BDP(D$31&amp;$B43&amp;" Curncy","PX_LAST")</f>
        <v>185.51</v>
      </c>
      <c r="E43">
        <f>_xll.BDP(E$31&amp;$B43&amp;" Curncy","PX_LAST")</f>
        <v>-14.08</v>
      </c>
      <c r="F43" s="6"/>
      <c r="G43" s="6"/>
      <c r="H43" s="6"/>
      <c r="I43" s="14">
        <f ca="1"/>
        <v>13984.461538461539</v>
      </c>
      <c r="J43">
        <f ca="1"/>
        <v>185.51</v>
      </c>
      <c r="K43">
        <f ca="1"/>
        <v>-14.08</v>
      </c>
      <c r="L43" t="str" cm="1">
        <f t="array" aca="1" ref="L43" ca="1">_xll.QIns_CreateFxSwap(L$31&amp;"_Swap_"&amp;$B43,valDate,$B43,VLOOKUP(L$31,$B$12:$D$18,3,FALSE),IF(L$29,"USD",L$31),IF(L$29,L$31,"USD"),100000,I43,IF(L$29,VLOOKUP(L$31,$B$20:$C$27,2,FALSE),$C$20),VLOOKUP(L$31,$B$20:$C$27,2,FALSE))</f>
        <v>ZAR_Swap_2y¬1</v>
      </c>
      <c r="M43" t="str" cm="1">
        <f t="array" aca="1" ref="M43" ca="1">_xll.QIns_CreateFxSwap(M$31&amp;"_Swap_"&amp;$B43,valDate,$B43,VLOOKUP(M$31,$B$12:$D$18,3,FALSE),IF(M$29,"USD",M$31),IF(M$29,M$31,"USD"),100000,J43,IF(M$29,VLOOKUP(M$31,$B$20:$C$27,2,FALSE),$C$20),VLOOKUP(M$31,$B$20:$C$27,2,FALSE))</f>
        <v>EUR_Swap_2y¬1</v>
      </c>
      <c r="N43" t="str" cm="1">
        <f t="array" aca="1" ref="N43" ca="1">_xll.QIns_CreateFxSwap(N$31&amp;"_Swap_"&amp;$B43,valDate,$B43,VLOOKUP(N$31,$B$12:$D$18,3,FALSE),IF(N$29,"USD",N$31),IF(N$29,N$31,"USD"),100000,K43,IF(N$29,VLOOKUP(N$31,$B$20:$C$27,2,FALSE),$C$20),VLOOKUP(N$31,$B$20:$C$27,2,FALSE))</f>
        <v>AUD_Swap_2y¬1</v>
      </c>
    </row>
    <row r="44" spans="1:18" x14ac:dyDescent="0.25">
      <c r="B44" s="9" t="s">
        <v>36</v>
      </c>
      <c r="C44">
        <f>_xll.BDP(C$31&amp;$B44&amp;" Curncy","PX_LAST")</f>
        <v>23911</v>
      </c>
      <c r="D44">
        <f>_xll.BDP(D$31&amp;$B44&amp;" Curncy","PX_LAST")</f>
        <v>291.5</v>
      </c>
      <c r="E44">
        <f>_xll.BDP(E$31&amp;$B44&amp;" Curncy","PX_LAST")</f>
        <v>-32.36</v>
      </c>
      <c r="F44" s="6"/>
      <c r="G44" s="6"/>
      <c r="H44" s="6"/>
      <c r="I44" s="14">
        <f ca="1"/>
        <v>23920.23076923077</v>
      </c>
      <c r="J44">
        <f ca="1"/>
        <v>291.5</v>
      </c>
      <c r="K44">
        <f ca="1"/>
        <v>-32.36</v>
      </c>
      <c r="L44" t="str" cm="1">
        <f t="array" aca="1" ref="L44" ca="1">_xll.QIns_CreateFxSwap(L$31&amp;"_Swap_"&amp;$B44,valDate,$B44,VLOOKUP(L$31,$B$12:$D$18,3,FALSE),IF(L$29,"USD",L$31),IF(L$29,L$31,"USD"),100000,I44,IF(L$29,VLOOKUP(L$31,$B$20:$C$27,2,FALSE),$C$20),VLOOKUP(L$31,$B$20:$C$27,2,FALSE))</f>
        <v>ZAR_Swap_3y¬1</v>
      </c>
      <c r="M44" t="str" cm="1">
        <f t="array" aca="1" ref="M44" ca="1">_xll.QIns_CreateFxSwap(M$31&amp;"_Swap_"&amp;$B44,valDate,$B44,VLOOKUP(M$31,$B$12:$D$18,3,FALSE),IF(M$29,"USD",M$31),IF(M$29,M$31,"USD"),100000,J44,IF(M$29,VLOOKUP(M$31,$B$20:$C$27,2,FALSE),$C$20),VLOOKUP(M$31,$B$20:$C$27,2,FALSE))</f>
        <v>EUR_Swap_3y¬1</v>
      </c>
      <c r="N44" t="str" cm="1">
        <f t="array" aca="1" ref="N44" ca="1">_xll.QIns_CreateFxSwap(N$31&amp;"_Swap_"&amp;$B44,valDate,$B44,VLOOKUP(N$31,$B$12:$D$18,3,FALSE),IF(N$29,"USD",N$31),IF(N$29,N$31,"USD"),100000,K44,IF(N$29,VLOOKUP(N$31,$B$20:$C$27,2,FALSE),$C$20),VLOOKUP(N$31,$B$20:$C$27,2,FALSE))</f>
        <v>AUD_Swap_3y¬1</v>
      </c>
    </row>
    <row r="45" spans="1:18" x14ac:dyDescent="0.25">
      <c r="B45" s="9" t="s">
        <v>37</v>
      </c>
      <c r="C45">
        <f>_xll.BDP(C$31&amp;$B45&amp;" Curncy","PX_LAST")</f>
        <v>50512</v>
      </c>
      <c r="D45">
        <f>_xll.BDP(D$31&amp;$B45&amp;" Curncy","PX_LAST")</f>
        <v>548.34</v>
      </c>
      <c r="E45">
        <f>_xll.BDP(E$31&amp;$B45&amp;" Curncy","PX_LAST")</f>
        <v>-83.51</v>
      </c>
      <c r="F45" s="6">
        <f>C45+10</f>
        <v>50522</v>
      </c>
      <c r="G45" s="6"/>
      <c r="H45" s="6"/>
      <c r="I45" s="14">
        <f ca="1"/>
        <v>50522</v>
      </c>
      <c r="J45">
        <f ca="1"/>
        <v>548.34</v>
      </c>
      <c r="K45">
        <f ca="1"/>
        <v>-83.51</v>
      </c>
      <c r="L45" t="str" cm="1">
        <f t="array" aca="1" ref="L45" ca="1">_xll.QIns_CreateFxSwap(L$31&amp;"_Swap_"&amp;$B45,valDate,$B45,VLOOKUP(L$31,$B$12:$D$18,3,FALSE),IF(L$29,"USD",L$31),IF(L$29,L$31,"USD"),100000,I45,IF(L$29,VLOOKUP(L$31,$B$20:$C$27,2,FALSE),$C$20),VLOOKUP(L$31,$B$20:$C$27,2,FALSE))</f>
        <v>ZAR_Swap_5y¬1</v>
      </c>
      <c r="M45" t="str" cm="1">
        <f t="array" aca="1" ref="M45" ca="1">_xll.QIns_CreateFxSwap(M$31&amp;"_Swap_"&amp;$B45,valDate,$B45,VLOOKUP(M$31,$B$12:$D$18,3,FALSE),IF(M$29,"USD",M$31),IF(M$29,M$31,"USD"),100000,J45,IF(M$29,VLOOKUP(M$31,$B$20:$C$27,2,FALSE),$C$20),VLOOKUP(M$31,$B$20:$C$27,2,FALSE))</f>
        <v>EUR_Swap_5y¬1</v>
      </c>
      <c r="N45" t="str" cm="1">
        <f t="array" aca="1" ref="N45" ca="1">_xll.QIns_CreateFxSwap(N$31&amp;"_Swap_"&amp;$B45,valDate,$B45,VLOOKUP(N$31,$B$12:$D$18,3,FALSE),IF(N$29,"USD",N$31),IF(N$29,N$31,"USD"),100000,K45,IF(N$29,VLOOKUP(N$31,$B$20:$C$27,2,FALSE),$C$20),VLOOKUP(N$31,$B$20:$C$27,2,FALSE))</f>
        <v>AUD_Swap_5y¬1</v>
      </c>
    </row>
    <row r="46" spans="1:18" x14ac:dyDescent="0.25">
      <c r="I46" s="15"/>
    </row>
    <row r="47" spans="1:18" x14ac:dyDescent="0.25">
      <c r="A47" s="3" t="s">
        <v>55</v>
      </c>
    </row>
    <row r="48" spans="1:18" x14ac:dyDescent="0.25">
      <c r="C48" s="107" t="s">
        <v>15</v>
      </c>
      <c r="D48" s="107"/>
      <c r="E48" s="107"/>
      <c r="F48" s="107"/>
      <c r="G48" s="107" t="s">
        <v>16</v>
      </c>
      <c r="H48" s="107"/>
      <c r="I48" s="107"/>
      <c r="J48" s="107"/>
      <c r="K48" s="107" t="s">
        <v>17</v>
      </c>
      <c r="L48" s="107"/>
      <c r="M48" s="107"/>
      <c r="N48" s="107"/>
      <c r="O48" s="107" t="s">
        <v>39</v>
      </c>
      <c r="P48" s="107"/>
      <c r="Q48" s="107"/>
      <c r="R48" s="107"/>
    </row>
    <row r="49" spans="1:19" x14ac:dyDescent="0.25">
      <c r="C49" s="5" t="s">
        <v>5</v>
      </c>
      <c r="D49" s="5" t="s">
        <v>6</v>
      </c>
      <c r="E49" s="5" t="s">
        <v>56</v>
      </c>
      <c r="F49" s="5" t="s">
        <v>57</v>
      </c>
      <c r="G49" s="5" t="str">
        <f t="shared" ref="G49:R49" si="9">C49</f>
        <v>XAU</v>
      </c>
      <c r="H49" s="5" t="str">
        <f t="shared" si="9"/>
        <v>XAG</v>
      </c>
      <c r="I49" s="5" t="str">
        <f t="shared" si="9"/>
        <v>XPT</v>
      </c>
      <c r="J49" s="5" t="str">
        <f t="shared" si="9"/>
        <v>XPD</v>
      </c>
      <c r="K49" s="5" t="str">
        <f t="shared" si="9"/>
        <v>XAU</v>
      </c>
      <c r="L49" s="5" t="str">
        <f t="shared" si="9"/>
        <v>XAG</v>
      </c>
      <c r="M49" s="5" t="str">
        <f t="shared" si="9"/>
        <v>XPT</v>
      </c>
      <c r="N49" s="5" t="str">
        <f t="shared" si="9"/>
        <v>XPD</v>
      </c>
      <c r="O49" s="5" t="str">
        <f t="shared" si="9"/>
        <v>XAU</v>
      </c>
      <c r="P49" s="5" t="str">
        <f t="shared" si="9"/>
        <v>XAG</v>
      </c>
      <c r="Q49" s="5" t="str">
        <f t="shared" si="9"/>
        <v>XPT</v>
      </c>
      <c r="R49" s="5" t="str">
        <f t="shared" si="9"/>
        <v>XPD</v>
      </c>
      <c r="S49" s="5" t="s">
        <v>60</v>
      </c>
    </row>
    <row r="50" spans="1:19" x14ac:dyDescent="0.25">
      <c r="B50" s="9" t="s">
        <v>26</v>
      </c>
      <c r="C50">
        <f>_xll.BDP(C$49&amp;"SR"&amp;$B50&amp;"  Curncy","PX_LAST")</f>
        <v>0.25</v>
      </c>
      <c r="D50">
        <f>_xll.BDP(D$49&amp;"SR"&amp;$B50&amp;"  Curncy","PX_LAST")</f>
        <v>0.55000000000000004</v>
      </c>
      <c r="E50">
        <f>_xll.BDP(E$49&amp;"SR"&amp;$B50&amp;"  Curncy","PX_LAST")</f>
        <v>-1</v>
      </c>
      <c r="F50">
        <f>_xll.BDP(F$49&amp;"SR"&amp;$B50&amp;"  Curncy","PX_LAST")</f>
        <v>-0.5</v>
      </c>
      <c r="G50" s="6"/>
      <c r="H50" s="6"/>
      <c r="I50" s="6"/>
      <c r="J50" s="6"/>
      <c r="K50" s="14">
        <f t="array" aca="1" ref="K50:K60" ca="1">_xll.QCurves_BendCurve(C50:C60,G50:G60)</f>
        <v>0.25</v>
      </c>
      <c r="L50" s="14">
        <f t="array" aca="1" ref="L50:L60" ca="1">_xll.QCurves_BendCurve(D50:D60,H50:H60)</f>
        <v>0.55000000000000004</v>
      </c>
      <c r="M50" s="14">
        <f t="array" aca="1" ref="M50:M60" ca="1">_xll.QCurves_BendCurve(E50:E60,I50:I60)</f>
        <v>-1</v>
      </c>
      <c r="N50" s="14">
        <f t="array" aca="1" ref="N50:N60" ca="1">_xll.QCurves_BendCurve(F50:F60,J50:J60)</f>
        <v>-0.5</v>
      </c>
      <c r="O50" t="str" cm="1">
        <f t="array" aca="1" ref="O50" ca="1">_xll.QIns_CreateContangoSwap(O$49&amp;"_"&amp;$B50,MetalSpotDate,$S50,O$49,"USD",100,K50/100,$C$20,VLOOKUP(O$49,$B$20:$C$27,2,FALSE))</f>
        <v>XAU_1w¬1</v>
      </c>
      <c r="P50" t="str" cm="1">
        <f t="array" aca="1" ref="P50" ca="1">_xll.QIns_CreateContangoSwap(P$49&amp;"_"&amp;$B50,MetalSpotDate,$S50,P$49,"USD",100,L50/100,$C$20,VLOOKUP(P$49,$B$20:$C$27,2,FALSE))</f>
        <v>XAG_1w¬1</v>
      </c>
      <c r="Q50" t="str" cm="1">
        <f t="array" aca="1" ref="Q50" ca="1">_xll.QIns_CreateContangoSwap(Q$49&amp;"_"&amp;$B50,MetalSpotDate,$S50,Q$49,"USD",100,M50/100,$C$20,VLOOKUP(Q$49,$B$20:$C$27,2,FALSE))</f>
        <v>XPT_1w¬1</v>
      </c>
      <c r="R50" t="str" cm="1">
        <f t="array" aca="1" ref="R50" ca="1">_xll.QIns_CreateContangoSwap(R$49&amp;"_"&amp;$B50,MetalSpotDate,$S50,R$49,"USD",100,N50/100,$C$20,VLOOKUP(R$49,$B$20:$C$27,2,FALSE))</f>
        <v>XPD_1w¬1</v>
      </c>
      <c r="S50" s="1" cm="1">
        <f t="array" aca="1" ref="S50" ca="1">_xll.QDates_AddPeriod(MetalSpotDate,B50,"F","NYC+LON")</f>
        <v>43972</v>
      </c>
    </row>
    <row r="51" spans="1:19" x14ac:dyDescent="0.25">
      <c r="B51" s="9" t="s">
        <v>28</v>
      </c>
      <c r="C51">
        <f>_xll.BDP(C$49&amp;"SR"&amp;$B51&amp;" TPMT Curncy","PX_LAST")</f>
        <v>0.35</v>
      </c>
      <c r="D51">
        <f>_xll.BDP(D$49&amp;"SR"&amp;$B51&amp;" TPMT Curncy","PX_LAST")</f>
        <v>0.65</v>
      </c>
      <c r="E51">
        <f>_xll.BDP(E$49&amp;"SR"&amp;$B51&amp;" TPMT Curncy","PX_LAST")</f>
        <v>-0.75</v>
      </c>
      <c r="F51">
        <f>_xll.BDP(F$49&amp;"SR"&amp;$B51&amp;" TPMT Curncy","PX_LAST")</f>
        <v>-0.75</v>
      </c>
      <c r="G51" s="6"/>
      <c r="H51" s="6"/>
      <c r="I51" s="6"/>
      <c r="J51" s="6"/>
      <c r="K51" s="14">
        <f ca="1"/>
        <v>0.35</v>
      </c>
      <c r="L51" s="14">
        <f ca="1"/>
        <v>0.65</v>
      </c>
      <c r="M51" s="14">
        <f ca="1"/>
        <v>-0.75</v>
      </c>
      <c r="N51" s="14">
        <f ca="1"/>
        <v>-0.75</v>
      </c>
      <c r="O51" t="str" cm="1">
        <f t="array" aca="1" ref="O51" ca="1">_xll.QIns_CreateContangoSwap(O$49&amp;"_"&amp;$B51,MetalSpotDate,$S51,O$49,"USD",100,K51/100,$C$20,VLOOKUP(O$49,$B$20:$C$27,2,FALSE))</f>
        <v>XAU_1m¬1</v>
      </c>
      <c r="P51" t="str" cm="1">
        <f t="array" aca="1" ref="P51" ca="1">_xll.QIns_CreateContangoSwap(P$49&amp;"_"&amp;$B51,MetalSpotDate,$S51,P$49,"USD",100,L51/100,$C$20,VLOOKUP(P$49,$B$20:$C$27,2,FALSE))</f>
        <v>XAG_1m¬1</v>
      </c>
      <c r="Q51" t="str" cm="1">
        <f t="array" aca="1" ref="Q51" ca="1">_xll.QIns_CreateContangoSwap(Q$49&amp;"_"&amp;$B51,MetalSpotDate,$S51,Q$49,"USD",100,M51/100,$C$20,VLOOKUP(Q$49,$B$20:$C$27,2,FALSE))</f>
        <v>XPT_1m¬1</v>
      </c>
      <c r="R51" t="str" cm="1">
        <f t="array" aca="1" ref="R51" ca="1">_xll.QIns_CreateContangoSwap(R$49&amp;"_"&amp;$B51,MetalSpotDate,$S51,R$49,"USD",100,N51/100,$C$20,VLOOKUP(R$49,$B$20:$C$27,2,FALSE))</f>
        <v>XPD_1m¬1</v>
      </c>
      <c r="S51" s="1" cm="1">
        <f t="array" aca="1" ref="S51" ca="1">_xll.QDates_AddPeriod(MetalSpotDate,B51,"MF","NYC+LON")</f>
        <v>43997</v>
      </c>
    </row>
    <row r="52" spans="1:19" x14ac:dyDescent="0.25">
      <c r="B52" s="9" t="s">
        <v>29</v>
      </c>
      <c r="C52">
        <f>_xll.BDP(C$49&amp;"SR"&amp;$B52&amp;" TPMT Curncy","PX_LAST")</f>
        <v>0.4</v>
      </c>
      <c r="D52">
        <f>_xll.BDP(D$49&amp;"SR"&amp;$B52&amp;" TPMT Curncy","PX_LAST")</f>
        <v>0.78</v>
      </c>
      <c r="E52">
        <f>_xll.BDP(E$49&amp;"SR"&amp;$B52&amp;" TPMT Curncy","PX_LAST")</f>
        <v>-1.5</v>
      </c>
      <c r="F52">
        <f>_xll.BDP(F$49&amp;"SR"&amp;$B52&amp;" TPMT Curncy","PX_LAST")</f>
        <v>-1</v>
      </c>
      <c r="G52" s="6"/>
      <c r="H52" s="6"/>
      <c r="I52" s="6"/>
      <c r="J52" s="6"/>
      <c r="K52" s="14">
        <f ca="1"/>
        <v>0.4</v>
      </c>
      <c r="L52" s="14">
        <f ca="1"/>
        <v>0.78</v>
      </c>
      <c r="M52" s="14">
        <f ca="1"/>
        <v>-1.5</v>
      </c>
      <c r="N52" s="14">
        <f ca="1"/>
        <v>-1</v>
      </c>
      <c r="O52" t="str" cm="1">
        <f t="array" aca="1" ref="O52" ca="1">_xll.QIns_CreateContangoSwap(O$49&amp;"_"&amp;$B52,MetalSpotDate,$S52,O$49,"USD",100,K52/100,$C$20,VLOOKUP(O$49,$B$20:$C$27,2,FALSE))</f>
        <v>XAU_2m¬1</v>
      </c>
      <c r="P52" t="str" cm="1">
        <f t="array" aca="1" ref="P52" ca="1">_xll.QIns_CreateContangoSwap(P$49&amp;"_"&amp;$B52,MetalSpotDate,$S52,P$49,"USD",100,L52/100,$C$20,VLOOKUP(P$49,$B$20:$C$27,2,FALSE))</f>
        <v>XAG_2m¬1</v>
      </c>
      <c r="Q52" t="str" cm="1">
        <f t="array" aca="1" ref="Q52" ca="1">_xll.QIns_CreateContangoSwap(Q$49&amp;"_"&amp;$B52,MetalSpotDate,$S52,Q$49,"USD",100,M52/100,$C$20,VLOOKUP(Q$49,$B$20:$C$27,2,FALSE))</f>
        <v>XPT_2m¬1</v>
      </c>
      <c r="R52" t="str" cm="1">
        <f t="array" aca="1" ref="R52" ca="1">_xll.QIns_CreateContangoSwap(R$49&amp;"_"&amp;$B52,MetalSpotDate,$S52,R$49,"USD",100,N52/100,$C$20,VLOOKUP(R$49,$B$20:$C$27,2,FALSE))</f>
        <v>XPD_2m¬1</v>
      </c>
      <c r="S52" s="1" cm="1">
        <f t="array" aca="1" ref="S52" ca="1">_xll.QDates_AddPeriod(MetalSpotDate,B52,"MF","NYC+LON")</f>
        <v>44026</v>
      </c>
    </row>
    <row r="53" spans="1:19" x14ac:dyDescent="0.25">
      <c r="B53" s="9" t="s">
        <v>30</v>
      </c>
      <c r="C53">
        <f>_xll.BDP(C$49&amp;"SR"&amp;$B53&amp;" TPMT Curncy","PX_LAST")</f>
        <v>0.44</v>
      </c>
      <c r="D53">
        <f>_xll.BDP(D$49&amp;"SR"&amp;$B53&amp;" TPMT Curncy","PX_LAST")</f>
        <v>0.9</v>
      </c>
      <c r="E53">
        <f>_xll.BDP(E$49&amp;"SR"&amp;$B53&amp;" TPMT Curncy","PX_LAST")</f>
        <v>-1.75</v>
      </c>
      <c r="F53">
        <f>_xll.BDP(F$49&amp;"SR"&amp;$B53&amp;" TPMT Curncy","PX_LAST")</f>
        <v>-1</v>
      </c>
      <c r="G53" s="6"/>
      <c r="H53" s="6"/>
      <c r="I53" s="6"/>
      <c r="J53" s="6"/>
      <c r="K53" s="14">
        <f ca="1"/>
        <v>0.44</v>
      </c>
      <c r="L53" s="14">
        <f ca="1"/>
        <v>0.9</v>
      </c>
      <c r="M53" s="14">
        <f ca="1"/>
        <v>-1.75</v>
      </c>
      <c r="N53" s="14">
        <f ca="1"/>
        <v>-1</v>
      </c>
      <c r="O53" t="str" cm="1">
        <f t="array" aca="1" ref="O53" ca="1">_xll.QIns_CreateContangoSwap(O$49&amp;"_"&amp;$B53,MetalSpotDate,$S53,O$49,"USD",100,K53/100,$C$20,VLOOKUP(O$49,$B$20:$C$27,2,FALSE))</f>
        <v>XAU_3m¬1</v>
      </c>
      <c r="P53" t="str" cm="1">
        <f t="array" aca="1" ref="P53" ca="1">_xll.QIns_CreateContangoSwap(P$49&amp;"_"&amp;$B53,MetalSpotDate,$S53,P$49,"USD",100,L53/100,$C$20,VLOOKUP(P$49,$B$20:$C$27,2,FALSE))</f>
        <v>XAG_3m¬1</v>
      </c>
      <c r="Q53" t="str" cm="1">
        <f t="array" aca="1" ref="Q53" ca="1">_xll.QIns_CreateContangoSwap(Q$49&amp;"_"&amp;$B53,MetalSpotDate,$S53,Q$49,"USD",100,M53/100,$C$20,VLOOKUP(Q$49,$B$20:$C$27,2,FALSE))</f>
        <v>XPT_3m¬1</v>
      </c>
      <c r="R53" t="str" cm="1">
        <f t="array" aca="1" ref="R53" ca="1">_xll.QIns_CreateContangoSwap(R$49&amp;"_"&amp;$B53,MetalSpotDate,$S53,R$49,"USD",100,N53/100,$C$20,VLOOKUP(R$49,$B$20:$C$27,2,FALSE))</f>
        <v>XPD_3m¬1</v>
      </c>
      <c r="S53" s="1" cm="1">
        <f t="array" aca="1" ref="S53" ca="1">_xll.QDates_AddPeriod(MetalSpotDate,B53,"MF","NYC+LON")</f>
        <v>44057</v>
      </c>
    </row>
    <row r="54" spans="1:19" x14ac:dyDescent="0.25">
      <c r="B54" s="9" t="s">
        <v>31</v>
      </c>
      <c r="C54">
        <f>_xll.BDP(C$49&amp;"SR"&amp;$B54&amp;" TPMT Curncy","PX_LAST")</f>
        <v>0.48</v>
      </c>
      <c r="D54">
        <f>_xll.BDP(D$49&amp;"SR"&amp;$B54&amp;" TPMT Curncy","PX_LAST")</f>
        <v>0.9</v>
      </c>
      <c r="E54">
        <f>_xll.BDP(E$49&amp;"SR"&amp;$B54&amp;" TPMT Curncy","PX_LAST")</f>
        <v>-1.25</v>
      </c>
      <c r="F54">
        <f>_xll.BDP(F$49&amp;"SR"&amp;$B54&amp;" TPMT Curncy","PX_LAST")</f>
        <v>-1</v>
      </c>
      <c r="G54" s="6"/>
      <c r="H54" s="6"/>
      <c r="I54" s="6"/>
      <c r="J54" s="6"/>
      <c r="K54" s="14">
        <f ca="1"/>
        <v>0.48</v>
      </c>
      <c r="L54" s="14">
        <f ca="1"/>
        <v>0.9</v>
      </c>
      <c r="M54" s="14">
        <f ca="1"/>
        <v>-1.25</v>
      </c>
      <c r="N54" s="14">
        <f ca="1"/>
        <v>-1</v>
      </c>
      <c r="O54" t="str" cm="1">
        <f t="array" aca="1" ref="O54" ca="1">_xll.QIns_CreateContangoSwap(O$49&amp;"_"&amp;$B54,MetalSpotDate,$S54,O$49,"USD",100,K54/100,$C$20,VLOOKUP(O$49,$B$20:$C$27,2,FALSE))</f>
        <v>XAU_6m¬1</v>
      </c>
      <c r="P54" t="str" cm="1">
        <f t="array" aca="1" ref="P54" ca="1">_xll.QIns_CreateContangoSwap(P$49&amp;"_"&amp;$B54,MetalSpotDate,$S54,P$49,"USD",100,L54/100,$C$20,VLOOKUP(P$49,$B$20:$C$27,2,FALSE))</f>
        <v>XAG_6m¬1</v>
      </c>
      <c r="Q54" t="str" cm="1">
        <f t="array" aca="1" ref="Q54" ca="1">_xll.QIns_CreateContangoSwap(Q$49&amp;"_"&amp;$B54,MetalSpotDate,$S54,Q$49,"USD",100,M54/100,$C$20,VLOOKUP(Q$49,$B$20:$C$27,2,FALSE))</f>
        <v>XPT_6m¬1</v>
      </c>
      <c r="R54" t="str" cm="1">
        <f t="array" aca="1" ref="R54" ca="1">_xll.QIns_CreateContangoSwap(R$49&amp;"_"&amp;$B54,MetalSpotDate,$S54,R$49,"USD",100,N54/100,$C$20,VLOOKUP(R$49,$B$20:$C$27,2,FALSE))</f>
        <v>XPD_6m¬1</v>
      </c>
      <c r="S54" s="1" cm="1">
        <f t="array" aca="1" ref="S54" ca="1">_xll.QDates_AddPeriod(MetalSpotDate,B54,"MF","NYC+LON")</f>
        <v>44151</v>
      </c>
    </row>
    <row r="55" spans="1:19" x14ac:dyDescent="0.25">
      <c r="B55" s="9" t="s">
        <v>32</v>
      </c>
      <c r="C55">
        <f>_xll.BDP(C$49&amp;"SR"&amp;$B55&amp;" TPMT Curncy","PX_LAST")</f>
        <v>0.48</v>
      </c>
      <c r="D55">
        <f>_xll.BDP(D$49&amp;"SR"&amp;$B55&amp;" TPMT Curncy","PX_LAST")</f>
        <v>0.93</v>
      </c>
      <c r="E55">
        <f>_xll.BDP(E$49&amp;"SR"&amp;$B55&amp;" TPMT Curncy","PX_LAST")</f>
        <v>-1.5</v>
      </c>
      <c r="F55">
        <f>_xll.BDP(F$49&amp;"SR"&amp;$B55&amp;" TPMT Curncy","PX_LAST")</f>
        <v>-1</v>
      </c>
      <c r="G55" s="6"/>
      <c r="H55" s="6"/>
      <c r="I55" s="6"/>
      <c r="J55" s="6"/>
      <c r="K55" s="14">
        <f ca="1"/>
        <v>0.48</v>
      </c>
      <c r="L55" s="14">
        <f ca="1"/>
        <v>0.93</v>
      </c>
      <c r="M55" s="14">
        <f ca="1"/>
        <v>-1.5</v>
      </c>
      <c r="N55" s="14">
        <f ca="1"/>
        <v>-1</v>
      </c>
      <c r="O55" t="str" cm="1">
        <f t="array" aca="1" ref="O55" ca="1">_xll.QIns_CreateContangoSwap(O$49&amp;"_"&amp;$B55,MetalSpotDate,$S55,O$49,"USD",100,K55/100,$C$20,VLOOKUP(O$49,$B$20:$C$27,2,FALSE))</f>
        <v>XAU_9m¬1</v>
      </c>
      <c r="P55" t="str" cm="1">
        <f t="array" aca="1" ref="P55" ca="1">_xll.QIns_CreateContangoSwap(P$49&amp;"_"&amp;$B55,MetalSpotDate,$S55,P$49,"USD",100,L55/100,$C$20,VLOOKUP(P$49,$B$20:$C$27,2,FALSE))</f>
        <v>XAG_9m¬1</v>
      </c>
      <c r="Q55" t="str" cm="1">
        <f t="array" aca="1" ref="Q55" ca="1">_xll.QIns_CreateContangoSwap(Q$49&amp;"_"&amp;$B55,MetalSpotDate,$S55,Q$49,"USD",100,M55/100,$C$20,VLOOKUP(Q$49,$B$20:$C$27,2,FALSE))</f>
        <v>XPT_9m¬1</v>
      </c>
      <c r="R55" t="str" cm="1">
        <f t="array" aca="1" ref="R55" ca="1">_xll.QIns_CreateContangoSwap(R$49&amp;"_"&amp;$B55,MetalSpotDate,$S55,R$49,"USD",100,N55/100,$C$20,VLOOKUP(R$49,$B$20:$C$27,2,FALSE))</f>
        <v>XPD_9m¬1</v>
      </c>
      <c r="S55" s="1" cm="1">
        <f t="array" aca="1" ref="S55" ca="1">_xll.QDates_AddPeriod(MetalSpotDate,B55,"MF","NYC+LON")</f>
        <v>44243</v>
      </c>
    </row>
    <row r="56" spans="1:19" x14ac:dyDescent="0.25">
      <c r="B56" s="9" t="s">
        <v>33</v>
      </c>
      <c r="C56">
        <f>_xll.BDP(C$49&amp;"SR"&amp;$B56&amp;" TPMT Curncy","PX_LAST")</f>
        <v>0.47</v>
      </c>
      <c r="D56">
        <f>_xll.BDP(D$49&amp;"SR"&amp;$B56&amp;" TPMT Curncy","PX_LAST")</f>
        <v>0.88</v>
      </c>
      <c r="E56">
        <f>_xll.BDP(E$49&amp;"SR"&amp;$B56&amp;" TPMT Curncy","PX_LAST")</f>
        <v>-1</v>
      </c>
      <c r="F56">
        <f>_xll.BDP(F$49&amp;"SR"&amp;$B56&amp;" TPMT Curncy","PX_LAST")</f>
        <v>-0.5</v>
      </c>
      <c r="G56" s="6"/>
      <c r="H56" s="6"/>
      <c r="I56" s="6"/>
      <c r="J56" s="6"/>
      <c r="K56" s="14">
        <f ca="1"/>
        <v>0.47</v>
      </c>
      <c r="L56" s="14">
        <f ca="1"/>
        <v>0.88</v>
      </c>
      <c r="M56" s="14">
        <f ca="1"/>
        <v>-1</v>
      </c>
      <c r="N56" s="14">
        <f ca="1"/>
        <v>-0.5</v>
      </c>
      <c r="O56" t="str" cm="1">
        <f t="array" aca="1" ref="O56" ca="1">_xll.QIns_CreateContangoSwap(O$49&amp;"_"&amp;$B56,MetalSpotDate,$S56,O$49,"USD",100,K56/100,$C$20,VLOOKUP(O$49,$B$20:$C$27,2,FALSE))</f>
        <v>XAU_12m¬1</v>
      </c>
      <c r="P56" t="str" cm="1">
        <f t="array" aca="1" ref="P56" ca="1">_xll.QIns_CreateContangoSwap(P$49&amp;"_"&amp;$B56,MetalSpotDate,$S56,P$49,"USD",100,L56/100,$C$20,VLOOKUP(P$49,$B$20:$C$27,2,FALSE))</f>
        <v>XAG_12m¬1</v>
      </c>
      <c r="Q56" t="str" cm="1">
        <f t="array" aca="1" ref="Q56" ca="1">_xll.QIns_CreateContangoSwap(Q$49&amp;"_"&amp;$B56,MetalSpotDate,$S56,Q$49,"USD",100,M56/100,$C$20,VLOOKUP(Q$49,$B$20:$C$27,2,FALSE))</f>
        <v>XPT_12m¬1</v>
      </c>
      <c r="R56" t="str" cm="1">
        <f t="array" aca="1" ref="R56" ca="1">_xll.QIns_CreateContangoSwap(R$49&amp;"_"&amp;$B56,MetalSpotDate,$S56,R$49,"USD",100,N56/100,$C$20,VLOOKUP(R$49,$B$20:$C$27,2,FALSE))</f>
        <v>XPD_12m¬1</v>
      </c>
      <c r="S56" s="1" cm="1">
        <f t="array" aca="1" ref="S56" ca="1">_xll.QDates_AddPeriod(MetalSpotDate,B56,"MF","NYC+LON")</f>
        <v>44330</v>
      </c>
    </row>
    <row r="57" spans="1:19" x14ac:dyDescent="0.25">
      <c r="B57" s="9" t="s">
        <v>35</v>
      </c>
      <c r="C57">
        <f>_xll.BDP(C$49&amp;"SR"&amp;$B57&amp;" TPMT Curncy","PX_LAST")</f>
        <v>-0.08</v>
      </c>
      <c r="D57">
        <f>_xll.BDP(D$49&amp;"SR"&amp;$B57&amp;" TPMT Curncy","PX_LAST")</f>
        <v>0.75</v>
      </c>
      <c r="E57">
        <f>_xll.BDP(E$49&amp;"SR"&amp;$B57&amp;" TPMT Curncy","PX_LAST")</f>
        <v>-1.5</v>
      </c>
      <c r="F57">
        <f>_xll.BDP(F$49&amp;"SR"&amp;$B57&amp;" TPMT Curncy","PX_LAST")</f>
        <v>-0.75</v>
      </c>
      <c r="G57" s="6"/>
      <c r="H57" s="6"/>
      <c r="I57" s="6"/>
      <c r="J57" s="6"/>
      <c r="K57" s="14">
        <f ca="1"/>
        <v>-0.08</v>
      </c>
      <c r="L57" s="14">
        <f ca="1"/>
        <v>0.75</v>
      </c>
      <c r="M57" s="14">
        <f ca="1"/>
        <v>-1.5</v>
      </c>
      <c r="N57" s="14">
        <f ca="1"/>
        <v>-0.75</v>
      </c>
      <c r="O57" t="str" cm="1">
        <f t="array" aca="1" ref="O57" ca="1">_xll.QIns_CreateContangoSwap(O$49&amp;"_"&amp;$B57,MetalSpotDate,$S57,O$49,"USD",100,K57/100,$C$20,VLOOKUP(O$49,$B$20:$C$27,2,FALSE))</f>
        <v>XAU_2y¬1</v>
      </c>
      <c r="P57" t="str" cm="1">
        <f t="array" aca="1" ref="P57" ca="1">_xll.QIns_CreateContangoSwap(P$49&amp;"_"&amp;$B57,MetalSpotDate,$S57,P$49,"USD",100,L57/100,$C$20,VLOOKUP(P$49,$B$20:$C$27,2,FALSE))</f>
        <v>XAG_2y¬1</v>
      </c>
      <c r="Q57" t="str" cm="1">
        <f t="array" aca="1" ref="Q57" ca="1">_xll.QIns_CreateContangoSwap(Q$49&amp;"_"&amp;$B57,MetalSpotDate,$S57,Q$49,"USD",100,M57/100,$C$20,VLOOKUP(Q$49,$B$20:$C$27,2,FALSE))</f>
        <v>XPT_2y¬1</v>
      </c>
      <c r="R57" t="str" cm="1">
        <f t="array" aca="1" ref="R57" ca="1">_xll.QIns_CreateContangoSwap(R$49&amp;"_"&amp;$B57,MetalSpotDate,$S57,R$49,"USD",100,N57/100,$C$20,VLOOKUP(R$49,$B$20:$C$27,2,FALSE))</f>
        <v>XPD_2y¬1</v>
      </c>
      <c r="S57" s="1" cm="1">
        <f t="array" aca="1" ref="S57" ca="1">_xll.QDates_AddPeriod(MetalSpotDate,B57,"MF","NYC+LON")</f>
        <v>44697</v>
      </c>
    </row>
    <row r="58" spans="1:19" x14ac:dyDescent="0.25">
      <c r="B58" s="9" t="s">
        <v>36</v>
      </c>
      <c r="C58">
        <f>_xll.BDP(C$49&amp;"SR"&amp;$B58&amp;" TPMT Curncy","PX_LAST")</f>
        <v>-0.15</v>
      </c>
      <c r="D58">
        <f>_xll.BDP(D$49&amp;"SR"&amp;$B58&amp;" TPMT Curncy","PX_LAST")</f>
        <v>0.45</v>
      </c>
      <c r="E58" s="18">
        <f t="shared" ref="E58:F60" si="10">E57*D58/D57</f>
        <v>-0.9</v>
      </c>
      <c r="F58" s="18">
        <f t="shared" si="10"/>
        <v>-0.45</v>
      </c>
      <c r="G58" s="6"/>
      <c r="H58" s="6"/>
      <c r="I58" s="6"/>
      <c r="J58" s="6"/>
      <c r="K58" s="14">
        <f ca="1"/>
        <v>-0.15</v>
      </c>
      <c r="L58" s="14">
        <f ca="1"/>
        <v>0.45</v>
      </c>
      <c r="M58" s="14">
        <f ca="1"/>
        <v>-0.9</v>
      </c>
      <c r="N58" s="14">
        <f ca="1"/>
        <v>-0.45</v>
      </c>
      <c r="O58" t="str" cm="1">
        <f t="array" aca="1" ref="O58" ca="1">_xll.QIns_CreateContangoSwap(O$49&amp;"_"&amp;$B58,MetalSpotDate,$S58,O$49,"USD",100,K58/100,$C$20,VLOOKUP(O$49,$B$20:$C$27,2,FALSE))</f>
        <v>XAU_3y¬1</v>
      </c>
      <c r="P58" t="str" cm="1">
        <f t="array" aca="1" ref="P58" ca="1">_xll.QIns_CreateContangoSwap(P$49&amp;"_"&amp;$B58,MetalSpotDate,$S58,P$49,"USD",100,L58/100,$C$20,VLOOKUP(P$49,$B$20:$C$27,2,FALSE))</f>
        <v>XAG_3y¬1</v>
      </c>
      <c r="Q58" t="str" cm="1">
        <f t="array" aca="1" ref="Q58" ca="1">_xll.QIns_CreateContangoSwap(Q$49&amp;"_"&amp;$B58,MetalSpotDate,$S58,Q$49,"USD",100,M58/100,$C$20,VLOOKUP(Q$49,$B$20:$C$27,2,FALSE))</f>
        <v>XPT_3y¬1</v>
      </c>
      <c r="R58" t="str" cm="1">
        <f t="array" aca="1" ref="R58" ca="1">_xll.QIns_CreateContangoSwap(R$49&amp;"_"&amp;$B58,MetalSpotDate,$S58,R$49,"USD",100,N58/100,$C$20,VLOOKUP(R$49,$B$20:$C$27,2,FALSE))</f>
        <v>XPD_3y¬1</v>
      </c>
      <c r="S58" s="1" cm="1">
        <f t="array" aca="1" ref="S58" ca="1">_xll.QDates_AddPeriod(MetalSpotDate,B58,"MF","NYC+LON")</f>
        <v>45061</v>
      </c>
    </row>
    <row r="59" spans="1:19" x14ac:dyDescent="0.25">
      <c r="B59" s="9" t="s">
        <v>58</v>
      </c>
      <c r="C59">
        <f>_xll.BDP(C$49&amp;"SR"&amp;$B59&amp;" TPMT Curncy","PX_LAST")</f>
        <v>-0.3</v>
      </c>
      <c r="D59" s="18">
        <f>D58*C59/C58</f>
        <v>0.90000000000000013</v>
      </c>
      <c r="E59" s="18">
        <f t="shared" si="10"/>
        <v>-1.8000000000000003</v>
      </c>
      <c r="F59" s="18">
        <f t="shared" si="10"/>
        <v>-0.90000000000000013</v>
      </c>
      <c r="G59" s="6"/>
      <c r="H59" s="6"/>
      <c r="I59" s="6"/>
      <c r="J59" s="6"/>
      <c r="K59" s="14">
        <f ca="1"/>
        <v>-0.3</v>
      </c>
      <c r="L59" s="14">
        <f ca="1"/>
        <v>0.90000000000000013</v>
      </c>
      <c r="M59" s="14">
        <f ca="1"/>
        <v>-1.8000000000000003</v>
      </c>
      <c r="N59" s="14">
        <f ca="1"/>
        <v>-0.90000000000000013</v>
      </c>
      <c r="O59" t="str" cm="1">
        <f t="array" aca="1" ref="O59" ca="1">_xll.QIns_CreateContangoSwap(O$49&amp;"_"&amp;$B59,MetalSpotDate,$S59,O$49,"USD",100,K59/100,$C$20,VLOOKUP(O$49,$B$20:$C$27,2,FALSE))</f>
        <v>XAU_4y¬1</v>
      </c>
      <c r="P59" t="str" cm="1">
        <f t="array" aca="1" ref="P59" ca="1">_xll.QIns_CreateContangoSwap(P$49&amp;"_"&amp;$B59,MetalSpotDate,$S59,P$49,"USD",100,L59/100,$C$20,VLOOKUP(P$49,$B$20:$C$27,2,FALSE))</f>
        <v>XAG_4y¬1</v>
      </c>
      <c r="Q59" t="str" cm="1">
        <f t="array" aca="1" ref="Q59" ca="1">_xll.QIns_CreateContangoSwap(Q$49&amp;"_"&amp;$B59,MetalSpotDate,$S59,Q$49,"USD",100,M59/100,$C$20,VLOOKUP(Q$49,$B$20:$C$27,2,FALSE))</f>
        <v>XPT_4y¬1</v>
      </c>
      <c r="R59" t="str" cm="1">
        <f t="array" aca="1" ref="R59" ca="1">_xll.QIns_CreateContangoSwap(R$49&amp;"_"&amp;$B59,MetalSpotDate,$S59,R$49,"USD",100,N59/100,$C$20,VLOOKUP(R$49,$B$20:$C$27,2,FALSE))</f>
        <v>XPD_4y¬1</v>
      </c>
      <c r="S59" s="1" cm="1">
        <f t="array" aca="1" ref="S59" ca="1">_xll.QDates_AddPeriod(MetalSpotDate,B59,"MF","NYC+LON")</f>
        <v>45426</v>
      </c>
    </row>
    <row r="60" spans="1:19" x14ac:dyDescent="0.25">
      <c r="B60" s="9" t="s">
        <v>37</v>
      </c>
      <c r="C60">
        <f>_xll.BDP(C$49&amp;"SR"&amp;$B60&amp;" TPMT Curncy","PX_LAST")</f>
        <v>-0.4</v>
      </c>
      <c r="D60" s="18">
        <f>D59*C60/C59</f>
        <v>1.2000000000000004</v>
      </c>
      <c r="E60" s="18">
        <f t="shared" si="10"/>
        <v>-2.4000000000000008</v>
      </c>
      <c r="F60" s="18">
        <f t="shared" si="10"/>
        <v>-1.2000000000000004</v>
      </c>
      <c r="G60" s="6"/>
      <c r="H60" s="6"/>
      <c r="I60" s="6"/>
      <c r="J60" s="6"/>
      <c r="K60" s="14">
        <f ca="1"/>
        <v>-0.4</v>
      </c>
      <c r="L60" s="14">
        <f ca="1"/>
        <v>1.2000000000000004</v>
      </c>
      <c r="M60" s="14">
        <f ca="1"/>
        <v>-2.4000000000000008</v>
      </c>
      <c r="N60" s="14">
        <f ca="1"/>
        <v>-1.2000000000000004</v>
      </c>
      <c r="O60" t="str" cm="1">
        <f t="array" aca="1" ref="O60" ca="1">_xll.QIns_CreateContangoSwap(O$49&amp;"_"&amp;$B60,MetalSpotDate,$S60,O$49,"USD",100,K60/100,$C$20,VLOOKUP(O$49,$B$20:$C$27,2,FALSE))</f>
        <v>XAU_5y¬1</v>
      </c>
      <c r="P60" t="str" cm="1">
        <f t="array" aca="1" ref="P60" ca="1">_xll.QIns_CreateContangoSwap(P$49&amp;"_"&amp;$B60,MetalSpotDate,$S60,P$49,"USD",100,L60/100,$C$20,VLOOKUP(P$49,$B$20:$C$27,2,FALSE))</f>
        <v>XAG_5y¬1</v>
      </c>
      <c r="Q60" t="str" cm="1">
        <f t="array" aca="1" ref="Q60" ca="1">_xll.QIns_CreateContangoSwap(Q$49&amp;"_"&amp;$B60,MetalSpotDate,$S60,Q$49,"USD",100,M60/100,$C$20,VLOOKUP(Q$49,$B$20:$C$27,2,FALSE))</f>
        <v>XPT_5y¬1</v>
      </c>
      <c r="R60" t="str" cm="1">
        <f t="array" aca="1" ref="R60" ca="1">_xll.QIns_CreateContangoSwap(R$49&amp;"_"&amp;$B60,MetalSpotDate,$S60,R$49,"USD",100,N60/100,$C$20,VLOOKUP(R$49,$B$20:$C$27,2,FALSE))</f>
        <v>XPD_5y¬1</v>
      </c>
      <c r="S60" s="1" cm="1">
        <f t="array" aca="1" ref="S60" ca="1">_xll.QDates_AddPeriod(MetalSpotDate,B60,"MF","NYC+LON")</f>
        <v>45791</v>
      </c>
    </row>
    <row r="62" spans="1:19" x14ac:dyDescent="0.25">
      <c r="A62" s="3" t="s">
        <v>42</v>
      </c>
      <c r="B62" s="9" t="s">
        <v>50</v>
      </c>
      <c r="C62" s="1" cm="1">
        <f t="array" aca="1" ref="C62" ca="1">_xll.QDates_AddPeriod(valDate,"2b","F","NYC")</f>
        <v>43965</v>
      </c>
      <c r="G62" s="3" t="s">
        <v>61</v>
      </c>
      <c r="I62" t="s">
        <v>52</v>
      </c>
    </row>
    <row r="63" spans="1:19" x14ac:dyDescent="0.25">
      <c r="B63" s="12" t="s">
        <v>47</v>
      </c>
      <c r="C63" s="5" t="s">
        <v>15</v>
      </c>
      <c r="D63" s="4" t="s">
        <v>49</v>
      </c>
      <c r="E63" s="5" t="s">
        <v>48</v>
      </c>
      <c r="G63" s="5" t="s">
        <v>70</v>
      </c>
      <c r="H63" s="5" t="s">
        <v>62</v>
      </c>
      <c r="I63" s="5" t="s">
        <v>15</v>
      </c>
      <c r="J63" s="5" t="s">
        <v>49</v>
      </c>
      <c r="K63" s="5" t="s">
        <v>48</v>
      </c>
      <c r="L63" s="5"/>
    </row>
    <row r="64" spans="1:19" x14ac:dyDescent="0.25">
      <c r="B64" s="8" t="s">
        <v>24</v>
      </c>
      <c r="C64" s="16">
        <f>_xll.BDP("US00O/N Index","PX_LAST")/100</f>
        <v>6.1629999999999996E-4</v>
      </c>
      <c r="D64" s="19" cm="1">
        <f t="array" aca="1" ref="D64" ca="1">_xll.QDates_AddPeriod(valDate,"1b","F","NYC")</f>
        <v>43964</v>
      </c>
      <c r="E64" t="str" cm="1">
        <f t="array" aca="1" ref="E64" ca="1">_xll.QIns_CreateFixedRateLoanDepo("USD_Depo_"&amp;B64,valDate,D64,C64,"ACT360","USD",1000000,$C$20)</f>
        <v>USD_Depo_ON¬1</v>
      </c>
      <c r="G64" s="8" t="s">
        <v>24</v>
      </c>
      <c r="H64" t="s">
        <v>63</v>
      </c>
      <c r="I64" s="16">
        <f>_xll.BDP(H64&amp;" Curncy","PX_LAST")/100</f>
        <v>4.2480000000000004E-2</v>
      </c>
      <c r="J64" s="19" cm="1">
        <f t="array" aca="1" ref="J64" ca="1">_xll.QDates_AddPeriod(valDate,"1b","F","ZAR")</f>
        <v>43964</v>
      </c>
      <c r="K64" t="str" cm="1">
        <f t="array" aca="1" ref="K64" ca="1">_xll.QIns_CreateFixedRateLoanDepo("ZAR_Depo_"&amp;G64,valDate,J64,I64,"ACT365F","ZAR",1000000,$I$62)</f>
        <v>ZAR_Depo_ON¬1</v>
      </c>
    </row>
    <row r="65" spans="2:12" x14ac:dyDescent="0.25">
      <c r="B65" s="8" t="s">
        <v>43</v>
      </c>
      <c r="C65" s="16">
        <f>_xll.BDP("US000"&amp;B65&amp;" Index","PX_LAST")/100</f>
        <v>9.5500000000000001E-4</v>
      </c>
      <c r="D65" s="19" cm="1">
        <f t="array" aca="1" ref="D65" ca="1">_xll.QDates_AddPeriod(LiborSpot,B65,IF(RIGHT(B65,1)="W","F","MF"),"NYC")</f>
        <v>43972</v>
      </c>
      <c r="E65" t="str" cm="1">
        <f t="array" aca="1" ref="E65" ca="1">_xll.QIns_CreateFixedRateLoanDepo("USD_Depo_"&amp;B65,valDate,D65,C65,"ACT360","USD",1000000,$C$20)</f>
        <v>USD_Depo_1W¬1</v>
      </c>
      <c r="G65" s="8" t="s">
        <v>28</v>
      </c>
      <c r="H65" t="s">
        <v>64</v>
      </c>
      <c r="I65" s="16">
        <f>_xll.BDP(H65&amp;" Curncy","PX_LAST")/100</f>
        <v>4.4330000000000001E-2</v>
      </c>
      <c r="J65" s="19" cm="1">
        <f t="array" aca="1" ref="J65" ca="1">_xll.QDates_AddPeriod(valDate,G65,IF(RIGHT(G65,1)="W","F","MF"),"ZAR")</f>
        <v>43994</v>
      </c>
      <c r="K65" t="str" cm="1">
        <f t="array" aca="1" ref="K65" ca="1">_xll.QIns_CreateFixedRateLoanDepo("ZAR_Depo_"&amp;G65,valDate,J65,I65,"ACT365F","ZAR",1000000,$I$62)</f>
        <v>ZAR_Depo_1m¬1</v>
      </c>
    </row>
    <row r="66" spans="2:12" x14ac:dyDescent="0.25">
      <c r="B66" s="8" t="s">
        <v>44</v>
      </c>
      <c r="C66" s="16">
        <f>_xll.BDP("US000"&amp;B66&amp;" Index","PX_LAST")/100</f>
        <v>1.9088E-3</v>
      </c>
      <c r="D66" s="19" cm="1">
        <f t="array" aca="1" ref="D66" ca="1">_xll.QDates_AddPeriod(LiborSpot,B66,IF(RIGHT(B66,1)="W","F","MF"),"NYC")</f>
        <v>43997</v>
      </c>
      <c r="E66" t="str" cm="1">
        <f t="array" aca="1" ref="E66" ca="1">_xll.QIns_CreateFixedRateLoanDepo("USD_Depo_"&amp;B66,valDate,D66,C66,"ACT360","USD",1000000,$C$20)</f>
        <v>USD_Depo_1M¬1</v>
      </c>
      <c r="G66" s="8" t="s">
        <v>30</v>
      </c>
      <c r="H66" t="s">
        <v>65</v>
      </c>
      <c r="I66" s="16">
        <f>_xll.BDP(H66&amp;" Curncy","PX_LAST")/100</f>
        <v>4.5330000000000002E-2</v>
      </c>
      <c r="J66" s="19" cm="1">
        <f t="array" aca="1" ref="J66" ca="1">_xll.QDates_AddPeriod(valDate,G66,IF(RIGHT(G66,1)="W","F","MF"),"ZAR")</f>
        <v>44055</v>
      </c>
      <c r="K66" t="str" cm="1">
        <f t="array" aca="1" ref="K66" ca="1">_xll.QIns_CreateFixedRateLoanDepo("ZAR_Depo_"&amp;G66,valDate,J66,I66,"ACT365F","ZAR",1000000,$I$62)</f>
        <v>ZAR_Depo_3m¬1</v>
      </c>
    </row>
    <row r="67" spans="2:12" x14ac:dyDescent="0.25">
      <c r="B67" s="8" t="s">
        <v>45</v>
      </c>
      <c r="C67" s="16">
        <f>_xll.BDP("US000"&amp;B67&amp;" Index","PX_LAST")/100</f>
        <v>3.3912999999999999E-3</v>
      </c>
      <c r="D67" s="19" cm="1">
        <f t="array" aca="1" ref="D67" ca="1">_xll.QDates_AddPeriod(LiborSpot,B67,IF(RIGHT(B67,1)="W","F","MF"),"NYC")</f>
        <v>44026</v>
      </c>
      <c r="E67" t="str" cm="1">
        <f t="array" aca="1" ref="E67" ca="1">_xll.QIns_CreateFixedRateLoanDepo("USD_Depo_"&amp;B67,valDate,D67,C67,"ACT360","USD",1000000,$C$20)</f>
        <v>USD_Depo_2M¬1</v>
      </c>
      <c r="G67" s="8" t="s">
        <v>68</v>
      </c>
      <c r="H67" t="s">
        <v>66</v>
      </c>
      <c r="I67" s="16">
        <f>_xll.BDP(H67&amp;" Curncy","PX_LAST")/100</f>
        <v>3.5900000000000001E-2</v>
      </c>
      <c r="J67" s="19"/>
      <c r="K67" t="str" cm="1">
        <f t="array" aca="1" ref="K67" ca="1">_xll.QIns_CreateFRA("ZAR_FRA_"&amp;G67,valDate,G67,$F$22,"ZAR",I67,1000000,$I$62,$I$62)</f>
        <v>ZAR_FRA_3x6¬1</v>
      </c>
    </row>
    <row r="68" spans="2:12" x14ac:dyDescent="0.25">
      <c r="B68" s="8" t="s">
        <v>46</v>
      </c>
      <c r="C68" s="16">
        <f>_xll.BDP("US000"&amp;B68&amp;" Index","PX_LAST")/100</f>
        <v>4.3350000000000003E-3</v>
      </c>
      <c r="D68" s="19" cm="1">
        <f t="array" aca="1" ref="D68" ca="1">_xll.QDates_AddPeriod(LiborSpot,B68,IF(RIGHT(B68,1)="W","F","MF"),"NYC")</f>
        <v>44057</v>
      </c>
      <c r="E68" t="str" cm="1">
        <f t="array" aca="1" ref="E68" ca="1">_xll.QIns_CreateFixedRateLoanDepo("USD_Depo_"&amp;B68,valDate,D68,C68,"ACT360","USD",1000000,$C$20)</f>
        <v>USD_Depo_3M¬1</v>
      </c>
      <c r="G68" s="8" t="s">
        <v>69</v>
      </c>
      <c r="H68" t="s">
        <v>67</v>
      </c>
      <c r="I68" s="16">
        <f>_xll.BDP(H68&amp;" Curncy","PX_LAST")/100</f>
        <v>3.5750000000000004E-2</v>
      </c>
      <c r="J68" s="19"/>
      <c r="K68" t="str" cm="1">
        <f t="array" aca="1" ref="K68" ca="1">_xll.QIns_CreateFRA("ZAR_FRA_"&amp;G68,valDate,G68,$F$22,"ZAR",I68,1000000,$I$62,$I$62)</f>
        <v>ZAR_FRA_6x9¬1</v>
      </c>
    </row>
    <row r="69" spans="2:12" x14ac:dyDescent="0.25">
      <c r="G69" s="8" t="s">
        <v>71</v>
      </c>
      <c r="H69" t="str">
        <f>"SASW"&amp;LEFT(G69,1)</f>
        <v>SASW1</v>
      </c>
      <c r="I69" s="16">
        <f>_xll.BDP(H69&amp;" Curncy","PX_LAST")/100</f>
        <v>3.85E-2</v>
      </c>
      <c r="K69" t="str" cm="1">
        <f t="array" aca="1" ref="K69" ca="1">_xll.QIns_CreateIRS("ZAR_IRS_"&amp;G69,valDate,G69,$F$22,I69,1000000,$I$62,$I$62)</f>
        <v>ZAR_IRS_1y¬1</v>
      </c>
    </row>
    <row r="70" spans="2:12" x14ac:dyDescent="0.25">
      <c r="B70" s="5" t="s">
        <v>51</v>
      </c>
      <c r="C70" s="5" t="s">
        <v>15</v>
      </c>
      <c r="E70" s="5" t="s">
        <v>48</v>
      </c>
      <c r="G70" s="8" t="s">
        <v>35</v>
      </c>
      <c r="H70" t="str">
        <f>"SASW"&amp;LEFT(G70,1)</f>
        <v>SASW2</v>
      </c>
      <c r="I70" s="16">
        <f>_xll.BDP(H70&amp;" Curncy","PX_LAST")/100</f>
        <v>4.1599999999999998E-2</v>
      </c>
      <c r="K70" t="str" cm="1">
        <f t="array" aca="1" ref="K70" ca="1">_xll.QIns_CreateIRS("ZAR_IRS_"&amp;G70,valDate,G70,$F$22,I70,1000000,$I$62,$I$62)</f>
        <v>ZAR_IRS_2y¬1</v>
      </c>
    </row>
    <row r="71" spans="2:12" x14ac:dyDescent="0.25">
      <c r="B71" s="8" t="str" cm="1">
        <f t="array" aca="1" ref="B71" ca="1">_xll.QDates_FuturesGetFrontMonth(valDate+7,"ED",FALSE)</f>
        <v>EDM0</v>
      </c>
      <c r="C71" s="17">
        <f ca="1">_xll.BDP(B71&amp;" Comdty","PX_LAST")</f>
        <v>99.66</v>
      </c>
      <c r="E71" s="8" t="str">
        <f ca="1">_xll.QIns_CreateSTIRFromCode(B71,valDate,B71,$F$21,C71,1,0,$C$20,$C$20)</f>
        <v>EDM0¬1</v>
      </c>
      <c r="G71" s="8" t="s">
        <v>36</v>
      </c>
      <c r="H71" t="str">
        <f>"SASW"&amp;LEFT(G71,1)</f>
        <v>SASW3</v>
      </c>
      <c r="I71" s="16">
        <f>_xll.BDP(H71&amp;" Curncy","PX_LAST")/100</f>
        <v>4.5650000000000003E-2</v>
      </c>
      <c r="K71" t="str" cm="1">
        <f t="array" aca="1" ref="K71" ca="1">_xll.QIns_CreateIRS("ZAR_IRS_"&amp;G71,valDate,G71,$F$22,I71,1000000,$I$62,$I$62)</f>
        <v>ZAR_IRS_3y¬1</v>
      </c>
    </row>
    <row r="72" spans="2:12" x14ac:dyDescent="0.25">
      <c r="B72" s="8" t="str" cm="1">
        <f t="array" aca="1" ref="B72" ca="1">_xll.QDates_FuturesNextCode(B71)</f>
        <v>EDU0</v>
      </c>
      <c r="C72" s="17">
        <f ca="1">_xll.BDP(B72&amp;" Comdty","PX_LAST")</f>
        <v>99.710000000000008</v>
      </c>
      <c r="E72" s="8" t="str">
        <f ca="1">_xll.QIns_CreateSTIRFromCode(B72,valDate,B72,$F$21,C72,1,0,$C$20,$C$20)</f>
        <v>EDU0¬1</v>
      </c>
      <c r="G72" s="8" t="s">
        <v>58</v>
      </c>
      <c r="H72" t="str">
        <f>"SASW"&amp;LEFT(G72,1)</f>
        <v>SASW4</v>
      </c>
      <c r="I72" s="16">
        <f>_xll.BDP(H72&amp;" Curncy","PX_LAST")/100</f>
        <v>5.0450000000000002E-2</v>
      </c>
      <c r="K72" t="str" cm="1">
        <f t="array" aca="1" ref="K72" ca="1">_xll.QIns_CreateIRS("ZAR_IRS_"&amp;G72,valDate,G72,$F$22,I72,1000000,$I$62,$I$62)</f>
        <v>ZAR_IRS_4y¬1</v>
      </c>
    </row>
    <row r="73" spans="2:12" x14ac:dyDescent="0.25">
      <c r="B73" s="8" t="str" cm="1">
        <f t="array" aca="1" ref="B73" ca="1">_xll.QDates_FuturesNextCode(B72)</f>
        <v>EDZ0</v>
      </c>
      <c r="C73" s="17">
        <f ca="1">_xll.BDP(B73&amp;" Comdty","PX_LAST")</f>
        <v>99.704999999999998</v>
      </c>
      <c r="E73" s="8" t="str">
        <f ca="1">_xll.QIns_CreateSTIRFromCode(B73,valDate,B73,$F$21,C73,1,0,$C$20,$C$20)</f>
        <v>EDZ0¬1</v>
      </c>
      <c r="G73" s="8" t="s">
        <v>37</v>
      </c>
      <c r="H73" t="str">
        <f>"SASW"&amp;LEFT(G73,1)</f>
        <v>SASW5</v>
      </c>
      <c r="I73" s="16">
        <f>_xll.BDP(H73&amp;" Curncy","PX_LAST")/100</f>
        <v>5.57E-2</v>
      </c>
      <c r="K73" t="str" cm="1">
        <f t="array" aca="1" ref="K73" ca="1">_xll.QIns_CreateIRS("ZAR_IRS_"&amp;G73,valDate,G73,$F$22,I73,1000000,$I$62,$I$62)</f>
        <v>ZAR_IRS_5y¬1</v>
      </c>
    </row>
    <row r="74" spans="2:12" x14ac:dyDescent="0.25">
      <c r="B74" s="8" t="str" cm="1">
        <f t="array" aca="1" ref="B74" ca="1">_xll.QDates_FuturesNextCode(B73)</f>
        <v>EDH1</v>
      </c>
      <c r="C74" s="17">
        <f ca="1">_xll.BDP(B74&amp;" Comdty","PX_LAST")</f>
        <v>99.79</v>
      </c>
      <c r="E74" s="8" t="str">
        <f ca="1">_xll.QIns_CreateSTIRFromCode(B74,valDate,B74,$F$21,C74,1,0,$C$20,$C$20)</f>
        <v>EDH1¬1</v>
      </c>
    </row>
    <row r="75" spans="2:12" x14ac:dyDescent="0.25">
      <c r="B75" s="8" t="str" cm="1">
        <f t="array" aca="1" ref="B75" ca="1">_xll.QDates_FuturesNextCode(B74)</f>
        <v>EDM1</v>
      </c>
      <c r="C75" s="17">
        <f ca="1">_xll.BDP(B75&amp;" Comdty","PX_LAST")</f>
        <v>99.805000000000007</v>
      </c>
      <c r="E75" s="8" t="str">
        <f ca="1">_xll.QIns_CreateSTIRFromCode(B75,valDate,B75,$F$21,C75,1,0,$C$20,$C$20)</f>
        <v>EDM1¬1</v>
      </c>
      <c r="G75" s="20" t="s">
        <v>72</v>
      </c>
      <c r="H75" t="s">
        <v>75</v>
      </c>
    </row>
    <row r="76" spans="2:12" x14ac:dyDescent="0.25">
      <c r="B76" s="8" t="str" cm="1">
        <f t="array" aca="1" ref="B76" ca="1">_xll.QDates_FuturesNextCode(B75)</f>
        <v>EDU1</v>
      </c>
      <c r="C76" s="17">
        <f ca="1">_xll.BDP(B76&amp;" Comdty","PX_LAST")</f>
        <v>99.81</v>
      </c>
      <c r="E76" s="8" t="str">
        <f ca="1">_xll.QIns_CreateSTIRFromCode(B76,valDate,B76,$F$21,C76,1,0,$C$20,$C$20)</f>
        <v>EDU1¬1</v>
      </c>
      <c r="I76" t="s">
        <v>77</v>
      </c>
    </row>
    <row r="77" spans="2:12" x14ac:dyDescent="0.25">
      <c r="B77" s="8" t="str" cm="1">
        <f t="array" aca="1" ref="B77" ca="1">_xll.QDates_FuturesNextCode(B76)</f>
        <v>EDZ1</v>
      </c>
      <c r="C77" s="17">
        <f ca="1">_xll.BDP(B77&amp;" Comdty","PX_LAST")</f>
        <v>99.795000000000002</v>
      </c>
      <c r="E77" s="8" t="str">
        <f ca="1">_xll.QIns_CreateSTIRFromCode(B77,valDate,B77,$F$21,C77,1,0,$C$20,$C$20)</f>
        <v>EDZ1¬1</v>
      </c>
      <c r="G77" s="8" t="s">
        <v>70</v>
      </c>
      <c r="H77" t="s">
        <v>74</v>
      </c>
      <c r="I77" t="s">
        <v>76</v>
      </c>
      <c r="J77" t="s">
        <v>16</v>
      </c>
      <c r="K77" t="s">
        <v>17</v>
      </c>
      <c r="L77" t="s">
        <v>48</v>
      </c>
    </row>
    <row r="78" spans="2:12" x14ac:dyDescent="0.25">
      <c r="B78" s="8" t="str" cm="1">
        <f t="array" aca="1" ref="B78" ca="1">_xll.QDates_FuturesNextCode(B77)</f>
        <v>EDH2</v>
      </c>
      <c r="C78" s="17">
        <f ca="1">_xll.BDP(B78&amp;" Comdty","PX_LAST")</f>
        <v>99.79</v>
      </c>
      <c r="E78" s="8" t="str">
        <f ca="1">_xll.QIns_CreateSTIRFromCode(B78,valDate,B78,$F$21,C78,1,0,$C$20,$C$20)</f>
        <v>EDH2¬1</v>
      </c>
      <c r="G78" s="8" t="s">
        <v>28</v>
      </c>
      <c r="H78" t="str">
        <f ca="1">_xll.QUtils_Replace($H$75,"&lt;Tenor&gt;",UPPER(G78))</f>
        <v>Swap.ZAR.1M.FUNDING.3M/JIBAR-SAFEX.3M.BBA</v>
      </c>
      <c r="I78" t="e">
        <f ca="1">I79</f>
        <v>#NAME?</v>
      </c>
      <c r="J78">
        <v>0</v>
      </c>
      <c r="K78" t="e">
        <f t="array" aca="1" ref="K78:K86" ca="1">_xll.QCurves_BendCurve(I78:I86,J78:J86)</f>
        <v>#VALUE!</v>
      </c>
      <c r="L78" t="e" cm="1">
        <f t="array" aca="1" ref="L78" ca="1">_xll.QIns_CreateFloatingDepo("ZAR_Fl_"&amp;G78,valDate,G78,$F$22,K78,1000000,$I$62,$I$76,,$I$76)</f>
        <v>#VALUE!</v>
      </c>
    </row>
    <row r="79" spans="2:12" x14ac:dyDescent="0.25">
      <c r="B79" s="8" t="str" cm="1">
        <f t="array" aca="1" ref="B79" ca="1">_xll.QDates_FuturesNextCode(B78)</f>
        <v>EDM2</v>
      </c>
      <c r="C79" s="17">
        <f ca="1">_xll.BDP(B79&amp;" Comdty","PX_LAST")</f>
        <v>99.76</v>
      </c>
      <c r="E79" s="8" t="str">
        <f ca="1">_xll.QIns_CreateSTIRFromCode(B79,valDate,B79,$F$21,C79,1,0,$C$20,$C$20)</f>
        <v>EDM2¬1</v>
      </c>
      <c r="G79" s="8" t="s">
        <v>30</v>
      </c>
      <c r="H79" t="str">
        <f ca="1">_xll.QUtils_Replace($H$75,"&lt;Tenor&gt;",UPPER(G79))</f>
        <v>Swap.ZAR.3M.FUNDING.3M/JIBAR-SAFEX.3M.BBA</v>
      </c>
      <c r="I79" t="e">
        <f ca="1">frGetQuote("Calypso",H79,"Close")</f>
        <v>#NAME?</v>
      </c>
      <c r="K79" t="e">
        <f ca="1"/>
        <v>#VALUE!</v>
      </c>
      <c r="L79" t="e" cm="1">
        <f t="array" aca="1" ref="L79" ca="1">_xll.QIns_CreateFloatingDepo("ZAR_Fl_"&amp;G79,valDate,G79,$F$22,K79,1000000,$I$62,$I$76,,$I$76)</f>
        <v>#VALUE!</v>
      </c>
    </row>
    <row r="80" spans="2:12" x14ac:dyDescent="0.25">
      <c r="B80" s="8" t="str" cm="1">
        <f t="array" aca="1" ref="B80" ca="1">_xll.QDates_FuturesNextCode(B79)</f>
        <v>EDU2</v>
      </c>
      <c r="C80" s="17">
        <f ca="1">_xll.BDP(B80&amp;" Comdty","PX_LAST")</f>
        <v>99.734999999999999</v>
      </c>
      <c r="E80" s="8" t="str">
        <f ca="1">_xll.QIns_CreateSTIRFromCode(B80,valDate,B80,$F$21,C80,1,0,$C$20,$C$20)</f>
        <v>EDU2¬1</v>
      </c>
      <c r="G80" s="8" t="s">
        <v>31</v>
      </c>
      <c r="H80" t="str">
        <f ca="1">_xll.QUtils_Replace($H$75,"&lt;Tenor&gt;",UPPER(G80))</f>
        <v>Swap.ZAR.6M.FUNDING.3M/JIBAR-SAFEX.3M.BBA</v>
      </c>
      <c r="I80" t="e">
        <f t="shared" ref="I80:I86" ca="1" si="11">frGetQuote("Calypso",H80,"Close")</f>
        <v>#NAME?</v>
      </c>
      <c r="K80" t="e">
        <f ca="1"/>
        <v>#VALUE!</v>
      </c>
      <c r="L80" t="e" cm="1">
        <f t="array" aca="1" ref="L80" ca="1">_xll.QIns_CreateFloatingDepo("ZAR_Fl_"&amp;G80,valDate,G80,$F$22,K80,1000000,$I$62,$I$76,,$I$76)</f>
        <v>#VALUE!</v>
      </c>
    </row>
    <row r="81" spans="1:13" x14ac:dyDescent="0.25">
      <c r="B81" s="8" t="str" cm="1">
        <f t="array" aca="1" ref="B81" ca="1">_xll.QDates_FuturesNextCode(B80)</f>
        <v>EDZ2</v>
      </c>
      <c r="C81" s="17">
        <f ca="1">_xll.BDP(B81&amp;" Comdty","PX_LAST")</f>
        <v>99.685000000000002</v>
      </c>
      <c r="E81" s="8" t="str">
        <f ca="1">_xll.QIns_CreateSTIRFromCode(B81,valDate,B81,$F$21,C81,1,0,$C$20,$C$20)</f>
        <v>EDZ2¬1</v>
      </c>
      <c r="G81" s="8" t="s">
        <v>32</v>
      </c>
      <c r="H81" t="str">
        <f ca="1">_xll.QUtils_Replace($H$75,"&lt;Tenor&gt;",UPPER(G81))</f>
        <v>Swap.ZAR.9M.FUNDING.3M/JIBAR-SAFEX.3M.BBA</v>
      </c>
      <c r="I81" t="e">
        <f t="shared" ca="1" si="11"/>
        <v>#NAME?</v>
      </c>
      <c r="K81" t="e">
        <f ca="1"/>
        <v>#VALUE!</v>
      </c>
      <c r="L81" t="e" cm="1">
        <f t="array" aca="1" ref="L81" ca="1">_xll.QIns_CreateFloatingDepo("ZAR_Fl_"&amp;G81,valDate,G81,$F$22,K81,1000000,$I$62,$I$76,,$I$76)</f>
        <v>#VALUE!</v>
      </c>
    </row>
    <row r="82" spans="1:13" x14ac:dyDescent="0.25">
      <c r="B82" s="8" t="str" cm="1">
        <f t="array" aca="1" ref="B82" ca="1">_xll.QDates_FuturesNextCode(B81)</f>
        <v>EDH3</v>
      </c>
      <c r="C82" s="17">
        <f ca="1">_xll.BDP(B82&amp;" Comdty","PX_LAST")</f>
        <v>99.655000000000001</v>
      </c>
      <c r="E82" s="8" t="str">
        <f ca="1">_xll.QIns_CreateSTIRFromCode(B82,valDate,B82,$F$21,C82,1,0,$C$20,$C$20)</f>
        <v>EDH3¬1</v>
      </c>
      <c r="G82" s="8" t="s">
        <v>71</v>
      </c>
      <c r="H82" t="str">
        <f ca="1">_xll.QUtils_Replace($H$75,"&lt;Tenor&gt;",UPPER(G82))</f>
        <v>Swap.ZAR.1Y.FUNDING.3M/JIBAR-SAFEX.3M.BBA</v>
      </c>
      <c r="I82" t="e">
        <f t="shared" ca="1" si="11"/>
        <v>#NAME?</v>
      </c>
      <c r="K82" t="e">
        <f ca="1"/>
        <v>#VALUE!</v>
      </c>
      <c r="L82" t="e" cm="1">
        <f t="array" aca="1" ref="L82" ca="1">_xll.QIns_CreateFloatingDepo("ZAR_Fl_"&amp;G82,valDate,G82,$F$22,K82,1000000,$I$62,$I$76,,$I$76)</f>
        <v>#VALUE!</v>
      </c>
    </row>
    <row r="83" spans="1:13" x14ac:dyDescent="0.25">
      <c r="B83" s="8" t="str" cm="1">
        <f t="array" aca="1" ref="B83" ca="1">_xll.QDates_FuturesNextCode(B82)</f>
        <v>EDM3</v>
      </c>
      <c r="C83" s="17">
        <f ca="1">_xll.BDP(B83&amp;" Comdty","PX_LAST")</f>
        <v>99.62</v>
      </c>
      <c r="E83" s="8" t="str">
        <f ca="1">_xll.QIns_CreateSTIRFromCode(B83,valDate,B83,$F$21,C83,1,0,$C$20,$C$20)</f>
        <v>EDM3¬1</v>
      </c>
      <c r="G83" s="8" t="s">
        <v>35</v>
      </c>
      <c r="H83" t="str">
        <f ca="1">_xll.QUtils_Replace($H$75,"&lt;Tenor&gt;",UPPER(G83))</f>
        <v>Swap.ZAR.2Y.FUNDING.3M/JIBAR-SAFEX.3M.BBA</v>
      </c>
      <c r="I83" t="e">
        <f t="shared" ca="1" si="11"/>
        <v>#NAME?</v>
      </c>
      <c r="K83" t="e">
        <f ca="1"/>
        <v>#VALUE!</v>
      </c>
      <c r="L83" t="e" cm="1">
        <f t="array" aca="1" ref="L83" ca="1">_xll.QIns_CreateFloatingDepo("ZAR_Fl_"&amp;G83,valDate,G83,$F$22,K83,1000000,$I$62,$I$76,,$I$76)</f>
        <v>#VALUE!</v>
      </c>
    </row>
    <row r="84" spans="1:13" x14ac:dyDescent="0.25">
      <c r="B84" s="8" t="str" cm="1">
        <f t="array" aca="1" ref="B84" ca="1">_xll.QDates_FuturesNextCode(B83)</f>
        <v>EDU3</v>
      </c>
      <c r="C84" s="17">
        <f ca="1">_xll.BDP(B84&amp;" Comdty","PX_LAST")</f>
        <v>99.58</v>
      </c>
      <c r="E84" s="8" t="str">
        <f ca="1">_xll.QIns_CreateSTIRFromCode(B84,valDate,B84,$F$21,C84,1,0,$C$20,$C$20)</f>
        <v>EDU3¬1</v>
      </c>
      <c r="G84" s="8" t="s">
        <v>36</v>
      </c>
      <c r="H84" t="str">
        <f ca="1">_xll.QUtils_Replace($H$75,"&lt;Tenor&gt;",UPPER(G84))</f>
        <v>Swap.ZAR.3Y.FUNDING.3M/JIBAR-SAFEX.3M.BBA</v>
      </c>
      <c r="I84" t="e">
        <f t="shared" ca="1" si="11"/>
        <v>#NAME?</v>
      </c>
      <c r="K84" t="e">
        <f ca="1"/>
        <v>#VALUE!</v>
      </c>
      <c r="L84" t="e" cm="1">
        <f t="array" aca="1" ref="L84" ca="1">_xll.QIns_CreateFloatingDepo("ZAR_Fl_"&amp;G84,valDate,G84,$F$22,K84,1000000,$I$62,$I$76,,$I$76)</f>
        <v>#VALUE!</v>
      </c>
    </row>
    <row r="85" spans="1:13" x14ac:dyDescent="0.25">
      <c r="B85" s="8" t="str" cm="1">
        <f t="array" aca="1" ref="B85" ca="1">_xll.QDates_FuturesNextCode(B84)</f>
        <v>EDZ3</v>
      </c>
      <c r="C85" s="17">
        <f ca="1">_xll.BDP(B85&amp;" Comdty","PX_LAST")</f>
        <v>99.525000000000006</v>
      </c>
      <c r="E85" s="8" t="str">
        <f ca="1">_xll.QIns_CreateSTIRFromCode(B85,valDate,B85,$F$21,C85,1,0,$C$20,$C$20)</f>
        <v>EDZ3¬1</v>
      </c>
      <c r="G85" s="8" t="s">
        <v>37</v>
      </c>
      <c r="H85" t="str">
        <f ca="1">_xll.QUtils_Replace($H$75,"&lt;Tenor&gt;",UPPER(G85))</f>
        <v>Swap.ZAR.5Y.FUNDING.3M/JIBAR-SAFEX.3M.BBA</v>
      </c>
      <c r="I85" t="e">
        <f t="shared" ca="1" si="11"/>
        <v>#NAME?</v>
      </c>
      <c r="K85" t="e">
        <f ca="1"/>
        <v>#VALUE!</v>
      </c>
      <c r="L85" t="e" cm="1">
        <f t="array" aca="1" ref="L85" ca="1">_xll.QIns_CreateFloatingDepo("ZAR_Fl_"&amp;G85,valDate,G85,$F$22,K85,1000000,$I$62,$I$76,,$I$76)</f>
        <v>#VALUE!</v>
      </c>
    </row>
    <row r="86" spans="1:13" x14ac:dyDescent="0.25">
      <c r="B86" s="8" t="str" cm="1">
        <f t="array" aca="1" ref="B86" ca="1">_xll.QDates_FuturesNextCode(B85)</f>
        <v>EDH4</v>
      </c>
      <c r="C86" s="17">
        <f ca="1">_xll.BDP(B86&amp;" Comdty","PX_LAST")</f>
        <v>99.484999999999999</v>
      </c>
      <c r="E86" s="8" t="str">
        <f ca="1">_xll.QIns_CreateSTIRFromCode(B86,valDate,B86,$F$21,C86,1,0,$C$20,$C$20)</f>
        <v>EDH4¬1</v>
      </c>
      <c r="G86" s="8" t="s">
        <v>73</v>
      </c>
      <c r="H86" t="str">
        <f ca="1">_xll.QUtils_Replace($H$75,"&lt;Tenor&gt;",UPPER(G86))</f>
        <v>Swap.ZAR.7Y.FUNDING.3M/JIBAR-SAFEX.3M.BBA</v>
      </c>
      <c r="I86" t="e">
        <f t="shared" ca="1" si="11"/>
        <v>#NAME?</v>
      </c>
      <c r="J86">
        <v>0</v>
      </c>
      <c r="K86" t="e">
        <f ca="1"/>
        <v>#VALUE!</v>
      </c>
      <c r="L86" t="e" cm="1">
        <f t="array" aca="1" ref="L86" ca="1">_xll.QIns_CreateFloatingDepo("ZAR_Fl_"&amp;G86,valDate,G86,$F$22,K86,1000000,$I$62,$I$76,,$I$76)</f>
        <v>#VALUE!</v>
      </c>
    </row>
    <row r="87" spans="1:13" x14ac:dyDescent="0.25">
      <c r="B87" s="8" t="str" cm="1">
        <f t="array" aca="1" ref="B87" ca="1">_xll.QDates_FuturesNextCode(B86)</f>
        <v>EDM4</v>
      </c>
      <c r="C87" s="17">
        <f ca="1">_xll.BDP(B87&amp;" Comdty","PX_LAST")</f>
        <v>99.435000000000002</v>
      </c>
      <c r="E87" s="8" t="str">
        <f ca="1">_xll.QIns_CreateSTIRFromCode(B87,valDate,B87,$F$21,C87,1,0,$C$20,$C$20)</f>
        <v>EDM4¬1</v>
      </c>
    </row>
    <row r="88" spans="1:13" x14ac:dyDescent="0.25">
      <c r="B88" s="8" t="str" cm="1">
        <f t="array" aca="1" ref="B88" ca="1">_xll.QDates_FuturesNextCode(B87)</f>
        <v>EDU4</v>
      </c>
      <c r="C88" s="17">
        <f ca="1">_xll.BDP(B88&amp;" Comdty","PX_LAST")</f>
        <v>99.385000000000005</v>
      </c>
      <c r="E88" s="8" t="str">
        <f ca="1">_xll.QIns_CreateSTIRFromCode(B88,valDate,B88,$F$21,C88,1,0,$C$20,$C$20)</f>
        <v>EDU4¬1</v>
      </c>
    </row>
    <row r="89" spans="1:13" x14ac:dyDescent="0.25">
      <c r="B89" s="8" t="str" cm="1">
        <f t="array" aca="1" ref="B89" ca="1">_xll.QDates_FuturesNextCode(B88)</f>
        <v>EDZ4</v>
      </c>
      <c r="C89" s="17">
        <f ca="1">_xll.BDP(B89&amp;" Comdty","PX_LAST")</f>
        <v>99.33</v>
      </c>
      <c r="E89" s="8" t="str">
        <f ca="1">_xll.QIns_CreateSTIRFromCode(B89,valDate,B89,$F$21,C89,1,0,$C$20,$C$20)</f>
        <v>EDZ4¬1</v>
      </c>
    </row>
    <row r="93" spans="1:13" x14ac:dyDescent="0.25">
      <c r="A93" s="3" t="s">
        <v>85</v>
      </c>
      <c r="C93" s="106" t="s">
        <v>15</v>
      </c>
      <c r="D93" s="106"/>
      <c r="E93" s="106"/>
      <c r="F93" s="106"/>
      <c r="G93" s="106"/>
      <c r="H93" s="106"/>
      <c r="I93" s="8" t="s">
        <v>92</v>
      </c>
      <c r="J93" s="31">
        <v>0.01</v>
      </c>
      <c r="K93" s="30" t="s">
        <v>93</v>
      </c>
      <c r="L93" s="31">
        <v>1</v>
      </c>
      <c r="M93" t="str" cm="1">
        <f t="array" aca="1" ref="M93" ca="1">_xll.QVol_CreateRiskyFlyVolSurface("fxVol_"&amp;C95,LEFT(C95,3)&amp;"/"&amp;RIGHT(C95,3),valDate,J95:K95,B96:B107,I96:I107,J96:K107,L96:M107,,,"Market",,,C96:C107,,"2b")</f>
        <v>fxVol_USDZAR¬1</v>
      </c>
    </row>
    <row r="94" spans="1:13" x14ac:dyDescent="0.25">
      <c r="C94" s="25" t="str">
        <f ca="1">VLOOKUP(C95,$H$21:$I$27,2,FALSE)</f>
        <v>USD/ZAR¬1</v>
      </c>
      <c r="D94" s="25"/>
      <c r="E94" s="29" t="s">
        <v>88</v>
      </c>
      <c r="F94" s="29" t="s">
        <v>88</v>
      </c>
      <c r="G94" s="29" t="s">
        <v>89</v>
      </c>
      <c r="H94" s="29" t="s">
        <v>89</v>
      </c>
      <c r="I94" s="25"/>
      <c r="J94" s="29" t="s">
        <v>88</v>
      </c>
      <c r="K94" s="29" t="s">
        <v>88</v>
      </c>
      <c r="L94" s="29" t="s">
        <v>89</v>
      </c>
      <c r="M94" s="29" t="s">
        <v>89</v>
      </c>
    </row>
    <row r="95" spans="1:13" ht="15.75" thickBot="1" x14ac:dyDescent="0.3">
      <c r="C95" s="26" t="s">
        <v>87</v>
      </c>
      <c r="D95" s="27" t="s">
        <v>86</v>
      </c>
      <c r="E95" s="28">
        <v>0.25</v>
      </c>
      <c r="F95" s="28">
        <v>0.1</v>
      </c>
      <c r="G95" s="28">
        <v>0.25</v>
      </c>
      <c r="H95" s="28">
        <v>0.1</v>
      </c>
      <c r="I95" s="27" t="s">
        <v>86</v>
      </c>
      <c r="J95" s="28">
        <v>0.25</v>
      </c>
      <c r="K95" s="28">
        <v>0.1</v>
      </c>
      <c r="L95" s="28">
        <v>0.25</v>
      </c>
      <c r="M95" s="28">
        <v>0.1</v>
      </c>
    </row>
    <row r="96" spans="1:13" x14ac:dyDescent="0.25">
      <c r="B96" s="1" cm="1">
        <f t="array" aca="1" ref="B96" ca="1">_xll.QDates_FxOptionExpiryFromTenor(valDate,$C$94,C96)</f>
        <v>43970</v>
      </c>
      <c r="C96" s="8" t="s">
        <v>26</v>
      </c>
      <c r="D96" s="16">
        <f ca="1">_xll.BDH($C$95&amp;"V"&amp;$C96&amp;" Curncy","PX_LAST",valDate,valDate)/100</f>
        <v>0.19329999999999997</v>
      </c>
      <c r="E96" s="16">
        <f ca="1">_xll.BDH($C$95&amp;E$95*100&amp;LEFT(E$94,1)&amp;$C96&amp;" Curncy","PX_LAST",valDate,valDate)/100</f>
        <v>3.5750000000000004E-2</v>
      </c>
      <c r="F96" s="16">
        <f ca="1">_xll.BDH($C$95&amp;F$95*100&amp;LEFT(F$94,1)&amp;$C96&amp;" Curncy","PX_LAST",valDate,valDate)/100</f>
        <v>6.2549999999999994E-2</v>
      </c>
      <c r="G96" s="16">
        <f ca="1">_xll.BDH($C$95&amp;G$95*100&amp;LEFT(G$94,1)&amp;$C96&amp;" Curncy","PX_LAST",valDate,valDate)/100</f>
        <v>9.7000000000000003E-3</v>
      </c>
      <c r="H96" s="16">
        <f ca="1">_xll.BDH($C$95&amp;H$95*100&amp;LEFT(H$94,1)&amp;$C96&amp;" Curncy","PX_LAST",valDate,valDate)/100</f>
        <v>3.04E-2</v>
      </c>
      <c r="I96" s="32">
        <f t="shared" ref="I96:I107" ca="1" si="12">D96+$J$93</f>
        <v>0.20329999999999998</v>
      </c>
      <c r="J96" s="32">
        <f t="shared" ref="J96:J107" ca="1" si="13">E96*$L$93</f>
        <v>3.5750000000000004E-2</v>
      </c>
      <c r="K96" s="32">
        <f t="shared" ref="K96:K107" ca="1" si="14">F96*$L$93</f>
        <v>6.2549999999999994E-2</v>
      </c>
      <c r="L96" s="32">
        <f t="shared" ref="L96:L107" ca="1" si="15">G96*$L$93</f>
        <v>9.7000000000000003E-3</v>
      </c>
      <c r="M96" s="32">
        <f t="shared" ref="M96:M107" ca="1" si="16">H96*$L$93</f>
        <v>3.04E-2</v>
      </c>
    </row>
    <row r="97" spans="2:13" x14ac:dyDescent="0.25">
      <c r="B97" s="1" cm="1">
        <f t="array" aca="1" ref="B97" ca="1">_xll.QDates_FxOptionExpiryFromTenor(valDate,$C$94,C97)</f>
        <v>43993</v>
      </c>
      <c r="C97" s="8" t="s">
        <v>28</v>
      </c>
      <c r="D97" s="16">
        <f ca="1">_xll.BDH($C$95&amp;"V"&amp;$C97&amp;" Curncy","PX_LAST",valDate,valDate)/100</f>
        <v>0.19034999999999999</v>
      </c>
      <c r="E97" s="16">
        <f ca="1">_xll.BDH($C$95&amp;E$95*100&amp;LEFT(E$94,1)&amp;$C97&amp;" Curncy","PX_LAST",valDate,valDate)/100</f>
        <v>4.2649999999999993E-2</v>
      </c>
      <c r="F97" s="16">
        <f ca="1">_xll.BDH($C$95&amp;F$95*100&amp;LEFT(F$94,1)&amp;$C97&amp;" Curncy","PX_LAST",valDate,valDate)/100</f>
        <v>7.7300000000000008E-2</v>
      </c>
      <c r="G97" s="16">
        <f ca="1">_xll.BDH($C$95&amp;G$95*100&amp;LEFT(G$94,1)&amp;$C97&amp;" Curncy","PX_LAST",valDate,valDate)/100</f>
        <v>9.7999999999999997E-3</v>
      </c>
      <c r="H97" s="16">
        <f ca="1">_xll.BDH($C$95&amp;H$95*100&amp;LEFT(H$94,1)&amp;$C97&amp;" Curncy","PX_LAST",valDate,valDate)/100</f>
        <v>2.9399999999999999E-2</v>
      </c>
      <c r="I97" s="32">
        <f t="shared" ca="1" si="12"/>
        <v>0.20035</v>
      </c>
      <c r="J97" s="32">
        <f t="shared" ca="1" si="13"/>
        <v>4.2649999999999993E-2</v>
      </c>
      <c r="K97" s="32">
        <f t="shared" ca="1" si="14"/>
        <v>7.7300000000000008E-2</v>
      </c>
      <c r="L97" s="32">
        <f t="shared" ca="1" si="15"/>
        <v>9.7999999999999997E-3</v>
      </c>
      <c r="M97" s="32">
        <f t="shared" ca="1" si="16"/>
        <v>2.9399999999999999E-2</v>
      </c>
    </row>
    <row r="98" spans="2:13" x14ac:dyDescent="0.25">
      <c r="B98" s="1" cm="1">
        <f t="array" aca="1" ref="B98" ca="1">_xll.QDates_FxOptionExpiryFromTenor(valDate,$C$94,C98)</f>
        <v>44022</v>
      </c>
      <c r="C98" s="8" t="s">
        <v>29</v>
      </c>
      <c r="D98" s="16">
        <f ca="1">_xll.BDH($C$95&amp;"V"&amp;$C98&amp;" Curncy","PX_LAST",valDate,valDate)/100</f>
        <v>0.18594999999999998</v>
      </c>
      <c r="E98" s="16">
        <f ca="1">_xll.BDH($C$95&amp;E$95*100&amp;LEFT(E$94,1)&amp;$C98&amp;" Curncy","PX_LAST",valDate,valDate)/100</f>
        <v>4.3400000000000001E-2</v>
      </c>
      <c r="F98" s="16">
        <f ca="1">_xll.BDH($C$95&amp;F$95*100&amp;LEFT(F$94,1)&amp;$C98&amp;" Curncy","PX_LAST",valDate,valDate)/100</f>
        <v>8.0149999999999999E-2</v>
      </c>
      <c r="G98" s="16">
        <f ca="1">_xll.BDH($C$95&amp;G$95*100&amp;LEFT(G$94,1)&amp;$C98&amp;" Curncy","PX_LAST",valDate,valDate)/100</f>
        <v>9.75E-3</v>
      </c>
      <c r="H98" s="16">
        <f ca="1">_xll.BDH($C$95&amp;H$95*100&amp;LEFT(H$94,1)&amp;$C98&amp;" Curncy","PX_LAST",valDate,valDate)/100</f>
        <v>2.895E-2</v>
      </c>
      <c r="I98" s="32">
        <f t="shared" ca="1" si="12"/>
        <v>0.19594999999999999</v>
      </c>
      <c r="J98" s="32">
        <f t="shared" ca="1" si="13"/>
        <v>4.3400000000000001E-2</v>
      </c>
      <c r="K98" s="32">
        <f t="shared" ca="1" si="14"/>
        <v>8.0149999999999999E-2</v>
      </c>
      <c r="L98" s="32">
        <f t="shared" ca="1" si="15"/>
        <v>9.75E-3</v>
      </c>
      <c r="M98" s="32">
        <f t="shared" ca="1" si="16"/>
        <v>2.895E-2</v>
      </c>
    </row>
    <row r="99" spans="2:13" x14ac:dyDescent="0.25">
      <c r="B99" s="1" cm="1">
        <f t="array" aca="1" ref="B99" ca="1">_xll.QDates_FxOptionExpiryFromTenor(valDate,$C$94,C99)</f>
        <v>44055</v>
      </c>
      <c r="C99" s="8" t="s">
        <v>30</v>
      </c>
      <c r="D99" s="16">
        <f ca="1">_xll.BDH($C$95&amp;"V"&amp;$C99&amp;" Curncy","PX_LAST",valDate,valDate)/100</f>
        <v>0.18210000000000001</v>
      </c>
      <c r="E99" s="16">
        <f ca="1">_xll.BDH($C$95&amp;E$95*100&amp;LEFT(E$94,1)&amp;$C99&amp;" Curncy","PX_LAST",valDate,valDate)/100</f>
        <v>4.4150000000000002E-2</v>
      </c>
      <c r="F99" s="16">
        <f ca="1">_xll.BDH($C$95&amp;F$95*100&amp;LEFT(F$94,1)&amp;$C99&amp;" Curncy","PX_LAST",valDate,valDate)/100</f>
        <v>8.3049999999999999E-2</v>
      </c>
      <c r="G99" s="16">
        <f ca="1">_xll.BDH($C$95&amp;G$95*100&amp;LEFT(G$94,1)&amp;$C99&amp;" Curncy","PX_LAST",valDate,valDate)/100</f>
        <v>9.7999999999999997E-3</v>
      </c>
      <c r="H99" s="16">
        <f ca="1">_xll.BDH($C$95&amp;H$95*100&amp;LEFT(H$94,1)&amp;$C99&amp;" Curncy","PX_LAST",valDate,valDate)/100</f>
        <v>2.8750000000000001E-2</v>
      </c>
      <c r="I99" s="32">
        <f t="shared" ca="1" si="12"/>
        <v>0.19210000000000002</v>
      </c>
      <c r="J99" s="32">
        <f t="shared" ca="1" si="13"/>
        <v>4.4150000000000002E-2</v>
      </c>
      <c r="K99" s="32">
        <f t="shared" ca="1" si="14"/>
        <v>8.3049999999999999E-2</v>
      </c>
      <c r="L99" s="32">
        <f t="shared" ca="1" si="15"/>
        <v>9.7999999999999997E-3</v>
      </c>
      <c r="M99" s="32">
        <f t="shared" ca="1" si="16"/>
        <v>2.8750000000000001E-2</v>
      </c>
    </row>
    <row r="100" spans="2:13" x14ac:dyDescent="0.25">
      <c r="B100" s="1" cm="1">
        <f t="array" aca="1" ref="B100" ca="1">_xll.QDates_FxOptionExpiryFromTenor(valDate,$C$94,C100)</f>
        <v>44147</v>
      </c>
      <c r="C100" s="8" t="s">
        <v>31</v>
      </c>
      <c r="D100" s="16">
        <f ca="1">_xll.BDH($C$95&amp;"V"&amp;$C100&amp;" Curncy","PX_LAST",valDate,valDate)/100</f>
        <v>0.17780000000000001</v>
      </c>
      <c r="E100" s="16">
        <f ca="1">_xll.BDH($C$95&amp;E$95*100&amp;LEFT(E$94,1)&amp;$C100&amp;" Curncy","PX_LAST",valDate,valDate)/100</f>
        <v>4.4999999999999998E-2</v>
      </c>
      <c r="F100" s="16">
        <f ca="1">_xll.BDH($C$95&amp;F$95*100&amp;LEFT(F$94,1)&amp;$C100&amp;" Curncy","PX_LAST",valDate,valDate)/100</f>
        <v>8.7899999999999992E-2</v>
      </c>
      <c r="G100" s="16">
        <f ca="1">_xll.BDH($C$95&amp;G$95*100&amp;LEFT(G$94,1)&amp;$C100&amp;" Curncy","PX_LAST",valDate,valDate)/100</f>
        <v>9.9500000000000005E-3</v>
      </c>
      <c r="H100" s="16">
        <f ca="1">_xll.BDH($C$95&amp;H$95*100&amp;LEFT(H$94,1)&amp;$C100&amp;" Curncy","PX_LAST",valDate,valDate)/100</f>
        <v>2.87E-2</v>
      </c>
      <c r="I100" s="32">
        <f t="shared" ca="1" si="12"/>
        <v>0.18780000000000002</v>
      </c>
      <c r="J100" s="32">
        <f t="shared" ca="1" si="13"/>
        <v>4.4999999999999998E-2</v>
      </c>
      <c r="K100" s="32">
        <f t="shared" ca="1" si="14"/>
        <v>8.7899999999999992E-2</v>
      </c>
      <c r="L100" s="32">
        <f t="shared" ca="1" si="15"/>
        <v>9.9500000000000005E-3</v>
      </c>
      <c r="M100" s="32">
        <f t="shared" ca="1" si="16"/>
        <v>2.87E-2</v>
      </c>
    </row>
    <row r="101" spans="2:13" x14ac:dyDescent="0.25">
      <c r="B101" s="1" cm="1">
        <f t="array" aca="1" ref="B101" ca="1">_xll.QDates_FxOptionExpiryFromTenor(valDate,$C$94,C101)</f>
        <v>44238</v>
      </c>
      <c r="C101" s="8" t="s">
        <v>32</v>
      </c>
      <c r="D101" s="16">
        <f ca="1">_xll.BDH($C$95&amp;"V"&amp;$C101&amp;" Curncy","PX_LAST",valDate,valDate)/100</f>
        <v>0.1739</v>
      </c>
      <c r="E101" s="16">
        <f ca="1">_xll.BDH($C$95&amp;E$95*100&amp;LEFT(E$94,1)&amp;$C101&amp;" Curncy","PX_LAST",valDate,valDate)/100</f>
        <v>4.4999999999999998E-2</v>
      </c>
      <c r="F101" s="16">
        <f ca="1">_xll.BDH($C$95&amp;F$95*100&amp;LEFT(F$94,1)&amp;$C101&amp;" Curncy","PX_LAST",valDate,valDate)/100</f>
        <v>8.7849999999999998E-2</v>
      </c>
      <c r="G101" s="16">
        <f ca="1">_xll.BDH($C$95&amp;G$95*100&amp;LEFT(G$94,1)&amp;$C101&amp;" Curncy","PX_LAST",valDate,valDate)/100</f>
        <v>9.9750000000000012E-3</v>
      </c>
      <c r="H101" s="16">
        <f ca="1">_xll.BDH($C$95&amp;H$95*100&amp;LEFT(H$94,1)&amp;$C101&amp;" Curncy","PX_LAST",valDate,valDate)/100</f>
        <v>2.8725000000000001E-2</v>
      </c>
      <c r="I101" s="32">
        <f t="shared" ca="1" si="12"/>
        <v>0.18390000000000001</v>
      </c>
      <c r="J101" s="32">
        <f t="shared" ca="1" si="13"/>
        <v>4.4999999999999998E-2</v>
      </c>
      <c r="K101" s="32">
        <f t="shared" ca="1" si="14"/>
        <v>8.7849999999999998E-2</v>
      </c>
      <c r="L101" s="32">
        <f t="shared" ca="1" si="15"/>
        <v>9.9750000000000012E-3</v>
      </c>
      <c r="M101" s="32">
        <f t="shared" ca="1" si="16"/>
        <v>2.8725000000000001E-2</v>
      </c>
    </row>
    <row r="102" spans="2:13" x14ac:dyDescent="0.25">
      <c r="B102" s="1" cm="1">
        <f t="array" aca="1" ref="B102" ca="1">_xll.QDates_FxOptionExpiryFromTenor(valDate,$C$94,C102)</f>
        <v>44328</v>
      </c>
      <c r="C102" s="8" t="s">
        <v>71</v>
      </c>
      <c r="D102" s="16">
        <f ca="1">_xll.BDH($C$95&amp;"V"&amp;$C102&amp;" Curncy","PX_LAST",valDate,valDate)/100</f>
        <v>0.172675</v>
      </c>
      <c r="E102" s="16">
        <f ca="1">_xll.BDH($C$95&amp;E$95*100&amp;LEFT(E$94,1)&amp;$C102&amp;" Curncy","PX_LAST",valDate,valDate)/100</f>
        <v>4.4775000000000002E-2</v>
      </c>
      <c r="F102" s="16">
        <f ca="1">_xll.BDH($C$95&amp;F$95*100&amp;LEFT(F$94,1)&amp;$C102&amp;" Curncy","PX_LAST",valDate,valDate)/100</f>
        <v>8.7249999999999994E-2</v>
      </c>
      <c r="G102" s="16">
        <f ca="1">_xll.BDH($C$95&amp;G$95*100&amp;LEFT(G$94,1)&amp;$C102&amp;" Curncy","PX_LAST",valDate,valDate)/100</f>
        <v>9.9750000000000012E-3</v>
      </c>
      <c r="H102" s="16">
        <f ca="1">_xll.BDH($C$95&amp;H$95*100&amp;LEFT(H$94,1)&amp;$C102&amp;" Curncy","PX_LAST",valDate,valDate)/100</f>
        <v>2.87E-2</v>
      </c>
      <c r="I102" s="32">
        <f t="shared" ca="1" si="12"/>
        <v>0.182675</v>
      </c>
      <c r="J102" s="32">
        <f t="shared" ca="1" si="13"/>
        <v>4.4775000000000002E-2</v>
      </c>
      <c r="K102" s="32">
        <f t="shared" ca="1" si="14"/>
        <v>8.7249999999999994E-2</v>
      </c>
      <c r="L102" s="32">
        <f t="shared" ca="1" si="15"/>
        <v>9.9750000000000012E-3</v>
      </c>
      <c r="M102" s="32">
        <f t="shared" ca="1" si="16"/>
        <v>2.87E-2</v>
      </c>
    </row>
    <row r="103" spans="2:13" x14ac:dyDescent="0.25">
      <c r="B103" s="1" cm="1">
        <f t="array" aca="1" ref="B103" ca="1">_xll.QDates_FxOptionExpiryFromTenor(valDate,$C$94,C103)</f>
        <v>44510</v>
      </c>
      <c r="C103" s="8" t="s">
        <v>34</v>
      </c>
      <c r="D103" s="16">
        <f ca="1">_xll.BDH($C$95&amp;"V"&amp;$C103&amp;" Curncy","PX_LAST",valDate,valDate)/100</f>
        <v>0.17454999999999998</v>
      </c>
      <c r="E103" s="16">
        <f ca="1">_xll.BDH($C$95&amp;E$95*100&amp;LEFT(E$94,1)&amp;$C103&amp;" Curncy","PX_LAST",valDate,valDate)/100</f>
        <v>4.5749999999999999E-2</v>
      </c>
      <c r="F103" s="16">
        <f ca="1">_xll.BDH($C$95&amp;F$95*100&amp;LEFT(F$94,1)&amp;$C103&amp;" Curncy","PX_LAST",valDate,valDate)/100</f>
        <v>8.8474999999999998E-2</v>
      </c>
      <c r="G103" s="16">
        <f ca="1">_xll.BDH($C$95&amp;G$95*100&amp;LEFT(G$94,1)&amp;$C103&amp;" Curncy","PX_LAST",valDate,valDate)/100</f>
        <v>1.04E-2</v>
      </c>
      <c r="H103" s="16">
        <f ca="1">_xll.BDH($C$95&amp;H$95*100&amp;LEFT(H$94,1)&amp;$C103&amp;" Curncy","PX_LAST",valDate,valDate)/100</f>
        <v>2.9325E-2</v>
      </c>
      <c r="I103" s="32">
        <f t="shared" ca="1" si="12"/>
        <v>0.18454999999999999</v>
      </c>
      <c r="J103" s="32">
        <f t="shared" ca="1" si="13"/>
        <v>4.5749999999999999E-2</v>
      </c>
      <c r="K103" s="32">
        <f t="shared" ca="1" si="14"/>
        <v>8.8474999999999998E-2</v>
      </c>
      <c r="L103" s="32">
        <f t="shared" ca="1" si="15"/>
        <v>1.04E-2</v>
      </c>
      <c r="M103" s="32">
        <f t="shared" ca="1" si="16"/>
        <v>2.9325E-2</v>
      </c>
    </row>
    <row r="104" spans="2:13" x14ac:dyDescent="0.25">
      <c r="B104" s="1" cm="1">
        <f t="array" aca="1" ref="B104" ca="1">_xll.QDates_FxOptionExpiryFromTenor(valDate,$C$94,C104)</f>
        <v>44693</v>
      </c>
      <c r="C104" s="8" t="s">
        <v>35</v>
      </c>
      <c r="D104" s="16">
        <f ca="1">_xll.BDH($C$95&amp;"V"&amp;$C104&amp;" Curncy","PX_LAST",valDate,valDate)/100</f>
        <v>0.17517499999999997</v>
      </c>
      <c r="E104" s="16">
        <f ca="1">_xll.BDH($C$95&amp;E$95*100&amp;LEFT(E$94,1)&amp;$C104&amp;" Curncy","PX_LAST",valDate,valDate)/100</f>
        <v>4.7599999999999996E-2</v>
      </c>
      <c r="F104" s="16">
        <f ca="1">_xll.BDH($C$95&amp;F$95*100&amp;LEFT(F$94,1)&amp;$C104&amp;" Curncy","PX_LAST",valDate,valDate)/100</f>
        <v>9.2825000000000005E-2</v>
      </c>
      <c r="G104" s="16">
        <f ca="1">_xll.BDH($C$95&amp;G$95*100&amp;LEFT(G$94,1)&amp;$C104&amp;" Curncy","PX_LAST",valDate,valDate)/100</f>
        <v>1.1000000000000001E-2</v>
      </c>
      <c r="H104" s="16">
        <f ca="1">_xll.BDH($C$95&amp;H$95*100&amp;LEFT(H$94,1)&amp;$C104&amp;" Curncy","PX_LAST",valDate,valDate)/100</f>
        <v>3.2050000000000002E-2</v>
      </c>
      <c r="I104" s="32">
        <f t="shared" ca="1" si="12"/>
        <v>0.18517499999999998</v>
      </c>
      <c r="J104" s="32">
        <f t="shared" ca="1" si="13"/>
        <v>4.7599999999999996E-2</v>
      </c>
      <c r="K104" s="32">
        <f t="shared" ca="1" si="14"/>
        <v>9.2825000000000005E-2</v>
      </c>
      <c r="L104" s="32">
        <f t="shared" ca="1" si="15"/>
        <v>1.1000000000000001E-2</v>
      </c>
      <c r="M104" s="32">
        <f t="shared" ca="1" si="16"/>
        <v>3.2050000000000002E-2</v>
      </c>
    </row>
    <row r="105" spans="2:13" x14ac:dyDescent="0.25">
      <c r="B105" s="1" cm="1">
        <f t="array" aca="1" ref="B105" ca="1">_xll.QDates_FxOptionExpiryFromTenor(valDate,$C$94,C105)</f>
        <v>45057</v>
      </c>
      <c r="C105" s="8" t="s">
        <v>36</v>
      </c>
      <c r="D105" s="16">
        <f ca="1">_xll.BDH($C$95&amp;"V"&amp;$C105&amp;" Curncy","PX_LAST",valDate,valDate)/100</f>
        <v>0.17827500000000002</v>
      </c>
      <c r="E105" s="16">
        <f ca="1">_xll.BDH($C$95&amp;E$95*100&amp;LEFT(E$94,1)&amp;$C105&amp;" Curncy","PX_LAST",valDate,valDate)/100</f>
        <v>4.8600000000000004E-2</v>
      </c>
      <c r="F105" s="16">
        <f ca="1">_xll.BDH($C$95&amp;F$95*100&amp;LEFT(F$94,1)&amp;$C105&amp;" Curncy","PX_LAST",valDate,valDate)/100</f>
        <v>9.4824999999999993E-2</v>
      </c>
      <c r="G105" s="16">
        <f ca="1">_xll.BDH($C$95&amp;G$95*100&amp;LEFT(G$94,1)&amp;$C105&amp;" Curncy","PX_LAST",valDate,valDate)/100</f>
        <v>1.1625000000000002E-2</v>
      </c>
      <c r="H105" s="16">
        <f ca="1">_xll.BDH($C$95&amp;H$95*100&amp;LEFT(H$94,1)&amp;$C105&amp;" Curncy","PX_LAST",valDate,valDate)/100</f>
        <v>3.4200000000000001E-2</v>
      </c>
      <c r="I105" s="32">
        <f t="shared" ca="1" si="12"/>
        <v>0.18827500000000003</v>
      </c>
      <c r="J105" s="32">
        <f t="shared" ca="1" si="13"/>
        <v>4.8600000000000004E-2</v>
      </c>
      <c r="K105" s="32">
        <f t="shared" ca="1" si="14"/>
        <v>9.4824999999999993E-2</v>
      </c>
      <c r="L105" s="32">
        <f t="shared" ca="1" si="15"/>
        <v>1.1625000000000002E-2</v>
      </c>
      <c r="M105" s="32">
        <f t="shared" ca="1" si="16"/>
        <v>3.4200000000000001E-2</v>
      </c>
    </row>
    <row r="106" spans="2:13" x14ac:dyDescent="0.25">
      <c r="B106" s="1" cm="1">
        <f t="array" aca="1" ref="B106" ca="1">_xll.QDates_FxOptionExpiryFromTenor(valDate,$C$94,C106)</f>
        <v>45422</v>
      </c>
      <c r="C106" s="8" t="s">
        <v>58</v>
      </c>
      <c r="D106" s="16">
        <f ca="1">_xll.BDH($C$95&amp;"V"&amp;$C106&amp;" Curncy","PX_LAST",valDate,valDate)/100</f>
        <v>0.18124999999999999</v>
      </c>
      <c r="E106" s="16">
        <f ca="1">_xll.BDH($C$95&amp;E$95*100&amp;LEFT(E$94,1)&amp;$C106&amp;" Curncy","PX_LAST",valDate,valDate)/100</f>
        <v>4.9124999999999995E-2</v>
      </c>
      <c r="F106" s="16">
        <f ca="1">_xll.BDH($C$95&amp;F$95*100&amp;LEFT(F$94,1)&amp;$C106&amp;" Curncy","PX_LAST",valDate,valDate)/100</f>
        <v>9.5725000000000005E-2</v>
      </c>
      <c r="G106" s="16">
        <f ca="1">_xll.BDH($C$95&amp;G$95*100&amp;LEFT(G$94,1)&amp;$C106&amp;" Curncy","PX_LAST",valDate,valDate)/100</f>
        <v>1.225E-2</v>
      </c>
      <c r="H106" s="16">
        <f ca="1">_xll.BDH($C$95&amp;H$95*100&amp;LEFT(H$94,1)&amp;$C106&amp;" Curncy","PX_LAST",valDate,valDate)/100</f>
        <v>3.6375000000000005E-2</v>
      </c>
      <c r="I106" s="32">
        <f t="shared" ca="1" si="12"/>
        <v>0.19125</v>
      </c>
      <c r="J106" s="32">
        <f t="shared" ca="1" si="13"/>
        <v>4.9124999999999995E-2</v>
      </c>
      <c r="K106" s="32">
        <f t="shared" ca="1" si="14"/>
        <v>9.5725000000000005E-2</v>
      </c>
      <c r="L106" s="32">
        <f t="shared" ca="1" si="15"/>
        <v>1.225E-2</v>
      </c>
      <c r="M106" s="32">
        <f t="shared" ca="1" si="16"/>
        <v>3.6375000000000005E-2</v>
      </c>
    </row>
    <row r="107" spans="2:13" x14ac:dyDescent="0.25">
      <c r="B107" s="1" cm="1">
        <f t="array" aca="1" ref="B107" ca="1">_xll.QDates_FxOptionExpiryFromTenor(valDate,$C$94,C107)</f>
        <v>45789</v>
      </c>
      <c r="C107" s="8" t="s">
        <v>37</v>
      </c>
      <c r="D107" s="16">
        <f ca="1">_xll.BDH($C$95&amp;"V"&amp;$C107&amp;" Curncy","PX_LAST",valDate,valDate)/100</f>
        <v>0.18285000000000001</v>
      </c>
      <c r="E107" s="16">
        <f ca="1">_xll.BDH($C$95&amp;E$95*100&amp;LEFT(E$94,1)&amp;$C107&amp;" Curncy","PX_LAST",valDate,valDate)/100</f>
        <v>4.9675000000000004E-2</v>
      </c>
      <c r="F107" s="16">
        <f ca="1">_xll.BDH($C$95&amp;F$95*100&amp;LEFT(F$94,1)&amp;$C107&amp;" Curncy","PX_LAST",valDate,valDate)/100</f>
        <v>9.6525E-2</v>
      </c>
      <c r="G107" s="16">
        <f ca="1">_xll.BDH($C$95&amp;G$95*100&amp;LEFT(G$94,1)&amp;$C107&amp;" Curncy","PX_LAST",valDate,valDate)/100</f>
        <v>1.2500000000000001E-2</v>
      </c>
      <c r="H107" s="16">
        <f ca="1">_xll.BDH($C$95&amp;H$95*100&amp;LEFT(H$94,1)&amp;$C107&amp;" Curncy","PX_LAST",valDate,valDate)/100</f>
        <v>3.6400000000000002E-2</v>
      </c>
      <c r="I107" s="32">
        <f t="shared" ca="1" si="12"/>
        <v>0.19285000000000002</v>
      </c>
      <c r="J107" s="32">
        <f t="shared" ca="1" si="13"/>
        <v>4.9675000000000004E-2</v>
      </c>
      <c r="K107" s="32">
        <f t="shared" ca="1" si="14"/>
        <v>9.6525E-2</v>
      </c>
      <c r="L107" s="32">
        <f t="shared" ca="1" si="15"/>
        <v>1.2500000000000001E-2</v>
      </c>
      <c r="M107" s="32">
        <f t="shared" ca="1" si="16"/>
        <v>3.6400000000000002E-2</v>
      </c>
    </row>
    <row r="110" spans="2:13" x14ac:dyDescent="0.25">
      <c r="C110" s="106" t="s">
        <v>15</v>
      </c>
      <c r="D110" s="106"/>
      <c r="E110" s="106"/>
      <c r="F110" s="106"/>
      <c r="G110" s="106"/>
      <c r="H110" s="106"/>
      <c r="I110" s="8" t="s">
        <v>92</v>
      </c>
      <c r="J110" s="31">
        <v>0.01</v>
      </c>
      <c r="K110" s="30" t="s">
        <v>93</v>
      </c>
      <c r="L110" s="31">
        <v>1</v>
      </c>
      <c r="M110" t="str" cm="1">
        <f t="array" aca="1" ref="M110" ca="1">_xll.QVol_CreateRiskyFlyVolSurface("fxVol_"&amp;C112,LEFT(C112,3)&amp;"/"&amp;RIGHT(C112,3),valDate,J112:K112,B113:B124,I113:I124,J113:K124,L113:M124,,,"Market",,,C113:C124,,"2b")</f>
        <v>fxVol_EURUSD¬1</v>
      </c>
    </row>
    <row r="111" spans="2:13" x14ac:dyDescent="0.25">
      <c r="C111" s="25" t="str">
        <f ca="1">VLOOKUP(C112,$H$21:$I$27,2,FALSE)</f>
        <v>EUR/USD¬1</v>
      </c>
      <c r="D111" s="25"/>
      <c r="E111" s="29" t="s">
        <v>88</v>
      </c>
      <c r="F111" s="29" t="s">
        <v>88</v>
      </c>
      <c r="G111" s="29" t="s">
        <v>89</v>
      </c>
      <c r="H111" s="29" t="s">
        <v>89</v>
      </c>
      <c r="I111" s="25"/>
      <c r="J111" s="29" t="s">
        <v>88</v>
      </c>
      <c r="K111" s="29" t="s">
        <v>88</v>
      </c>
      <c r="L111" s="29" t="s">
        <v>89</v>
      </c>
      <c r="M111" s="29" t="s">
        <v>89</v>
      </c>
    </row>
    <row r="112" spans="2:13" ht="15.75" thickBot="1" x14ac:dyDescent="0.3">
      <c r="C112" s="26" t="s">
        <v>90</v>
      </c>
      <c r="D112" s="27" t="s">
        <v>86</v>
      </c>
      <c r="E112" s="28">
        <v>0.25</v>
      </c>
      <c r="F112" s="28">
        <v>0.1</v>
      </c>
      <c r="G112" s="28">
        <v>0.25</v>
      </c>
      <c r="H112" s="28">
        <v>0.1</v>
      </c>
      <c r="I112" s="27" t="s">
        <v>86</v>
      </c>
      <c r="J112" s="28">
        <v>0.25</v>
      </c>
      <c r="K112" s="28">
        <v>0.1</v>
      </c>
      <c r="L112" s="28">
        <v>0.25</v>
      </c>
      <c r="M112" s="28">
        <v>0.1</v>
      </c>
    </row>
    <row r="113" spans="2:13" x14ac:dyDescent="0.25">
      <c r="B113" s="1" cm="1">
        <f t="array" aca="1" ref="B113" ca="1">_xll.QDates_FxOptionExpiryFromTenor(valDate,$C$111,C113)</f>
        <v>43970</v>
      </c>
      <c r="C113" s="8" t="s">
        <v>26</v>
      </c>
      <c r="D113" s="16">
        <f ca="1">_xll.BDH($C$112&amp;"V"&amp;$C113&amp;" Curncy","PX_LAST",valDate,valDate)/100</f>
        <v>6.6750000000000004E-2</v>
      </c>
      <c r="E113" s="16">
        <f ca="1">_xll.BDH($C$112&amp;E$112*100&amp;LEFT(E$111,1)&amp;$C113&amp;" Curncy","PX_LAST",valDate,valDate)/100</f>
        <v>-2.65E-3</v>
      </c>
      <c r="F113" s="16">
        <f ca="1">_xll.BDH($C$112&amp;F$112*100&amp;LEFT(F$111,1)&amp;$C113&amp;" Curncy","PX_LAST",valDate,valDate)/100</f>
        <v>-4.5999999999999999E-3</v>
      </c>
      <c r="G113" s="16">
        <f ca="1">_xll.BDH($C$112&amp;G$112*100&amp;LEFT(G$111,1)&amp;$C113&amp;" Curncy","PX_LAST",valDate,valDate)/100</f>
        <v>2.4749999999999998E-3</v>
      </c>
      <c r="H113" s="16">
        <f ca="1">_xll.BDH($C$112&amp;H$112*100&amp;LEFT(H$111,1)&amp;$C113&amp;" Curncy","PX_LAST",valDate,valDate)/100</f>
        <v>6.8500000000000002E-3</v>
      </c>
      <c r="I113" s="32">
        <f t="shared" ref="I113:I124" ca="1" si="17">D113+$J$110</f>
        <v>7.6749999999999999E-2</v>
      </c>
      <c r="J113" s="32">
        <f t="shared" ref="J113:J124" ca="1" si="18">E113*$L$110</f>
        <v>-2.65E-3</v>
      </c>
      <c r="K113" s="32">
        <f t="shared" ref="K113:K124" ca="1" si="19">F113*$L$110</f>
        <v>-4.5999999999999999E-3</v>
      </c>
      <c r="L113" s="32">
        <f t="shared" ref="L113:L124" ca="1" si="20">G113*$L$110</f>
        <v>2.4749999999999998E-3</v>
      </c>
      <c r="M113" s="32">
        <f t="shared" ref="M113:M124" ca="1" si="21">H113*$L$110</f>
        <v>6.8500000000000002E-3</v>
      </c>
    </row>
    <row r="114" spans="2:13" x14ac:dyDescent="0.25">
      <c r="B114" s="1" cm="1">
        <f t="array" aca="1" ref="B114" ca="1">_xll.QDates_FxOptionExpiryFromTenor(valDate,$C$111,C114)</f>
        <v>43993</v>
      </c>
      <c r="C114" s="8" t="s">
        <v>28</v>
      </c>
      <c r="D114" s="16">
        <f ca="1">_xll.BDH($C$112&amp;"V"&amp;$C114&amp;" Curncy","PX_LAST",valDate,valDate)/100</f>
        <v>7.0449999999999999E-2</v>
      </c>
      <c r="E114" s="16">
        <f ca="1">_xll.BDH($C$112&amp;E$112*100&amp;LEFT(E$111,1)&amp;$C114&amp;" Curncy","PX_LAST",valDate,valDate)/100</f>
        <v>-5.7250000000000001E-3</v>
      </c>
      <c r="F114" s="16">
        <f ca="1">_xll.BDH($C$112&amp;F$112*100&amp;LEFT(F$111,1)&amp;$C114&amp;" Curncy","PX_LAST",valDate,valDate)/100</f>
        <v>-1.0024999999999999E-2</v>
      </c>
      <c r="G114" s="16">
        <f ca="1">_xll.BDH($C$112&amp;G$112*100&amp;LEFT(G$111,1)&amp;$C114&amp;" Curncy","PX_LAST",valDate,valDate)/100</f>
        <v>2.8999999999999998E-3</v>
      </c>
      <c r="H114" s="16">
        <f ca="1">_xll.BDH($C$112&amp;H$112*100&amp;LEFT(H$111,1)&amp;$C114&amp;" Curncy","PX_LAST",valDate,valDate)/100</f>
        <v>8.8000000000000005E-3</v>
      </c>
      <c r="I114" s="32">
        <f t="shared" ca="1" si="17"/>
        <v>8.0449999999999994E-2</v>
      </c>
      <c r="J114" s="32">
        <f t="shared" ca="1" si="18"/>
        <v>-5.7250000000000001E-3</v>
      </c>
      <c r="K114" s="32">
        <f t="shared" ca="1" si="19"/>
        <v>-1.0024999999999999E-2</v>
      </c>
      <c r="L114" s="32">
        <f t="shared" ca="1" si="20"/>
        <v>2.8999999999999998E-3</v>
      </c>
      <c r="M114" s="32">
        <f t="shared" ca="1" si="21"/>
        <v>8.8000000000000005E-3</v>
      </c>
    </row>
    <row r="115" spans="2:13" x14ac:dyDescent="0.25">
      <c r="B115" s="1" cm="1">
        <f t="array" aca="1" ref="B115" ca="1">_xll.QDates_FxOptionExpiryFromTenor(valDate,$C$111,C115)</f>
        <v>44022</v>
      </c>
      <c r="C115" s="8" t="s">
        <v>29</v>
      </c>
      <c r="D115" s="16">
        <f ca="1">_xll.BDH($C$112&amp;"V"&amp;$C115&amp;" Curncy","PX_LAST",valDate,valDate)/100</f>
        <v>6.9925000000000001E-2</v>
      </c>
      <c r="E115" s="16">
        <f ca="1">_xll.BDH($C$112&amp;E$112*100&amp;LEFT(E$111,1)&amp;$C115&amp;" Curncy","PX_LAST",valDate,valDate)/100</f>
        <v>-6.9499999999999996E-3</v>
      </c>
      <c r="F115" s="16">
        <f ca="1">_xll.BDH($C$112&amp;F$112*100&amp;LEFT(F$111,1)&amp;$C115&amp;" Curncy","PX_LAST",valDate,valDate)/100</f>
        <v>-1.225E-2</v>
      </c>
      <c r="G115" s="16">
        <f ca="1">_xll.BDH($C$112&amp;G$112*100&amp;LEFT(G$111,1)&amp;$C115&amp;" Curncy","PX_LAST",valDate,valDate)/100</f>
        <v>3.15E-3</v>
      </c>
      <c r="H115" s="16">
        <f ca="1">_xll.BDH($C$112&amp;H$112*100&amp;LEFT(H$111,1)&amp;$C115&amp;" Curncy","PX_LAST",valDate,valDate)/100</f>
        <v>9.7999999999999997E-3</v>
      </c>
      <c r="I115" s="32">
        <f t="shared" ca="1" si="17"/>
        <v>7.9924999999999996E-2</v>
      </c>
      <c r="J115" s="32">
        <f t="shared" ca="1" si="18"/>
        <v>-6.9499999999999996E-3</v>
      </c>
      <c r="K115" s="32">
        <f t="shared" ca="1" si="19"/>
        <v>-1.225E-2</v>
      </c>
      <c r="L115" s="32">
        <f t="shared" ca="1" si="20"/>
        <v>3.15E-3</v>
      </c>
      <c r="M115" s="32">
        <f t="shared" ca="1" si="21"/>
        <v>9.7999999999999997E-3</v>
      </c>
    </row>
    <row r="116" spans="2:13" x14ac:dyDescent="0.25">
      <c r="B116" s="1" cm="1">
        <f t="array" aca="1" ref="B116" ca="1">_xll.QDates_FxOptionExpiryFromTenor(valDate,$C$111,C116)</f>
        <v>44055</v>
      </c>
      <c r="C116" s="8" t="s">
        <v>30</v>
      </c>
      <c r="D116" s="16">
        <f ca="1">_xll.BDH($C$112&amp;"V"&amp;$C116&amp;" Curncy","PX_LAST",valDate,valDate)/100</f>
        <v>7.0349999999999996E-2</v>
      </c>
      <c r="E116" s="16">
        <f ca="1">_xll.BDH($C$112&amp;E$112*100&amp;LEFT(E$111,1)&amp;$C116&amp;" Curncy","PX_LAST",valDate,valDate)/100</f>
        <v>-7.9749999999999995E-3</v>
      </c>
      <c r="F116" s="16">
        <f ca="1">_xll.BDH($C$112&amp;F$112*100&amp;LEFT(F$111,1)&amp;$C116&amp;" Curncy","PX_LAST",valDate,valDate)/100</f>
        <v>-1.4250000000000001E-2</v>
      </c>
      <c r="G116" s="16">
        <f ca="1">_xll.BDH($C$112&amp;G$112*100&amp;LEFT(G$111,1)&amp;$C116&amp;" Curncy","PX_LAST",valDate,valDate)/100</f>
        <v>3.4250000000000001E-3</v>
      </c>
      <c r="H116" s="16">
        <f ca="1">_xll.BDH($C$112&amp;H$112*100&amp;LEFT(H$111,1)&amp;$C116&amp;" Curncy","PX_LAST",valDate,valDate)/100</f>
        <v>1.1049999999999999E-2</v>
      </c>
      <c r="I116" s="32">
        <f t="shared" ca="1" si="17"/>
        <v>8.0349999999999991E-2</v>
      </c>
      <c r="J116" s="32">
        <f t="shared" ca="1" si="18"/>
        <v>-7.9749999999999995E-3</v>
      </c>
      <c r="K116" s="32">
        <f t="shared" ca="1" si="19"/>
        <v>-1.4250000000000001E-2</v>
      </c>
      <c r="L116" s="32">
        <f t="shared" ca="1" si="20"/>
        <v>3.4250000000000001E-3</v>
      </c>
      <c r="M116" s="32">
        <f t="shared" ca="1" si="21"/>
        <v>1.1049999999999999E-2</v>
      </c>
    </row>
    <row r="117" spans="2:13" x14ac:dyDescent="0.25">
      <c r="B117" s="1" cm="1">
        <f t="array" aca="1" ref="B117" ca="1">_xll.QDates_FxOptionExpiryFromTenor(valDate,$C$111,C117)</f>
        <v>44147</v>
      </c>
      <c r="C117" s="8" t="s">
        <v>31</v>
      </c>
      <c r="D117" s="16">
        <f ca="1">_xll.BDH($C$112&amp;"V"&amp;$C117&amp;" Curncy","PX_LAST",valDate,valDate)/100</f>
        <v>7.3499999999999996E-2</v>
      </c>
      <c r="E117" s="16">
        <f ca="1">_xll.BDH($C$112&amp;E$112*100&amp;LEFT(E$111,1)&amp;$C117&amp;" Curncy","PX_LAST",valDate,valDate)/100</f>
        <v>-9.8999999999999991E-3</v>
      </c>
      <c r="F117" s="16">
        <f ca="1">_xll.BDH($C$112&amp;F$112*100&amp;LEFT(F$111,1)&amp;$C117&amp;" Curncy","PX_LAST",valDate,valDate)/100</f>
        <v>-1.8149999999999999E-2</v>
      </c>
      <c r="G117" s="16">
        <f ca="1">_xll.BDH($C$112&amp;G$112*100&amp;LEFT(G$111,1)&amp;$C117&amp;" Curncy","PX_LAST",valDate,valDate)/100</f>
        <v>3.9000000000000003E-3</v>
      </c>
      <c r="H117" s="16">
        <f ca="1">_xll.BDH($C$112&amp;H$112*100&amp;LEFT(H$111,1)&amp;$C117&amp;" Curncy","PX_LAST",valDate,valDate)/100</f>
        <v>1.315E-2</v>
      </c>
      <c r="I117" s="32">
        <f t="shared" ca="1" si="17"/>
        <v>8.3499999999999991E-2</v>
      </c>
      <c r="J117" s="32">
        <f t="shared" ca="1" si="18"/>
        <v>-9.8999999999999991E-3</v>
      </c>
      <c r="K117" s="32">
        <f t="shared" ca="1" si="19"/>
        <v>-1.8149999999999999E-2</v>
      </c>
      <c r="L117" s="32">
        <f t="shared" ca="1" si="20"/>
        <v>3.9000000000000003E-3</v>
      </c>
      <c r="M117" s="32">
        <f t="shared" ca="1" si="21"/>
        <v>1.315E-2</v>
      </c>
    </row>
    <row r="118" spans="2:13" x14ac:dyDescent="0.25">
      <c r="B118" s="1" cm="1">
        <f t="array" aca="1" ref="B118" ca="1">_xll.QDates_FxOptionExpiryFromTenor(valDate,$C$111,C118)</f>
        <v>44238</v>
      </c>
      <c r="C118" s="8" t="s">
        <v>32</v>
      </c>
      <c r="D118" s="16">
        <f ca="1">_xll.BDH($C$112&amp;"V"&amp;$C118&amp;" Curncy","PX_LAST",valDate,valDate)/100</f>
        <v>7.3700000000000002E-2</v>
      </c>
      <c r="E118" s="16">
        <f ca="1">_xll.BDH($C$112&amp;E$112*100&amp;LEFT(E$111,1)&amp;$C118&amp;" Curncy","PX_LAST",valDate,valDate)/100</f>
        <v>-1.11E-2</v>
      </c>
      <c r="F118" s="16">
        <f ca="1">_xll.BDH($C$112&amp;F$112*100&amp;LEFT(F$111,1)&amp;$C118&amp;" Curncy","PX_LAST",valDate,valDate)/100</f>
        <v>-2.0449999999999999E-2</v>
      </c>
      <c r="G118" s="16">
        <f ca="1">_xll.BDH($C$112&amp;G$112*100&amp;LEFT(G$111,1)&amp;$C118&amp;" Curncy","PX_LAST",valDate,valDate)/100</f>
        <v>4.0999999999999995E-3</v>
      </c>
      <c r="H118" s="16">
        <f ca="1">_xll.BDH($C$112&amp;H$112*100&amp;LEFT(H$111,1)&amp;$C118&amp;" Curncy","PX_LAST",valDate,valDate)/100</f>
        <v>1.3849999999999999E-2</v>
      </c>
      <c r="I118" s="32">
        <f t="shared" ca="1" si="17"/>
        <v>8.3699999999999997E-2</v>
      </c>
      <c r="J118" s="32">
        <f t="shared" ca="1" si="18"/>
        <v>-1.11E-2</v>
      </c>
      <c r="K118" s="32">
        <f t="shared" ca="1" si="19"/>
        <v>-2.0449999999999999E-2</v>
      </c>
      <c r="L118" s="32">
        <f t="shared" ca="1" si="20"/>
        <v>4.0999999999999995E-3</v>
      </c>
      <c r="M118" s="32">
        <f t="shared" ca="1" si="21"/>
        <v>1.3849999999999999E-2</v>
      </c>
    </row>
    <row r="119" spans="2:13" x14ac:dyDescent="0.25">
      <c r="B119" s="1" cm="1">
        <f t="array" aca="1" ref="B119" ca="1">_xll.QDates_FxOptionExpiryFromTenor(valDate,$C$111,C119)</f>
        <v>44328</v>
      </c>
      <c r="C119" s="8" t="s">
        <v>71</v>
      </c>
      <c r="D119" s="16">
        <f ca="1">_xll.BDH($C$112&amp;"V"&amp;$C119&amp;" Curncy","PX_LAST",valDate,valDate)/100</f>
        <v>7.3950000000000002E-2</v>
      </c>
      <c r="E119" s="16">
        <f ca="1">_xll.BDH($C$112&amp;E$112*100&amp;LEFT(E$111,1)&amp;$C119&amp;" Curncy","PX_LAST",valDate,valDate)/100</f>
        <v>-1.1724999999999999E-2</v>
      </c>
      <c r="F119" s="16">
        <f ca="1">_xll.BDH($C$112&amp;F$112*100&amp;LEFT(F$111,1)&amp;$C119&amp;" Curncy","PX_LAST",valDate,valDate)/100</f>
        <v>-2.2124999999999999E-2</v>
      </c>
      <c r="G119" s="16">
        <f ca="1">_xll.BDH($C$112&amp;G$112*100&amp;LEFT(G$111,1)&amp;$C119&amp;" Curncy","PX_LAST",valDate,valDate)/100</f>
        <v>4.15E-3</v>
      </c>
      <c r="H119" s="16">
        <f ca="1">_xll.BDH($C$112&amp;H$112*100&amp;LEFT(H$111,1)&amp;$C119&amp;" Curncy","PX_LAST",valDate,valDate)/100</f>
        <v>1.4624999999999999E-2</v>
      </c>
      <c r="I119" s="32">
        <f t="shared" ca="1" si="17"/>
        <v>8.3949999999999997E-2</v>
      </c>
      <c r="J119" s="32">
        <f t="shared" ca="1" si="18"/>
        <v>-1.1724999999999999E-2</v>
      </c>
      <c r="K119" s="32">
        <f t="shared" ca="1" si="19"/>
        <v>-2.2124999999999999E-2</v>
      </c>
      <c r="L119" s="32">
        <f t="shared" ca="1" si="20"/>
        <v>4.15E-3</v>
      </c>
      <c r="M119" s="32">
        <f t="shared" ca="1" si="21"/>
        <v>1.4624999999999999E-2</v>
      </c>
    </row>
    <row r="120" spans="2:13" x14ac:dyDescent="0.25">
      <c r="B120" s="1" cm="1">
        <f t="array" aca="1" ref="B120" ca="1">_xll.QDates_FxOptionExpiryFromTenor(valDate,$C$111,C120)</f>
        <v>44510</v>
      </c>
      <c r="C120" s="8" t="s">
        <v>34</v>
      </c>
      <c r="D120" s="16">
        <f ca="1">_xll.BDH($C$112&amp;"V"&amp;$C120&amp;" Curncy","PX_LAST",valDate,valDate)/100</f>
        <v>7.6700000000000004E-2</v>
      </c>
      <c r="E120" s="16">
        <f ca="1">_xll.BDH($C$112&amp;E$112*100&amp;LEFT(E$111,1)&amp;$C120&amp;" Curncy","PX_LAST",valDate,valDate)/100</f>
        <v>-1.0700000000000001E-2</v>
      </c>
      <c r="F120" s="16">
        <f ca="1">_xll.BDH($C$112&amp;F$112*100&amp;LEFT(F$111,1)&amp;$C120&amp;" Curncy","PX_LAST",valDate,valDate)/100</f>
        <v>-2.0274999999999998E-2</v>
      </c>
      <c r="G120" s="16">
        <f ca="1">_xll.BDH($C$112&amp;G$112*100&amp;LEFT(G$111,1)&amp;$C120&amp;" Curncy","PX_LAST",valDate,valDate)/100</f>
        <v>4.2500000000000003E-3</v>
      </c>
      <c r="H120" s="16">
        <f ca="1">_xll.BDH($C$112&amp;H$112*100&amp;LEFT(H$111,1)&amp;$C120&amp;" Curncy","PX_LAST",valDate,valDate)/100</f>
        <v>1.4325000000000001E-2</v>
      </c>
      <c r="I120" s="32">
        <f t="shared" ca="1" si="17"/>
        <v>8.6699999999999999E-2</v>
      </c>
      <c r="J120" s="32">
        <f t="shared" ca="1" si="18"/>
        <v>-1.0700000000000001E-2</v>
      </c>
      <c r="K120" s="32">
        <f t="shared" ca="1" si="19"/>
        <v>-2.0274999999999998E-2</v>
      </c>
      <c r="L120" s="32">
        <f t="shared" ca="1" si="20"/>
        <v>4.2500000000000003E-3</v>
      </c>
      <c r="M120" s="32">
        <f t="shared" ca="1" si="21"/>
        <v>1.4325000000000001E-2</v>
      </c>
    </row>
    <row r="121" spans="2:13" x14ac:dyDescent="0.25">
      <c r="B121" s="1" cm="1">
        <f t="array" aca="1" ref="B121" ca="1">_xll.QDates_FxOptionExpiryFromTenor(valDate,$C$111,C121)</f>
        <v>44693</v>
      </c>
      <c r="C121" s="8" t="s">
        <v>35</v>
      </c>
      <c r="D121" s="16">
        <f ca="1">_xll.BDH($C$112&amp;"V"&amp;$C121&amp;" Curncy","PX_LAST",valDate,valDate)/100</f>
        <v>7.7975000000000003E-2</v>
      </c>
      <c r="E121" s="16">
        <f ca="1">_xll.BDH($C$112&amp;E$112*100&amp;LEFT(E$111,1)&amp;$C121&amp;" Curncy","PX_LAST",valDate,valDate)/100</f>
        <v>-1.04E-2</v>
      </c>
      <c r="F121" s="16">
        <f ca="1">_xll.BDH($C$112&amp;F$112*100&amp;LEFT(F$111,1)&amp;$C121&amp;" Curncy","PX_LAST",valDate,valDate)/100</f>
        <v>-1.9725000000000003E-2</v>
      </c>
      <c r="G121" s="16">
        <f ca="1">_xll.BDH($C$112&amp;G$112*100&amp;LEFT(G$111,1)&amp;$C121&amp;" Curncy","PX_LAST",valDate,valDate)/100</f>
        <v>4.3E-3</v>
      </c>
      <c r="H121" s="16">
        <f ca="1">_xll.BDH($C$112&amp;H$112*100&amp;LEFT(H$111,1)&amp;$C121&amp;" Curncy","PX_LAST",valDate,valDate)/100</f>
        <v>1.4950000000000001E-2</v>
      </c>
      <c r="I121" s="32">
        <f t="shared" ca="1" si="17"/>
        <v>8.7974999999999998E-2</v>
      </c>
      <c r="J121" s="32">
        <f t="shared" ca="1" si="18"/>
        <v>-1.04E-2</v>
      </c>
      <c r="K121" s="32">
        <f t="shared" ca="1" si="19"/>
        <v>-1.9725000000000003E-2</v>
      </c>
      <c r="L121" s="32">
        <f t="shared" ca="1" si="20"/>
        <v>4.3E-3</v>
      </c>
      <c r="M121" s="32">
        <f t="shared" ca="1" si="21"/>
        <v>1.4950000000000001E-2</v>
      </c>
    </row>
    <row r="122" spans="2:13" x14ac:dyDescent="0.25">
      <c r="B122" s="1" cm="1">
        <f t="array" aca="1" ref="B122" ca="1">_xll.QDates_FxOptionExpiryFromTenor(valDate,$C$111,C122)</f>
        <v>45057</v>
      </c>
      <c r="C122" s="8" t="s">
        <v>36</v>
      </c>
      <c r="D122" s="16">
        <f ca="1">_xll.BDH($C$112&amp;"V"&amp;$C122&amp;" Curncy","PX_LAST",valDate,valDate)/100</f>
        <v>8.2274999999999987E-2</v>
      </c>
      <c r="E122" s="16">
        <f ca="1">_xll.BDH($C$112&amp;E$112*100&amp;LEFT(E$111,1)&amp;$C122&amp;" Curncy","PX_LAST",valDate,valDate)/100</f>
        <v>-8.8249999999999995E-3</v>
      </c>
      <c r="F122" s="16">
        <f ca="1">_xll.BDH($C$112&amp;F$112*100&amp;LEFT(F$111,1)&amp;$C122&amp;" Curncy","PX_LAST",valDate,valDate)/100</f>
        <v>-1.6524999999999998E-2</v>
      </c>
      <c r="G122" s="16">
        <f ca="1">_xll.BDH($C$112&amp;G$112*100&amp;LEFT(G$111,1)&amp;$C122&amp;" Curncy","PX_LAST",valDate,valDate)/100</f>
        <v>4.2500000000000003E-3</v>
      </c>
      <c r="H122" s="16">
        <f ca="1">_xll.BDH($C$112&amp;H$112*100&amp;LEFT(H$111,1)&amp;$C122&amp;" Curncy","PX_LAST",valDate,valDate)/100</f>
        <v>1.4750000000000001E-2</v>
      </c>
      <c r="I122" s="32">
        <f t="shared" ca="1" si="17"/>
        <v>9.2274999999999982E-2</v>
      </c>
      <c r="J122" s="32">
        <f t="shared" ca="1" si="18"/>
        <v>-8.8249999999999995E-3</v>
      </c>
      <c r="K122" s="32">
        <f t="shared" ca="1" si="19"/>
        <v>-1.6524999999999998E-2</v>
      </c>
      <c r="L122" s="32">
        <f t="shared" ca="1" si="20"/>
        <v>4.2500000000000003E-3</v>
      </c>
      <c r="M122" s="32">
        <f t="shared" ca="1" si="21"/>
        <v>1.4750000000000001E-2</v>
      </c>
    </row>
    <row r="123" spans="2:13" x14ac:dyDescent="0.25">
      <c r="B123" s="1" cm="1">
        <f t="array" aca="1" ref="B123" ca="1">_xll.QDates_FxOptionExpiryFromTenor(valDate,$C$111,C123)</f>
        <v>45422</v>
      </c>
      <c r="C123" s="8" t="s">
        <v>58</v>
      </c>
      <c r="D123" s="16">
        <f ca="1">_xll.BDH($C$112&amp;"V"&amp;$C123&amp;" Curncy","PX_LAST",valDate,valDate)/100</f>
        <v>8.4224999999999994E-2</v>
      </c>
      <c r="E123" s="16">
        <f ca="1">_xll.BDH($C$112&amp;E$112*100&amp;LEFT(E$111,1)&amp;$C123&amp;" Curncy","PX_LAST",valDate,valDate)/100</f>
        <v>-7.7499999999999999E-3</v>
      </c>
      <c r="F123" s="16">
        <f ca="1">_xll.BDH($C$112&amp;F$112*100&amp;LEFT(F$111,1)&amp;$C123&amp;" Curncy","PX_LAST",valDate,valDate)/100</f>
        <v>-1.4675000000000001E-2</v>
      </c>
      <c r="G123" s="16">
        <f ca="1">_xll.BDH($C$112&amp;G$112*100&amp;LEFT(G$111,1)&amp;$C123&amp;" Curncy","PX_LAST",valDate,valDate)/100</f>
        <v>4.3E-3</v>
      </c>
      <c r="H123" s="16">
        <f ca="1">_xll.BDH($C$112&amp;H$112*100&amp;LEFT(H$111,1)&amp;$C123&amp;" Curncy","PX_LAST",valDate,valDate)/100</f>
        <v>1.4800000000000001E-2</v>
      </c>
      <c r="I123" s="32">
        <f t="shared" ca="1" si="17"/>
        <v>9.4224999999999989E-2</v>
      </c>
      <c r="J123" s="32">
        <f t="shared" ca="1" si="18"/>
        <v>-7.7499999999999999E-3</v>
      </c>
      <c r="K123" s="32">
        <f t="shared" ca="1" si="19"/>
        <v>-1.4675000000000001E-2</v>
      </c>
      <c r="L123" s="32">
        <f t="shared" ca="1" si="20"/>
        <v>4.3E-3</v>
      </c>
      <c r="M123" s="32">
        <f t="shared" ca="1" si="21"/>
        <v>1.4800000000000001E-2</v>
      </c>
    </row>
    <row r="124" spans="2:13" x14ac:dyDescent="0.25">
      <c r="B124" s="1" cm="1">
        <f t="array" aca="1" ref="B124" ca="1">_xll.QDates_FxOptionExpiryFromTenor(valDate,$C$111,C124)</f>
        <v>45789</v>
      </c>
      <c r="C124" s="8" t="s">
        <v>37</v>
      </c>
      <c r="D124" s="16">
        <f ca="1">_xll.BDH($C$112&amp;"V"&amp;$C124&amp;" Curncy","PX_LAST",valDate,valDate)/100</f>
        <v>8.6300000000000002E-2</v>
      </c>
      <c r="E124" s="16">
        <f ca="1">_xll.BDH($C$112&amp;E$112*100&amp;LEFT(E$111,1)&amp;$C124&amp;" Curncy","PX_LAST",valDate,valDate)/100</f>
        <v>-6.875E-3</v>
      </c>
      <c r="F124" s="16">
        <f ca="1">_xll.BDH($C$112&amp;F$112*100&amp;LEFT(F$111,1)&amp;$C124&amp;" Curncy","PX_LAST",valDate,valDate)/100</f>
        <v>-1.3025E-2</v>
      </c>
      <c r="G124" s="16">
        <f ca="1">_xll.BDH($C$112&amp;G$112*100&amp;LEFT(G$111,1)&amp;$C124&amp;" Curncy","PX_LAST",valDate,valDate)/100</f>
        <v>4.2500000000000003E-3</v>
      </c>
      <c r="H124" s="16">
        <f ca="1">_xll.BDH($C$112&amp;H$112*100&amp;LEFT(H$111,1)&amp;$C124&amp;" Curncy","PX_LAST",valDate,valDate)/100</f>
        <v>1.455E-2</v>
      </c>
      <c r="I124" s="32">
        <f t="shared" ca="1" si="17"/>
        <v>9.6299999999999997E-2</v>
      </c>
      <c r="J124" s="32">
        <f t="shared" ca="1" si="18"/>
        <v>-6.875E-3</v>
      </c>
      <c r="K124" s="32">
        <f t="shared" ca="1" si="19"/>
        <v>-1.3025E-2</v>
      </c>
      <c r="L124" s="32">
        <f t="shared" ca="1" si="20"/>
        <v>4.2500000000000003E-3</v>
      </c>
      <c r="M124" s="32">
        <f t="shared" ca="1" si="21"/>
        <v>1.455E-2</v>
      </c>
    </row>
    <row r="126" spans="2:13" x14ac:dyDescent="0.25">
      <c r="C126" s="106" t="s">
        <v>15</v>
      </c>
      <c r="D126" s="106"/>
      <c r="E126" s="106"/>
      <c r="F126" s="106"/>
      <c r="G126" s="106"/>
      <c r="H126" s="106"/>
      <c r="I126" s="8" t="s">
        <v>92</v>
      </c>
      <c r="J126" s="31">
        <v>0.01</v>
      </c>
      <c r="K126" s="30" t="s">
        <v>93</v>
      </c>
      <c r="L126" s="31">
        <v>1</v>
      </c>
      <c r="M126" t="str" cm="1">
        <f t="array" aca="1" ref="M126" ca="1">_xll.QVol_CreateRiskyFlyVolSurface("fxVol_"&amp;C128,LEFT(C128,3)&amp;"/"&amp;RIGHT(C128,3),valDate,J128:K128,B129:B140,I129:I140,J129:K140,L129:M140,,,"Market",,,C129:C140,,"2b")</f>
        <v>fxVol_AUDUSD¬1</v>
      </c>
    </row>
    <row r="127" spans="2:13" x14ac:dyDescent="0.25">
      <c r="C127" s="25" t="str">
        <f ca="1">VLOOKUP(C128,$H$21:$I$27,2,FALSE)</f>
        <v>AUD/USD¬1</v>
      </c>
      <c r="D127" s="25"/>
      <c r="E127" s="29" t="s">
        <v>88</v>
      </c>
      <c r="F127" s="29" t="s">
        <v>88</v>
      </c>
      <c r="G127" s="29" t="s">
        <v>89</v>
      </c>
      <c r="H127" s="29" t="s">
        <v>89</v>
      </c>
      <c r="I127" s="25"/>
      <c r="J127" s="29" t="s">
        <v>88</v>
      </c>
      <c r="K127" s="29" t="s">
        <v>88</v>
      </c>
      <c r="L127" s="29" t="s">
        <v>89</v>
      </c>
      <c r="M127" s="29" t="s">
        <v>89</v>
      </c>
    </row>
    <row r="128" spans="2:13" ht="15.75" thickBot="1" x14ac:dyDescent="0.3">
      <c r="C128" s="26" t="s">
        <v>91</v>
      </c>
      <c r="D128" s="27" t="s">
        <v>86</v>
      </c>
      <c r="E128" s="28">
        <v>0.25</v>
      </c>
      <c r="F128" s="28">
        <v>0.1</v>
      </c>
      <c r="G128" s="28">
        <v>0.25</v>
      </c>
      <c r="H128" s="28">
        <v>0.1</v>
      </c>
      <c r="I128" s="27" t="s">
        <v>86</v>
      </c>
      <c r="J128" s="28">
        <v>0.25</v>
      </c>
      <c r="K128" s="28">
        <v>0.1</v>
      </c>
      <c r="L128" s="28">
        <v>0.25</v>
      </c>
      <c r="M128" s="28">
        <v>0.1</v>
      </c>
    </row>
    <row r="129" spans="1:13" x14ac:dyDescent="0.25">
      <c r="B129" s="1" cm="1">
        <f t="array" aca="1" ref="B129" ca="1">_xll.QDates_FxOptionExpiryFromTenor(valDate,$C$127,C129)</f>
        <v>43970</v>
      </c>
      <c r="C129" s="8" t="s">
        <v>26</v>
      </c>
      <c r="D129" s="16">
        <f ca="1">_xll.BDH($C$128&amp;"V"&amp;$C129&amp;" Curncy","PX_LAST",valDate,valDate)/100</f>
        <v>0.13214999999999999</v>
      </c>
      <c r="E129" s="16">
        <f ca="1">_xll.BDH($C$128&amp;E$128*100&amp;LEFT(E$127,1)&amp;$C129&amp;" Curncy","PX_LAST",valDate,valDate)/100</f>
        <v>-1.7600000000000001E-2</v>
      </c>
      <c r="F129" s="16">
        <f ca="1">_xll.BDH($C$128&amp;F$128*100&amp;LEFT(F$127,1)&amp;$C129&amp;" Curncy","PX_LAST",valDate,valDate)/100</f>
        <v>-3.1099999999999999E-2</v>
      </c>
      <c r="G129" s="16">
        <f ca="1">_xll.BDH($C$128&amp;G$128*100&amp;LEFT(G$127,1)&amp;$C129&amp;" Curncy","PX_LAST",valDate,valDate)/100</f>
        <v>4.5500000000000002E-3</v>
      </c>
      <c r="H129" s="16">
        <f ca="1">_xll.BDH($C$128&amp;H$128*100&amp;LEFT(H$127,1)&amp;$C129&amp;" Curncy","PX_LAST",valDate,valDate)/100</f>
        <v>1.3900000000000001E-2</v>
      </c>
      <c r="I129" s="32">
        <f t="shared" ref="I129:I140" ca="1" si="22">D129+$J$126</f>
        <v>0.14215</v>
      </c>
      <c r="J129" s="32">
        <f t="shared" ref="J129:J140" ca="1" si="23">E129*$L$126</f>
        <v>-1.7600000000000001E-2</v>
      </c>
      <c r="K129" s="32">
        <f t="shared" ref="K129:K140" ca="1" si="24">F129*$L$126</f>
        <v>-3.1099999999999999E-2</v>
      </c>
      <c r="L129" s="32">
        <f t="shared" ref="L129:L140" ca="1" si="25">G129*$L$126</f>
        <v>4.5500000000000002E-3</v>
      </c>
      <c r="M129" s="32">
        <f t="shared" ref="M129:M140" ca="1" si="26">H129*$L$126</f>
        <v>1.3900000000000001E-2</v>
      </c>
    </row>
    <row r="130" spans="1:13" x14ac:dyDescent="0.25">
      <c r="B130" s="1" cm="1">
        <f t="array" aca="1" ref="B130" ca="1">_xll.QDates_FxOptionExpiryFromTenor(valDate,$C$127,C130)</f>
        <v>43993</v>
      </c>
      <c r="C130" s="8" t="s">
        <v>28</v>
      </c>
      <c r="D130" s="16">
        <f ca="1">_xll.BDH($C$128&amp;"V"&amp;$C130&amp;" Curncy","PX_LAST",valDate,valDate)/100</f>
        <v>0.127275</v>
      </c>
      <c r="E130" s="16">
        <f ca="1">_xll.BDH($C$128&amp;E$128*100&amp;LEFT(E$127,1)&amp;$C130&amp;" Curncy","PX_LAST",valDate,valDate)/100</f>
        <v>-2.5499999999999998E-2</v>
      </c>
      <c r="F130" s="16">
        <f ca="1">_xll.BDH($C$128&amp;F$128*100&amp;LEFT(F$127,1)&amp;$C130&amp;" Curncy","PX_LAST",valDate,valDate)/100</f>
        <v>-4.5575000000000004E-2</v>
      </c>
      <c r="G130" s="16">
        <f ca="1">_xll.BDH($C$128&amp;G$128*100&amp;LEFT(G$127,1)&amp;$C130&amp;" Curncy","PX_LAST",valDate,valDate)/100</f>
        <v>5.8250000000000003E-3</v>
      </c>
      <c r="H130" s="16">
        <f ca="1">_xll.BDH($C$128&amp;H$128*100&amp;LEFT(H$127,1)&amp;$C130&amp;" Curncy","PX_LAST",valDate,valDate)/100</f>
        <v>1.7475000000000001E-2</v>
      </c>
      <c r="I130" s="32">
        <f t="shared" ca="1" si="22"/>
        <v>0.13727500000000001</v>
      </c>
      <c r="J130" s="32">
        <f t="shared" ca="1" si="23"/>
        <v>-2.5499999999999998E-2</v>
      </c>
      <c r="K130" s="32">
        <f t="shared" ca="1" si="24"/>
        <v>-4.5575000000000004E-2</v>
      </c>
      <c r="L130" s="32">
        <f t="shared" ca="1" si="25"/>
        <v>5.8250000000000003E-3</v>
      </c>
      <c r="M130" s="32">
        <f t="shared" ca="1" si="26"/>
        <v>1.7475000000000001E-2</v>
      </c>
    </row>
    <row r="131" spans="1:13" x14ac:dyDescent="0.25">
      <c r="B131" s="1" cm="1">
        <f t="array" aca="1" ref="B131" ca="1">_xll.QDates_FxOptionExpiryFromTenor(valDate,$C$127,C131)</f>
        <v>44022</v>
      </c>
      <c r="C131" s="8" t="s">
        <v>29</v>
      </c>
      <c r="D131" s="16">
        <f ca="1">_xll.BDH($C$128&amp;"V"&amp;$C131&amp;" Curncy","PX_LAST",valDate,valDate)/100</f>
        <v>0.1235</v>
      </c>
      <c r="E131" s="16">
        <f ca="1">_xll.BDH($C$128&amp;E$128*100&amp;LEFT(E$127,1)&amp;$C131&amp;" Curncy","PX_LAST",valDate,valDate)/100</f>
        <v>-2.9050000000000003E-2</v>
      </c>
      <c r="F131" s="16">
        <f ca="1">_xll.BDH($C$128&amp;F$128*100&amp;LEFT(F$127,1)&amp;$C131&amp;" Curncy","PX_LAST",valDate,valDate)/100</f>
        <v>-5.1950000000000003E-2</v>
      </c>
      <c r="G131" s="16">
        <f ca="1">_xll.BDH($C$128&amp;G$128*100&amp;LEFT(G$127,1)&amp;$C131&amp;" Curncy","PX_LAST",valDate,valDate)/100</f>
        <v>6.4000000000000003E-3</v>
      </c>
      <c r="H131" s="16">
        <f ca="1">_xll.BDH($C$128&amp;H$128*100&amp;LEFT(H$127,1)&amp;$C131&amp;" Curncy","PX_LAST",valDate,valDate)/100</f>
        <v>1.9E-2</v>
      </c>
      <c r="I131" s="32">
        <f t="shared" ca="1" si="22"/>
        <v>0.13350000000000001</v>
      </c>
      <c r="J131" s="32">
        <f t="shared" ca="1" si="23"/>
        <v>-2.9050000000000003E-2</v>
      </c>
      <c r="K131" s="32">
        <f t="shared" ca="1" si="24"/>
        <v>-5.1950000000000003E-2</v>
      </c>
      <c r="L131" s="32">
        <f t="shared" ca="1" si="25"/>
        <v>6.4000000000000003E-3</v>
      </c>
      <c r="M131" s="32">
        <f t="shared" ca="1" si="26"/>
        <v>1.9E-2</v>
      </c>
    </row>
    <row r="132" spans="1:13" x14ac:dyDescent="0.25">
      <c r="B132" s="1" cm="1">
        <f t="array" aca="1" ref="B132" ca="1">_xll.QDates_FxOptionExpiryFromTenor(valDate,$C$127,C132)</f>
        <v>44055</v>
      </c>
      <c r="C132" s="8" t="s">
        <v>30</v>
      </c>
      <c r="D132" s="16">
        <f ca="1">_xll.BDH($C$128&amp;"V"&amp;$C132&amp;" Curncy","PX_LAST",valDate,valDate)/100</f>
        <v>0.121075</v>
      </c>
      <c r="E132" s="16">
        <f ca="1">_xll.BDH($C$128&amp;E$128*100&amp;LEFT(E$127,1)&amp;$C132&amp;" Curncy","PX_LAST",valDate,valDate)/100</f>
        <v>-3.1150000000000001E-2</v>
      </c>
      <c r="F132" s="16">
        <f ca="1">_xll.BDH($C$128&amp;F$128*100&amp;LEFT(F$127,1)&amp;$C132&amp;" Curncy","PX_LAST",valDate,valDate)/100</f>
        <v>-5.5875000000000001E-2</v>
      </c>
      <c r="G132" s="16">
        <f ca="1">_xll.BDH($C$128&amp;G$128*100&amp;LEFT(G$127,1)&amp;$C132&amp;" Curncy","PX_LAST",valDate,valDate)/100</f>
        <v>6.7749999999999998E-3</v>
      </c>
      <c r="H132" s="16">
        <f ca="1">_xll.BDH($C$128&amp;H$128*100&amp;LEFT(H$127,1)&amp;$C132&amp;" Curncy","PX_LAST",valDate,valDate)/100</f>
        <v>2.0400000000000001E-2</v>
      </c>
      <c r="I132" s="32">
        <f t="shared" ca="1" si="22"/>
        <v>0.131075</v>
      </c>
      <c r="J132" s="32">
        <f t="shared" ca="1" si="23"/>
        <v>-3.1150000000000001E-2</v>
      </c>
      <c r="K132" s="32">
        <f t="shared" ca="1" si="24"/>
        <v>-5.5875000000000001E-2</v>
      </c>
      <c r="L132" s="32">
        <f t="shared" ca="1" si="25"/>
        <v>6.7749999999999998E-3</v>
      </c>
      <c r="M132" s="32">
        <f t="shared" ca="1" si="26"/>
        <v>2.0400000000000001E-2</v>
      </c>
    </row>
    <row r="133" spans="1:13" x14ac:dyDescent="0.25">
      <c r="B133" s="1" cm="1">
        <f t="array" aca="1" ref="B133" ca="1">_xll.QDates_FxOptionExpiryFromTenor(valDate,$C$127,C133)</f>
        <v>44147</v>
      </c>
      <c r="C133" s="8" t="s">
        <v>31</v>
      </c>
      <c r="D133" s="16">
        <f ca="1">_xll.BDH($C$128&amp;"V"&amp;$C133&amp;" Curncy","PX_LAST",valDate,valDate)/100</f>
        <v>0.1211</v>
      </c>
      <c r="E133" s="16">
        <f ca="1">_xll.BDH($C$128&amp;E$128*100&amp;LEFT(E$127,1)&amp;$C133&amp;" Curncy","PX_LAST",valDate,valDate)/100</f>
        <v>-3.49E-2</v>
      </c>
      <c r="F133" s="16">
        <f ca="1">_xll.BDH($C$128&amp;F$128*100&amp;LEFT(F$127,1)&amp;$C133&amp;" Curncy","PX_LAST",valDate,valDate)/100</f>
        <v>-6.2649999999999997E-2</v>
      </c>
      <c r="G133" s="16">
        <f ca="1">_xll.BDH($C$128&amp;G$128*100&amp;LEFT(G$127,1)&amp;$C133&amp;" Curncy","PX_LAST",valDate,valDate)/100</f>
        <v>7.4000000000000003E-3</v>
      </c>
      <c r="H133" s="16">
        <f ca="1">_xll.BDH($C$128&amp;H$128*100&amp;LEFT(H$127,1)&amp;$C133&amp;" Curncy","PX_LAST",valDate,valDate)/100</f>
        <v>2.1899999999999999E-2</v>
      </c>
      <c r="I133" s="32">
        <f t="shared" ca="1" si="22"/>
        <v>0.13109999999999999</v>
      </c>
      <c r="J133" s="32">
        <f t="shared" ca="1" si="23"/>
        <v>-3.49E-2</v>
      </c>
      <c r="K133" s="32">
        <f t="shared" ca="1" si="24"/>
        <v>-6.2649999999999997E-2</v>
      </c>
      <c r="L133" s="32">
        <f t="shared" ca="1" si="25"/>
        <v>7.4000000000000003E-3</v>
      </c>
      <c r="M133" s="32">
        <f t="shared" ca="1" si="26"/>
        <v>2.1899999999999999E-2</v>
      </c>
    </row>
    <row r="134" spans="1:13" x14ac:dyDescent="0.25">
      <c r="B134" s="1" cm="1">
        <f t="array" aca="1" ref="B134" ca="1">_xll.QDates_FxOptionExpiryFromTenor(valDate,$C$127,C134)</f>
        <v>44238</v>
      </c>
      <c r="C134" s="8" t="s">
        <v>32</v>
      </c>
      <c r="D134" s="16">
        <f ca="1">_xll.BDH($C$128&amp;"V"&amp;$C134&amp;" Curncy","PX_LAST",valDate,valDate)/100</f>
        <v>0.11845</v>
      </c>
      <c r="E134" s="16">
        <f ca="1">_xll.BDH($C$128&amp;E$128*100&amp;LEFT(E$127,1)&amp;$C134&amp;" Curncy","PX_LAST",valDate,valDate)/100</f>
        <v>-3.6025000000000001E-2</v>
      </c>
      <c r="F134" s="16">
        <f ca="1">_xll.BDH($C$128&amp;F$128*100&amp;LEFT(F$127,1)&amp;$C134&amp;" Curncy","PX_LAST",valDate,valDate)/100</f>
        <v>-6.5099999999999991E-2</v>
      </c>
      <c r="G134" s="16">
        <f ca="1">_xll.BDH($C$128&amp;G$128*100&amp;LEFT(G$127,1)&amp;$C134&amp;" Curncy","PX_LAST",valDate,valDate)/100</f>
        <v>7.6E-3</v>
      </c>
      <c r="H134" s="16">
        <f ca="1">_xll.BDH($C$128&amp;H$128*100&amp;LEFT(H$127,1)&amp;$C134&amp;" Curncy","PX_LAST",valDate,valDate)/100</f>
        <v>2.2475000000000002E-2</v>
      </c>
      <c r="I134" s="32">
        <f t="shared" ca="1" si="22"/>
        <v>0.12845000000000001</v>
      </c>
      <c r="J134" s="32">
        <f t="shared" ca="1" si="23"/>
        <v>-3.6025000000000001E-2</v>
      </c>
      <c r="K134" s="32">
        <f t="shared" ca="1" si="24"/>
        <v>-6.5099999999999991E-2</v>
      </c>
      <c r="L134" s="32">
        <f t="shared" ca="1" si="25"/>
        <v>7.6E-3</v>
      </c>
      <c r="M134" s="32">
        <f t="shared" ca="1" si="26"/>
        <v>2.2475000000000002E-2</v>
      </c>
    </row>
    <row r="135" spans="1:13" x14ac:dyDescent="0.25">
      <c r="B135" s="1" cm="1">
        <f t="array" aca="1" ref="B135" ca="1">_xll.QDates_FxOptionExpiryFromTenor(valDate,$C$127,C135)</f>
        <v>44328</v>
      </c>
      <c r="C135" s="8" t="s">
        <v>71</v>
      </c>
      <c r="D135" s="16">
        <f ca="1">_xll.BDH($C$128&amp;"V"&amp;$C135&amp;" Curncy","PX_LAST",valDate,valDate)/100</f>
        <v>0.117325</v>
      </c>
      <c r="E135" s="16">
        <f ca="1">_xll.BDH($C$128&amp;E$128*100&amp;LEFT(E$127,1)&amp;$C135&amp;" Curncy","PX_LAST",valDate,valDate)/100</f>
        <v>-3.6749999999999998E-2</v>
      </c>
      <c r="F135" s="16">
        <f ca="1">_xll.BDH($C$128&amp;F$128*100&amp;LEFT(F$127,1)&amp;$C135&amp;" Curncy","PX_LAST",valDate,valDate)/100</f>
        <v>-6.6449999999999995E-2</v>
      </c>
      <c r="G135" s="16">
        <f ca="1">_xll.BDH($C$128&amp;G$128*100&amp;LEFT(G$127,1)&amp;$C135&amp;" Curncy","PX_LAST",valDate,valDate)/100</f>
        <v>7.7749999999999998E-3</v>
      </c>
      <c r="H135" s="16">
        <f ca="1">_xll.BDH($C$128&amp;H$128*100&amp;LEFT(H$127,1)&amp;$C135&amp;" Curncy","PX_LAST",valDate,valDate)/100</f>
        <v>2.2850000000000002E-2</v>
      </c>
      <c r="I135" s="32">
        <f t="shared" ca="1" si="22"/>
        <v>0.12732499999999999</v>
      </c>
      <c r="J135" s="32">
        <f t="shared" ca="1" si="23"/>
        <v>-3.6749999999999998E-2</v>
      </c>
      <c r="K135" s="32">
        <f t="shared" ca="1" si="24"/>
        <v>-6.6449999999999995E-2</v>
      </c>
      <c r="L135" s="32">
        <f t="shared" ca="1" si="25"/>
        <v>7.7749999999999998E-3</v>
      </c>
      <c r="M135" s="32">
        <f t="shared" ca="1" si="26"/>
        <v>2.2850000000000002E-2</v>
      </c>
    </row>
    <row r="136" spans="1:13" x14ac:dyDescent="0.25">
      <c r="B136" s="1" cm="1">
        <f t="array" aca="1" ref="B136" ca="1">_xll.QDates_FxOptionExpiryFromTenor(valDate,$C$127,C136)</f>
        <v>44510</v>
      </c>
      <c r="C136" s="8" t="s">
        <v>34</v>
      </c>
      <c r="D136" s="16">
        <f ca="1">_xll.BDH($C$128&amp;"V"&amp;$C136&amp;" Curncy","PX_LAST",valDate,valDate)/100</f>
        <v>0.11914999999999999</v>
      </c>
      <c r="E136" s="16">
        <f ca="1">_xll.BDH($C$128&amp;E$128*100&amp;LEFT(E$127,1)&amp;$C136&amp;" Curncy","PX_LAST",valDate,valDate)/100</f>
        <v>-3.6600000000000001E-2</v>
      </c>
      <c r="F136" s="16">
        <f ca="1">_xll.BDH($C$128&amp;F$128*100&amp;LEFT(F$127,1)&amp;$C136&amp;" Curncy","PX_LAST",valDate,valDate)/100</f>
        <v>-6.6500000000000004E-2</v>
      </c>
      <c r="G136" s="16">
        <f ca="1">_xll.BDH($C$128&amp;G$128*100&amp;LEFT(G$127,1)&amp;$C136&amp;" Curncy","PX_LAST",valDate,valDate)/100</f>
        <v>7.6500000000000005E-3</v>
      </c>
      <c r="H136" s="16">
        <f ca="1">_xll.BDH($C$128&amp;H$128*100&amp;LEFT(H$127,1)&amp;$C136&amp;" Curncy","PX_LAST",valDate,valDate)/100</f>
        <v>2.2550000000000001E-2</v>
      </c>
      <c r="I136" s="32">
        <f t="shared" ca="1" si="22"/>
        <v>0.12914999999999999</v>
      </c>
      <c r="J136" s="32">
        <f t="shared" ca="1" si="23"/>
        <v>-3.6600000000000001E-2</v>
      </c>
      <c r="K136" s="32">
        <f t="shared" ca="1" si="24"/>
        <v>-6.6500000000000004E-2</v>
      </c>
      <c r="L136" s="32">
        <f t="shared" ca="1" si="25"/>
        <v>7.6500000000000005E-3</v>
      </c>
      <c r="M136" s="32">
        <f t="shared" ca="1" si="26"/>
        <v>2.2550000000000001E-2</v>
      </c>
    </row>
    <row r="137" spans="1:13" x14ac:dyDescent="0.25">
      <c r="B137" s="1" cm="1">
        <f t="array" aca="1" ref="B137" ca="1">_xll.QDates_FxOptionExpiryFromTenor(valDate,$C$127,C137)</f>
        <v>44693</v>
      </c>
      <c r="C137" s="8" t="s">
        <v>35</v>
      </c>
      <c r="D137" s="16">
        <f ca="1">_xll.BDH($C$128&amp;"V"&amp;$C137&amp;" Curncy","PX_LAST",valDate,valDate)/100</f>
        <v>0.1198</v>
      </c>
      <c r="E137" s="16">
        <f ca="1">_xll.BDH($C$128&amp;E$128*100&amp;LEFT(E$127,1)&amp;$C137&amp;" Curncy","PX_LAST",valDate,valDate)/100</f>
        <v>-3.7525000000000003E-2</v>
      </c>
      <c r="F137" s="16">
        <f ca="1">_xll.BDH($C$128&amp;F$128*100&amp;LEFT(F$127,1)&amp;$C137&amp;" Curncy","PX_LAST",valDate,valDate)/100</f>
        <v>-6.8250000000000005E-2</v>
      </c>
      <c r="G137" s="16">
        <f ca="1">_xll.BDH($C$128&amp;G$128*100&amp;LEFT(G$127,1)&amp;$C137&amp;" Curncy","PX_LAST",valDate,valDate)/100</f>
        <v>7.6749999999999995E-3</v>
      </c>
      <c r="H137" s="16">
        <f ca="1">_xll.BDH($C$128&amp;H$128*100&amp;LEFT(H$127,1)&amp;$C137&amp;" Curncy","PX_LAST",valDate,valDate)/100</f>
        <v>2.3399999999999997E-2</v>
      </c>
      <c r="I137" s="32">
        <f t="shared" ca="1" si="22"/>
        <v>0.1298</v>
      </c>
      <c r="J137" s="32">
        <f t="shared" ca="1" si="23"/>
        <v>-3.7525000000000003E-2</v>
      </c>
      <c r="K137" s="32">
        <f t="shared" ca="1" si="24"/>
        <v>-6.8250000000000005E-2</v>
      </c>
      <c r="L137" s="32">
        <f t="shared" ca="1" si="25"/>
        <v>7.6749999999999995E-3</v>
      </c>
      <c r="M137" s="32">
        <f t="shared" ca="1" si="26"/>
        <v>2.3399999999999997E-2</v>
      </c>
    </row>
    <row r="138" spans="1:13" x14ac:dyDescent="0.25">
      <c r="B138" s="1" cm="1">
        <f t="array" aca="1" ref="B138" ca="1">_xll.QDates_FxOptionExpiryFromTenor(valDate,$C$127,C138)</f>
        <v>45057</v>
      </c>
      <c r="C138" s="8" t="s">
        <v>36</v>
      </c>
      <c r="D138" s="16">
        <f ca="1">_xll.BDH($C$128&amp;"V"&amp;$C138&amp;" Curncy","PX_LAST",valDate,valDate)/100</f>
        <v>0.1226</v>
      </c>
      <c r="E138" s="16">
        <f ca="1">_xll.BDH($C$128&amp;E$128*100&amp;LEFT(E$127,1)&amp;$C138&amp;" Curncy","PX_LAST",valDate,valDate)/100</f>
        <v>-3.9199999999999999E-2</v>
      </c>
      <c r="F138" s="16">
        <f ca="1">_xll.BDH($C$128&amp;F$128*100&amp;LEFT(F$127,1)&amp;$C138&amp;" Curncy","PX_LAST",valDate,valDate)/100</f>
        <v>-7.1775000000000005E-2</v>
      </c>
      <c r="G138" s="16">
        <f ca="1">_xll.BDH($C$128&amp;G$128*100&amp;LEFT(G$127,1)&amp;$C138&amp;" Curncy","PX_LAST",valDate,valDate)/100</f>
        <v>7.6E-3</v>
      </c>
      <c r="H138" s="16">
        <f ca="1">_xll.BDH($C$128&amp;H$128*100&amp;LEFT(H$127,1)&amp;$C138&amp;" Curncy","PX_LAST",valDate,valDate)/100</f>
        <v>2.4474999999999997E-2</v>
      </c>
      <c r="I138" s="32">
        <f t="shared" ca="1" si="22"/>
        <v>0.1326</v>
      </c>
      <c r="J138" s="32">
        <f t="shared" ca="1" si="23"/>
        <v>-3.9199999999999999E-2</v>
      </c>
      <c r="K138" s="32">
        <f t="shared" ca="1" si="24"/>
        <v>-7.1775000000000005E-2</v>
      </c>
      <c r="L138" s="32">
        <f t="shared" ca="1" si="25"/>
        <v>7.6E-3</v>
      </c>
      <c r="M138" s="32">
        <f t="shared" ca="1" si="26"/>
        <v>2.4474999999999997E-2</v>
      </c>
    </row>
    <row r="139" spans="1:13" x14ac:dyDescent="0.25">
      <c r="B139" s="1" cm="1">
        <f t="array" aca="1" ref="B139" ca="1">_xll.QDates_FxOptionExpiryFromTenor(valDate,$C$127,C139)</f>
        <v>45422</v>
      </c>
      <c r="C139" s="8" t="s">
        <v>58</v>
      </c>
      <c r="D139" s="16">
        <f ca="1">_xll.BDH($C$128&amp;"V"&amp;$C139&amp;" Curncy","PX_LAST",valDate,valDate)/100</f>
        <v>0.123975</v>
      </c>
      <c r="E139" s="16">
        <f ca="1">_xll.BDH($C$128&amp;E$128*100&amp;LEFT(E$127,1)&amp;$C139&amp;" Curncy","PX_LAST",valDate,valDate)/100</f>
        <v>-4.0500000000000001E-2</v>
      </c>
      <c r="F139" s="16">
        <f ca="1">_xll.BDH($C$128&amp;F$128*100&amp;LEFT(F$127,1)&amp;$C139&amp;" Curncy","PX_LAST",valDate,valDate)/100</f>
        <v>-7.4575000000000002E-2</v>
      </c>
      <c r="G139" s="16">
        <f ca="1">_xll.BDH($C$128&amp;G$128*100&amp;LEFT(G$127,1)&amp;$C139&amp;" Curncy","PX_LAST",valDate,valDate)/100</f>
        <v>7.6500000000000005E-3</v>
      </c>
      <c r="H139" s="16">
        <f ca="1">_xll.BDH($C$128&amp;H$128*100&amp;LEFT(H$127,1)&amp;$C139&amp;" Curncy","PX_LAST",valDate,valDate)/100</f>
        <v>2.4874999999999998E-2</v>
      </c>
      <c r="I139" s="32">
        <f t="shared" ca="1" si="22"/>
        <v>0.13397500000000001</v>
      </c>
      <c r="J139" s="32">
        <f t="shared" ca="1" si="23"/>
        <v>-4.0500000000000001E-2</v>
      </c>
      <c r="K139" s="32">
        <f t="shared" ca="1" si="24"/>
        <v>-7.4575000000000002E-2</v>
      </c>
      <c r="L139" s="32">
        <f t="shared" ca="1" si="25"/>
        <v>7.6500000000000005E-3</v>
      </c>
      <c r="M139" s="32">
        <f t="shared" ca="1" si="26"/>
        <v>2.4874999999999998E-2</v>
      </c>
    </row>
    <row r="140" spans="1:13" x14ac:dyDescent="0.25">
      <c r="B140" s="1" cm="1">
        <f t="array" aca="1" ref="B140" ca="1">_xll.QDates_FxOptionExpiryFromTenor(valDate,$C$127,C140)</f>
        <v>45789</v>
      </c>
      <c r="C140" s="8" t="s">
        <v>37</v>
      </c>
      <c r="D140" s="16">
        <f ca="1">_xll.BDH($C$128&amp;"V"&amp;$C140&amp;" Curncy","PX_LAST",valDate,valDate)/100</f>
        <v>0.12517500000000001</v>
      </c>
      <c r="E140" s="16">
        <f ca="1">_xll.BDH($C$128&amp;E$128*100&amp;LEFT(E$127,1)&amp;$C140&amp;" Curncy","PX_LAST",valDate,valDate)/100</f>
        <v>-4.2099999999999999E-2</v>
      </c>
      <c r="F140" s="16">
        <f ca="1">_xll.BDH($C$128&amp;F$128*100&amp;LEFT(F$127,1)&amp;$C140&amp;" Curncy","PX_LAST",valDate,valDate)/100</f>
        <v>-7.7274999999999996E-2</v>
      </c>
      <c r="G140" s="16">
        <f ca="1">_xll.BDH($C$128&amp;G$128*100&amp;LEFT(G$127,1)&amp;$C140&amp;" Curncy","PX_LAST",valDate,valDate)/100</f>
        <v>7.7499999999999999E-3</v>
      </c>
      <c r="H140" s="16">
        <f ca="1">_xll.BDH($C$128&amp;H$128*100&amp;LEFT(H$127,1)&amp;$C140&amp;" Curncy","PX_LAST",valDate,valDate)/100</f>
        <v>2.4975000000000001E-2</v>
      </c>
      <c r="I140" s="32">
        <f t="shared" ca="1" si="22"/>
        <v>0.13517500000000002</v>
      </c>
      <c r="J140" s="32">
        <f t="shared" ca="1" si="23"/>
        <v>-4.2099999999999999E-2</v>
      </c>
      <c r="K140" s="32">
        <f t="shared" ca="1" si="24"/>
        <v>-7.7274999999999996E-2</v>
      </c>
      <c r="L140" s="32">
        <f t="shared" ca="1" si="25"/>
        <v>7.7499999999999999E-3</v>
      </c>
      <c r="M140" s="32">
        <f t="shared" ca="1" si="26"/>
        <v>2.4975000000000001E-2</v>
      </c>
    </row>
    <row r="141" spans="1:13" x14ac:dyDescent="0.25">
      <c r="B141" s="1"/>
      <c r="C141" s="8"/>
      <c r="D141" s="16"/>
      <c r="E141" s="16"/>
      <c r="F141" s="16"/>
      <c r="G141" s="16"/>
      <c r="H141" s="16"/>
      <c r="I141" s="32"/>
      <c r="J141" s="32"/>
      <c r="K141" s="32"/>
      <c r="L141" s="32"/>
      <c r="M141" s="32"/>
    </row>
    <row r="143" spans="1:13" x14ac:dyDescent="0.25">
      <c r="A143" s="3" t="s">
        <v>94</v>
      </c>
      <c r="C143" s="106" t="s">
        <v>15</v>
      </c>
      <c r="D143" s="106"/>
      <c r="E143" s="106"/>
      <c r="F143" s="106"/>
      <c r="G143" s="106"/>
      <c r="H143" s="106"/>
      <c r="I143" s="8" t="s">
        <v>92</v>
      </c>
      <c r="J143" s="31">
        <v>0.01</v>
      </c>
      <c r="K143" s="30" t="s">
        <v>93</v>
      </c>
      <c r="L143" s="31">
        <v>1</v>
      </c>
      <c r="M143" t="str" cm="1">
        <f t="array" aca="1" ref="M143" ca="1">_xll.QVol_CreateRiskyFlyVolSurface("fxVol_"&amp;C145,LEFT(C145,3)&amp;"/"&amp;RIGHT(C145,3),valDate,J145:K145,B146:B157,I146:I157,J146:K157,L146:M157,,,"Market",,,C146:C157,,"2b")</f>
        <v>fxVol_XAUUSD¬1</v>
      </c>
    </row>
    <row r="144" spans="1:13" x14ac:dyDescent="0.25">
      <c r="C144" s="25" t="str">
        <f ca="1">VLOOKUP(C145,$H$21:$I$27,2,FALSE)</f>
        <v>XAU/USD¬1</v>
      </c>
      <c r="D144" s="25"/>
      <c r="E144" s="29" t="s">
        <v>88</v>
      </c>
      <c r="F144" s="29" t="s">
        <v>88</v>
      </c>
      <c r="G144" s="29" t="s">
        <v>89</v>
      </c>
      <c r="H144" s="29" t="s">
        <v>89</v>
      </c>
      <c r="I144" s="25"/>
      <c r="J144" s="29" t="s">
        <v>88</v>
      </c>
      <c r="K144" s="29" t="s">
        <v>88</v>
      </c>
      <c r="L144" s="29" t="s">
        <v>89</v>
      </c>
      <c r="M144" s="29" t="s">
        <v>89</v>
      </c>
    </row>
    <row r="145" spans="2:13" ht="15.75" thickBot="1" x14ac:dyDescent="0.3">
      <c r="C145" s="26" t="s">
        <v>95</v>
      </c>
      <c r="D145" s="27" t="s">
        <v>86</v>
      </c>
      <c r="E145" s="28">
        <v>0.25</v>
      </c>
      <c r="F145" s="28">
        <v>0.1</v>
      </c>
      <c r="G145" s="28">
        <v>0.25</v>
      </c>
      <c r="H145" s="28">
        <v>0.1</v>
      </c>
      <c r="I145" s="27" t="s">
        <v>86</v>
      </c>
      <c r="J145" s="28">
        <v>0.25</v>
      </c>
      <c r="K145" s="28">
        <v>0.1</v>
      </c>
      <c r="L145" s="28">
        <v>0.25</v>
      </c>
      <c r="M145" s="28">
        <v>0.1</v>
      </c>
    </row>
    <row r="146" spans="2:13" x14ac:dyDescent="0.25">
      <c r="B146" s="1" cm="1">
        <f t="array" aca="1" ref="B146" ca="1">_xll.QDates_FxOptionExpiryFromTenor(valDate,$C$144,C146)</f>
        <v>43970</v>
      </c>
      <c r="C146" s="8" t="s">
        <v>26</v>
      </c>
      <c r="D146" s="16">
        <f ca="1">_xll.BDH($C$145&amp;"V"&amp;$C146&amp;" Curncy","PX_LAST",valDate,valDate)/100</f>
        <v>0.189775</v>
      </c>
      <c r="E146" s="16">
        <f ca="1">_xll.BDH($C$145&amp;E$145*100&amp;LEFT(E$144,1)&amp;$C146&amp;" Curncy","PX_LAST",valDate,valDate)/100</f>
        <v>5.1249999999999993E-3</v>
      </c>
      <c r="F146" s="16">
        <f ca="1">_xll.BDH($C$145&amp;F$145*100&amp;LEFT(F$144,1)&amp;$C146&amp;" Curncy","PX_LAST",valDate,valDate)/100</f>
        <v>8.9750000000000003E-3</v>
      </c>
      <c r="G146" s="16">
        <f ca="1">_xll.BDH($C$145&amp;G$145*100&amp;LEFT(G$144,1)&amp;$C146&amp;" Curncy","PX_LAST",valDate,valDate)/100</f>
        <v>9.9750000000000012E-3</v>
      </c>
      <c r="H146" s="16">
        <f ca="1">_xll.BDH($C$145&amp;H$145*100&amp;LEFT(H$144,1)&amp;$C146&amp;" Curncy","PX_LAST",valDate,valDate)/100</f>
        <v>3.3849999999999998E-2</v>
      </c>
      <c r="I146" s="32">
        <f t="shared" ref="I146:I157" ca="1" si="27">D146+$J$93</f>
        <v>0.19977500000000001</v>
      </c>
      <c r="J146" s="32">
        <f t="shared" ref="J146:J157" ca="1" si="28">E146*$L$93</f>
        <v>5.1249999999999993E-3</v>
      </c>
      <c r="K146" s="32">
        <f t="shared" ref="K146:K157" ca="1" si="29">F146*$L$93</f>
        <v>8.9750000000000003E-3</v>
      </c>
      <c r="L146" s="32">
        <f t="shared" ref="L146:L157" ca="1" si="30">G146*$L$93</f>
        <v>9.9750000000000012E-3</v>
      </c>
      <c r="M146" s="32">
        <f t="shared" ref="M146:M157" ca="1" si="31">H146*$L$93</f>
        <v>3.3849999999999998E-2</v>
      </c>
    </row>
    <row r="147" spans="2:13" x14ac:dyDescent="0.25">
      <c r="B147" s="1" cm="1">
        <f t="array" aca="1" ref="B147" ca="1">_xll.QDates_FxOptionExpiryFromTenor(valDate,$C$144,C147)</f>
        <v>43993</v>
      </c>
      <c r="C147" s="8" t="s">
        <v>28</v>
      </c>
      <c r="D147" s="16">
        <f ca="1">_xll.BDH($C$145&amp;"V"&amp;$C147&amp;" Curncy","PX_LAST",valDate,valDate)/100</f>
        <v>0.20257500000000001</v>
      </c>
      <c r="E147" s="16">
        <f ca="1">_xll.BDH($C$145&amp;E$145*100&amp;LEFT(E$144,1)&amp;$C147&amp;" Curncy","PX_LAST",valDate,valDate)/100</f>
        <v>1.345E-2</v>
      </c>
      <c r="F147" s="16">
        <f ca="1">_xll.BDH($C$145&amp;F$145*100&amp;LEFT(F$144,1)&amp;$C147&amp;" Curncy","PX_LAST",valDate,valDate)/100</f>
        <v>2.18E-2</v>
      </c>
      <c r="G147" s="16">
        <f ca="1">_xll.BDH($C$145&amp;G$145*100&amp;LEFT(G$144,1)&amp;$C147&amp;" Curncy","PX_LAST",valDate,valDate)/100</f>
        <v>1.0475000000000002E-2</v>
      </c>
      <c r="H147" s="16">
        <f ca="1">_xll.BDH($C$145&amp;H$145*100&amp;LEFT(H$144,1)&amp;$C147&amp;" Curncy","PX_LAST",valDate,valDate)/100</f>
        <v>3.49E-2</v>
      </c>
      <c r="I147" s="32">
        <f t="shared" ca="1" si="27"/>
        <v>0.21257500000000001</v>
      </c>
      <c r="J147" s="32">
        <f t="shared" ca="1" si="28"/>
        <v>1.345E-2</v>
      </c>
      <c r="K147" s="32">
        <f t="shared" ca="1" si="29"/>
        <v>2.18E-2</v>
      </c>
      <c r="L147" s="32">
        <f t="shared" ca="1" si="30"/>
        <v>1.0475000000000002E-2</v>
      </c>
      <c r="M147" s="32">
        <f t="shared" ca="1" si="31"/>
        <v>3.49E-2</v>
      </c>
    </row>
    <row r="148" spans="2:13" x14ac:dyDescent="0.25">
      <c r="B148" s="1" cm="1">
        <f t="array" aca="1" ref="B148" ca="1">_xll.QDates_FxOptionExpiryFromTenor(valDate,$C$144,C148)</f>
        <v>44022</v>
      </c>
      <c r="C148" s="8" t="s">
        <v>29</v>
      </c>
      <c r="D148" s="16">
        <f ca="1">_xll.BDH($C$145&amp;"V"&amp;$C148&amp;" Curncy","PX_LAST",valDate,valDate)/100</f>
        <v>0.20749999999999999</v>
      </c>
      <c r="E148" s="16">
        <f ca="1">_xll.BDH($C$145&amp;E$145*100&amp;LEFT(E$144,1)&amp;$C148&amp;" Curncy","PX_LAST",valDate,valDate)/100</f>
        <v>1.6375000000000001E-2</v>
      </c>
      <c r="F148" s="16">
        <f ca="1">_xll.BDH($C$145&amp;F$145*100&amp;LEFT(F$144,1)&amp;$C148&amp;" Curncy","PX_LAST",valDate,valDate)/100</f>
        <v>2.7425000000000001E-2</v>
      </c>
      <c r="G148" s="16">
        <f ca="1">_xll.BDH($C$145&amp;G$145*100&amp;LEFT(G$144,1)&amp;$C148&amp;" Curncy","PX_LAST",valDate,valDate)/100</f>
        <v>1.095E-2</v>
      </c>
      <c r="H148" s="16">
        <f ca="1">_xll.BDH($C$145&amp;H$145*100&amp;LEFT(H$144,1)&amp;$C148&amp;" Curncy","PX_LAST",valDate,valDate)/100</f>
        <v>3.6749999999999998E-2</v>
      </c>
      <c r="I148" s="32">
        <f t="shared" ca="1" si="27"/>
        <v>0.2175</v>
      </c>
      <c r="J148" s="32">
        <f t="shared" ca="1" si="28"/>
        <v>1.6375000000000001E-2</v>
      </c>
      <c r="K148" s="32">
        <f t="shared" ca="1" si="29"/>
        <v>2.7425000000000001E-2</v>
      </c>
      <c r="L148" s="32">
        <f t="shared" ca="1" si="30"/>
        <v>1.095E-2</v>
      </c>
      <c r="M148" s="32">
        <f t="shared" ca="1" si="31"/>
        <v>3.6749999999999998E-2</v>
      </c>
    </row>
    <row r="149" spans="2:13" x14ac:dyDescent="0.25">
      <c r="B149" s="1" cm="1">
        <f t="array" aca="1" ref="B149" ca="1">_xll.QDates_FxOptionExpiryFromTenor(valDate,$C$144,C149)</f>
        <v>44055</v>
      </c>
      <c r="C149" s="8" t="s">
        <v>30</v>
      </c>
      <c r="D149" s="16">
        <f ca="1">_xll.BDH($C$145&amp;"V"&amp;$C149&amp;" Curncy","PX_LAST",valDate,valDate)/100</f>
        <v>0.21149999999999999</v>
      </c>
      <c r="E149" s="16">
        <f ca="1">_xll.BDH($C$145&amp;E$145*100&amp;LEFT(E$144,1)&amp;$C149&amp;" Curncy","PX_LAST",valDate,valDate)/100</f>
        <v>1.9824999999999999E-2</v>
      </c>
      <c r="F149" s="16">
        <f ca="1">_xll.BDH($C$145&amp;F$145*100&amp;LEFT(F$144,1)&amp;$C149&amp;" Curncy","PX_LAST",valDate,valDate)/100</f>
        <v>3.44E-2</v>
      </c>
      <c r="G149" s="16">
        <f ca="1">_xll.BDH($C$145&amp;G$145*100&amp;LEFT(G$144,1)&amp;$C149&amp;" Curncy","PX_LAST",valDate,valDate)/100</f>
        <v>1.1375E-2</v>
      </c>
      <c r="H149" s="16">
        <f ca="1">_xll.BDH($C$145&amp;H$145*100&amp;LEFT(H$144,1)&amp;$C149&amp;" Curncy","PX_LAST",valDate,valDate)/100</f>
        <v>3.8800000000000001E-2</v>
      </c>
      <c r="I149" s="32">
        <f t="shared" ca="1" si="27"/>
        <v>0.2215</v>
      </c>
      <c r="J149" s="32">
        <f t="shared" ca="1" si="28"/>
        <v>1.9824999999999999E-2</v>
      </c>
      <c r="K149" s="32">
        <f t="shared" ca="1" si="29"/>
        <v>3.44E-2</v>
      </c>
      <c r="L149" s="32">
        <f t="shared" ca="1" si="30"/>
        <v>1.1375E-2</v>
      </c>
      <c r="M149" s="32">
        <f t="shared" ca="1" si="31"/>
        <v>3.8800000000000001E-2</v>
      </c>
    </row>
    <row r="150" spans="2:13" x14ac:dyDescent="0.25">
      <c r="B150" s="1" cm="1">
        <f t="array" aca="1" ref="B150" ca="1">_xll.QDates_FxOptionExpiryFromTenor(valDate,$C$144,C150)</f>
        <v>44147</v>
      </c>
      <c r="C150" s="8" t="s">
        <v>31</v>
      </c>
      <c r="D150" s="16">
        <f ca="1">_xll.BDH($C$145&amp;"V"&amp;$C150&amp;" Curncy","PX_LAST",valDate,valDate)/100</f>
        <v>0.22147500000000001</v>
      </c>
      <c r="E150" s="16">
        <f ca="1">_xll.BDH($C$145&amp;E$145*100&amp;LEFT(E$144,1)&amp;$C150&amp;" Curncy","PX_LAST",valDate,valDate)/100</f>
        <v>2.6349999999999998E-2</v>
      </c>
      <c r="F150" s="16">
        <f ca="1">_xll.BDH($C$145&amp;F$145*100&amp;LEFT(F$144,1)&amp;$C150&amp;" Curncy","PX_LAST",valDate,valDate)/100</f>
        <v>4.7550000000000002E-2</v>
      </c>
      <c r="G150" s="16">
        <f ca="1">_xll.BDH($C$145&amp;G$145*100&amp;LEFT(G$144,1)&amp;$C150&amp;" Curncy","PX_LAST",valDate,valDate)/100</f>
        <v>1.2575000000000001E-2</v>
      </c>
      <c r="H150" s="16">
        <f ca="1">_xll.BDH($C$145&amp;H$145*100&amp;LEFT(H$144,1)&amp;$C150&amp;" Curncy","PX_LAST",valDate,valDate)/100</f>
        <v>4.2300000000000004E-2</v>
      </c>
      <c r="I150" s="32">
        <f t="shared" ca="1" si="27"/>
        <v>0.23147500000000001</v>
      </c>
      <c r="J150" s="32">
        <f t="shared" ca="1" si="28"/>
        <v>2.6349999999999998E-2</v>
      </c>
      <c r="K150" s="32">
        <f t="shared" ca="1" si="29"/>
        <v>4.7550000000000002E-2</v>
      </c>
      <c r="L150" s="32">
        <f t="shared" ca="1" si="30"/>
        <v>1.2575000000000001E-2</v>
      </c>
      <c r="M150" s="32">
        <f t="shared" ca="1" si="31"/>
        <v>4.2300000000000004E-2</v>
      </c>
    </row>
    <row r="151" spans="2:13" x14ac:dyDescent="0.25">
      <c r="B151" s="1" cm="1">
        <f t="array" aca="1" ref="B151" ca="1">_xll.QDates_FxOptionExpiryFromTenor(valDate,$C$144,C151)</f>
        <v>44238</v>
      </c>
      <c r="C151" s="8" t="s">
        <v>32</v>
      </c>
      <c r="D151" s="16">
        <f ca="1">_xll.BDH($C$145&amp;"V"&amp;$C151&amp;" Curncy","PX_LAST",valDate,valDate)/100</f>
        <v>0.22537500000000002</v>
      </c>
      <c r="E151" s="16">
        <f ca="1">_xll.BDH($C$145&amp;E$145*100&amp;LEFT(E$144,1)&amp;$C151&amp;" Curncy","PX_LAST",valDate,valDate)/100</f>
        <v>2.98E-2</v>
      </c>
      <c r="F151" s="16">
        <f ca="1">_xll.BDH($C$145&amp;F$145*100&amp;LEFT(F$144,1)&amp;$C151&amp;" Curncy","PX_LAST",valDate,valDate)/100</f>
        <v>5.5750000000000001E-2</v>
      </c>
      <c r="G151" s="16">
        <f ca="1">_xll.BDH($C$145&amp;G$145*100&amp;LEFT(G$144,1)&amp;$C151&amp;" Curncy","PX_LAST",valDate,valDate)/100</f>
        <v>1.3424999999999999E-2</v>
      </c>
      <c r="H151" s="16">
        <f ca="1">_xll.BDH($C$145&amp;H$145*100&amp;LEFT(H$144,1)&amp;$C151&amp;" Curncy","PX_LAST",valDate,valDate)/100</f>
        <v>4.5274999999999996E-2</v>
      </c>
      <c r="I151" s="32">
        <f t="shared" ca="1" si="27"/>
        <v>0.23537500000000003</v>
      </c>
      <c r="J151" s="32">
        <f t="shared" ca="1" si="28"/>
        <v>2.98E-2</v>
      </c>
      <c r="K151" s="32">
        <f t="shared" ca="1" si="29"/>
        <v>5.5750000000000001E-2</v>
      </c>
      <c r="L151" s="32">
        <f t="shared" ca="1" si="30"/>
        <v>1.3424999999999999E-2</v>
      </c>
      <c r="M151" s="32">
        <f t="shared" ca="1" si="31"/>
        <v>4.5274999999999996E-2</v>
      </c>
    </row>
    <row r="152" spans="2:13" x14ac:dyDescent="0.25">
      <c r="B152" s="1" cm="1">
        <f t="array" aca="1" ref="B152" ca="1">_xll.QDates_FxOptionExpiryFromTenor(valDate,$C$144,C152)</f>
        <v>44328</v>
      </c>
      <c r="C152" s="8" t="s">
        <v>71</v>
      </c>
      <c r="D152" s="16">
        <f ca="1">_xll.BDH($C$145&amp;"V"&amp;$C152&amp;" Curncy","PX_LAST",valDate,valDate)/100</f>
        <v>0.22774999999999998</v>
      </c>
      <c r="E152" s="16">
        <f ca="1">_xll.BDH($C$145&amp;E$145*100&amp;LEFT(E$144,1)&amp;$C152&amp;" Curncy","PX_LAST",valDate,valDate)/100</f>
        <v>3.1925000000000002E-2</v>
      </c>
      <c r="F152" s="16">
        <f ca="1">_xll.BDH($C$145&amp;F$145*100&amp;LEFT(F$144,1)&amp;$C152&amp;" Curncy","PX_LAST",valDate,valDate)/100</f>
        <v>6.0949999999999997E-2</v>
      </c>
      <c r="G152" s="16">
        <f ca="1">_xll.BDH($C$145&amp;G$145*100&amp;LEFT(G$144,1)&amp;$C152&amp;" Curncy","PX_LAST",valDate,valDate)/100</f>
        <v>1.4375000000000001E-2</v>
      </c>
      <c r="H152" s="16">
        <f ca="1">_xll.BDH($C$145&amp;H$145*100&amp;LEFT(H$144,1)&amp;$C152&amp;" Curncy","PX_LAST",valDate,valDate)/100</f>
        <v>4.8649999999999999E-2</v>
      </c>
      <c r="I152" s="32">
        <f t="shared" ca="1" si="27"/>
        <v>0.23774999999999999</v>
      </c>
      <c r="J152" s="32">
        <f t="shared" ca="1" si="28"/>
        <v>3.1925000000000002E-2</v>
      </c>
      <c r="K152" s="32">
        <f t="shared" ca="1" si="29"/>
        <v>6.0949999999999997E-2</v>
      </c>
      <c r="L152" s="32">
        <f t="shared" ca="1" si="30"/>
        <v>1.4375000000000001E-2</v>
      </c>
      <c r="M152" s="32">
        <f t="shared" ca="1" si="31"/>
        <v>4.8649999999999999E-2</v>
      </c>
    </row>
    <row r="153" spans="2:13" x14ac:dyDescent="0.25">
      <c r="B153" s="1" cm="1">
        <f t="array" aca="1" ref="B153" ca="1">_xll.QDates_FxOptionExpiryFromTenor(valDate,$C$144,C153)</f>
        <v>44510</v>
      </c>
      <c r="C153" s="8" t="s">
        <v>34</v>
      </c>
      <c r="D153" s="16">
        <f ca="1">_xll.BDH($C$145&amp;"V"&amp;$C153&amp;" Curncy","PX_LAST",valDate,valDate)/100</f>
        <v>0.23274999999999998</v>
      </c>
      <c r="E153" s="16">
        <f ca="1">_xll.BDH($C$145&amp;E$145*100&amp;LEFT(E$144,1)&amp;$C153&amp;" Curncy","PX_LAST",valDate,valDate)/100</f>
        <v>3.27E-2</v>
      </c>
      <c r="F153" s="16">
        <f ca="1">_xll.BDH($C$145&amp;F$145*100&amp;LEFT(F$144,1)&amp;$C153&amp;" Curncy","PX_LAST",valDate,valDate)/100</f>
        <v>6.2199999999999998E-2</v>
      </c>
      <c r="G153" s="16">
        <f ca="1">_xll.BDH($C$145&amp;G$145*100&amp;LEFT(G$144,1)&amp;$C153&amp;" Curncy","PX_LAST",valDate,valDate)/100</f>
        <v>1.5125E-2</v>
      </c>
      <c r="H153" s="16">
        <f ca="1">_xll.BDH($C$145&amp;H$145*100&amp;LEFT(H$144,1)&amp;$C153&amp;" Curncy","PX_LAST",valDate,valDate)/100</f>
        <v>4.9525E-2</v>
      </c>
      <c r="I153" s="32">
        <f t="shared" ca="1" si="27"/>
        <v>0.24274999999999999</v>
      </c>
      <c r="J153" s="32">
        <f t="shared" ca="1" si="28"/>
        <v>3.27E-2</v>
      </c>
      <c r="K153" s="32">
        <f t="shared" ca="1" si="29"/>
        <v>6.2199999999999998E-2</v>
      </c>
      <c r="L153" s="32">
        <f t="shared" ca="1" si="30"/>
        <v>1.5125E-2</v>
      </c>
      <c r="M153" s="32">
        <f t="shared" ca="1" si="31"/>
        <v>4.9525E-2</v>
      </c>
    </row>
    <row r="154" spans="2:13" x14ac:dyDescent="0.25">
      <c r="B154" s="1" cm="1">
        <f t="array" aca="1" ref="B154" ca="1">_xll.QDates_FxOptionExpiryFromTenor(valDate,$C$144,C154)</f>
        <v>44693</v>
      </c>
      <c r="C154" s="8" t="s">
        <v>35</v>
      </c>
      <c r="D154" s="16">
        <f ca="1">_xll.BDH($C$145&amp;"V"&amp;$C154&amp;" Curncy","PX_LAST",valDate,valDate)/100</f>
        <v>0.23545000000000002</v>
      </c>
      <c r="E154" s="16">
        <f ca="1">_xll.BDH($C$145&amp;E$145*100&amp;LEFT(E$144,1)&amp;$C154&amp;" Curncy","PX_LAST",valDate,valDate)/100</f>
        <v>3.5125000000000003E-2</v>
      </c>
      <c r="F154" s="16">
        <f ca="1">_xll.BDH($C$145&amp;F$145*100&amp;LEFT(F$144,1)&amp;$C154&amp;" Curncy","PX_LAST",valDate,valDate)/100</f>
        <v>6.9124999999999992E-2</v>
      </c>
      <c r="G154" s="16">
        <f ca="1">_xll.BDH($C$145&amp;G$145*100&amp;LEFT(G$144,1)&amp;$C154&amp;" Curncy","PX_LAST",valDate,valDate)/100</f>
        <v>1.6125E-2</v>
      </c>
      <c r="H154" s="16">
        <f ca="1">_xll.BDH($C$145&amp;H$145*100&amp;LEFT(H$144,1)&amp;$C154&amp;" Curncy","PX_LAST",valDate,valDate)/100</f>
        <v>5.3574999999999998E-2</v>
      </c>
      <c r="I154" s="32">
        <f t="shared" ca="1" si="27"/>
        <v>0.24545000000000003</v>
      </c>
      <c r="J154" s="32">
        <f t="shared" ca="1" si="28"/>
        <v>3.5125000000000003E-2</v>
      </c>
      <c r="K154" s="32">
        <f t="shared" ca="1" si="29"/>
        <v>6.9124999999999992E-2</v>
      </c>
      <c r="L154" s="32">
        <f t="shared" ca="1" si="30"/>
        <v>1.6125E-2</v>
      </c>
      <c r="M154" s="32">
        <f t="shared" ca="1" si="31"/>
        <v>5.3574999999999998E-2</v>
      </c>
    </row>
    <row r="155" spans="2:13" x14ac:dyDescent="0.25">
      <c r="B155" s="1" cm="1">
        <f t="array" aca="1" ref="B155" ca="1">_xll.QDates_FxOptionExpiryFromTenor(valDate,$C$144,C155)</f>
        <v>45057</v>
      </c>
      <c r="C155" s="8" t="s">
        <v>36</v>
      </c>
      <c r="D155" s="16">
        <f ca="1">_xll.BDH($C$145&amp;"V"&amp;$C155&amp;" Curncy","PX_LAST",valDate,valDate)/100</f>
        <v>0.23925000000000002</v>
      </c>
      <c r="E155" s="16">
        <f ca="1">_xll.BDH($C$145&amp;E$145*100&amp;LEFT(E$144,1)&amp;$C155&amp;" Curncy","PX_LAST",valDate,valDate)/100</f>
        <v>3.7100000000000001E-2</v>
      </c>
      <c r="F155" s="16">
        <f ca="1">_xll.BDH($C$145&amp;F$145*100&amp;LEFT(F$144,1)&amp;$C155&amp;" Curncy","PX_LAST",valDate,valDate)/100</f>
        <v>7.3124999999999996E-2</v>
      </c>
      <c r="G155" s="16">
        <f ca="1">_xll.BDH($C$145&amp;G$145*100&amp;LEFT(G$144,1)&amp;$C155&amp;" Curncy","PX_LAST",valDate,valDate)/100</f>
        <v>1.6E-2</v>
      </c>
      <c r="H155" s="16">
        <f ca="1">_xll.BDH($C$145&amp;H$145*100&amp;LEFT(H$144,1)&amp;$C155&amp;" Curncy","PX_LAST",valDate,valDate)/100</f>
        <v>5.7125000000000002E-2</v>
      </c>
      <c r="I155" s="32">
        <f t="shared" ca="1" si="27"/>
        <v>0.24925000000000003</v>
      </c>
      <c r="J155" s="32">
        <f t="shared" ca="1" si="28"/>
        <v>3.7100000000000001E-2</v>
      </c>
      <c r="K155" s="32">
        <f t="shared" ca="1" si="29"/>
        <v>7.3124999999999996E-2</v>
      </c>
      <c r="L155" s="32">
        <f t="shared" ca="1" si="30"/>
        <v>1.6E-2</v>
      </c>
      <c r="M155" s="32">
        <f t="shared" ca="1" si="31"/>
        <v>5.7125000000000002E-2</v>
      </c>
    </row>
    <row r="156" spans="2:13" x14ac:dyDescent="0.25">
      <c r="B156" s="1" cm="1">
        <f t="array" aca="1" ref="B156" ca="1">_xll.QDates_FxOptionExpiryFromTenor(valDate,$C$144,C156)</f>
        <v>45422</v>
      </c>
      <c r="C156" s="8" t="s">
        <v>58</v>
      </c>
      <c r="D156" s="16">
        <f ca="1">_xll.BDH($C$145&amp;"V"&amp;$C156&amp;" Curncy","PX_LAST",valDate,valDate)/100</f>
        <v>0.242475</v>
      </c>
      <c r="E156" s="16">
        <f ca="1">_xll.BDH($C$145&amp;E$145*100&amp;LEFT(E$144,1)&amp;$C156&amp;" Curncy","PX_LAST",valDate,valDate)/100</f>
        <v>3.9750000000000001E-2</v>
      </c>
      <c r="F156" s="16">
        <f ca="1">_xll.BDH($C$145&amp;F$145*100&amp;LEFT(F$144,1)&amp;$C156&amp;" Curncy","PX_LAST",valDate,valDate)/100</f>
        <v>7.7950000000000005E-2</v>
      </c>
      <c r="G156" s="16">
        <f ca="1">_xll.BDH($C$145&amp;G$145*100&amp;LEFT(G$144,1)&amp;$C156&amp;" Curncy","PX_LAST",valDate,valDate)/100</f>
        <v>1.635E-2</v>
      </c>
      <c r="H156" s="16">
        <f ca="1">_xll.BDH($C$145&amp;H$145*100&amp;LEFT(H$144,1)&amp;$C156&amp;" Curncy","PX_LAST",valDate,valDate)/100</f>
        <v>5.8650000000000001E-2</v>
      </c>
      <c r="I156" s="32">
        <f t="shared" ca="1" si="27"/>
        <v>0.252475</v>
      </c>
      <c r="J156" s="32">
        <f t="shared" ca="1" si="28"/>
        <v>3.9750000000000001E-2</v>
      </c>
      <c r="K156" s="32">
        <f t="shared" ca="1" si="29"/>
        <v>7.7950000000000005E-2</v>
      </c>
      <c r="L156" s="32">
        <f t="shared" ca="1" si="30"/>
        <v>1.635E-2</v>
      </c>
      <c r="M156" s="32">
        <f t="shared" ca="1" si="31"/>
        <v>5.8650000000000001E-2</v>
      </c>
    </row>
    <row r="157" spans="2:13" x14ac:dyDescent="0.25">
      <c r="B157" s="1" cm="1">
        <f t="array" aca="1" ref="B157" ca="1">_xll.QDates_FxOptionExpiryFromTenor(valDate,$C$144,C157)</f>
        <v>45789</v>
      </c>
      <c r="C157" s="8" t="s">
        <v>37</v>
      </c>
      <c r="D157" s="16">
        <f ca="1">_xll.BDH($C$145&amp;"V"&amp;$C157&amp;" Curncy","PX_LAST",valDate,valDate)/100</f>
        <v>0.24512499999999998</v>
      </c>
      <c r="E157" s="16">
        <f ca="1">_xll.BDH($C$145&amp;E$145*100&amp;LEFT(E$144,1)&amp;$C157&amp;" Curncy","PX_LAST",valDate,valDate)/100</f>
        <v>4.2474999999999999E-2</v>
      </c>
      <c r="F157" s="16">
        <f ca="1">_xll.BDH($C$145&amp;F$145*100&amp;LEFT(F$144,1)&amp;$C157&amp;" Curncy","PX_LAST",valDate,valDate)/100</f>
        <v>8.3824999999999997E-2</v>
      </c>
      <c r="G157" s="16">
        <f ca="1">_xll.BDH($C$145&amp;G$145*100&amp;LEFT(G$144,1)&amp;$C157&amp;" Curncy","PX_LAST",valDate,valDate)/100</f>
        <v>1.6674999999999999E-2</v>
      </c>
      <c r="H157" s="16">
        <f ca="1">_xll.BDH($C$145&amp;H$145*100&amp;LEFT(H$144,1)&amp;$C157&amp;" Curncy","PX_LAST",valDate,valDate)/100</f>
        <v>5.9950000000000003E-2</v>
      </c>
      <c r="I157" s="32">
        <f t="shared" ca="1" si="27"/>
        <v>0.25512499999999999</v>
      </c>
      <c r="J157" s="32">
        <f t="shared" ca="1" si="28"/>
        <v>4.2474999999999999E-2</v>
      </c>
      <c r="K157" s="32">
        <f t="shared" ca="1" si="29"/>
        <v>8.3824999999999997E-2</v>
      </c>
      <c r="L157" s="32">
        <f t="shared" ca="1" si="30"/>
        <v>1.6674999999999999E-2</v>
      </c>
      <c r="M157" s="32">
        <f t="shared" ca="1" si="31"/>
        <v>5.9950000000000003E-2</v>
      </c>
    </row>
    <row r="160" spans="2:13" x14ac:dyDescent="0.25">
      <c r="C160" s="106" t="s">
        <v>15</v>
      </c>
      <c r="D160" s="106"/>
      <c r="E160" s="106"/>
      <c r="F160" s="106"/>
      <c r="G160" s="106"/>
      <c r="H160" s="106"/>
      <c r="I160" s="8" t="s">
        <v>92</v>
      </c>
      <c r="J160" s="31">
        <v>0.01</v>
      </c>
      <c r="K160" s="30" t="s">
        <v>93</v>
      </c>
      <c r="L160" s="31">
        <v>1</v>
      </c>
      <c r="M160" t="str" cm="1">
        <f t="array" aca="1" ref="M160" ca="1">_xll.QVol_CreateRiskyFlyVolSurface("fxVol_"&amp;C162,LEFT(C162,3)&amp;"/"&amp;RIGHT(C162,3),valDate,J162:K162,B163:B174,I163:I174,J163:K174,L163:M174,,,"Market",,,C163:C174,,"2b")</f>
        <v>fxVol_XAGUSD¬1</v>
      </c>
    </row>
    <row r="161" spans="2:13" x14ac:dyDescent="0.25">
      <c r="C161" s="25" t="str">
        <f ca="1">VLOOKUP(C162,$H$21:$I$27,2,FALSE)</f>
        <v>XAG/USD¬1</v>
      </c>
      <c r="D161" s="25"/>
      <c r="E161" s="29" t="s">
        <v>88</v>
      </c>
      <c r="F161" s="29" t="s">
        <v>88</v>
      </c>
      <c r="G161" s="29" t="s">
        <v>89</v>
      </c>
      <c r="H161" s="29" t="s">
        <v>89</v>
      </c>
      <c r="I161" s="25"/>
      <c r="J161" s="29" t="s">
        <v>88</v>
      </c>
      <c r="K161" s="29" t="s">
        <v>88</v>
      </c>
      <c r="L161" s="29" t="s">
        <v>89</v>
      </c>
      <c r="M161" s="29" t="s">
        <v>89</v>
      </c>
    </row>
    <row r="162" spans="2:13" ht="15.75" thickBot="1" x14ac:dyDescent="0.3">
      <c r="C162" s="26" t="s">
        <v>96</v>
      </c>
      <c r="D162" s="27" t="s">
        <v>86</v>
      </c>
      <c r="E162" s="28">
        <v>0.25</v>
      </c>
      <c r="F162" s="28">
        <v>0.1</v>
      </c>
      <c r="G162" s="28">
        <v>0.25</v>
      </c>
      <c r="H162" s="28">
        <v>0.1</v>
      </c>
      <c r="I162" s="27" t="s">
        <v>86</v>
      </c>
      <c r="J162" s="28">
        <v>0.25</v>
      </c>
      <c r="K162" s="28">
        <v>0.1</v>
      </c>
      <c r="L162" s="28">
        <v>0.25</v>
      </c>
      <c r="M162" s="28">
        <v>0.1</v>
      </c>
    </row>
    <row r="163" spans="2:13" x14ac:dyDescent="0.25">
      <c r="B163" s="1" cm="1">
        <f t="array" aca="1" ref="B163" ca="1">_xll.QDates_FxOptionExpiryFromTenor(valDate,$C$161,C163)</f>
        <v>43970</v>
      </c>
      <c r="C163" s="8" t="s">
        <v>26</v>
      </c>
      <c r="D163" s="16">
        <f ca="1">_xll.BDH($C$162&amp;"V"&amp;$C163&amp;" Curncy","PX_LAST",valDate,valDate)/100</f>
        <v>0.32095000000000001</v>
      </c>
      <c r="E163" s="16">
        <f ca="1">_xll.BDH($C$162&amp;E$162*100&amp;LEFT(E$161,1)&amp;$C163&amp;" Curncy","PX_LAST",valDate,valDate)/100</f>
        <v>4.4250000000000001E-3</v>
      </c>
      <c r="F163" s="16">
        <f ca="1">_xll.BDH($C$162&amp;F$162*100&amp;LEFT(F$161,1)&amp;$C163&amp;" Curncy","PX_LAST",valDate,valDate)/100</f>
        <v>7.7249999999999992E-3</v>
      </c>
      <c r="G163" s="16">
        <f ca="1">_xll.BDH($C$162&amp;G$162*100&amp;LEFT(G$161,1)&amp;$C163&amp;" Curncy","PX_LAST",valDate,valDate)/100</f>
        <v>1.325E-2</v>
      </c>
      <c r="H163" s="16">
        <f ca="1">_xll.BDH($C$162&amp;H$162*100&amp;LEFT(H$161,1)&amp;$C163&amp;" Curncy","PX_LAST",valDate,valDate)/100</f>
        <v>5.5824999999999993E-2</v>
      </c>
      <c r="I163" s="32">
        <f t="shared" ref="I163:I174" ca="1" si="32">D163+$J$93</f>
        <v>0.33095000000000002</v>
      </c>
      <c r="J163" s="32">
        <f t="shared" ref="J163:J174" ca="1" si="33">E163*$L$93</f>
        <v>4.4250000000000001E-3</v>
      </c>
      <c r="K163" s="32">
        <f t="shared" ref="K163:K174" ca="1" si="34">F163*$L$93</f>
        <v>7.7249999999999992E-3</v>
      </c>
      <c r="L163" s="32">
        <f t="shared" ref="L163:L174" ca="1" si="35">G163*$L$93</f>
        <v>1.325E-2</v>
      </c>
      <c r="M163" s="32">
        <f t="shared" ref="M163:M174" ca="1" si="36">H163*$L$93</f>
        <v>5.5824999999999993E-2</v>
      </c>
    </row>
    <row r="164" spans="2:13" x14ac:dyDescent="0.25">
      <c r="B164" s="1" cm="1">
        <f t="array" aca="1" ref="B164" ca="1">_xll.QDates_FxOptionExpiryFromTenor(valDate,$C$161,C164)</f>
        <v>43993</v>
      </c>
      <c r="C164" s="8" t="s">
        <v>28</v>
      </c>
      <c r="D164" s="16">
        <f ca="1">_xll.BDH($C$162&amp;"V"&amp;$C164&amp;" Curncy","PX_LAST",valDate,valDate)/100</f>
        <v>0.31885000000000002</v>
      </c>
      <c r="E164" s="16">
        <f ca="1">_xll.BDH($C$162&amp;E$162*100&amp;LEFT(E$161,1)&amp;$C164&amp;" Curncy","PX_LAST",valDate,valDate)/100</f>
        <v>7.2499999999999995E-3</v>
      </c>
      <c r="F164" s="16">
        <f ca="1">_xll.BDH($C$162&amp;F$162*100&amp;LEFT(F$161,1)&amp;$C164&amp;" Curncy","PX_LAST",valDate,valDate)/100</f>
        <v>1.2624999999999999E-2</v>
      </c>
      <c r="G164" s="16">
        <f ca="1">_xll.BDH($C$162&amp;G$162*100&amp;LEFT(G$161,1)&amp;$C164&amp;" Curncy","PX_LAST",valDate,valDate)/100</f>
        <v>1.405E-2</v>
      </c>
      <c r="H164" s="16">
        <f ca="1">_xll.BDH($C$162&amp;H$162*100&amp;LEFT(H$161,1)&amp;$C164&amp;" Curncy","PX_LAST",valDate,valDate)/100</f>
        <v>5.9350000000000007E-2</v>
      </c>
      <c r="I164" s="32">
        <f t="shared" ca="1" si="32"/>
        <v>0.32885000000000003</v>
      </c>
      <c r="J164" s="32">
        <f t="shared" ca="1" si="33"/>
        <v>7.2499999999999995E-3</v>
      </c>
      <c r="K164" s="32">
        <f t="shared" ca="1" si="34"/>
        <v>1.2624999999999999E-2</v>
      </c>
      <c r="L164" s="32">
        <f t="shared" ca="1" si="35"/>
        <v>1.405E-2</v>
      </c>
      <c r="M164" s="32">
        <f t="shared" ca="1" si="36"/>
        <v>5.9350000000000007E-2</v>
      </c>
    </row>
    <row r="165" spans="2:13" x14ac:dyDescent="0.25">
      <c r="B165" s="1" cm="1">
        <f t="array" aca="1" ref="B165" ca="1">_xll.QDates_FxOptionExpiryFromTenor(valDate,$C$161,C165)</f>
        <v>44022</v>
      </c>
      <c r="C165" s="8" t="s">
        <v>29</v>
      </c>
      <c r="D165" s="16">
        <f ca="1">_xll.BDH($C$162&amp;"V"&amp;$C165&amp;" Curncy","PX_LAST",valDate,valDate)/100</f>
        <v>0.32364999999999999</v>
      </c>
      <c r="E165" s="16">
        <f ca="1">_xll.BDH($C$162&amp;E$162*100&amp;LEFT(E$161,1)&amp;$C165&amp;" Curncy","PX_LAST",valDate,valDate)/100</f>
        <v>1.1125000000000001E-2</v>
      </c>
      <c r="F165" s="16">
        <f ca="1">_xll.BDH($C$162&amp;F$162*100&amp;LEFT(F$161,1)&amp;$C165&amp;" Curncy","PX_LAST",valDate,valDate)/100</f>
        <v>2.0825E-2</v>
      </c>
      <c r="G165" s="16">
        <f ca="1">_xll.BDH($C$162&amp;G$162*100&amp;LEFT(G$161,1)&amp;$C165&amp;" Curncy","PX_LAST",valDate,valDate)/100</f>
        <v>1.5424999999999999E-2</v>
      </c>
      <c r="H165" s="16">
        <f ca="1">_xll.BDH($C$162&amp;H$162*100&amp;LEFT(H$161,1)&amp;$C165&amp;" Curncy","PX_LAST",valDate,valDate)/100</f>
        <v>6.5250000000000002E-2</v>
      </c>
      <c r="I165" s="32">
        <f t="shared" ca="1" si="32"/>
        <v>0.33365</v>
      </c>
      <c r="J165" s="32">
        <f t="shared" ca="1" si="33"/>
        <v>1.1125000000000001E-2</v>
      </c>
      <c r="K165" s="32">
        <f t="shared" ca="1" si="34"/>
        <v>2.0825E-2</v>
      </c>
      <c r="L165" s="32">
        <f t="shared" ca="1" si="35"/>
        <v>1.5424999999999999E-2</v>
      </c>
      <c r="M165" s="32">
        <f t="shared" ca="1" si="36"/>
        <v>6.5250000000000002E-2</v>
      </c>
    </row>
    <row r="166" spans="2:13" x14ac:dyDescent="0.25">
      <c r="B166" s="1" cm="1">
        <f t="array" aca="1" ref="B166" ca="1">_xll.QDates_FxOptionExpiryFromTenor(valDate,$C$161,C166)</f>
        <v>44055</v>
      </c>
      <c r="C166" s="8" t="s">
        <v>30</v>
      </c>
      <c r="D166" s="16">
        <f ca="1">_xll.BDH($C$162&amp;"V"&amp;$C166&amp;" Curncy","PX_LAST",valDate,valDate)/100</f>
        <v>0.32957500000000001</v>
      </c>
      <c r="E166" s="16">
        <f ca="1">_xll.BDH($C$162&amp;E$162*100&amp;LEFT(E$161,1)&amp;$C166&amp;" Curncy","PX_LAST",valDate,valDate)/100</f>
        <v>1.4274999999999999E-2</v>
      </c>
      <c r="F166" s="16">
        <f ca="1">_xll.BDH($C$162&amp;F$162*100&amp;LEFT(F$161,1)&amp;$C166&amp;" Curncy","PX_LAST",valDate,valDate)/100</f>
        <v>2.7400000000000001E-2</v>
      </c>
      <c r="G166" s="16">
        <f ca="1">_xll.BDH($C$162&amp;G$162*100&amp;LEFT(G$161,1)&amp;$C166&amp;" Curncy","PX_LAST",valDate,valDate)/100</f>
        <v>1.5699999999999999E-2</v>
      </c>
      <c r="H166" s="16">
        <f ca="1">_xll.BDH($C$162&amp;H$162*100&amp;LEFT(H$161,1)&amp;$C166&amp;" Curncy","PX_LAST",valDate,valDate)/100</f>
        <v>6.6199999999999995E-2</v>
      </c>
      <c r="I166" s="32">
        <f t="shared" ca="1" si="32"/>
        <v>0.33957500000000002</v>
      </c>
      <c r="J166" s="32">
        <f t="shared" ca="1" si="33"/>
        <v>1.4274999999999999E-2</v>
      </c>
      <c r="K166" s="32">
        <f t="shared" ca="1" si="34"/>
        <v>2.7400000000000001E-2</v>
      </c>
      <c r="L166" s="32">
        <f t="shared" ca="1" si="35"/>
        <v>1.5699999999999999E-2</v>
      </c>
      <c r="M166" s="32">
        <f t="shared" ca="1" si="36"/>
        <v>6.6199999999999995E-2</v>
      </c>
    </row>
    <row r="167" spans="2:13" x14ac:dyDescent="0.25">
      <c r="B167" s="1" cm="1">
        <f t="array" aca="1" ref="B167" ca="1">_xll.QDates_FxOptionExpiryFromTenor(valDate,$C$161,C167)</f>
        <v>44147</v>
      </c>
      <c r="C167" s="8" t="s">
        <v>31</v>
      </c>
      <c r="D167" s="16">
        <f ca="1">_xll.BDH($C$162&amp;"V"&amp;$C167&amp;" Curncy","PX_LAST",valDate,valDate)/100</f>
        <v>0.34685000000000005</v>
      </c>
      <c r="E167" s="16">
        <f ca="1">_xll.BDH($C$162&amp;E$162*100&amp;LEFT(E$161,1)&amp;$C167&amp;" Curncy","PX_LAST",valDate,valDate)/100</f>
        <v>1.8275E-2</v>
      </c>
      <c r="F167" s="16">
        <f ca="1">_xll.BDH($C$162&amp;F$162*100&amp;LEFT(F$161,1)&amp;$C167&amp;" Curncy","PX_LAST",valDate,valDate)/100</f>
        <v>3.5475E-2</v>
      </c>
      <c r="G167" s="16">
        <f ca="1">_xll.BDH($C$162&amp;G$162*100&amp;LEFT(G$161,1)&amp;$C167&amp;" Curncy","PX_LAST",valDate,valDate)/100</f>
        <v>1.6475E-2</v>
      </c>
      <c r="H167" s="16">
        <f ca="1">_xll.BDH($C$162&amp;H$162*100&amp;LEFT(H$161,1)&amp;$C167&amp;" Curncy","PX_LAST",valDate,valDate)/100</f>
        <v>6.9000000000000006E-2</v>
      </c>
      <c r="I167" s="32">
        <f t="shared" ca="1" si="32"/>
        <v>0.35685000000000006</v>
      </c>
      <c r="J167" s="32">
        <f t="shared" ca="1" si="33"/>
        <v>1.8275E-2</v>
      </c>
      <c r="K167" s="32">
        <f t="shared" ca="1" si="34"/>
        <v>3.5475E-2</v>
      </c>
      <c r="L167" s="32">
        <f t="shared" ca="1" si="35"/>
        <v>1.6475E-2</v>
      </c>
      <c r="M167" s="32">
        <f t="shared" ca="1" si="36"/>
        <v>6.9000000000000006E-2</v>
      </c>
    </row>
    <row r="168" spans="2:13" x14ac:dyDescent="0.25">
      <c r="B168" s="1" cm="1">
        <f t="array" aca="1" ref="B168" ca="1">_xll.QDates_FxOptionExpiryFromTenor(valDate,$C$161,C168)</f>
        <v>44238</v>
      </c>
      <c r="C168" s="8" t="s">
        <v>32</v>
      </c>
      <c r="D168" s="16">
        <f ca="1">_xll.BDH($C$162&amp;"V"&amp;$C168&amp;" Curncy","PX_LAST",valDate,valDate)/100</f>
        <v>0.35545000000000004</v>
      </c>
      <c r="E168" s="16">
        <f ca="1">_xll.BDH($C$162&amp;E$162*100&amp;LEFT(E$161,1)&amp;$C168&amp;" Curncy","PX_LAST",valDate,valDate)/100</f>
        <v>2.2349999999999998E-2</v>
      </c>
      <c r="F168" s="16">
        <f ca="1">_xll.BDH($C$162&amp;F$162*100&amp;LEFT(F$161,1)&amp;$C168&amp;" Curncy","PX_LAST",valDate,valDate)/100</f>
        <v>4.4699999999999997E-2</v>
      </c>
      <c r="G168" s="16">
        <f ca="1">_xll.BDH($C$162&amp;G$162*100&amp;LEFT(G$161,1)&amp;$C168&amp;" Curncy","PX_LAST",valDate,valDate)/100</f>
        <v>1.7025000000000002E-2</v>
      </c>
      <c r="H168" s="16">
        <f ca="1">_xll.BDH($C$162&amp;H$162*100&amp;LEFT(H$161,1)&amp;$C168&amp;" Curncy","PX_LAST",valDate,valDate)/100</f>
        <v>7.014999999999999E-2</v>
      </c>
      <c r="I168" s="32">
        <f t="shared" ca="1" si="32"/>
        <v>0.36545000000000005</v>
      </c>
      <c r="J168" s="32">
        <f t="shared" ca="1" si="33"/>
        <v>2.2349999999999998E-2</v>
      </c>
      <c r="K168" s="32">
        <f t="shared" ca="1" si="34"/>
        <v>4.4699999999999997E-2</v>
      </c>
      <c r="L168" s="32">
        <f t="shared" ca="1" si="35"/>
        <v>1.7025000000000002E-2</v>
      </c>
      <c r="M168" s="32">
        <f t="shared" ca="1" si="36"/>
        <v>7.014999999999999E-2</v>
      </c>
    </row>
    <row r="169" spans="2:13" x14ac:dyDescent="0.25">
      <c r="B169" s="1" cm="1">
        <f t="array" aca="1" ref="B169" ca="1">_xll.QDates_FxOptionExpiryFromTenor(valDate,$C$161,C169)</f>
        <v>44328</v>
      </c>
      <c r="C169" s="8" t="s">
        <v>71</v>
      </c>
      <c r="D169" s="16">
        <f ca="1">_xll.BDH($C$162&amp;"V"&amp;$C169&amp;" Curncy","PX_LAST",valDate,valDate)/100</f>
        <v>0.36210000000000003</v>
      </c>
      <c r="E169" s="16">
        <f ca="1">_xll.BDH($C$162&amp;E$162*100&amp;LEFT(E$161,1)&amp;$C169&amp;" Curncy","PX_LAST",valDate,valDate)/100</f>
        <v>2.4775000000000002E-2</v>
      </c>
      <c r="F169" s="16">
        <f ca="1">_xll.BDH($C$162&amp;F$162*100&amp;LEFT(F$161,1)&amp;$C169&amp;" Curncy","PX_LAST",valDate,valDate)/100</f>
        <v>4.9375000000000002E-2</v>
      </c>
      <c r="G169" s="16">
        <f ca="1">_xll.BDH($C$162&amp;G$162*100&amp;LEFT(G$161,1)&amp;$C169&amp;" Curncy","PX_LAST",valDate,valDate)/100</f>
        <v>1.7600000000000001E-2</v>
      </c>
      <c r="H169" s="16">
        <f ca="1">_xll.BDH($C$162&amp;H$162*100&amp;LEFT(H$161,1)&amp;$C169&amp;" Curncy","PX_LAST",valDate,valDate)/100</f>
        <v>7.5225E-2</v>
      </c>
      <c r="I169" s="32">
        <f t="shared" ca="1" si="32"/>
        <v>0.37210000000000004</v>
      </c>
      <c r="J169" s="32">
        <f t="shared" ca="1" si="33"/>
        <v>2.4775000000000002E-2</v>
      </c>
      <c r="K169" s="32">
        <f t="shared" ca="1" si="34"/>
        <v>4.9375000000000002E-2</v>
      </c>
      <c r="L169" s="32">
        <f t="shared" ca="1" si="35"/>
        <v>1.7600000000000001E-2</v>
      </c>
      <c r="M169" s="32">
        <f t="shared" ca="1" si="36"/>
        <v>7.5225E-2</v>
      </c>
    </row>
    <row r="170" spans="2:13" x14ac:dyDescent="0.25">
      <c r="B170" s="1" cm="1">
        <f t="array" aca="1" ref="B170" ca="1">_xll.QDates_FxOptionExpiryFromTenor(valDate,$C$161,C170)</f>
        <v>44510</v>
      </c>
      <c r="C170" s="8" t="s">
        <v>34</v>
      </c>
      <c r="D170" s="16">
        <f ca="1">_xll.BDH($C$162&amp;"V"&amp;$C170&amp;" Curncy","PX_LAST",valDate,valDate)/100</f>
        <v>0.37582500000000002</v>
      </c>
      <c r="E170" s="16">
        <f ca="1">_xll.BDH($C$162&amp;E$162*100&amp;LEFT(E$161,1)&amp;$C170&amp;" Curncy","PX_LAST",valDate,valDate)/100</f>
        <v>2.5550000000000003E-2</v>
      </c>
      <c r="F170" s="16">
        <f ca="1">_xll.BDH($C$162&amp;F$162*100&amp;LEFT(F$161,1)&amp;$C170&amp;" Curncy","PX_LAST",valDate,valDate)/100</f>
        <v>4.6050000000000008E-2</v>
      </c>
      <c r="G170" s="16">
        <f ca="1">_xll.BDH($C$162&amp;G$162*100&amp;LEFT(G$161,1)&amp;$C170&amp;" Curncy","PX_LAST",valDate,valDate)/100</f>
        <v>1.8550000000000001E-2</v>
      </c>
      <c r="H170" s="16">
        <f ca="1">_xll.BDH($C$162&amp;H$162*100&amp;LEFT(H$161,1)&amp;$C170&amp;" Curncy","PX_LAST",valDate,valDate)/100</f>
        <v>7.2974999999999998E-2</v>
      </c>
      <c r="I170" s="32">
        <f t="shared" ca="1" si="32"/>
        <v>0.38582500000000003</v>
      </c>
      <c r="J170" s="32">
        <f t="shared" ca="1" si="33"/>
        <v>2.5550000000000003E-2</v>
      </c>
      <c r="K170" s="32">
        <f t="shared" ca="1" si="34"/>
        <v>4.6050000000000008E-2</v>
      </c>
      <c r="L170" s="32">
        <f t="shared" ca="1" si="35"/>
        <v>1.8550000000000001E-2</v>
      </c>
      <c r="M170" s="32">
        <f t="shared" ca="1" si="36"/>
        <v>7.2974999999999998E-2</v>
      </c>
    </row>
    <row r="171" spans="2:13" x14ac:dyDescent="0.25">
      <c r="B171" s="1" cm="1">
        <f t="array" aca="1" ref="B171" ca="1">_xll.QDates_FxOptionExpiryFromTenor(valDate,$C$161,C171)</f>
        <v>44693</v>
      </c>
      <c r="C171" s="8" t="s">
        <v>35</v>
      </c>
      <c r="D171" s="16">
        <f ca="1">_xll.BDH($C$162&amp;"V"&amp;$C171&amp;" Curncy","PX_LAST",valDate,valDate)/100</f>
        <v>0.38250000000000001</v>
      </c>
      <c r="E171" s="16">
        <f ca="1">_xll.BDH($C$162&amp;E$162*100&amp;LEFT(E$161,1)&amp;$C171&amp;" Curncy","PX_LAST",valDate,valDate)/100</f>
        <v>2.6574999999999998E-2</v>
      </c>
      <c r="F171" s="16">
        <f ca="1">_xll.BDH($C$162&amp;F$162*100&amp;LEFT(F$161,1)&amp;$C171&amp;" Curncy","PX_LAST",valDate,valDate)/100</f>
        <v>5.4225000000000002E-2</v>
      </c>
      <c r="G171" s="16">
        <f ca="1">_xll.BDH($C$162&amp;G$162*100&amp;LEFT(G$161,1)&amp;$C171&amp;" Curncy","PX_LAST",valDate,valDate)/100</f>
        <v>1.8700000000000001E-2</v>
      </c>
      <c r="H171" s="16">
        <f ca="1">_xll.BDH($C$162&amp;H$162*100&amp;LEFT(H$161,1)&amp;$C171&amp;" Curncy","PX_LAST",valDate,valDate)/100</f>
        <v>7.7074999999999991E-2</v>
      </c>
      <c r="I171" s="32">
        <f t="shared" ca="1" si="32"/>
        <v>0.39250000000000002</v>
      </c>
      <c r="J171" s="32">
        <f t="shared" ca="1" si="33"/>
        <v>2.6574999999999998E-2</v>
      </c>
      <c r="K171" s="32">
        <f t="shared" ca="1" si="34"/>
        <v>5.4225000000000002E-2</v>
      </c>
      <c r="L171" s="32">
        <f t="shared" ca="1" si="35"/>
        <v>1.8700000000000001E-2</v>
      </c>
      <c r="M171" s="32">
        <f t="shared" ca="1" si="36"/>
        <v>7.7074999999999991E-2</v>
      </c>
    </row>
    <row r="172" spans="2:13" x14ac:dyDescent="0.25">
      <c r="B172" s="1" cm="1">
        <f t="array" aca="1" ref="B172" ca="1">_xll.QDates_FxOptionExpiryFromTenor(valDate,$C$161,C172)</f>
        <v>45057</v>
      </c>
      <c r="C172" s="8" t="s">
        <v>36</v>
      </c>
      <c r="D172" s="16">
        <f ca="1">_xll.BDH($C$162&amp;"V"&amp;$C172&amp;" Curncy","PX_LAST",valDate,valDate)/100</f>
        <v>0.38895000000000002</v>
      </c>
      <c r="E172" s="16">
        <f ca="1">_xll.BDH($C$162&amp;E$162*100&amp;LEFT(E$161,1)&amp;$C172&amp;" Curncy","PX_LAST",valDate,valDate)/100</f>
        <v>2.8224999999999997E-2</v>
      </c>
      <c r="F172" s="16">
        <f ca="1">_xll.BDH($C$162&amp;F$162*100&amp;LEFT(F$161,1)&amp;$C172&amp;" Curncy","PX_LAST",valDate,valDate)/100</f>
        <v>5.4875E-2</v>
      </c>
      <c r="G172" s="16">
        <f ca="1">_xll.BDH($C$162&amp;G$162*100&amp;LEFT(G$161,1)&amp;$C172&amp;" Curncy","PX_LAST",valDate,valDate)/100</f>
        <v>1.77E-2</v>
      </c>
      <c r="H172" s="16">
        <f ca="1">_xll.BDH($C$162&amp;H$162*100&amp;LEFT(H$161,1)&amp;$C172&amp;" Curncy","PX_LAST",valDate,valDate)/100</f>
        <v>7.6624999999999999E-2</v>
      </c>
      <c r="I172" s="32">
        <f t="shared" ca="1" si="32"/>
        <v>0.39895000000000003</v>
      </c>
      <c r="J172" s="32">
        <f t="shared" ca="1" si="33"/>
        <v>2.8224999999999997E-2</v>
      </c>
      <c r="K172" s="32">
        <f t="shared" ca="1" si="34"/>
        <v>5.4875E-2</v>
      </c>
      <c r="L172" s="32">
        <f t="shared" ca="1" si="35"/>
        <v>1.77E-2</v>
      </c>
      <c r="M172" s="32">
        <f t="shared" ca="1" si="36"/>
        <v>7.6624999999999999E-2</v>
      </c>
    </row>
    <row r="173" spans="2:13" x14ac:dyDescent="0.25">
      <c r="B173" s="1" cm="1">
        <f t="array" aca="1" ref="B173" ca="1">_xll.QDates_FxOptionExpiryFromTenor(valDate,$C$161,C173)</f>
        <v>45422</v>
      </c>
      <c r="C173" s="8" t="s">
        <v>58</v>
      </c>
      <c r="D173" s="16">
        <f ca="1">_xll.BDH($C$162&amp;"V"&amp;$C173&amp;" Curncy","PX_LAST",valDate,valDate)/100</f>
        <v>0.39757500000000001</v>
      </c>
      <c r="E173" s="16">
        <f ca="1">_xll.BDH($C$162&amp;E$162*100&amp;LEFT(E$161,1)&amp;$C173&amp;" Curncy","PX_LAST",valDate,valDate)/100</f>
        <v>2.9474999999999998E-2</v>
      </c>
      <c r="F173" s="16">
        <f ca="1">_xll.BDH($C$162&amp;F$162*100&amp;LEFT(F$161,1)&amp;$C173&amp;" Curncy","PX_LAST",valDate,valDate)/100</f>
        <v>5.6399999999999999E-2</v>
      </c>
      <c r="G173" s="16">
        <f ca="1">_xll.BDH($C$162&amp;G$162*100&amp;LEFT(G$161,1)&amp;$C173&amp;" Curncy","PX_LAST",valDate,valDate)/100</f>
        <v>1.8500000000000003E-2</v>
      </c>
      <c r="H173" s="16">
        <f ca="1">_xll.BDH($C$162&amp;H$162*100&amp;LEFT(H$161,1)&amp;$C173&amp;" Curncy","PX_LAST",valDate,valDate)/100</f>
        <v>8.0399999999999985E-2</v>
      </c>
      <c r="I173" s="32">
        <f t="shared" ca="1" si="32"/>
        <v>0.40757500000000002</v>
      </c>
      <c r="J173" s="32">
        <f t="shared" ca="1" si="33"/>
        <v>2.9474999999999998E-2</v>
      </c>
      <c r="K173" s="32">
        <f t="shared" ca="1" si="34"/>
        <v>5.6399999999999999E-2</v>
      </c>
      <c r="L173" s="32">
        <f t="shared" ca="1" si="35"/>
        <v>1.8500000000000003E-2</v>
      </c>
      <c r="M173" s="32">
        <f t="shared" ca="1" si="36"/>
        <v>8.0399999999999985E-2</v>
      </c>
    </row>
    <row r="174" spans="2:13" x14ac:dyDescent="0.25">
      <c r="B174" s="1" cm="1">
        <f t="array" aca="1" ref="B174" ca="1">_xll.QDates_FxOptionExpiryFromTenor(valDate,$C$161,C174)</f>
        <v>45789</v>
      </c>
      <c r="C174" s="8" t="s">
        <v>37</v>
      </c>
      <c r="D174" s="16">
        <f ca="1">_xll.BDH($C$162&amp;"V"&amp;$C174&amp;" Curncy","PX_LAST",valDate,valDate)/100</f>
        <v>0.40155000000000002</v>
      </c>
      <c r="E174" s="16">
        <f ca="1">_xll.BDH($C$162&amp;E$162*100&amp;LEFT(E$161,1)&amp;$C174&amp;" Curncy","PX_LAST",valDate,valDate)/100</f>
        <v>2.9725000000000001E-2</v>
      </c>
      <c r="F174" s="16">
        <f ca="1">_xll.BDH($C$162&amp;F$162*100&amp;LEFT(F$161,1)&amp;$C174&amp;" Curncy","PX_LAST",valDate,valDate)/100</f>
        <v>5.8049999999999997E-2</v>
      </c>
      <c r="G174" s="16">
        <f ca="1">_xll.BDH($C$162&amp;G$162*100&amp;LEFT(G$161,1)&amp;$C174&amp;" Curncy","PX_LAST",valDate,valDate)/100</f>
        <v>1.9074999999999998E-2</v>
      </c>
      <c r="H174" s="16">
        <f ca="1">_xll.BDH($C$162&amp;H$162*100&amp;LEFT(H$161,1)&amp;$C174&amp;" Curncy","PX_LAST",valDate,valDate)/100</f>
        <v>8.3025000000000002E-2</v>
      </c>
      <c r="I174" s="32">
        <f t="shared" ca="1" si="32"/>
        <v>0.41155000000000003</v>
      </c>
      <c r="J174" s="32">
        <f t="shared" ca="1" si="33"/>
        <v>2.9725000000000001E-2</v>
      </c>
      <c r="K174" s="32">
        <f t="shared" ca="1" si="34"/>
        <v>5.8049999999999997E-2</v>
      </c>
      <c r="L174" s="32">
        <f t="shared" ca="1" si="35"/>
        <v>1.9074999999999998E-2</v>
      </c>
      <c r="M174" s="32">
        <f t="shared" ca="1" si="36"/>
        <v>8.3025000000000002E-2</v>
      </c>
    </row>
    <row r="176" spans="2:13" x14ac:dyDescent="0.25">
      <c r="C176" s="106" t="s">
        <v>15</v>
      </c>
      <c r="D176" s="106"/>
      <c r="E176" s="106"/>
      <c r="F176" s="106"/>
      <c r="G176" s="106"/>
      <c r="H176" s="106"/>
      <c r="I176" s="8" t="s">
        <v>92</v>
      </c>
      <c r="J176" s="31">
        <v>0.01</v>
      </c>
      <c r="K176" s="30" t="s">
        <v>93</v>
      </c>
      <c r="L176" s="31">
        <v>1</v>
      </c>
      <c r="M176" t="str" cm="1">
        <f t="array" aca="1" ref="M176" ca="1">_xll.QVol_CreateRiskyFlyVolSurface("fxVol_"&amp;C178,LEFT(C178,3)&amp;"/"&amp;RIGHT(C178,3),valDate,J178:K178,B179:B190,I179:I190,J179:K190,L179:M190,,,"Market",,,C179:C190,,"2b")</f>
        <v>fxVol_XPTUSD¬1</v>
      </c>
    </row>
    <row r="177" spans="2:13" x14ac:dyDescent="0.25">
      <c r="C177" s="25" t="str">
        <f ca="1">VLOOKUP(C178,$H$21:$I$27,2,FALSE)</f>
        <v>XPT/USD¬1</v>
      </c>
      <c r="D177" s="25"/>
      <c r="E177" s="29" t="s">
        <v>88</v>
      </c>
      <c r="F177" s="29" t="s">
        <v>88</v>
      </c>
      <c r="G177" s="29" t="s">
        <v>89</v>
      </c>
      <c r="H177" s="29" t="s">
        <v>89</v>
      </c>
      <c r="I177" s="25"/>
      <c r="J177" s="29" t="s">
        <v>88</v>
      </c>
      <c r="K177" s="29" t="s">
        <v>88</v>
      </c>
      <c r="L177" s="29" t="s">
        <v>89</v>
      </c>
      <c r="M177" s="29" t="s">
        <v>89</v>
      </c>
    </row>
    <row r="178" spans="2:13" ht="15.75" thickBot="1" x14ac:dyDescent="0.3">
      <c r="C178" s="26" t="s">
        <v>97</v>
      </c>
      <c r="D178" s="27" t="s">
        <v>86</v>
      </c>
      <c r="E178" s="28">
        <v>0.25</v>
      </c>
      <c r="F178" s="28">
        <v>0.1</v>
      </c>
      <c r="G178" s="28">
        <v>0.25</v>
      </c>
      <c r="H178" s="28">
        <v>0.1</v>
      </c>
      <c r="I178" s="27" t="s">
        <v>86</v>
      </c>
      <c r="J178" s="28">
        <v>0.25</v>
      </c>
      <c r="K178" s="28">
        <v>0.1</v>
      </c>
      <c r="L178" s="28">
        <v>0.25</v>
      </c>
      <c r="M178" s="28">
        <v>0.1</v>
      </c>
    </row>
    <row r="179" spans="2:13" x14ac:dyDescent="0.25">
      <c r="B179" s="1" cm="1">
        <f t="array" aca="1" ref="B179" ca="1">_xll.QDates_FxOptionExpiryFromTenor(valDate,$C$177,C179)</f>
        <v>43970</v>
      </c>
      <c r="C179" s="8" t="s">
        <v>26</v>
      </c>
      <c r="D179" s="16">
        <f ca="1">_xll.BDH($C$178&amp;"V"&amp;$C179&amp;" Curncy","PX_LAST",valDate,valDate)/100</f>
        <v>0.48499999999999999</v>
      </c>
      <c r="E179" s="16">
        <f ca="1">_xll.BDH($C$178&amp;E$178*100&amp;LEFT(E$177,1)&amp;$C179&amp;" Curncy","PX_LAST",valDate,valDate)/100</f>
        <v>-7.4999999999999997E-3</v>
      </c>
      <c r="F179" s="16">
        <f ca="1">_xll.BDH($C$178&amp;F$178*100&amp;LEFT(F$177,1)&amp;$C179&amp;" Curncy","PX_LAST",valDate,valDate)/100</f>
        <v>-1.6500000000000001E-2</v>
      </c>
      <c r="G179" s="16">
        <f ca="1">_xll.BDH($C$178&amp;G$178*100&amp;LEFT(G$177,1)&amp;$C179&amp;" Curncy","PX_LAST",valDate,valDate)/100</f>
        <v>0.02</v>
      </c>
      <c r="H179" s="16">
        <f ca="1">_xll.BDH($C$178&amp;H$178*100&amp;LEFT(H$177,1)&amp;$C179&amp;" Curncy","PX_LAST",valDate,valDate)/100</f>
        <v>7.8299999999999995E-2</v>
      </c>
      <c r="I179" s="32">
        <f t="shared" ref="I179:I190" ca="1" si="37">D179+$J$93</f>
        <v>0.495</v>
      </c>
      <c r="J179" s="32">
        <f t="shared" ref="J179:J190" ca="1" si="38">E179*$L$93</f>
        <v>-7.4999999999999997E-3</v>
      </c>
      <c r="K179" s="32">
        <f t="shared" ref="K179:K190" ca="1" si="39">F179*$L$93</f>
        <v>-1.6500000000000001E-2</v>
      </c>
      <c r="L179" s="32">
        <f t="shared" ref="L179:L190" ca="1" si="40">G179*$L$93</f>
        <v>0.02</v>
      </c>
      <c r="M179" s="32">
        <f t="shared" ref="M179:M190" ca="1" si="41">H179*$L$93</f>
        <v>7.8299999999999995E-2</v>
      </c>
    </row>
    <row r="180" spans="2:13" x14ac:dyDescent="0.25">
      <c r="B180" s="1" cm="1">
        <f t="array" aca="1" ref="B180" ca="1">_xll.QDates_FxOptionExpiryFromTenor(valDate,$C$177,C180)</f>
        <v>43993</v>
      </c>
      <c r="C180" s="8" t="s">
        <v>28</v>
      </c>
      <c r="D180" s="16">
        <f ca="1">_xll.BDH($C$178&amp;"V"&amp;$C180&amp;" Curncy","PX_LAST",valDate,valDate)/100</f>
        <v>0.42499999999999999</v>
      </c>
      <c r="E180" s="16">
        <f ca="1">_xll.BDH($C$178&amp;E$178*100&amp;LEFT(E$177,1)&amp;$C180&amp;" Curncy","PX_LAST",valDate,valDate)/100</f>
        <v>-7.4999999999999997E-3</v>
      </c>
      <c r="F180" s="16">
        <f ca="1">_xll.BDH($C$178&amp;F$178*100&amp;LEFT(F$177,1)&amp;$C180&amp;" Curncy","PX_LAST",valDate,valDate)/100</f>
        <v>-1.6500000000000001E-2</v>
      </c>
      <c r="G180" s="16">
        <f ca="1">_xll.BDH($C$178&amp;G$178*100&amp;LEFT(G$177,1)&amp;$C180&amp;" Curncy","PX_LAST",valDate,valDate)/100</f>
        <v>1.985E-2</v>
      </c>
      <c r="H180" s="16">
        <f ca="1">_xll.BDH($C$178&amp;H$178*100&amp;LEFT(H$177,1)&amp;$C180&amp;" Curncy","PX_LAST",valDate,valDate)/100</f>
        <v>7.4749999999999997E-2</v>
      </c>
      <c r="I180" s="32">
        <f t="shared" ca="1" si="37"/>
        <v>0.435</v>
      </c>
      <c r="J180" s="32">
        <f t="shared" ca="1" si="38"/>
        <v>-7.4999999999999997E-3</v>
      </c>
      <c r="K180" s="32">
        <f t="shared" ca="1" si="39"/>
        <v>-1.6500000000000001E-2</v>
      </c>
      <c r="L180" s="32">
        <f t="shared" ca="1" si="40"/>
        <v>1.985E-2</v>
      </c>
      <c r="M180" s="32">
        <f t="shared" ca="1" si="41"/>
        <v>7.4749999999999997E-2</v>
      </c>
    </row>
    <row r="181" spans="2:13" x14ac:dyDescent="0.25">
      <c r="B181" s="1" cm="1">
        <f t="array" aca="1" ref="B181" ca="1">_xll.QDates_FxOptionExpiryFromTenor(valDate,$C$177,C181)</f>
        <v>44022</v>
      </c>
      <c r="C181" s="8" t="s">
        <v>29</v>
      </c>
      <c r="D181" s="16">
        <f ca="1">_xll.BDH($C$178&amp;"V"&amp;$C181&amp;" Curncy","PX_LAST",valDate,valDate)/100</f>
        <v>0.41</v>
      </c>
      <c r="E181" s="16">
        <f ca="1">_xll.BDH($C$178&amp;E$178*100&amp;LEFT(E$177,1)&amp;$C181&amp;" Curncy","PX_LAST",valDate,valDate)/100</f>
        <v>-5.0000000000000001E-3</v>
      </c>
      <c r="F181" s="16">
        <f ca="1">_xll.BDH($C$178&amp;F$178*100&amp;LEFT(F$177,1)&amp;$C181&amp;" Curncy","PX_LAST",valDate,valDate)/100</f>
        <v>-1.15E-2</v>
      </c>
      <c r="G181" s="16">
        <f ca="1">_xll.BDH($C$178&amp;G$178*100&amp;LEFT(G$177,1)&amp;$C181&amp;" Curncy","PX_LAST",valDate,valDate)/100</f>
        <v>1.6800000000000002E-2</v>
      </c>
      <c r="H181" s="16">
        <f ca="1">_xll.BDH($C$178&amp;H$178*100&amp;LEFT(H$177,1)&amp;$C181&amp;" Curncy","PX_LAST",valDate,valDate)/100</f>
        <v>7.1199999999999999E-2</v>
      </c>
      <c r="I181" s="32">
        <f t="shared" ca="1" si="37"/>
        <v>0.42</v>
      </c>
      <c r="J181" s="32">
        <f t="shared" ca="1" si="38"/>
        <v>-5.0000000000000001E-3</v>
      </c>
      <c r="K181" s="32">
        <f t="shared" ca="1" si="39"/>
        <v>-1.15E-2</v>
      </c>
      <c r="L181" s="32">
        <f t="shared" ca="1" si="40"/>
        <v>1.6800000000000002E-2</v>
      </c>
      <c r="M181" s="32">
        <f t="shared" ca="1" si="41"/>
        <v>7.1199999999999999E-2</v>
      </c>
    </row>
    <row r="182" spans="2:13" x14ac:dyDescent="0.25">
      <c r="B182" s="1" cm="1">
        <f t="array" aca="1" ref="B182" ca="1">_xll.QDates_FxOptionExpiryFromTenor(valDate,$C$177,C182)</f>
        <v>44055</v>
      </c>
      <c r="C182" s="8" t="s">
        <v>30</v>
      </c>
      <c r="D182" s="16">
        <f ca="1">_xll.BDH($C$178&amp;"V"&amp;$C182&amp;" Curncy","PX_LAST",valDate,valDate)/100</f>
        <v>0.40399999999999997</v>
      </c>
      <c r="E182" s="16">
        <f ca="1">_xll.BDH($C$178&amp;E$178*100&amp;LEFT(E$177,1)&amp;$C182&amp;" Curncy","PX_LAST",valDate,valDate)/100</f>
        <v>-2.5000000000000001E-3</v>
      </c>
      <c r="F182" s="16">
        <f ca="1">_xll.BDH($C$178&amp;F$178*100&amp;LEFT(F$177,1)&amp;$C182&amp;" Curncy","PX_LAST",valDate,valDate)/100</f>
        <v>-5.7499999999999999E-3</v>
      </c>
      <c r="G182" s="16">
        <f ca="1">_xll.BDH($C$178&amp;G$178*100&amp;LEFT(G$177,1)&amp;$C182&amp;" Curncy","PX_LAST",valDate,valDate)/100</f>
        <v>1.5699999999999999E-2</v>
      </c>
      <c r="H182" s="16">
        <f ca="1">_xll.BDH($C$178&amp;H$178*100&amp;LEFT(H$177,1)&amp;$C182&amp;" Curncy","PX_LAST",valDate,valDate)/100</f>
        <v>6.4850000000000005E-2</v>
      </c>
      <c r="I182" s="32">
        <f t="shared" ca="1" si="37"/>
        <v>0.41399999999999998</v>
      </c>
      <c r="J182" s="32">
        <f t="shared" ca="1" si="38"/>
        <v>-2.5000000000000001E-3</v>
      </c>
      <c r="K182" s="32">
        <f t="shared" ca="1" si="39"/>
        <v>-5.7499999999999999E-3</v>
      </c>
      <c r="L182" s="32">
        <f t="shared" ca="1" si="40"/>
        <v>1.5699999999999999E-2</v>
      </c>
      <c r="M182" s="32">
        <f t="shared" ca="1" si="41"/>
        <v>6.4850000000000005E-2</v>
      </c>
    </row>
    <row r="183" spans="2:13" x14ac:dyDescent="0.25">
      <c r="B183" s="1" cm="1">
        <f t="array" aca="1" ref="B183" ca="1">_xll.QDates_FxOptionExpiryFromTenor(valDate,$C$177,C183)</f>
        <v>44147</v>
      </c>
      <c r="C183" s="8" t="s">
        <v>31</v>
      </c>
      <c r="D183" s="16">
        <f ca="1">_xll.BDH($C$178&amp;"V"&amp;$C183&amp;" Curncy","PX_LAST",valDate,valDate)/100</f>
        <v>0.40200000000000002</v>
      </c>
      <c r="E183" s="16">
        <f ca="1">_xll.BDH($C$178&amp;E$178*100&amp;LEFT(E$177,1)&amp;$C183&amp;" Curncy","PX_LAST",valDate,valDate)/100</f>
        <v>1.0499999999999999E-3</v>
      </c>
      <c r="F183" s="16">
        <f ca="1">_xll.BDH($C$178&amp;F$178*100&amp;LEFT(F$177,1)&amp;$C183&amp;" Curncy","PX_LAST",valDate,valDate)/100</f>
        <v>-5.0000000000000001E-4</v>
      </c>
      <c r="G183" s="16">
        <f ca="1">_xll.BDH($C$178&amp;G$178*100&amp;LEFT(G$177,1)&amp;$C183&amp;" Curncy","PX_LAST",valDate,valDate)/100</f>
        <v>1.4650000000000002E-2</v>
      </c>
      <c r="H183" s="16">
        <f ca="1">_xll.BDH($C$178&amp;H$178*100&amp;LEFT(H$177,1)&amp;$C183&amp;" Curncy","PX_LAST",valDate,valDate)/100</f>
        <v>5.3849999999999995E-2</v>
      </c>
      <c r="I183" s="32">
        <f t="shared" ca="1" si="37"/>
        <v>0.41200000000000003</v>
      </c>
      <c r="J183" s="32">
        <f t="shared" ca="1" si="38"/>
        <v>1.0499999999999999E-3</v>
      </c>
      <c r="K183" s="32">
        <f t="shared" ca="1" si="39"/>
        <v>-5.0000000000000001E-4</v>
      </c>
      <c r="L183" s="32">
        <f t="shared" ca="1" si="40"/>
        <v>1.4650000000000002E-2</v>
      </c>
      <c r="M183" s="32">
        <f t="shared" ca="1" si="41"/>
        <v>5.3849999999999995E-2</v>
      </c>
    </row>
    <row r="184" spans="2:13" x14ac:dyDescent="0.25">
      <c r="B184" s="1" cm="1">
        <f t="array" aca="1" ref="B184" ca="1">_xll.QDates_FxOptionExpiryFromTenor(valDate,$C$177,C184)</f>
        <v>44238</v>
      </c>
      <c r="C184" s="8" t="s">
        <v>32</v>
      </c>
      <c r="D184" s="16">
        <f ca="1">_xll.BDH($C$178&amp;"V"&amp;$C184&amp;" Curncy","PX_LAST",valDate,valDate)/100</f>
        <v>0.39950000000000002</v>
      </c>
      <c r="E184" s="16">
        <f ca="1">_xll.BDH($C$178&amp;E$178*100&amp;LEFT(E$177,1)&amp;$C184&amp;" Curncy","PX_LAST",valDate,valDate)/100</f>
        <v>2.5000000000000001E-3</v>
      </c>
      <c r="F184" s="16">
        <f ca="1">_xll.BDH($C$178&amp;F$178*100&amp;LEFT(F$177,1)&amp;$C184&amp;" Curncy","PX_LAST",valDate,valDate)/100</f>
        <v>5.4000000000000003E-3</v>
      </c>
      <c r="G184" s="16">
        <f ca="1">_xll.BDH($C$178&amp;G$178*100&amp;LEFT(G$177,1)&amp;$C184&amp;" Curncy","PX_LAST",valDate,valDate)/100</f>
        <v>1.4450000000000001E-2</v>
      </c>
      <c r="H184" s="16">
        <f ca="1">_xll.BDH($C$178&amp;H$178*100&amp;LEFT(H$177,1)&amp;$C184&amp;" Curncy","PX_LAST",valDate,valDate)/100</f>
        <v>4.9749999999999996E-2</v>
      </c>
      <c r="I184" s="32">
        <f t="shared" ca="1" si="37"/>
        <v>0.40950000000000003</v>
      </c>
      <c r="J184" s="32">
        <f t="shared" ca="1" si="38"/>
        <v>2.5000000000000001E-3</v>
      </c>
      <c r="K184" s="32">
        <f t="shared" ca="1" si="39"/>
        <v>5.4000000000000003E-3</v>
      </c>
      <c r="L184" s="32">
        <f t="shared" ca="1" si="40"/>
        <v>1.4450000000000001E-2</v>
      </c>
      <c r="M184" s="32">
        <f t="shared" ca="1" si="41"/>
        <v>4.9749999999999996E-2</v>
      </c>
    </row>
    <row r="185" spans="2:13" x14ac:dyDescent="0.25">
      <c r="B185" s="1" cm="1">
        <f t="array" aca="1" ref="B185" ca="1">_xll.QDates_FxOptionExpiryFromTenor(valDate,$C$177,C185)</f>
        <v>44328</v>
      </c>
      <c r="C185" s="8" t="s">
        <v>71</v>
      </c>
      <c r="D185" s="16">
        <f ca="1">_xll.BDH($C$178&amp;"V"&amp;$C185&amp;" Curncy","PX_LAST",valDate,valDate)/100</f>
        <v>0.39750000000000002</v>
      </c>
      <c r="E185" s="16">
        <f ca="1">_xll.BDH($C$178&amp;E$178*100&amp;LEFT(E$177,1)&amp;$C185&amp;" Curncy","PX_LAST",valDate,valDate)/100</f>
        <v>5.0000000000000001E-3</v>
      </c>
      <c r="F185" s="16">
        <f ca="1">_xll.BDH($C$178&amp;F$178*100&amp;LEFT(F$177,1)&amp;$C185&amp;" Curncy","PX_LAST",valDate,valDate)/100</f>
        <v>1.0249999999999999E-2</v>
      </c>
      <c r="G185" s="16">
        <f ca="1">_xll.BDH($C$178&amp;G$178*100&amp;LEFT(G$177,1)&amp;$C185&amp;" Curncy","PX_LAST",valDate,valDate)/100</f>
        <v>1.44E-2</v>
      </c>
      <c r="H185" s="16">
        <f ca="1">_xll.BDH($C$178&amp;H$178*100&amp;LEFT(H$177,1)&amp;$C185&amp;" Curncy","PX_LAST",valDate,valDate)/100</f>
        <v>4.7199999999999999E-2</v>
      </c>
      <c r="I185" s="32">
        <f t="shared" ca="1" si="37"/>
        <v>0.40750000000000003</v>
      </c>
      <c r="J185" s="32">
        <f t="shared" ca="1" si="38"/>
        <v>5.0000000000000001E-3</v>
      </c>
      <c r="K185" s="32">
        <f t="shared" ca="1" si="39"/>
        <v>1.0249999999999999E-2</v>
      </c>
      <c r="L185" s="32">
        <f t="shared" ca="1" si="40"/>
        <v>1.44E-2</v>
      </c>
      <c r="M185" s="32">
        <f t="shared" ca="1" si="41"/>
        <v>4.7199999999999999E-2</v>
      </c>
    </row>
    <row r="186" spans="2:13" x14ac:dyDescent="0.25">
      <c r="B186" s="1" cm="1">
        <f t="array" aca="1" ref="B186" ca="1">_xll.QDates_FxOptionExpiryFromTenor(valDate,$C$177,C186)</f>
        <v>44510</v>
      </c>
      <c r="C186" s="8" t="s">
        <v>34</v>
      </c>
      <c r="D186" s="16">
        <f ca="1">_xll.BDH($C$178&amp;"V"&amp;$C186&amp;" Curncy","PX_LAST",valDate,valDate)/100</f>
        <v>0.40602499999999997</v>
      </c>
      <c r="E186" s="16">
        <f ca="1">_xll.BDH($C$178&amp;E$178*100&amp;LEFT(E$177,1)&amp;$C186&amp;" Curncy","PX_LAST",valDate,valDate)/100</f>
        <v>6.1500000000000001E-3</v>
      </c>
      <c r="F186" s="16">
        <f ca="1">_xll.BDH($C$178&amp;F$178*100&amp;LEFT(F$177,1)&amp;$C186&amp;" Curncy","PX_LAST",valDate,valDate)/100</f>
        <v>9.300000000000001E-3</v>
      </c>
      <c r="G186" s="16">
        <f ca="1">_xll.BDH($C$178&amp;G$178*100&amp;LEFT(G$177,1)&amp;$C186&amp;" Curncy","PX_LAST",valDate,valDate)/100</f>
        <v>1.4150000000000001E-2</v>
      </c>
      <c r="H186" s="16">
        <f ca="1">_xll.BDH($C$178&amp;H$178*100&amp;LEFT(H$177,1)&amp;$C186&amp;" Curncy","PX_LAST",valDate,valDate)/100</f>
        <v>4.6875E-2</v>
      </c>
      <c r="I186" s="32">
        <f t="shared" ca="1" si="37"/>
        <v>0.41602499999999998</v>
      </c>
      <c r="J186" s="32">
        <f t="shared" ca="1" si="38"/>
        <v>6.1500000000000001E-3</v>
      </c>
      <c r="K186" s="32">
        <f t="shared" ca="1" si="39"/>
        <v>9.300000000000001E-3</v>
      </c>
      <c r="L186" s="32">
        <f t="shared" ca="1" si="40"/>
        <v>1.4150000000000001E-2</v>
      </c>
      <c r="M186" s="32">
        <f t="shared" ca="1" si="41"/>
        <v>4.6875E-2</v>
      </c>
    </row>
    <row r="187" spans="2:13" x14ac:dyDescent="0.25">
      <c r="B187" s="1" cm="1">
        <f t="array" aca="1" ref="B187" ca="1">_xll.QDates_FxOptionExpiryFromTenor(valDate,$C$177,C187)</f>
        <v>44693</v>
      </c>
      <c r="C187" s="8" t="s">
        <v>35</v>
      </c>
      <c r="D187" s="16">
        <f ca="1">_xll.BDH($C$178&amp;"V"&amp;$C187&amp;" Curncy","PX_LAST",valDate,valDate)/100</f>
        <v>0.41</v>
      </c>
      <c r="E187" s="16">
        <f ca="1">_xll.BDH($C$178&amp;E$178*100&amp;LEFT(E$177,1)&amp;$C187&amp;" Curncy","PX_LAST",valDate,valDate)/100</f>
        <v>7.4999999999999997E-3</v>
      </c>
      <c r="F187" s="16">
        <f ca="1">_xll.BDH($C$178&amp;F$178*100&amp;LEFT(F$177,1)&amp;$C187&amp;" Curncy","PX_LAST",valDate,valDate)/100</f>
        <v>1.4250000000000001E-2</v>
      </c>
      <c r="G187" s="16">
        <f ca="1">_xll.BDH($C$178&amp;G$178*100&amp;LEFT(G$177,1)&amp;$C187&amp;" Curncy","PX_LAST",valDate,valDate)/100</f>
        <v>1.4199999999999999E-2</v>
      </c>
      <c r="H187" s="16">
        <f ca="1">_xll.BDH($C$178&amp;H$178*100&amp;LEFT(H$177,1)&amp;$C187&amp;" Curncy","PX_LAST",valDate,valDate)/100</f>
        <v>5.0450000000000002E-2</v>
      </c>
      <c r="I187" s="32">
        <f t="shared" ca="1" si="37"/>
        <v>0.42</v>
      </c>
      <c r="J187" s="32">
        <f t="shared" ca="1" si="38"/>
        <v>7.4999999999999997E-3</v>
      </c>
      <c r="K187" s="32">
        <f t="shared" ca="1" si="39"/>
        <v>1.4250000000000001E-2</v>
      </c>
      <c r="L187" s="32">
        <f t="shared" ca="1" si="40"/>
        <v>1.4199999999999999E-2</v>
      </c>
      <c r="M187" s="32">
        <f t="shared" ca="1" si="41"/>
        <v>5.0450000000000002E-2</v>
      </c>
    </row>
    <row r="188" spans="2:13" x14ac:dyDescent="0.25">
      <c r="B188" s="1" cm="1">
        <f t="array" aca="1" ref="B188" ca="1">_xll.QDates_FxOptionExpiryFromTenor(valDate,$C$177,C188)</f>
        <v>45057</v>
      </c>
      <c r="C188" s="8" t="s">
        <v>36</v>
      </c>
      <c r="D188" s="16">
        <f ca="1">_xll.BDH($C$178&amp;"V"&amp;$C188&amp;" Curncy","PX_LAST",valDate,valDate)/100</f>
        <v>0.42</v>
      </c>
      <c r="E188" s="16">
        <f ca="1">_xll.BDH($C$178&amp;E$178*100&amp;LEFT(E$177,1)&amp;$C188&amp;" Curncy","PX_LAST",valDate,valDate)/100</f>
        <v>0.01</v>
      </c>
      <c r="F188" s="16">
        <f ca="1">_xll.BDH($C$178&amp;F$178*100&amp;LEFT(F$177,1)&amp;$C188&amp;" Curncy","PX_LAST",valDate,valDate)/100</f>
        <v>1.8000000000000002E-2</v>
      </c>
      <c r="G188" s="16">
        <f ca="1">_xll.BDH($C$178&amp;G$178*100&amp;LEFT(G$177,1)&amp;$C188&amp;" Curncy","PX_LAST",valDate,valDate)/100</f>
        <v>1.405E-2</v>
      </c>
      <c r="H188" s="16">
        <f ca="1">_xll.BDH($C$178&amp;H$178*100&amp;LEFT(H$177,1)&amp;$C188&amp;" Curncy","PX_LAST",valDate,valDate)/100</f>
        <v>5.0599999999999999E-2</v>
      </c>
      <c r="I188" s="32">
        <f t="shared" ca="1" si="37"/>
        <v>0.43</v>
      </c>
      <c r="J188" s="32">
        <f t="shared" ca="1" si="38"/>
        <v>0.01</v>
      </c>
      <c r="K188" s="32">
        <f t="shared" ca="1" si="39"/>
        <v>1.8000000000000002E-2</v>
      </c>
      <c r="L188" s="32">
        <f t="shared" ca="1" si="40"/>
        <v>1.405E-2</v>
      </c>
      <c r="M188" s="32">
        <f t="shared" ca="1" si="41"/>
        <v>5.0599999999999999E-2</v>
      </c>
    </row>
    <row r="189" spans="2:13" x14ac:dyDescent="0.25">
      <c r="B189" s="1" cm="1">
        <f t="array" aca="1" ref="B189" ca="1">_xll.QDates_FxOptionExpiryFromTenor(valDate,$C$177,C189)</f>
        <v>45422</v>
      </c>
      <c r="C189" s="8" t="s">
        <v>58</v>
      </c>
      <c r="D189" s="16">
        <f ca="1">_xll.BDH($C$178&amp;"V"&amp;$C189&amp;" Curncy","PX_LAST",valDate,valDate)/100</f>
        <v>0.42499999999999999</v>
      </c>
      <c r="E189" s="16">
        <f ca="1">_xll.BDH($C$178&amp;E$178*100&amp;LEFT(E$177,1)&amp;$C189&amp;" Curncy","PX_LAST",valDate,valDate)/100</f>
        <v>0.01</v>
      </c>
      <c r="F189" s="16">
        <f ca="1">_xll.BDH($C$178&amp;F$178*100&amp;LEFT(F$177,1)&amp;$C189&amp;" Curncy","PX_LAST",valDate,valDate)/100</f>
        <v>1.7000000000000001E-2</v>
      </c>
      <c r="G189" s="16">
        <f ca="1">_xll.BDH($C$178&amp;G$178*100&amp;LEFT(G$177,1)&amp;$C189&amp;" Curncy","PX_LAST",valDate,valDate)/100</f>
        <v>1.3999999999999999E-2</v>
      </c>
      <c r="H189" s="16">
        <f ca="1">_xll.BDH($C$178&amp;H$178*100&amp;LEFT(H$177,1)&amp;$C189&amp;" Curncy","PX_LAST",valDate,valDate)/100</f>
        <v>4.8100000000000004E-2</v>
      </c>
      <c r="I189" s="32">
        <f t="shared" ca="1" si="37"/>
        <v>0.435</v>
      </c>
      <c r="J189" s="32">
        <f t="shared" ca="1" si="38"/>
        <v>0.01</v>
      </c>
      <c r="K189" s="32">
        <f t="shared" ca="1" si="39"/>
        <v>1.7000000000000001E-2</v>
      </c>
      <c r="L189" s="32">
        <f t="shared" ca="1" si="40"/>
        <v>1.3999999999999999E-2</v>
      </c>
      <c r="M189" s="32">
        <f t="shared" ca="1" si="41"/>
        <v>4.8100000000000004E-2</v>
      </c>
    </row>
    <row r="190" spans="2:13" x14ac:dyDescent="0.25">
      <c r="B190" s="1" cm="1">
        <f t="array" aca="1" ref="B190" ca="1">_xll.QDates_FxOptionExpiryFromTenor(valDate,$C$177,C190)</f>
        <v>45789</v>
      </c>
      <c r="C190" s="8" t="s">
        <v>37</v>
      </c>
      <c r="D190" s="16">
        <f ca="1">_xll.BDH($C$178&amp;"V"&amp;$C190&amp;" Curncy","PX_LAST",valDate,valDate)/100</f>
        <v>0.43</v>
      </c>
      <c r="E190" s="16">
        <f ca="1">_xll.BDH($C$178&amp;E$178*100&amp;LEFT(E$177,1)&amp;$C190&amp;" Curncy","PX_LAST",valDate,valDate)/100</f>
        <v>0.01</v>
      </c>
      <c r="F190" s="16">
        <f ca="1">_xll.BDH($C$178&amp;F$178*100&amp;LEFT(F$177,1)&amp;$C190&amp;" Curncy","PX_LAST",valDate,valDate)/100</f>
        <v>1.6500000000000001E-2</v>
      </c>
      <c r="G190" s="16">
        <f ca="1">_xll.BDH($C$178&amp;G$178*100&amp;LEFT(G$177,1)&amp;$C190&amp;" Curncy","PX_LAST",valDate,valDate)/100</f>
        <v>1.3950000000000001E-2</v>
      </c>
      <c r="H190" s="16">
        <f ca="1">_xll.BDH($C$178&amp;H$178*100&amp;LEFT(H$177,1)&amp;$C190&amp;" Curncy","PX_LAST",valDate,valDate)/100</f>
        <v>4.3949999999999996E-2</v>
      </c>
      <c r="I190" s="32">
        <f t="shared" ca="1" si="37"/>
        <v>0.44</v>
      </c>
      <c r="J190" s="32">
        <f t="shared" ca="1" si="38"/>
        <v>0.01</v>
      </c>
      <c r="K190" s="32">
        <f t="shared" ca="1" si="39"/>
        <v>1.6500000000000001E-2</v>
      </c>
      <c r="L190" s="32">
        <f t="shared" ca="1" si="40"/>
        <v>1.3950000000000001E-2</v>
      </c>
      <c r="M190" s="32">
        <f t="shared" ca="1" si="41"/>
        <v>4.3949999999999996E-2</v>
      </c>
    </row>
    <row r="192" spans="2:13" x14ac:dyDescent="0.25">
      <c r="C192" s="106" t="s">
        <v>15</v>
      </c>
      <c r="D192" s="106"/>
      <c r="E192" s="106"/>
      <c r="F192" s="106"/>
      <c r="G192" s="106"/>
      <c r="H192" s="106"/>
      <c r="I192" s="8" t="s">
        <v>92</v>
      </c>
      <c r="J192" s="31">
        <v>0.01</v>
      </c>
      <c r="K192" s="30" t="s">
        <v>93</v>
      </c>
      <c r="L192" s="31">
        <v>1</v>
      </c>
      <c r="M192" t="str" cm="1">
        <f t="array" aca="1" ref="M192" ca="1">_xll.QVol_CreateRiskyFlyVolSurface("fxVol_"&amp;C194,LEFT(C194,3)&amp;"/"&amp;RIGHT(C194,3),valDate,J194:K194,B195:B206,I195:I206,J195:K206,L195:M206,,,"Market",,,C195:C206,,"2b")</f>
        <v>fxVol_XPDUSD¬1</v>
      </c>
    </row>
    <row r="193" spans="2:13" x14ac:dyDescent="0.25">
      <c r="C193" s="25" t="str">
        <f ca="1">VLOOKUP(C194,$H$21:$I$27,2,FALSE)</f>
        <v>XPD/USD¬1</v>
      </c>
      <c r="D193" s="25"/>
      <c r="E193" s="29" t="s">
        <v>88</v>
      </c>
      <c r="F193" s="29" t="s">
        <v>88</v>
      </c>
      <c r="G193" s="29" t="s">
        <v>89</v>
      </c>
      <c r="H193" s="29" t="s">
        <v>89</v>
      </c>
      <c r="I193" s="25"/>
      <c r="J193" s="29" t="s">
        <v>88</v>
      </c>
      <c r="K193" s="29" t="s">
        <v>88</v>
      </c>
      <c r="L193" s="29" t="s">
        <v>89</v>
      </c>
      <c r="M193" s="29" t="s">
        <v>89</v>
      </c>
    </row>
    <row r="194" spans="2:13" ht="15.75" thickBot="1" x14ac:dyDescent="0.3">
      <c r="C194" s="26" t="s">
        <v>98</v>
      </c>
      <c r="D194" s="27" t="s">
        <v>86</v>
      </c>
      <c r="E194" s="28">
        <v>0.25</v>
      </c>
      <c r="F194" s="28">
        <v>0.1</v>
      </c>
      <c r="G194" s="28">
        <v>0.25</v>
      </c>
      <c r="H194" s="28">
        <v>0.1</v>
      </c>
      <c r="I194" s="27" t="s">
        <v>86</v>
      </c>
      <c r="J194" s="28">
        <v>0.25</v>
      </c>
      <c r="K194" s="28">
        <v>0.1</v>
      </c>
      <c r="L194" s="28">
        <v>0.25</v>
      </c>
      <c r="M194" s="28">
        <v>0.1</v>
      </c>
    </row>
    <row r="195" spans="2:13" x14ac:dyDescent="0.25">
      <c r="B195" s="1" cm="1">
        <f t="array" aca="1" ref="B195" ca="1">_xll.QDates_FxOptionExpiryFromTenor(valDate,$C$193,C195)</f>
        <v>43970</v>
      </c>
      <c r="C195" s="8" t="s">
        <v>26</v>
      </c>
      <c r="D195" s="16">
        <f ca="1">_xll.BDH($C$194&amp;"V"&amp;$C195&amp;" Curncy","PX_LAST",valDate,valDate)/100</f>
        <v>0.88</v>
      </c>
      <c r="E195" s="33">
        <f ca="1">E196</f>
        <v>7.4999999999999997E-3</v>
      </c>
      <c r="F195" s="33">
        <f ca="1">F196</f>
        <v>9.75E-3</v>
      </c>
      <c r="G195" s="16">
        <f ca="1">_xll.BDH($C$194&amp;G$194*100&amp;LEFT(G$193,1)&amp;$C195&amp;" Curncy","PX_LAST",valDate,valDate)/100</f>
        <v>1.9900000000000001E-2</v>
      </c>
      <c r="H195" s="16">
        <f ca="1">_xll.BDH($C$194&amp;H$194*100&amp;LEFT(H$193,1)&amp;$C195&amp;" Curncy","PX_LAST",valDate,valDate)/100</f>
        <v>0.10949999999999999</v>
      </c>
      <c r="I195" s="32">
        <f t="shared" ref="I195:I206" ca="1" si="42">D195+$J$93</f>
        <v>0.89</v>
      </c>
      <c r="J195" s="32">
        <f t="shared" ref="J195:J206" ca="1" si="43">E195*$L$93</f>
        <v>7.4999999999999997E-3</v>
      </c>
      <c r="K195" s="32">
        <f t="shared" ref="K195:K206" ca="1" si="44">F195*$L$93</f>
        <v>9.75E-3</v>
      </c>
      <c r="L195" s="32">
        <f t="shared" ref="L195:L206" ca="1" si="45">G195*$L$93</f>
        <v>1.9900000000000001E-2</v>
      </c>
      <c r="M195" s="32">
        <f t="shared" ref="M195:M206" ca="1" si="46">H195*$L$93</f>
        <v>0.10949999999999999</v>
      </c>
    </row>
    <row r="196" spans="2:13" x14ac:dyDescent="0.25">
      <c r="B196" s="1" cm="1">
        <f t="array" aca="1" ref="B196" ca="1">_xll.QDates_FxOptionExpiryFromTenor(valDate,$C$193,C196)</f>
        <v>43993</v>
      </c>
      <c r="C196" s="8" t="s">
        <v>28</v>
      </c>
      <c r="D196" s="16">
        <f ca="1">_xll.BDH($C$194&amp;"V"&amp;$C196&amp;" Curncy","PX_LAST",valDate,valDate)/100</f>
        <v>0.81299999999999994</v>
      </c>
      <c r="E196" s="16">
        <f ca="1">_xll.BDH($C$194&amp;E$194*100&amp;LEFT(E$193,1)&amp;$C196&amp;" Curncy","PX_LAST",valDate,valDate)/100</f>
        <v>7.4999999999999997E-3</v>
      </c>
      <c r="F196" s="16">
        <f ca="1">_xll.BDH($C$194&amp;F$194*100&amp;LEFT(F$193,1)&amp;$C196&amp;" Curncy","PX_LAST",valDate,valDate)/100</f>
        <v>9.75E-3</v>
      </c>
      <c r="G196" s="16">
        <f ca="1">_xll.BDH($C$194&amp;G$194*100&amp;LEFT(G$193,1)&amp;$C196&amp;" Curncy","PX_LAST",valDate,valDate)/100</f>
        <v>1.8849999999999999E-2</v>
      </c>
      <c r="H196" s="16">
        <f ca="1">_xll.BDH($C$194&amp;H$194*100&amp;LEFT(H$193,1)&amp;$C196&amp;" Curncy","PX_LAST",valDate,valDate)/100</f>
        <v>0.10345</v>
      </c>
      <c r="I196" s="32">
        <f t="shared" ca="1" si="42"/>
        <v>0.82299999999999995</v>
      </c>
      <c r="J196" s="32">
        <f t="shared" ca="1" si="43"/>
        <v>7.4999999999999997E-3</v>
      </c>
      <c r="K196" s="32">
        <f t="shared" ca="1" si="44"/>
        <v>9.75E-3</v>
      </c>
      <c r="L196" s="32">
        <f t="shared" ca="1" si="45"/>
        <v>1.8849999999999999E-2</v>
      </c>
      <c r="M196" s="32">
        <f t="shared" ca="1" si="46"/>
        <v>0.10345</v>
      </c>
    </row>
    <row r="197" spans="2:13" x14ac:dyDescent="0.25">
      <c r="B197" s="1" cm="1">
        <f t="array" aca="1" ref="B197" ca="1">_xll.QDates_FxOptionExpiryFromTenor(valDate,$C$193,C197)</f>
        <v>44022</v>
      </c>
      <c r="C197" s="8" t="s">
        <v>29</v>
      </c>
      <c r="D197" s="16">
        <f ca="1">_xll.BDH($C$194&amp;"V"&amp;$C197&amp;" Curncy","PX_LAST",valDate,valDate)/100</f>
        <v>0.77</v>
      </c>
      <c r="E197" s="16">
        <f ca="1">_xll.BDH($C$194&amp;E$194*100&amp;LEFT(E$193,1)&amp;$C197&amp;" Curncy","PX_LAST",valDate,valDate)/100</f>
        <v>1.2500000000000001E-2</v>
      </c>
      <c r="F197" s="16">
        <f ca="1">_xll.BDH($C$194&amp;F$194*100&amp;LEFT(F$193,1)&amp;$C197&amp;" Curncy","PX_LAST",valDate,valDate)/100</f>
        <v>1.7000000000000001E-2</v>
      </c>
      <c r="G197" s="16">
        <f ca="1">_xll.BDH($C$194&amp;G$194*100&amp;LEFT(G$193,1)&amp;$C197&amp;" Curncy","PX_LAST",valDate,valDate)/100</f>
        <v>1.89E-2</v>
      </c>
      <c r="H197" s="16">
        <f ca="1">_xll.BDH($C$194&amp;H$194*100&amp;LEFT(H$193,1)&amp;$C197&amp;" Curncy","PX_LAST",valDate,valDate)/100</f>
        <v>0.1033</v>
      </c>
      <c r="I197" s="32">
        <f t="shared" ca="1" si="42"/>
        <v>0.78</v>
      </c>
      <c r="J197" s="32">
        <f t="shared" ca="1" si="43"/>
        <v>1.2500000000000001E-2</v>
      </c>
      <c r="K197" s="32">
        <f t="shared" ca="1" si="44"/>
        <v>1.7000000000000001E-2</v>
      </c>
      <c r="L197" s="32">
        <f t="shared" ca="1" si="45"/>
        <v>1.89E-2</v>
      </c>
      <c r="M197" s="32">
        <f t="shared" ca="1" si="46"/>
        <v>0.1033</v>
      </c>
    </row>
    <row r="198" spans="2:13" x14ac:dyDescent="0.25">
      <c r="B198" s="1" cm="1">
        <f t="array" aca="1" ref="B198" ca="1">_xll.QDates_FxOptionExpiryFromTenor(valDate,$C$193,C198)</f>
        <v>44055</v>
      </c>
      <c r="C198" s="8" t="s">
        <v>30</v>
      </c>
      <c r="D198" s="16">
        <f ca="1">_xll.BDH($C$194&amp;"V"&amp;$C198&amp;" Curncy","PX_LAST",valDate,valDate)/100</f>
        <v>0.74</v>
      </c>
      <c r="E198" s="16">
        <f ca="1">_xll.BDH($C$194&amp;E$194*100&amp;LEFT(E$193,1)&amp;$C198&amp;" Curncy","PX_LAST",valDate,valDate)/100</f>
        <v>1.7500000000000002E-2</v>
      </c>
      <c r="F198" s="16">
        <f ca="1">_xll.BDH($C$194&amp;F$194*100&amp;LEFT(F$193,1)&amp;$C198&amp;" Curncy","PX_LAST",valDate,valDate)/100</f>
        <v>3.015E-2</v>
      </c>
      <c r="G198" s="16">
        <f ca="1">_xll.BDH($C$194&amp;G$194*100&amp;LEFT(G$193,1)&amp;$C198&amp;" Curncy","PX_LAST",valDate,valDate)/100</f>
        <v>1.89E-2</v>
      </c>
      <c r="H198" s="16">
        <f ca="1">_xll.BDH($C$194&amp;H$194*100&amp;LEFT(H$193,1)&amp;$C198&amp;" Curncy","PX_LAST",valDate,valDate)/100</f>
        <v>0.10279999999999999</v>
      </c>
      <c r="I198" s="32">
        <f t="shared" ca="1" si="42"/>
        <v>0.75</v>
      </c>
      <c r="J198" s="32">
        <f t="shared" ca="1" si="43"/>
        <v>1.7500000000000002E-2</v>
      </c>
      <c r="K198" s="32">
        <f t="shared" ca="1" si="44"/>
        <v>3.015E-2</v>
      </c>
      <c r="L198" s="32">
        <f t="shared" ca="1" si="45"/>
        <v>1.89E-2</v>
      </c>
      <c r="M198" s="32">
        <f t="shared" ca="1" si="46"/>
        <v>0.10279999999999999</v>
      </c>
    </row>
    <row r="199" spans="2:13" x14ac:dyDescent="0.25">
      <c r="B199" s="1" cm="1">
        <f t="array" aca="1" ref="B199" ca="1">_xll.QDates_FxOptionExpiryFromTenor(valDate,$C$193,C199)</f>
        <v>44147</v>
      </c>
      <c r="C199" s="8" t="s">
        <v>31</v>
      </c>
      <c r="D199" s="16">
        <f ca="1">_xll.BDH($C$194&amp;"V"&amp;$C199&amp;" Curncy","PX_LAST",valDate,valDate)/100</f>
        <v>0.70099999999999996</v>
      </c>
      <c r="E199" s="16">
        <f ca="1">_xll.BDH($C$194&amp;E$194*100&amp;LEFT(E$193,1)&amp;$C199&amp;" Curncy","PX_LAST",valDate,valDate)/100</f>
        <v>0.02</v>
      </c>
      <c r="F199" s="16">
        <f ca="1">_xll.BDH($C$194&amp;F$194*100&amp;LEFT(F$193,1)&amp;$C199&amp;" Curncy","PX_LAST",valDate,valDate)/100</f>
        <v>3.6000000000000004E-2</v>
      </c>
      <c r="G199" s="16">
        <f ca="1">_xll.BDH($C$194&amp;G$194*100&amp;LEFT(G$193,1)&amp;$C199&amp;" Curncy","PX_LAST",valDate,valDate)/100</f>
        <v>1.8849999999999999E-2</v>
      </c>
      <c r="H199" s="16">
        <f ca="1">_xll.BDH($C$194&amp;H$194*100&amp;LEFT(H$193,1)&amp;$C199&amp;" Curncy","PX_LAST",valDate,valDate)/100</f>
        <v>0.10210000000000001</v>
      </c>
      <c r="I199" s="32">
        <f t="shared" ca="1" si="42"/>
        <v>0.71099999999999997</v>
      </c>
      <c r="J199" s="32">
        <f t="shared" ca="1" si="43"/>
        <v>0.02</v>
      </c>
      <c r="K199" s="32">
        <f t="shared" ca="1" si="44"/>
        <v>3.6000000000000004E-2</v>
      </c>
      <c r="L199" s="32">
        <f t="shared" ca="1" si="45"/>
        <v>1.8849999999999999E-2</v>
      </c>
      <c r="M199" s="32">
        <f t="shared" ca="1" si="46"/>
        <v>0.10210000000000001</v>
      </c>
    </row>
    <row r="200" spans="2:13" x14ac:dyDescent="0.25">
      <c r="B200" s="1" cm="1">
        <f t="array" aca="1" ref="B200" ca="1">_xll.QDates_FxOptionExpiryFromTenor(valDate,$C$193,C200)</f>
        <v>44238</v>
      </c>
      <c r="C200" s="8" t="s">
        <v>32</v>
      </c>
      <c r="D200" s="16">
        <f ca="1">_xll.BDH($C$194&amp;"V"&amp;$C200&amp;" Curncy","PX_LAST",valDate,valDate)/100</f>
        <v>0.67</v>
      </c>
      <c r="E200" s="16">
        <f ca="1">_xll.BDH($C$194&amp;E$194*100&amp;LEFT(E$193,1)&amp;$C200&amp;" Curncy","PX_LAST",valDate,valDate)/100</f>
        <v>2.4E-2</v>
      </c>
      <c r="F200" s="16">
        <f ca="1">_xll.BDH($C$194&amp;F$194*100&amp;LEFT(F$193,1)&amp;$C200&amp;" Curncy","PX_LAST",valDate,valDate)/100</f>
        <v>4.3200000000000002E-2</v>
      </c>
      <c r="G200" s="16">
        <f ca="1">_xll.BDH($C$194&amp;G$194*100&amp;LEFT(G$193,1)&amp;$C200&amp;" Curncy","PX_LAST",valDate,valDate)/100</f>
        <v>1.8799999999999997E-2</v>
      </c>
      <c r="H200" s="16">
        <f ca="1">_xll.BDH($C$194&amp;H$194*100&amp;LEFT(H$193,1)&amp;$C200&amp;" Curncy","PX_LAST",valDate,valDate)/100</f>
        <v>0.10105</v>
      </c>
      <c r="I200" s="32">
        <f t="shared" ca="1" si="42"/>
        <v>0.68</v>
      </c>
      <c r="J200" s="32">
        <f t="shared" ca="1" si="43"/>
        <v>2.4E-2</v>
      </c>
      <c r="K200" s="32">
        <f t="shared" ca="1" si="44"/>
        <v>4.3200000000000002E-2</v>
      </c>
      <c r="L200" s="32">
        <f t="shared" ca="1" si="45"/>
        <v>1.8799999999999997E-2</v>
      </c>
      <c r="M200" s="32">
        <f t="shared" ca="1" si="46"/>
        <v>0.10105</v>
      </c>
    </row>
    <row r="201" spans="2:13" x14ac:dyDescent="0.25">
      <c r="B201" s="1" cm="1">
        <f t="array" aca="1" ref="B201" ca="1">_xll.QDates_FxOptionExpiryFromTenor(valDate,$C$193,C201)</f>
        <v>44328</v>
      </c>
      <c r="C201" s="8" t="s">
        <v>71</v>
      </c>
      <c r="D201" s="16">
        <f ca="1">_xll.BDH($C$194&amp;"V"&amp;$C201&amp;" Curncy","PX_LAST",valDate,valDate)/100</f>
        <v>0.65249999999999997</v>
      </c>
      <c r="E201" s="16">
        <f ca="1">_xll.BDH($C$194&amp;E$194*100&amp;LEFT(E$193,1)&amp;$C201&amp;" Curncy","PX_LAST",valDate,valDate)/100</f>
        <v>2.75E-2</v>
      </c>
      <c r="F201" s="16">
        <f ca="1">_xll.BDH($C$194&amp;F$194*100&amp;LEFT(F$193,1)&amp;$C201&amp;" Curncy","PX_LAST",valDate,valDate)/100</f>
        <v>4.9500000000000002E-2</v>
      </c>
      <c r="G201" s="16">
        <f ca="1">_xll.BDH($C$194&amp;G$194*100&amp;LEFT(G$193,1)&amp;$C201&amp;" Curncy","PX_LAST",valDate,valDate)/100</f>
        <v>1.865E-2</v>
      </c>
      <c r="H201" s="16">
        <f ca="1">_xll.BDH($C$194&amp;H$194*100&amp;LEFT(H$193,1)&amp;$C201&amp;" Curncy","PX_LAST",valDate,valDate)/100</f>
        <v>9.9849999999999994E-2</v>
      </c>
      <c r="I201" s="32">
        <f t="shared" ca="1" si="42"/>
        <v>0.66249999999999998</v>
      </c>
      <c r="J201" s="32">
        <f t="shared" ca="1" si="43"/>
        <v>2.75E-2</v>
      </c>
      <c r="K201" s="32">
        <f t="shared" ca="1" si="44"/>
        <v>4.9500000000000002E-2</v>
      </c>
      <c r="L201" s="32">
        <f t="shared" ca="1" si="45"/>
        <v>1.865E-2</v>
      </c>
      <c r="M201" s="32">
        <f t="shared" ca="1" si="46"/>
        <v>9.9849999999999994E-2</v>
      </c>
    </row>
    <row r="202" spans="2:13" x14ac:dyDescent="0.25">
      <c r="B202" s="1" cm="1">
        <f t="array" aca="1" ref="B202" ca="1">_xll.QDates_FxOptionExpiryFromTenor(valDate,$C$193,C202)</f>
        <v>44510</v>
      </c>
      <c r="C202" s="8" t="s">
        <v>34</v>
      </c>
      <c r="D202" s="16">
        <f ca="1">_xll.BDH($C$194&amp;"V"&amp;$C202&amp;" Curncy","PX_LAST",valDate,valDate)/100</f>
        <v>0.64382499999999998</v>
      </c>
      <c r="E202" s="16">
        <f ca="1">_xll.BDH($C$194&amp;E$194*100&amp;LEFT(E$193,1)&amp;$C202&amp;" Curncy","PX_LAST",valDate,valDate)/100</f>
        <v>2.9950000000000001E-2</v>
      </c>
      <c r="F202" s="16">
        <f ca="1">_xll.BDH($C$194&amp;F$194*100&amp;LEFT(F$193,1)&amp;$C202&amp;" Curncy","PX_LAST",valDate,valDate)/100</f>
        <v>4.4175000000000006E-2</v>
      </c>
      <c r="G202" s="16">
        <f ca="1">_xll.BDH($C$194&amp;G$194*100&amp;LEFT(G$193,1)&amp;$C202&amp;" Curncy","PX_LAST",valDate,valDate)/100</f>
        <v>2.0099999999999996E-2</v>
      </c>
      <c r="H202" s="16">
        <f ca="1">_xll.BDH($C$194&amp;H$194*100&amp;LEFT(H$193,1)&amp;$C202&amp;" Curncy","PX_LAST",valDate,valDate)/100</f>
        <v>9.4649999999999998E-2</v>
      </c>
      <c r="I202" s="32">
        <f t="shared" ca="1" si="42"/>
        <v>0.65382499999999999</v>
      </c>
      <c r="J202" s="32">
        <f t="shared" ca="1" si="43"/>
        <v>2.9950000000000001E-2</v>
      </c>
      <c r="K202" s="32">
        <f t="shared" ca="1" si="44"/>
        <v>4.4175000000000006E-2</v>
      </c>
      <c r="L202" s="32">
        <f t="shared" ca="1" si="45"/>
        <v>2.0099999999999996E-2</v>
      </c>
      <c r="M202" s="32">
        <f t="shared" ca="1" si="46"/>
        <v>9.4649999999999998E-2</v>
      </c>
    </row>
    <row r="203" spans="2:13" x14ac:dyDescent="0.25">
      <c r="B203" s="1" cm="1">
        <f t="array" aca="1" ref="B203" ca="1">_xll.QDates_FxOptionExpiryFromTenor(valDate,$C$193,C203)</f>
        <v>44693</v>
      </c>
      <c r="C203" s="8" t="s">
        <v>35</v>
      </c>
      <c r="D203" s="16">
        <f ca="1">_xll.BDH($C$194&amp;"V"&amp;$C203&amp;" Curncy","PX_LAST",valDate,valDate)/100</f>
        <v>0.64</v>
      </c>
      <c r="E203" s="16">
        <f ca="1">_xll.BDH($C$194&amp;E$194*100&amp;LEFT(E$193,1)&amp;$C203&amp;" Curncy","PX_LAST",valDate,valDate)/100</f>
        <v>0.03</v>
      </c>
      <c r="F203" s="16">
        <f ca="1">_xll.BDH($C$194&amp;F$194*100&amp;LEFT(F$193,1)&amp;$C203&amp;" Curncy","PX_LAST",valDate,valDate)/100</f>
        <v>5.7000000000000002E-2</v>
      </c>
      <c r="G203" s="16">
        <f ca="1">_xll.BDH($C$194&amp;G$194*100&amp;LEFT(G$193,1)&amp;$C203&amp;" Curncy","PX_LAST",valDate,valDate)/100</f>
        <v>1.8500000000000003E-2</v>
      </c>
      <c r="H203" s="16">
        <f ca="1">_xll.BDH($C$194&amp;H$194*100&amp;LEFT(H$193,1)&amp;$C203&amp;" Curncy","PX_LAST",valDate,valDate)/100</f>
        <v>9.8100000000000007E-2</v>
      </c>
      <c r="I203" s="32">
        <f t="shared" ca="1" si="42"/>
        <v>0.65</v>
      </c>
      <c r="J203" s="32">
        <f t="shared" ca="1" si="43"/>
        <v>0.03</v>
      </c>
      <c r="K203" s="32">
        <f t="shared" ca="1" si="44"/>
        <v>5.7000000000000002E-2</v>
      </c>
      <c r="L203" s="32">
        <f t="shared" ca="1" si="45"/>
        <v>1.8500000000000003E-2</v>
      </c>
      <c r="M203" s="32">
        <f t="shared" ca="1" si="46"/>
        <v>9.8100000000000007E-2</v>
      </c>
    </row>
    <row r="204" spans="2:13" x14ac:dyDescent="0.25">
      <c r="B204" s="1" cm="1">
        <f t="array" aca="1" ref="B204" ca="1">_xll.QDates_FxOptionExpiryFromTenor(valDate,$C$193,C204)</f>
        <v>45057</v>
      </c>
      <c r="C204" s="8" t="s">
        <v>36</v>
      </c>
      <c r="D204" s="16">
        <f ca="1">_xll.BDH($C$194&amp;"V"&amp;$C204&amp;" Curncy","PX_LAST",valDate,valDate)/100</f>
        <v>0.64</v>
      </c>
      <c r="E204" s="16">
        <f ca="1">_xll.BDH($C$194&amp;E$194*100&amp;LEFT(E$193,1)&amp;$C204&amp;" Curncy","PX_LAST",valDate,valDate)/100</f>
        <v>0.03</v>
      </c>
      <c r="F204" s="16">
        <f ca="1">_xll.BDH($C$194&amp;F$194*100&amp;LEFT(F$193,1)&amp;$C204&amp;" Curncy","PX_LAST",valDate,valDate)/100</f>
        <v>6.3E-2</v>
      </c>
      <c r="G204" s="16">
        <f ca="1">_xll.BDH($C$194&amp;G$194*100&amp;LEFT(G$193,1)&amp;$C204&amp;" Curncy","PX_LAST",valDate,valDate)/100</f>
        <v>1.8199999999999997E-2</v>
      </c>
      <c r="H204" s="16">
        <f ca="1">_xll.BDH($C$194&amp;H$194*100&amp;LEFT(H$193,1)&amp;$C204&amp;" Curncy","PX_LAST",valDate,valDate)/100</f>
        <v>9.7049999999999997E-2</v>
      </c>
      <c r="I204" s="32">
        <f t="shared" ca="1" si="42"/>
        <v>0.65</v>
      </c>
      <c r="J204" s="32">
        <f t="shared" ca="1" si="43"/>
        <v>0.03</v>
      </c>
      <c r="K204" s="32">
        <f t="shared" ca="1" si="44"/>
        <v>6.3E-2</v>
      </c>
      <c r="L204" s="32">
        <f t="shared" ca="1" si="45"/>
        <v>1.8199999999999997E-2</v>
      </c>
      <c r="M204" s="32">
        <f t="shared" ca="1" si="46"/>
        <v>9.7049999999999997E-2</v>
      </c>
    </row>
    <row r="205" spans="2:13" x14ac:dyDescent="0.25">
      <c r="B205" s="1" cm="1">
        <f t="array" aca="1" ref="B205" ca="1">_xll.QDates_FxOptionExpiryFromTenor(valDate,$C$193,C205)</f>
        <v>45422</v>
      </c>
      <c r="C205" s="8" t="s">
        <v>58</v>
      </c>
      <c r="D205" s="16">
        <f ca="1">_xll.BDH($C$194&amp;"V"&amp;$C205&amp;" Curncy","PX_LAST",valDate,valDate)/100</f>
        <v>0.64</v>
      </c>
      <c r="E205" s="16">
        <f ca="1">_xll.BDH($C$194&amp;E$194*100&amp;LEFT(E$193,1)&amp;$C205&amp;" Curncy","PX_LAST",valDate,valDate)/100</f>
        <v>0.03</v>
      </c>
      <c r="F205" s="16">
        <f ca="1">_xll.BDH($C$194&amp;F$194*100&amp;LEFT(F$193,1)&amp;$C205&amp;" Curncy","PX_LAST",valDate,valDate)/100</f>
        <v>6.3E-2</v>
      </c>
      <c r="G205" s="16">
        <f ca="1">_xll.BDH($C$194&amp;G$194*100&amp;LEFT(G$193,1)&amp;$C205&amp;" Curncy","PX_LAST",valDate,valDate)/100</f>
        <v>1.8149999999999999E-2</v>
      </c>
      <c r="H205" s="16">
        <f ca="1">_xll.BDH($C$194&amp;H$194*100&amp;LEFT(H$193,1)&amp;$C205&amp;" Curncy","PX_LAST",valDate,valDate)/100</f>
        <v>9.6500000000000002E-2</v>
      </c>
      <c r="I205" s="32">
        <f t="shared" ca="1" si="42"/>
        <v>0.65</v>
      </c>
      <c r="J205" s="32">
        <f t="shared" ca="1" si="43"/>
        <v>0.03</v>
      </c>
      <c r="K205" s="32">
        <f t="shared" ca="1" si="44"/>
        <v>6.3E-2</v>
      </c>
      <c r="L205" s="32">
        <f t="shared" ca="1" si="45"/>
        <v>1.8149999999999999E-2</v>
      </c>
      <c r="M205" s="32">
        <f t="shared" ca="1" si="46"/>
        <v>9.6500000000000002E-2</v>
      </c>
    </row>
    <row r="206" spans="2:13" x14ac:dyDescent="0.25">
      <c r="B206" s="1" cm="1">
        <f t="array" aca="1" ref="B206" ca="1">_xll.QDates_FxOptionExpiryFromTenor(valDate,$C$193,C206)</f>
        <v>45789</v>
      </c>
      <c r="C206" s="8" t="s">
        <v>37</v>
      </c>
      <c r="D206" s="16">
        <f ca="1">_xll.BDH($C$194&amp;"V"&amp;$C206&amp;" Curncy","PX_LAST",valDate,valDate)/100</f>
        <v>0.64</v>
      </c>
      <c r="E206" s="16">
        <f ca="1">_xll.BDH($C$194&amp;E$194*100&amp;LEFT(E$193,1)&amp;$C206&amp;" Curncy","PX_LAST",valDate,valDate)/100</f>
        <v>0.03</v>
      </c>
      <c r="F206" s="16">
        <f ca="1">_xll.BDH($C$194&amp;F$194*100&amp;LEFT(F$193,1)&amp;$C206&amp;" Curncy","PX_LAST",valDate,valDate)/100</f>
        <v>6.4500000000000002E-2</v>
      </c>
      <c r="G206" s="16">
        <f ca="1">_xll.BDH($C$194&amp;G$194*100&amp;LEFT(G$193,1)&amp;$C206&amp;" Curncy","PX_LAST",valDate,valDate)/100</f>
        <v>1.8100000000000002E-2</v>
      </c>
      <c r="H206" s="16">
        <f ca="1">_xll.BDH($C$194&amp;H$194*100&amp;LEFT(H$193,1)&amp;$C206&amp;" Curncy","PX_LAST",valDate,valDate)/100</f>
        <v>9.6300000000000011E-2</v>
      </c>
      <c r="I206" s="32">
        <f t="shared" ca="1" si="42"/>
        <v>0.65</v>
      </c>
      <c r="J206" s="32">
        <f t="shared" ca="1" si="43"/>
        <v>0.03</v>
      </c>
      <c r="K206" s="32">
        <f t="shared" ca="1" si="44"/>
        <v>6.4500000000000002E-2</v>
      </c>
      <c r="L206" s="32">
        <f t="shared" ca="1" si="45"/>
        <v>1.8100000000000002E-2</v>
      </c>
      <c r="M206" s="32">
        <f t="shared" ca="1" si="46"/>
        <v>9.6300000000000011E-2</v>
      </c>
    </row>
  </sheetData>
  <mergeCells count="15">
    <mergeCell ref="O48:R48"/>
    <mergeCell ref="C48:F48"/>
    <mergeCell ref="G48:J48"/>
    <mergeCell ref="K48:N48"/>
    <mergeCell ref="F30:H30"/>
    <mergeCell ref="C30:E30"/>
    <mergeCell ref="I30:K30"/>
    <mergeCell ref="L30:N30"/>
    <mergeCell ref="C176:H176"/>
    <mergeCell ref="C192:H192"/>
    <mergeCell ref="C93:H93"/>
    <mergeCell ref="C110:H110"/>
    <mergeCell ref="C126:H126"/>
    <mergeCell ref="C143:H143"/>
    <mergeCell ref="C160:H16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F5EF-25BE-47BD-8FA6-334FBD872581}">
  <sheetPr>
    <tabColor theme="4"/>
  </sheetPr>
  <dimension ref="A1:AT122"/>
  <sheetViews>
    <sheetView topLeftCell="Q58" workbookViewId="0">
      <selection activeCell="AH68" sqref="AH68:AI68"/>
    </sheetView>
  </sheetViews>
  <sheetFormatPr defaultRowHeight="15" x14ac:dyDescent="0.25"/>
  <cols>
    <col min="1" max="1" width="11" style="3" customWidth="1"/>
    <col min="2" max="2" width="10.140625" bestFit="1" customWidth="1"/>
    <col min="3" max="3" width="12.7109375" customWidth="1"/>
    <col min="4" max="4" width="10.140625" style="8" customWidth="1"/>
    <col min="7" max="7" width="11.140625" customWidth="1"/>
    <col min="8" max="8" width="10" bestFit="1" customWidth="1"/>
  </cols>
  <sheetData>
    <row r="1" spans="1:28" x14ac:dyDescent="0.25">
      <c r="A1" s="3" t="s">
        <v>99</v>
      </c>
      <c r="B1" s="1" cm="1">
        <f t="array" aca="1" ref="B1" ca="1">_xll.QDates_GetLME3mDate(valDate)</f>
        <v>44055</v>
      </c>
    </row>
    <row r="2" spans="1:28" x14ac:dyDescent="0.25">
      <c r="A2" s="3" t="s">
        <v>100</v>
      </c>
      <c r="B2" s="1" cm="1">
        <f t="array" aca="1" ref="B2" ca="1">_xll.QDates_SpotDate(valDate,"2b","LON","USD")</f>
        <v>43965</v>
      </c>
    </row>
    <row r="4" spans="1:28" x14ac:dyDescent="0.25">
      <c r="A4" s="3" t="s">
        <v>30</v>
      </c>
    </row>
    <row r="5" spans="1:28" x14ac:dyDescent="0.25">
      <c r="B5" s="24"/>
      <c r="C5" s="24" t="s">
        <v>15</v>
      </c>
      <c r="D5" s="24" t="s">
        <v>114</v>
      </c>
      <c r="E5" s="24" t="s">
        <v>17</v>
      </c>
    </row>
    <row r="6" spans="1:28" x14ac:dyDescent="0.25">
      <c r="B6" t="s">
        <v>105</v>
      </c>
      <c r="C6" s="8" cm="1">
        <f t="array" ref="C6">_xll.BDP("LM"&amp;B6&amp;"DS03 Comdty","PX_LAST")</f>
        <v>1484</v>
      </c>
      <c r="D6" s="34">
        <v>3</v>
      </c>
      <c r="E6" s="8">
        <f t="shared" ref="E6:E11" si="0">C6+D6</f>
        <v>1487</v>
      </c>
    </row>
    <row r="7" spans="1:28" x14ac:dyDescent="0.25">
      <c r="B7" t="s">
        <v>109</v>
      </c>
      <c r="C7" s="8" cm="1">
        <f t="array" ref="C7">_xll.BDP("LM"&amp;B7&amp;"DS03 Comdty","PX_LAST")</f>
        <v>5240</v>
      </c>
      <c r="D7" s="34"/>
      <c r="E7" s="8">
        <f t="shared" si="0"/>
        <v>5240</v>
      </c>
    </row>
    <row r="8" spans="1:28" x14ac:dyDescent="0.25">
      <c r="B8" t="s">
        <v>110</v>
      </c>
      <c r="C8" s="8" cm="1">
        <f t="array" ref="C8">_xll.BDP("LM"&amp;B8&amp;"DS03 Comdty","PX_LAST")</f>
        <v>2007</v>
      </c>
      <c r="D8" s="34"/>
      <c r="E8" s="8">
        <f t="shared" si="0"/>
        <v>2007</v>
      </c>
    </row>
    <row r="9" spans="1:28" x14ac:dyDescent="0.25">
      <c r="B9" t="s">
        <v>111</v>
      </c>
      <c r="C9" s="8" cm="1">
        <f t="array" ref="C9">_xll.BDP("LM"&amp;B9&amp;"DS03 Comdty","PX_LAST")</f>
        <v>12260</v>
      </c>
      <c r="D9" s="34"/>
      <c r="E9" s="8">
        <f t="shared" si="0"/>
        <v>12260</v>
      </c>
    </row>
    <row r="10" spans="1:28" x14ac:dyDescent="0.25">
      <c r="B10" t="s">
        <v>112</v>
      </c>
      <c r="C10" s="8" cm="1">
        <f t="array" ref="C10">_xll.BDP("LM"&amp;B10&amp;"DS03 Comdty","PX_LAST")</f>
        <v>1652</v>
      </c>
      <c r="D10" s="34"/>
      <c r="E10" s="8">
        <f t="shared" si="0"/>
        <v>1652</v>
      </c>
    </row>
    <row r="11" spans="1:28" x14ac:dyDescent="0.25">
      <c r="B11" t="s">
        <v>113</v>
      </c>
      <c r="C11" s="8" cm="1">
        <f t="array" ref="C11">_xll.BDP("LM"&amp;B11&amp;"DS03 Comdty","PX_LAST")</f>
        <v>15255</v>
      </c>
      <c r="D11" s="34"/>
      <c r="E11" s="8">
        <f t="shared" si="0"/>
        <v>15255</v>
      </c>
    </row>
    <row r="13" spans="1:28" x14ac:dyDescent="0.25">
      <c r="A13" s="3" t="s">
        <v>108</v>
      </c>
    </row>
    <row r="14" spans="1:28" x14ac:dyDescent="0.25">
      <c r="E14" s="108" t="s">
        <v>105</v>
      </c>
      <c r="F14" s="109"/>
      <c r="G14" s="109"/>
      <c r="H14" s="46" t="str" cm="1">
        <f t="array" aca="1" ref="H14" ca="1">_xll.QCurves_CreatePriceCurve("fwd_"&amp;E14,E14,valDate,$B$16:$B$64,H16:H64,"LME",$C$16:$C$64,"USD",,"2b","LME")</f>
        <v>fwd_AH¬0</v>
      </c>
      <c r="I14" s="108" t="s">
        <v>109</v>
      </c>
      <c r="J14" s="109"/>
      <c r="K14" s="109"/>
      <c r="L14" s="46" t="str" cm="1">
        <f t="array" aca="1" ref="L14" ca="1">_xll.QCurves_CreatePriceCurve("fwd_"&amp;I14,I14,valDate,$B$16:$B$64,L16:L64,"LME",$C$16:$C$64,"USD",,"2b","LME")</f>
        <v>fwd_CA¬0</v>
      </c>
      <c r="M14" s="108" t="s">
        <v>110</v>
      </c>
      <c r="N14" s="109"/>
      <c r="O14" s="109"/>
      <c r="P14" s="46" t="str" cm="1">
        <f t="array" aca="1" ref="P14" ca="1">_xll.QCurves_CreatePriceCurve("fwd_"&amp;M14,M14,valDate,$B$16:$B$64,P16:P64,"LME",$C$16:$C$64,"USD",,"2b","LME")</f>
        <v>fwd_ZS¬0</v>
      </c>
      <c r="Q14" s="108" t="s">
        <v>111</v>
      </c>
      <c r="R14" s="109"/>
      <c r="S14" s="109"/>
      <c r="T14" s="46" t="str" cm="1">
        <f t="array" aca="1" ref="T14" ca="1">_xll.QCurves_CreatePriceCurve("fwd_"&amp;Q14,Q14,valDate,$B$16:$B$64,T16:T64,"LME",$C$16:$C$64,"USD",,"2b","LME")</f>
        <v>fwd_NI¬0</v>
      </c>
      <c r="U14" s="108" t="s">
        <v>112</v>
      </c>
      <c r="V14" s="109"/>
      <c r="W14" s="109"/>
      <c r="X14" s="46" t="str" cm="1">
        <f t="array" aca="1" ref="X14" ca="1">_xll.QCurves_CreatePriceCurve("fwd_"&amp;U14,U14,valDate,$B$16:$B$64,X16:X64,"LME",$C$16:$C$64,"USD",,"2b","LME")</f>
        <v>fwd_PB¬0</v>
      </c>
      <c r="Y14" s="108" t="s">
        <v>113</v>
      </c>
      <c r="Z14" s="109"/>
      <c r="AA14" s="109"/>
      <c r="AB14" s="46" t="str" cm="1">
        <f t="array" aca="1" ref="AB14" ca="1">_xll.QCurves_CreatePriceCurve("fwd_"&amp;Y14,Y14,valDate,$B$16:$B$64,AB16:AB64,"LME",$C$16:$C$64,"USD",,"2b","LME")</f>
        <v>fwd_SN¬0</v>
      </c>
    </row>
    <row r="15" spans="1:28" x14ac:dyDescent="0.25">
      <c r="B15" s="10" t="s">
        <v>84</v>
      </c>
      <c r="C15" s="10" t="s">
        <v>101</v>
      </c>
      <c r="D15" s="24" t="s">
        <v>103</v>
      </c>
      <c r="E15" s="43" t="s">
        <v>106</v>
      </c>
      <c r="F15" s="44" t="s">
        <v>107</v>
      </c>
      <c r="G15" s="44" t="s">
        <v>17</v>
      </c>
      <c r="H15" s="45" t="s">
        <v>83</v>
      </c>
      <c r="I15" s="43" t="s">
        <v>106</v>
      </c>
      <c r="J15" s="44" t="s">
        <v>107</v>
      </c>
      <c r="K15" s="44" t="s">
        <v>17</v>
      </c>
      <c r="L15" s="45" t="s">
        <v>83</v>
      </c>
      <c r="M15" s="43" t="s">
        <v>106</v>
      </c>
      <c r="N15" s="44" t="s">
        <v>107</v>
      </c>
      <c r="O15" s="44" t="s">
        <v>17</v>
      </c>
      <c r="P15" s="45" t="s">
        <v>83</v>
      </c>
      <c r="Q15" s="43" t="s">
        <v>106</v>
      </c>
      <c r="R15" s="44" t="s">
        <v>107</v>
      </c>
      <c r="S15" s="44" t="s">
        <v>17</v>
      </c>
      <c r="T15" s="45" t="s">
        <v>83</v>
      </c>
      <c r="U15" s="43" t="s">
        <v>106</v>
      </c>
      <c r="V15" s="44" t="s">
        <v>107</v>
      </c>
      <c r="W15" s="44" t="s">
        <v>17</v>
      </c>
      <c r="X15" s="45" t="s">
        <v>83</v>
      </c>
      <c r="Y15" s="43" t="s">
        <v>106</v>
      </c>
      <c r="Z15" s="44" t="s">
        <v>107</v>
      </c>
      <c r="AA15" s="44" t="s">
        <v>17</v>
      </c>
      <c r="AB15" s="45" t="s">
        <v>83</v>
      </c>
    </row>
    <row r="16" spans="1:28" x14ac:dyDescent="0.25">
      <c r="B16" s="1">
        <f ca="1">B2</f>
        <v>43965</v>
      </c>
      <c r="C16" s="8" t="str">
        <f>"00"</f>
        <v>00</v>
      </c>
      <c r="D16" s="8" t="s">
        <v>102</v>
      </c>
      <c r="E16" s="35" cm="1">
        <f t="array" ref="E16">IF($D16="S 0303",0,_xll.BDP("LM"&amp;E$14&amp;"D"&amp;$D16&amp;" Comdty","PX_SETTLE"))</f>
        <v>-36.5</v>
      </c>
      <c r="F16" s="36">
        <f>E16</f>
        <v>-36.5</v>
      </c>
      <c r="G16" s="37">
        <f t="array" aca="1" ref="G16:G64" ca="1">_xll.QCurves_BendCurve($E$16:$E$64,$F$16:$F$64)</f>
        <v>-36.5</v>
      </c>
      <c r="H16" s="38">
        <f ca="1">VLOOKUP(E$14,$B$6:$E$11,4,FALSE)-G16</f>
        <v>1523.5</v>
      </c>
      <c r="I16" s="35" cm="1">
        <f t="array" ref="I16">IF($D16="S 0303",0,_xll.BDP("LM"&amp;I$14&amp;"D"&amp;$D16&amp;" Comdty","PX_SETTLE"))</f>
        <v>-33.25</v>
      </c>
      <c r="J16" s="36">
        <f>I16</f>
        <v>-33.25</v>
      </c>
      <c r="K16" s="37">
        <f t="array" aca="1" ref="K16:K64" ca="1">_xll.QCurves_BendCurve(I16:I64,J16:J64)</f>
        <v>-33.25</v>
      </c>
      <c r="L16" s="38">
        <f ca="1">VLOOKUP(I$14,$B$6:$E$11,4,FALSE)-K16</f>
        <v>5273.25</v>
      </c>
      <c r="M16" s="35" cm="1">
        <f t="array" ref="M16">IF($D16="S 0303",0,_xll.BDP("LM"&amp;M$14&amp;"D"&amp;$D16&amp;" Comdty","PX_SETTLE"))</f>
        <v>-1.25</v>
      </c>
      <c r="N16" s="36">
        <f>M16</f>
        <v>-1.25</v>
      </c>
      <c r="O16" s="37">
        <f t="array" aca="1" ref="O16:O64" ca="1">_xll.QCurves_BendCurve(M16:M64,N16:N64)</f>
        <v>-1.25</v>
      </c>
      <c r="P16" s="38">
        <f ca="1">VLOOKUP(M$14,$B$6:$E$11,4,FALSE)-O16</f>
        <v>2008.25</v>
      </c>
      <c r="Q16" s="35" cm="1">
        <f t="array" ref="Q16">IF($D16="S 0303",0,_xll.BDP("LM"&amp;Q$14&amp;"D"&amp;$D16&amp;" Comdty","PX_SETTLE"))</f>
        <v>-64.5</v>
      </c>
      <c r="R16" s="36">
        <f>Q16</f>
        <v>-64.5</v>
      </c>
      <c r="S16" s="37">
        <f t="array" aca="1" ref="S16:S64" ca="1">_xll.QCurves_BendCurve(Q16:Q64,R16:R64)</f>
        <v>-64.5</v>
      </c>
      <c r="T16" s="38">
        <f ca="1">VLOOKUP(Q$14,$B$6:$E$11,4,FALSE)-S16</f>
        <v>12324.5</v>
      </c>
      <c r="U16" s="35" cm="1">
        <f t="array" ref="U16">IF($D16="S 0303",0,_xll.BDP("LM"&amp;U$14&amp;"D"&amp;$D16&amp;" Comdty","PX_SETTLE"))</f>
        <v>-19.2</v>
      </c>
      <c r="V16" s="36">
        <f>U16</f>
        <v>-19.2</v>
      </c>
      <c r="W16" s="37">
        <f t="array" aca="1" ref="W16:W64" ca="1">_xll.QCurves_BendCurve(U16:U64,V16:V64)</f>
        <v>-19.2</v>
      </c>
      <c r="X16" s="38">
        <f ca="1">VLOOKUP(U$14,$B$6:$E$11,4,FALSE)-W16</f>
        <v>1671.2</v>
      </c>
      <c r="Y16" s="35" cm="1">
        <f t="array" ref="Y16">IF($D16="S 0303",0,_xll.BDP("LM"&amp;Y$14&amp;"D"&amp;$D16&amp;" Comdty","PX_SETTLE"))</f>
        <v>151</v>
      </c>
      <c r="Z16" s="36">
        <f>Y16</f>
        <v>151</v>
      </c>
      <c r="AA16" s="37">
        <f t="array" aca="1" ref="AA16:AA64" ca="1">_xll.QCurves_BendCurve(Y16:Y64,Z16:Z64)</f>
        <v>151</v>
      </c>
      <c r="AB16" s="38">
        <f ca="1">VLOOKUP(Y$14,$B$6:$E$11,4,FALSE)-AA16</f>
        <v>15104</v>
      </c>
    </row>
    <row r="17" spans="2:28" x14ac:dyDescent="0.25">
      <c r="B17" s="1" cm="1">
        <f t="array" aca="1" ref="B17" ca="1">_xll.QDates_NextLMECurveDate(B16,$B$1,FALSE)</f>
        <v>43971</v>
      </c>
      <c r="C17" s="8" t="str" cm="1">
        <f t="array" aca="1" ref="C17" ca="1">IF(B17=$B$1,"03",_xll.QDates_GetMonthCodeAndYear(B17,2))</f>
        <v>K20</v>
      </c>
      <c r="D17" s="8" t="str">
        <f t="shared" ref="D17:D64" ca="1" si="1">IF(B17&lt;m3Date,"S "&amp;C17&amp;"03","S 03"&amp;C17)</f>
        <v>S K2003</v>
      </c>
      <c r="E17" s="35" cm="1">
        <f t="array" aca="1" ref="E17" ca="1">IF($D17="S 0303",0,_xll.BDP("LM"&amp;E$14&amp;"D"&amp;$D17&amp;" Comdty","PX_SETTLE"))</f>
        <v>-32.75</v>
      </c>
      <c r="F17" s="39"/>
      <c r="G17" s="37">
        <f ca="1"/>
        <v>-32.75</v>
      </c>
      <c r="H17" s="38">
        <f t="shared" ref="H17:H64" ca="1" si="2">VLOOKUP(E$14,$B$6:$E$11,4,FALSE)-G17</f>
        <v>1519.75</v>
      </c>
      <c r="I17" s="35" cm="1">
        <f t="array" aca="1" ref="I17" ca="1">IF($D17="S 0303",0,_xll.BDP("LM"&amp;I$14&amp;"D"&amp;$D17&amp;" Comdty","PX_SETTLE"))</f>
        <v>-28.25</v>
      </c>
      <c r="J17" s="39"/>
      <c r="K17" s="37">
        <f ca="1"/>
        <v>-28.25</v>
      </c>
      <c r="L17" s="38">
        <f t="shared" ref="L17:L64" ca="1" si="3">VLOOKUP(I$14,$B$6:$E$11,4,FALSE)-K17</f>
        <v>5268.25</v>
      </c>
      <c r="M17" s="35" cm="1">
        <f t="array" aca="1" ref="M17" ca="1">IF($D17="S 0303",0,_xll.BDP("LM"&amp;M$14&amp;"D"&amp;$D17&amp;" Comdty","PX_SETTLE"))</f>
        <v>-1.25</v>
      </c>
      <c r="N17" s="39"/>
      <c r="O17" s="37">
        <f ca="1"/>
        <v>-1.25</v>
      </c>
      <c r="P17" s="38">
        <f t="shared" ref="P17:P64" ca="1" si="4">VLOOKUP(M$14,$B$6:$E$11,4,FALSE)-O17</f>
        <v>2008.25</v>
      </c>
      <c r="Q17" s="35" cm="1">
        <f t="array" aca="1" ref="Q17" ca="1">IF($D17="S 0303",0,_xll.BDP("LM"&amp;Q$14&amp;"D"&amp;$D17&amp;" Comdty","PX_SETTLE"))</f>
        <v>-61.5</v>
      </c>
      <c r="R17" s="39"/>
      <c r="S17" s="37">
        <f ca="1"/>
        <v>-61.5</v>
      </c>
      <c r="T17" s="38">
        <f t="shared" ref="T17:T64" ca="1" si="5">VLOOKUP(Q$14,$B$6:$E$11,4,FALSE)-S17</f>
        <v>12321.5</v>
      </c>
      <c r="U17" s="35" cm="1">
        <f t="array" aca="1" ref="U17" ca="1">IF($D17="S 0303",0,_xll.BDP("LM"&amp;U$14&amp;"D"&amp;$D17&amp;" Comdty","PX_SETTLE"))</f>
        <v>-15.700000000000001</v>
      </c>
      <c r="V17" s="39"/>
      <c r="W17" s="37">
        <f ca="1"/>
        <v>-15.700000000000001</v>
      </c>
      <c r="X17" s="38">
        <f t="shared" ref="X17:X64" ca="1" si="6">VLOOKUP(U$14,$B$6:$E$11,4,FALSE)-W17</f>
        <v>1667.7</v>
      </c>
      <c r="Y17" s="35" cm="1">
        <f t="array" aca="1" ref="Y17" ca="1">IF($D17="S 0303",0,_xll.BDP("LM"&amp;Y$14&amp;"D"&amp;$D17&amp;" Comdty","PX_SETTLE"))</f>
        <v>145</v>
      </c>
      <c r="Z17" s="39"/>
      <c r="AA17" s="37">
        <f ca="1"/>
        <v>145</v>
      </c>
      <c r="AB17" s="38">
        <f t="shared" ref="AB17:AB64" ca="1" si="7">VLOOKUP(Y$14,$B$6:$E$11,4,FALSE)-AA17</f>
        <v>15110</v>
      </c>
    </row>
    <row r="18" spans="2:28" x14ac:dyDescent="0.25">
      <c r="B18" s="1" cm="1">
        <f t="array" aca="1" ref="B18" ca="1">_xll.QDates_NextLMECurveDate(B17,$B$1,FALSE)</f>
        <v>43999</v>
      </c>
      <c r="C18" s="8" t="str" cm="1">
        <f t="array" aca="1" ref="C18" ca="1">IF(B18=$B$1,"03",_xll.QDates_GetMonthCodeAndYear(B18,2))</f>
        <v>M20</v>
      </c>
      <c r="D18" s="8" t="str">
        <f t="shared" ca="1" si="1"/>
        <v>S M2003</v>
      </c>
      <c r="E18" s="35" cm="1">
        <f t="array" aca="1" ref="E18" ca="1">IF($D18="S 0303",0,_xll.BDP("LM"&amp;E$14&amp;"D"&amp;$D18&amp;" Comdty","PX_SETTLE"))</f>
        <v>-18</v>
      </c>
      <c r="F18" s="39"/>
      <c r="G18" s="37">
        <f ca="1"/>
        <v>-18</v>
      </c>
      <c r="H18" s="38">
        <f t="shared" ca="1" si="2"/>
        <v>1505</v>
      </c>
      <c r="I18" s="35" cm="1">
        <f t="array" aca="1" ref="I18" ca="1">IF($D18="S 0303",0,_xll.BDP("LM"&amp;I$14&amp;"D"&amp;$D18&amp;" Comdty","PX_SETTLE"))</f>
        <v>-17.75</v>
      </c>
      <c r="J18" s="39"/>
      <c r="K18" s="37">
        <f ca="1"/>
        <v>-17.75</v>
      </c>
      <c r="L18" s="38">
        <f t="shared" ca="1" si="3"/>
        <v>5257.75</v>
      </c>
      <c r="M18" s="35" cm="1">
        <f t="array" aca="1" ref="M18" ca="1">IF($D18="S 0303",0,_xll.BDP("LM"&amp;M$14&amp;"D"&amp;$D18&amp;" Comdty","PX_SETTLE"))</f>
        <v>-3.25</v>
      </c>
      <c r="N18" s="39"/>
      <c r="O18" s="37">
        <f ca="1"/>
        <v>-3.25</v>
      </c>
      <c r="P18" s="38">
        <f t="shared" ca="1" si="4"/>
        <v>2010.25</v>
      </c>
      <c r="Q18" s="35" cm="1">
        <f t="array" aca="1" ref="Q18" ca="1">IF($D18="S 0303",0,_xll.BDP("LM"&amp;Q$14&amp;"D"&amp;$D18&amp;" Comdty","PX_SETTLE"))</f>
        <v>-41.5</v>
      </c>
      <c r="R18" s="39"/>
      <c r="S18" s="37">
        <f ca="1"/>
        <v>-41.5</v>
      </c>
      <c r="T18" s="38">
        <f t="shared" ca="1" si="5"/>
        <v>12301.5</v>
      </c>
      <c r="U18" s="35" cm="1">
        <f t="array" aca="1" ref="U18" ca="1">IF($D18="S 0303",0,_xll.BDP("LM"&amp;U$14&amp;"D"&amp;$D18&amp;" Comdty","PX_SETTLE"))</f>
        <v>-8.9500000000000011</v>
      </c>
      <c r="V18" s="39"/>
      <c r="W18" s="37">
        <f ca="1"/>
        <v>-8.9500000000000011</v>
      </c>
      <c r="X18" s="38">
        <f t="shared" ca="1" si="6"/>
        <v>1660.95</v>
      </c>
      <c r="Y18" s="35" cm="1">
        <f t="array" aca="1" ref="Y18" ca="1">IF($D18="S 0303",0,_xll.BDP("LM"&amp;Y$14&amp;"D"&amp;$D18&amp;" Comdty","PX_SETTLE"))</f>
        <v>130</v>
      </c>
      <c r="Z18" s="39"/>
      <c r="AA18" s="37">
        <f ca="1"/>
        <v>130</v>
      </c>
      <c r="AB18" s="38">
        <f t="shared" ca="1" si="7"/>
        <v>15125</v>
      </c>
    </row>
    <row r="19" spans="2:28" x14ac:dyDescent="0.25">
      <c r="B19" s="1" cm="1">
        <f t="array" aca="1" ref="B19" ca="1">_xll.QDates_NextLMECurveDate(B18,$B$1,FALSE)</f>
        <v>44027</v>
      </c>
      <c r="C19" s="8" t="str" cm="1">
        <f t="array" aca="1" ref="C19" ca="1">IF(B19=$B$1,"03",_xll.QDates_GetMonthCodeAndYear(B19,2))</f>
        <v>N20</v>
      </c>
      <c r="D19" s="8" t="str">
        <f t="shared" ca="1" si="1"/>
        <v>S N2003</v>
      </c>
      <c r="E19" s="35" cm="1">
        <f t="array" aca="1" ref="E19" ca="1">IF($D19="S 0303",0,_xll.BDP("LM"&amp;E$14&amp;"D"&amp;$D19&amp;" Comdty","PX_SETTLE"))</f>
        <v>-9.75</v>
      </c>
      <c r="F19" s="39" t="str">
        <f ca="1">IF($C19="03",0,"")</f>
        <v/>
      </c>
      <c r="G19" s="37">
        <f ca="1"/>
        <v>-9.75</v>
      </c>
      <c r="H19" s="38">
        <f t="shared" ca="1" si="2"/>
        <v>1496.75</v>
      </c>
      <c r="I19" s="35" cm="1">
        <f t="array" aca="1" ref="I19" ca="1">IF($D19="S 0303",0,_xll.BDP("LM"&amp;I$14&amp;"D"&amp;$D19&amp;" Comdty","PX_SETTLE"))</f>
        <v>-8.75</v>
      </c>
      <c r="J19" s="39" t="str">
        <f ca="1">IF($C19="03",0,"")</f>
        <v/>
      </c>
      <c r="K19" s="37">
        <f ca="1"/>
        <v>-8.75</v>
      </c>
      <c r="L19" s="38">
        <f t="shared" ca="1" si="3"/>
        <v>5248.75</v>
      </c>
      <c r="M19" s="35" cm="1">
        <f t="array" aca="1" ref="M19" ca="1">IF($D19="S 0303",0,_xll.BDP("LM"&amp;M$14&amp;"D"&amp;$D19&amp;" Comdty","PX_SETTLE"))</f>
        <v>-1.5</v>
      </c>
      <c r="N19" s="39" t="str">
        <f ca="1">IF($C19="03",0,"")</f>
        <v/>
      </c>
      <c r="O19" s="37">
        <f ca="1"/>
        <v>-1.5</v>
      </c>
      <c r="P19" s="38">
        <f t="shared" ca="1" si="4"/>
        <v>2008.5</v>
      </c>
      <c r="Q19" s="35" cm="1">
        <f t="array" aca="1" ref="Q19" ca="1">IF($D19="S 0303",0,_xll.BDP("LM"&amp;Q$14&amp;"D"&amp;$D19&amp;" Comdty","PX_SETTLE"))</f>
        <v>-21.5</v>
      </c>
      <c r="R19" s="39" t="str">
        <f ca="1">IF($C19="03",0,"")</f>
        <v/>
      </c>
      <c r="S19" s="37">
        <f ca="1"/>
        <v>-21.5</v>
      </c>
      <c r="T19" s="38">
        <f t="shared" ca="1" si="5"/>
        <v>12281.5</v>
      </c>
      <c r="U19" s="35" cm="1">
        <f t="array" aca="1" ref="U19" ca="1">IF($D19="S 0303",0,_xll.BDP("LM"&amp;U$14&amp;"D"&amp;$D19&amp;" Comdty","PX_SETTLE"))</f>
        <v>-2.5</v>
      </c>
      <c r="V19" s="39" t="str">
        <f ca="1">IF($C19="03",0,"")</f>
        <v/>
      </c>
      <c r="W19" s="37">
        <f ca="1"/>
        <v>-2.5</v>
      </c>
      <c r="X19" s="38">
        <f t="shared" ca="1" si="6"/>
        <v>1654.5</v>
      </c>
      <c r="Y19" s="35" cm="1">
        <f t="array" aca="1" ref="Y19" ca="1">IF($D19="S 0303",0,_xll.BDP("LM"&amp;Y$14&amp;"D"&amp;$D19&amp;" Comdty","PX_SETTLE"))</f>
        <v>40</v>
      </c>
      <c r="Z19" s="39" t="str">
        <f ca="1">IF($C19="03",0,"")</f>
        <v/>
      </c>
      <c r="AA19" s="37">
        <f ca="1"/>
        <v>40</v>
      </c>
      <c r="AB19" s="38">
        <f t="shared" ca="1" si="7"/>
        <v>15215</v>
      </c>
    </row>
    <row r="20" spans="2:28" x14ac:dyDescent="0.25">
      <c r="B20" s="1" cm="1">
        <f t="array" aca="1" ref="B20" ca="1">_xll.QDates_NextLMECurveDate(B19,$B$1,FALSE)</f>
        <v>44055</v>
      </c>
      <c r="C20" s="8" t="str" cm="1">
        <f t="array" aca="1" ref="C20" ca="1">IF(B20=$B$1,"03",_xll.QDates_GetMonthCodeAndYear(B20,2))</f>
        <v>03</v>
      </c>
      <c r="D20" s="8" t="str">
        <f t="shared" ca="1" si="1"/>
        <v>S 0303</v>
      </c>
      <c r="E20" s="35" cm="1">
        <f t="array" aca="1" ref="E20" ca="1">IF($D20="S 0303",0,_xll.BDP("LM"&amp;E$14&amp;"D"&amp;$D20&amp;" Comdty","PX_SETTLE"))</f>
        <v>0</v>
      </c>
      <c r="F20" s="39">
        <f ca="1">IF($C20="03",0,"")</f>
        <v>0</v>
      </c>
      <c r="G20" s="37">
        <f ca="1"/>
        <v>0</v>
      </c>
      <c r="H20" s="38">
        <f t="shared" ca="1" si="2"/>
        <v>1487</v>
      </c>
      <c r="I20" s="35" cm="1">
        <f t="array" aca="1" ref="I20" ca="1">IF($D20="S 0303",0,_xll.BDP("LM"&amp;I$14&amp;"D"&amp;$D20&amp;" Comdty","PX_SETTLE"))</f>
        <v>0</v>
      </c>
      <c r="J20" s="39">
        <f ca="1">IF($C20="03",0,"")</f>
        <v>0</v>
      </c>
      <c r="K20" s="37">
        <f ca="1"/>
        <v>0</v>
      </c>
      <c r="L20" s="38">
        <f t="shared" ca="1" si="3"/>
        <v>5240</v>
      </c>
      <c r="M20" s="35" cm="1">
        <f t="array" aca="1" ref="M20" ca="1">IF($D20="S 0303",0,_xll.BDP("LM"&amp;M$14&amp;"D"&amp;$D20&amp;" Comdty","PX_SETTLE"))</f>
        <v>0</v>
      </c>
      <c r="N20" s="39">
        <f ca="1">IF($C20="03",0,"")</f>
        <v>0</v>
      </c>
      <c r="O20" s="37">
        <f ca="1"/>
        <v>0</v>
      </c>
      <c r="P20" s="38">
        <f t="shared" ca="1" si="4"/>
        <v>2007</v>
      </c>
      <c r="Q20" s="35" cm="1">
        <f t="array" aca="1" ref="Q20" ca="1">IF($D20="S 0303",0,_xll.BDP("LM"&amp;Q$14&amp;"D"&amp;$D20&amp;" Comdty","PX_SETTLE"))</f>
        <v>0</v>
      </c>
      <c r="R20" s="39">
        <f ca="1">IF($C20="03",0,"")</f>
        <v>0</v>
      </c>
      <c r="S20" s="37">
        <f ca="1"/>
        <v>0</v>
      </c>
      <c r="T20" s="38">
        <f t="shared" ca="1" si="5"/>
        <v>12260</v>
      </c>
      <c r="U20" s="35" cm="1">
        <f t="array" aca="1" ref="U20" ca="1">IF($D20="S 0303",0,_xll.BDP("LM"&amp;U$14&amp;"D"&amp;$D20&amp;" Comdty","PX_SETTLE"))</f>
        <v>0</v>
      </c>
      <c r="V20" s="39">
        <f ca="1">IF($C20="03",0,"")</f>
        <v>0</v>
      </c>
      <c r="W20" s="37">
        <f ca="1"/>
        <v>0</v>
      </c>
      <c r="X20" s="38">
        <f t="shared" ca="1" si="6"/>
        <v>1652</v>
      </c>
      <c r="Y20" s="35" cm="1">
        <f t="array" aca="1" ref="Y20" ca="1">IF($D20="S 0303",0,_xll.BDP("LM"&amp;Y$14&amp;"D"&amp;$D20&amp;" Comdty","PX_SETTLE"))</f>
        <v>0</v>
      </c>
      <c r="Z20" s="39">
        <f ca="1">IF($C20="03",0,"")</f>
        <v>0</v>
      </c>
      <c r="AA20" s="37">
        <f ca="1"/>
        <v>0</v>
      </c>
      <c r="AB20" s="38">
        <f t="shared" ca="1" si="7"/>
        <v>15255</v>
      </c>
    </row>
    <row r="21" spans="2:28" x14ac:dyDescent="0.25">
      <c r="B21" s="1" cm="1">
        <f t="array" aca="1" ref="B21" ca="1">_xll.QDates_NextLMECurveDate(B20,$B$1,FALSE)</f>
        <v>44062</v>
      </c>
      <c r="C21" s="8" t="str" cm="1">
        <f t="array" aca="1" ref="C21" ca="1">IF(B21=$B$1,"03",_xll.QDates_GetMonthCodeAndYear(B21,2))</f>
        <v>Q20</v>
      </c>
      <c r="D21" s="8" t="str">
        <f t="shared" ca="1" si="1"/>
        <v>S 03Q20</v>
      </c>
      <c r="E21" s="35" cm="1">
        <f t="array" aca="1" ref="E21" ca="1">IF($D21="S 0303",0,_xll.BDP("LM"&amp;E$14&amp;"D"&amp;$D21&amp;" Comdty","PX_SETTLE"))</f>
        <v>-2</v>
      </c>
      <c r="F21" s="39" t="str">
        <f ca="1">IF($C21="03",0,"")</f>
        <v/>
      </c>
      <c r="G21" s="37">
        <f ca="1"/>
        <v>-2.4</v>
      </c>
      <c r="H21" s="38">
        <f t="shared" ca="1" si="2"/>
        <v>1489.4</v>
      </c>
      <c r="I21" s="35" cm="1">
        <f t="array" aca="1" ref="I21" ca="1">IF($D21="S 0303",0,_xll.BDP("LM"&amp;I$14&amp;"D"&amp;$D21&amp;" Comdty","PX_SETTLE"))</f>
        <v>-0.75</v>
      </c>
      <c r="J21" s="39" t="str">
        <f ca="1">IF($C21="03",0,"")</f>
        <v/>
      </c>
      <c r="K21" s="37">
        <f ca="1"/>
        <v>-1.1499999999999999</v>
      </c>
      <c r="L21" s="38">
        <f t="shared" ca="1" si="3"/>
        <v>5241.1499999999996</v>
      </c>
      <c r="M21" s="35" cm="1">
        <f t="array" aca="1" ref="M21" ca="1">IF($D21="S 0303",0,_xll.BDP("LM"&amp;M$14&amp;"D"&amp;$D21&amp;" Comdty","PX_SETTLE"))</f>
        <v>-0.25</v>
      </c>
      <c r="N21" s="39" t="str">
        <f ca="1">IF($C21="03",0,"")</f>
        <v/>
      </c>
      <c r="O21" s="37">
        <f ca="1"/>
        <v>-0.65</v>
      </c>
      <c r="P21" s="38">
        <f t="shared" ca="1" si="4"/>
        <v>2007.65</v>
      </c>
      <c r="Q21" s="35" cm="1">
        <f t="array" aca="1" ref="Q21" ca="1">IF($D21="S 0303",0,_xll.BDP("LM"&amp;Q$14&amp;"D"&amp;$D21&amp;" Comdty","PX_SETTLE"))</f>
        <v>-5</v>
      </c>
      <c r="R21" s="39" t="str">
        <f ca="1">IF($C21="03",0,"")</f>
        <v/>
      </c>
      <c r="S21" s="37">
        <f ca="1"/>
        <v>-5.4</v>
      </c>
      <c r="T21" s="38">
        <f t="shared" ca="1" si="5"/>
        <v>12265.4</v>
      </c>
      <c r="U21" s="35" cm="1">
        <f t="array" aca="1" ref="U21" ca="1">IF($D21="S 0303",0,_xll.BDP("LM"&amp;U$14&amp;"D"&amp;$D21&amp;" Comdty","PX_SETTLE"))</f>
        <v>-0.5</v>
      </c>
      <c r="V21" s="39" t="str">
        <f ca="1">IF($C21="03",0,"")</f>
        <v/>
      </c>
      <c r="W21" s="37">
        <f ca="1"/>
        <v>-0.9</v>
      </c>
      <c r="X21" s="38">
        <f t="shared" ca="1" si="6"/>
        <v>1652.9</v>
      </c>
      <c r="Y21" s="35" cm="1">
        <f t="array" aca="1" ref="Y21" ca="1">IF($D21="S 0303",0,_xll.BDP("LM"&amp;Y$14&amp;"D"&amp;$D21&amp;" Comdty","PX_SETTLE"))</f>
        <v>-1</v>
      </c>
      <c r="Z21" s="39" t="str">
        <f ca="1">IF($C21="03",0,"")</f>
        <v/>
      </c>
      <c r="AA21" s="37">
        <f ca="1"/>
        <v>-1.4</v>
      </c>
      <c r="AB21" s="38">
        <f t="shared" ca="1" si="7"/>
        <v>15256.4</v>
      </c>
    </row>
    <row r="22" spans="2:28" x14ac:dyDescent="0.25">
      <c r="B22" s="1" cm="1">
        <f t="array" aca="1" ref="B22" ca="1">_xll.QDates_NextLMECurveDate(B21,$B$1,FALSE)</f>
        <v>44090</v>
      </c>
      <c r="C22" s="8" t="str" cm="1">
        <f t="array" aca="1" ref="C22" ca="1">IF(B22=$B$1,"03",_xll.QDates_GetMonthCodeAndYear(B22,2))</f>
        <v>U20</v>
      </c>
      <c r="D22" s="8" t="str">
        <f t="shared" ca="1" si="1"/>
        <v>S 03U20</v>
      </c>
      <c r="E22" s="35" cm="1">
        <f t="array" aca="1" ref="E22" ca="1">IF($D22="S 0303",0,_xll.BDP("LM"&amp;E$14&amp;"D"&amp;$D22&amp;" Comdty","PX_SETTLE"))</f>
        <v>-11</v>
      </c>
      <c r="F22" s="39"/>
      <c r="G22" s="37">
        <f ca="1"/>
        <v>-11.8</v>
      </c>
      <c r="H22" s="38">
        <f t="shared" ca="1" si="2"/>
        <v>1498.8</v>
      </c>
      <c r="I22" s="35" cm="1">
        <f t="array" aca="1" ref="I22" ca="1">IF($D22="S 0303",0,_xll.BDP("LM"&amp;I$14&amp;"D"&amp;$D22&amp;" Comdty","PX_SETTLE"))</f>
        <v>-8.25</v>
      </c>
      <c r="J22" s="39"/>
      <c r="K22" s="37">
        <f ca="1"/>
        <v>-9.0500000000000007</v>
      </c>
      <c r="L22" s="38">
        <f t="shared" ca="1" si="3"/>
        <v>5249.05</v>
      </c>
      <c r="M22" s="35" cm="1">
        <f t="array" aca="1" ref="M22" ca="1">IF($D22="S 0303",0,_xll.BDP("LM"&amp;M$14&amp;"D"&amp;$D22&amp;" Comdty","PX_SETTLE"))</f>
        <v>-2</v>
      </c>
      <c r="N22" s="39"/>
      <c r="O22" s="37">
        <f ca="1"/>
        <v>-2.8</v>
      </c>
      <c r="P22" s="38">
        <f t="shared" ca="1" si="4"/>
        <v>2009.8</v>
      </c>
      <c r="Q22" s="35" cm="1">
        <f t="array" aca="1" ref="Q22" ca="1">IF($D22="S 0303",0,_xll.BDP("LM"&amp;Q$14&amp;"D"&amp;$D22&amp;" Comdty","PX_SETTLE"))</f>
        <v>-27</v>
      </c>
      <c r="R22" s="39"/>
      <c r="S22" s="37">
        <f ca="1"/>
        <v>-27.8</v>
      </c>
      <c r="T22" s="38">
        <f t="shared" ca="1" si="5"/>
        <v>12287.8</v>
      </c>
      <c r="U22" s="35" cm="1">
        <f t="array" aca="1" ref="U22" ca="1">IF($D22="S 0303",0,_xll.BDP("LM"&amp;U$14&amp;"D"&amp;$D22&amp;" Comdty","PX_SETTLE"))</f>
        <v>-4.75</v>
      </c>
      <c r="V22" s="39"/>
      <c r="W22" s="37">
        <f ca="1"/>
        <v>-5.55</v>
      </c>
      <c r="X22" s="38">
        <f t="shared" ca="1" si="6"/>
        <v>1657.55</v>
      </c>
      <c r="Y22" s="35" cm="1">
        <f t="array" aca="1" ref="Y22" ca="1">IF($D22="S 0303",0,_xll.BDP("LM"&amp;Y$14&amp;"D"&amp;$D22&amp;" Comdty","PX_SETTLE"))</f>
        <v>18</v>
      </c>
      <c r="Z22" s="39"/>
      <c r="AA22" s="37">
        <f ca="1"/>
        <v>17.2</v>
      </c>
      <c r="AB22" s="38">
        <f t="shared" ca="1" si="7"/>
        <v>15237.8</v>
      </c>
    </row>
    <row r="23" spans="2:28" x14ac:dyDescent="0.25">
      <c r="B23" s="1" cm="1">
        <f t="array" aca="1" ref="B23" ca="1">_xll.QDates_NextLMECurveDate(B22,$B$1,FALSE)</f>
        <v>44125</v>
      </c>
      <c r="C23" s="8" t="str" cm="1">
        <f t="array" aca="1" ref="C23" ca="1">IF(B23=$B$1,"03",_xll.QDates_GetMonthCodeAndYear(B23,2))</f>
        <v>V20</v>
      </c>
      <c r="D23" s="8" t="str">
        <f t="shared" ca="1" si="1"/>
        <v>S 03V20</v>
      </c>
      <c r="E23" s="35" cm="1">
        <f t="array" aca="1" ref="E23" ca="1">IF($D23="S 0303",0,_xll.BDP("LM"&amp;E$14&amp;"D"&amp;$D23&amp;" Comdty","PX_SETTLE"))</f>
        <v>-22</v>
      </c>
      <c r="F23" s="39"/>
      <c r="G23" s="37">
        <f ca="1"/>
        <v>-23.2</v>
      </c>
      <c r="H23" s="38">
        <f t="shared" ca="1" si="2"/>
        <v>1510.2</v>
      </c>
      <c r="I23" s="35" cm="1">
        <f t="array" aca="1" ref="I23" ca="1">IF($D23="S 0303",0,_xll.BDP("LM"&amp;I$14&amp;"D"&amp;$D23&amp;" Comdty","PX_SETTLE"))</f>
        <v>-16.75</v>
      </c>
      <c r="J23" s="39"/>
      <c r="K23" s="37">
        <f ca="1"/>
        <v>-17.95</v>
      </c>
      <c r="L23" s="38">
        <f t="shared" ca="1" si="3"/>
        <v>5257.95</v>
      </c>
      <c r="M23" s="35" cm="1">
        <f t="array" aca="1" ref="M23" ca="1">IF($D23="S 0303",0,_xll.BDP("LM"&amp;M$14&amp;"D"&amp;$D23&amp;" Comdty","PX_SETTLE"))</f>
        <v>-4.5</v>
      </c>
      <c r="N23" s="39"/>
      <c r="O23" s="37">
        <f ca="1"/>
        <v>-5.7</v>
      </c>
      <c r="P23" s="38">
        <f t="shared" ca="1" si="4"/>
        <v>2012.7</v>
      </c>
      <c r="Q23" s="35" cm="1">
        <f t="array" aca="1" ref="Q23" ca="1">IF($D23="S 0303",0,_xll.BDP("LM"&amp;Q$14&amp;"D"&amp;$D23&amp;" Comdty","PX_SETTLE"))</f>
        <v>-51</v>
      </c>
      <c r="R23" s="39"/>
      <c r="S23" s="37">
        <f ca="1"/>
        <v>-52.2</v>
      </c>
      <c r="T23" s="38">
        <f t="shared" ca="1" si="5"/>
        <v>12312.2</v>
      </c>
      <c r="U23" s="35" cm="1">
        <f t="array" aca="1" ref="U23" ca="1">IF($D23="S 0303",0,_xll.BDP("LM"&amp;U$14&amp;"D"&amp;$D23&amp;" Comdty","PX_SETTLE"))</f>
        <v>-9</v>
      </c>
      <c r="V23" s="39"/>
      <c r="W23" s="37">
        <f ca="1"/>
        <v>-10.199999999999999</v>
      </c>
      <c r="X23" s="38">
        <f t="shared" ca="1" si="6"/>
        <v>1662.2</v>
      </c>
      <c r="Y23" s="35" cm="1">
        <f t="array" aca="1" ref="Y23" ca="1">IF($D23="S 0303",0,_xll.BDP("LM"&amp;Y$14&amp;"D"&amp;$D23&amp;" Comdty","PX_SETTLE"))</f>
        <v>38</v>
      </c>
      <c r="Z23" s="39"/>
      <c r="AA23" s="37">
        <f ca="1"/>
        <v>36.799999999999997</v>
      </c>
      <c r="AB23" s="38">
        <f t="shared" ca="1" si="7"/>
        <v>15218.2</v>
      </c>
    </row>
    <row r="24" spans="2:28" x14ac:dyDescent="0.25">
      <c r="B24" s="1" cm="1">
        <f t="array" aca="1" ref="B24" ca="1">_xll.QDates_NextLMECurveDate(B23,$B$1,FALSE)</f>
        <v>44153</v>
      </c>
      <c r="C24" s="8" t="str" cm="1">
        <f t="array" aca="1" ref="C24" ca="1">IF(B24=$B$1,"03",_xll.QDates_GetMonthCodeAndYear(B24,2))</f>
        <v>X20</v>
      </c>
      <c r="D24" s="8" t="str">
        <f t="shared" ca="1" si="1"/>
        <v>S 03X20</v>
      </c>
      <c r="E24" s="35" cm="1">
        <f t="array" aca="1" ref="E24" ca="1">IF($D24="S 0303",0,_xll.BDP("LM"&amp;E$14&amp;"D"&amp;$D24&amp;" Comdty","PX_SETTLE"))</f>
        <v>-30.75</v>
      </c>
      <c r="F24" s="39"/>
      <c r="G24" s="37">
        <f ca="1"/>
        <v>-32.35</v>
      </c>
      <c r="H24" s="38">
        <f t="shared" ca="1" si="2"/>
        <v>1519.35</v>
      </c>
      <c r="I24" s="35" cm="1">
        <f t="array" aca="1" ref="I24" ca="1">IF($D24="S 0303",0,_xll.BDP("LM"&amp;I$14&amp;"D"&amp;$D24&amp;" Comdty","PX_SETTLE"))</f>
        <v>-24.25</v>
      </c>
      <c r="J24" s="39"/>
      <c r="K24" s="37">
        <f ca="1"/>
        <v>-25.85</v>
      </c>
      <c r="L24" s="38">
        <f t="shared" ca="1" si="3"/>
        <v>5265.85</v>
      </c>
      <c r="M24" s="35" cm="1">
        <f t="array" aca="1" ref="M24" ca="1">IF($D24="S 0303",0,_xll.BDP("LM"&amp;M$14&amp;"D"&amp;$D24&amp;" Comdty","PX_SETTLE"))</f>
        <v>-6</v>
      </c>
      <c r="N24" s="39"/>
      <c r="O24" s="37">
        <f ca="1"/>
        <v>-7.6</v>
      </c>
      <c r="P24" s="38">
        <f t="shared" ca="1" si="4"/>
        <v>2014.6</v>
      </c>
      <c r="Q24" s="35" cm="1">
        <f t="array" aca="1" ref="Q24" ca="1">IF($D24="S 0303",0,_xll.BDP("LM"&amp;Q$14&amp;"D"&amp;$D24&amp;" Comdty","PX_SETTLE"))</f>
        <v>-71</v>
      </c>
      <c r="R24" s="39"/>
      <c r="S24" s="37">
        <f ca="1"/>
        <v>-72.599999999999994</v>
      </c>
      <c r="T24" s="38">
        <f t="shared" ca="1" si="5"/>
        <v>12332.6</v>
      </c>
      <c r="U24" s="35" cm="1">
        <f t="array" aca="1" ref="U24" ca="1">IF($D24="S 0303",0,_xll.BDP("LM"&amp;U$14&amp;"D"&amp;$D24&amp;" Comdty","PX_SETTLE"))</f>
        <v>-15.25</v>
      </c>
      <c r="V24" s="39"/>
      <c r="W24" s="37">
        <f ca="1"/>
        <v>-16.850000000000001</v>
      </c>
      <c r="X24" s="38">
        <f t="shared" ca="1" si="6"/>
        <v>1668.85</v>
      </c>
      <c r="Y24" s="35" cm="1">
        <f t="array" aca="1" ref="Y24" ca="1">IF($D24="S 0303",0,_xll.BDP("LM"&amp;Y$14&amp;"D"&amp;$D24&amp;" Comdty","PX_SETTLE"))</f>
        <v>60</v>
      </c>
      <c r="Z24" s="39"/>
      <c r="AA24" s="37">
        <f ca="1"/>
        <v>58.4</v>
      </c>
      <c r="AB24" s="38">
        <f t="shared" ca="1" si="7"/>
        <v>15196.6</v>
      </c>
    </row>
    <row r="25" spans="2:28" x14ac:dyDescent="0.25">
      <c r="B25" s="1" cm="1">
        <f t="array" aca="1" ref="B25" ca="1">_xll.QDates_NextLMECurveDate(B24,$B$1,FALSE)</f>
        <v>44181</v>
      </c>
      <c r="C25" s="8" t="str" cm="1">
        <f t="array" aca="1" ref="C25" ca="1">IF(B25=$B$1,"03",_xll.QDates_GetMonthCodeAndYear(B25,2))</f>
        <v>Z20</v>
      </c>
      <c r="D25" s="8" t="str">
        <f t="shared" ca="1" si="1"/>
        <v>S 03Z20</v>
      </c>
      <c r="E25" s="35" cm="1">
        <f t="array" aca="1" ref="E25" ca="1">IF($D25="S 0303",0,_xll.BDP("LM"&amp;E$14&amp;"D"&amp;$D25&amp;" Comdty","PX_SETTLE"))</f>
        <v>-39.25</v>
      </c>
      <c r="F25" s="36">
        <f ca="1">E25-2</f>
        <v>-41.25</v>
      </c>
      <c r="G25" s="37">
        <f ca="1"/>
        <v>-41.25</v>
      </c>
      <c r="H25" s="38">
        <f t="shared" ca="1" si="2"/>
        <v>1528.25</v>
      </c>
      <c r="I25" s="35" cm="1">
        <f t="array" aca="1" ref="I25" ca="1">IF($D25="S 0303",0,_xll.BDP("LM"&amp;I$14&amp;"D"&amp;$D25&amp;" Comdty","PX_SETTLE"))</f>
        <v>-30.5</v>
      </c>
      <c r="J25" s="36">
        <f ca="1">I25-2</f>
        <v>-32.5</v>
      </c>
      <c r="K25" s="37">
        <f ca="1"/>
        <v>-32.5</v>
      </c>
      <c r="L25" s="38">
        <f t="shared" ca="1" si="3"/>
        <v>5272.5</v>
      </c>
      <c r="M25" s="35" cm="1">
        <f t="array" aca="1" ref="M25" ca="1">IF($D25="S 0303",0,_xll.BDP("LM"&amp;M$14&amp;"D"&amp;$D25&amp;" Comdty","PX_SETTLE"))</f>
        <v>-8.75</v>
      </c>
      <c r="N25" s="36">
        <f ca="1">M25-2</f>
        <v>-10.75</v>
      </c>
      <c r="O25" s="37">
        <f ca="1"/>
        <v>-10.75</v>
      </c>
      <c r="P25" s="38">
        <f t="shared" ca="1" si="4"/>
        <v>2017.75</v>
      </c>
      <c r="Q25" s="35" cm="1">
        <f t="array" aca="1" ref="Q25" ca="1">IF($D25="S 0303",0,_xll.BDP("LM"&amp;Q$14&amp;"D"&amp;$D25&amp;" Comdty","PX_SETTLE"))</f>
        <v>-91</v>
      </c>
      <c r="R25" s="36">
        <f ca="1">Q25-2</f>
        <v>-93</v>
      </c>
      <c r="S25" s="37">
        <f ca="1"/>
        <v>-93</v>
      </c>
      <c r="T25" s="38">
        <f t="shared" ca="1" si="5"/>
        <v>12353</v>
      </c>
      <c r="U25" s="35" cm="1">
        <f t="array" aca="1" ref="U25" ca="1">IF($D25="S 0303",0,_xll.BDP("LM"&amp;U$14&amp;"D"&amp;$D25&amp;" Comdty","PX_SETTLE"))</f>
        <v>-20</v>
      </c>
      <c r="V25" s="36">
        <f ca="1">U25-2</f>
        <v>-22</v>
      </c>
      <c r="W25" s="37">
        <f ca="1"/>
        <v>-22</v>
      </c>
      <c r="X25" s="38">
        <f t="shared" ca="1" si="6"/>
        <v>1674</v>
      </c>
      <c r="Y25" s="35" cm="1">
        <f t="array" aca="1" ref="Y25" ca="1">IF($D25="S 0303",0,_xll.BDP("LM"&amp;Y$14&amp;"D"&amp;$D25&amp;" Comdty","PX_SETTLE"))</f>
        <v>75</v>
      </c>
      <c r="Z25" s="36">
        <f ca="1">Y25-2</f>
        <v>73</v>
      </c>
      <c r="AA25" s="37">
        <f ca="1"/>
        <v>73</v>
      </c>
      <c r="AB25" s="38">
        <f t="shared" ca="1" si="7"/>
        <v>15182</v>
      </c>
    </row>
    <row r="26" spans="2:28" x14ac:dyDescent="0.25">
      <c r="B26" s="1" cm="1">
        <f t="array" aca="1" ref="B26" ca="1">_xll.QDates_NextLMECurveDate(B25,$B$1,FALSE)</f>
        <v>44216</v>
      </c>
      <c r="C26" s="8" t="str" cm="1">
        <f t="array" aca="1" ref="C26" ca="1">IF(B26=$B$1,"03",_xll.QDates_GetMonthCodeAndYear(B26,2))</f>
        <v>F21</v>
      </c>
      <c r="D26" s="8" t="str">
        <f t="shared" ca="1" si="1"/>
        <v>S 03F21</v>
      </c>
      <c r="E26" s="35" cm="1">
        <f t="array" aca="1" ref="E26" ca="1">IF($D26="S 0303",0,_xll.BDP("LM"&amp;E$14&amp;"D"&amp;$D26&amp;" Comdty","PX_SETTLE"))</f>
        <v>-48.75</v>
      </c>
      <c r="F26" s="39"/>
      <c r="G26" s="37">
        <f ca="1"/>
        <v>-50.916666666666664</v>
      </c>
      <c r="H26" s="38">
        <f t="shared" ca="1" si="2"/>
        <v>1537.9166666666667</v>
      </c>
      <c r="I26" s="35" cm="1">
        <f t="array" aca="1" ref="I26" ca="1">IF($D26="S 0303",0,_xll.BDP("LM"&amp;I$14&amp;"D"&amp;$D26&amp;" Comdty","PX_SETTLE"))</f>
        <v>-37.75</v>
      </c>
      <c r="J26" s="39"/>
      <c r="K26" s="37">
        <f ca="1"/>
        <v>-39.916666666666664</v>
      </c>
      <c r="L26" s="38">
        <f t="shared" ca="1" si="3"/>
        <v>5279.916666666667</v>
      </c>
      <c r="M26" s="35" cm="1">
        <f t="array" aca="1" ref="M26" ca="1">IF($D26="S 0303",0,_xll.BDP("LM"&amp;M$14&amp;"D"&amp;$D26&amp;" Comdty","PX_SETTLE"))</f>
        <v>-10.75</v>
      </c>
      <c r="N26" s="39"/>
      <c r="O26" s="37">
        <f ca="1"/>
        <v>-12.916666666666666</v>
      </c>
      <c r="P26" s="38">
        <f t="shared" ca="1" si="4"/>
        <v>2019.9166666666667</v>
      </c>
      <c r="Q26" s="35" cm="1">
        <f t="array" aca="1" ref="Q26" ca="1">IF($D26="S 0303",0,_xll.BDP("LM"&amp;Q$14&amp;"D"&amp;$D26&amp;" Comdty","PX_SETTLE"))</f>
        <v>-114</v>
      </c>
      <c r="R26" s="39"/>
      <c r="S26" s="37">
        <f ca="1"/>
        <v>-116.16666666666667</v>
      </c>
      <c r="T26" s="38">
        <f t="shared" ca="1" si="5"/>
        <v>12376.166666666666</v>
      </c>
      <c r="U26" s="35" cm="1">
        <f t="array" aca="1" ref="U26" ca="1">IF($D26="S 0303",0,_xll.BDP("LM"&amp;U$14&amp;"D"&amp;$D26&amp;" Comdty","PX_SETTLE"))</f>
        <v>-23.75</v>
      </c>
      <c r="V26" s="39"/>
      <c r="W26" s="37">
        <f ca="1"/>
        <v>-25.916666666666668</v>
      </c>
      <c r="X26" s="38">
        <f t="shared" ca="1" si="6"/>
        <v>1677.9166666666667</v>
      </c>
      <c r="Y26" s="35" cm="1">
        <f t="array" aca="1" ref="Y26" ca="1">IF($D26="S 0303",0,_xll.BDP("LM"&amp;Y$14&amp;"D"&amp;$D26&amp;" Comdty","PX_SETTLE"))</f>
        <v>85</v>
      </c>
      <c r="Z26" s="39"/>
      <c r="AA26" s="37">
        <f ca="1"/>
        <v>83</v>
      </c>
      <c r="AB26" s="38">
        <f t="shared" ca="1" si="7"/>
        <v>15172</v>
      </c>
    </row>
    <row r="27" spans="2:28" x14ac:dyDescent="0.25">
      <c r="B27" s="1" cm="1">
        <f t="array" aca="1" ref="B27" ca="1">_xll.QDates_NextLMECurveDate(B26,$B$1,FALSE)</f>
        <v>44244</v>
      </c>
      <c r="C27" s="8" t="str" cm="1">
        <f t="array" aca="1" ref="C27" ca="1">IF(B27=$B$1,"03",_xll.QDates_GetMonthCodeAndYear(B27,2))</f>
        <v>G21</v>
      </c>
      <c r="D27" s="8" t="str">
        <f t="shared" ca="1" si="1"/>
        <v>S 03G21</v>
      </c>
      <c r="E27" s="35" cm="1">
        <f t="array" aca="1" ref="E27" ca="1">IF($D27="S 0303",0,_xll.BDP("LM"&amp;E$14&amp;"D"&amp;$D27&amp;" Comdty","PX_SETTLE"))</f>
        <v>-56</v>
      </c>
      <c r="F27" s="39"/>
      <c r="G27" s="37">
        <f ca="1"/>
        <v>-58.333333333333336</v>
      </c>
      <c r="H27" s="38">
        <f t="shared" ca="1" si="2"/>
        <v>1545.3333333333333</v>
      </c>
      <c r="I27" s="35" cm="1">
        <f t="array" aca="1" ref="I27" ca="1">IF($D27="S 0303",0,_xll.BDP("LM"&amp;I$14&amp;"D"&amp;$D27&amp;" Comdty","PX_SETTLE"))</f>
        <v>-44</v>
      </c>
      <c r="J27" s="39"/>
      <c r="K27" s="37">
        <f ca="1"/>
        <v>-46.333333333333336</v>
      </c>
      <c r="L27" s="38">
        <f t="shared" ca="1" si="3"/>
        <v>5286.333333333333</v>
      </c>
      <c r="M27" s="35" cm="1">
        <f t="array" aca="1" ref="M27" ca="1">IF($D27="S 0303",0,_xll.BDP("LM"&amp;M$14&amp;"D"&amp;$D27&amp;" Comdty","PX_SETTLE"))</f>
        <v>-14.75</v>
      </c>
      <c r="N27" s="39"/>
      <c r="O27" s="37">
        <f ca="1"/>
        <v>-17.083333333333332</v>
      </c>
      <c r="P27" s="38">
        <f t="shared" ca="1" si="4"/>
        <v>2024.0833333333333</v>
      </c>
      <c r="Q27" s="35" cm="1">
        <f t="array" aca="1" ref="Q27" ca="1">IF($D27="S 0303",0,_xll.BDP("LM"&amp;Q$14&amp;"D"&amp;$D27&amp;" Comdty","PX_SETTLE"))</f>
        <v>-136</v>
      </c>
      <c r="R27" s="39"/>
      <c r="S27" s="37">
        <f ca="1"/>
        <v>-138.33333333333334</v>
      </c>
      <c r="T27" s="38">
        <f t="shared" ca="1" si="5"/>
        <v>12398.333333333334</v>
      </c>
      <c r="U27" s="35" cm="1">
        <f t="array" aca="1" ref="U27" ca="1">IF($D27="S 0303",0,_xll.BDP("LM"&amp;U$14&amp;"D"&amp;$D27&amp;" Comdty","PX_SETTLE"))</f>
        <v>-27.25</v>
      </c>
      <c r="V27" s="39"/>
      <c r="W27" s="37">
        <f ca="1"/>
        <v>-29.583333333333332</v>
      </c>
      <c r="X27" s="38">
        <f t="shared" ca="1" si="6"/>
        <v>1681.5833333333333</v>
      </c>
      <c r="Y27" s="35" cm="1">
        <f t="array" aca="1" ref="Y27" ca="1">IF($D27="S 0303",0,_xll.BDP("LM"&amp;Y$14&amp;"D"&amp;$D27&amp;" Comdty","PX_SETTLE"))</f>
        <v>95</v>
      </c>
      <c r="Z27" s="39"/>
      <c r="AA27" s="37">
        <f ca="1"/>
        <v>93</v>
      </c>
      <c r="AB27" s="38">
        <f t="shared" ca="1" si="7"/>
        <v>15162</v>
      </c>
    </row>
    <row r="28" spans="2:28" x14ac:dyDescent="0.25">
      <c r="B28" s="1" cm="1">
        <f t="array" aca="1" ref="B28" ca="1">_xll.QDates_NextLMECurveDate(B27,$B$1,FALSE)</f>
        <v>44272</v>
      </c>
      <c r="C28" s="8" t="str" cm="1">
        <f t="array" aca="1" ref="C28" ca="1">IF(B28=$B$1,"03",_xll.QDates_GetMonthCodeAndYear(B28,2))</f>
        <v>H21</v>
      </c>
      <c r="D28" s="8" t="str">
        <f t="shared" ca="1" si="1"/>
        <v>S 03H21</v>
      </c>
      <c r="E28" s="35" cm="1">
        <f t="array" aca="1" ref="E28" ca="1">IF($D28="S 0303",0,_xll.BDP("LM"&amp;E$14&amp;"D"&amp;$D28&amp;" Comdty","PX_SETTLE"))</f>
        <v>-63.25</v>
      </c>
      <c r="F28" s="39"/>
      <c r="G28" s="37">
        <f ca="1"/>
        <v>-65.75</v>
      </c>
      <c r="H28" s="38">
        <f t="shared" ca="1" si="2"/>
        <v>1552.75</v>
      </c>
      <c r="I28" s="35" cm="1">
        <f t="array" aca="1" ref="I28" ca="1">IF($D28="S 0303",0,_xll.BDP("LM"&amp;I$14&amp;"D"&amp;$D28&amp;" Comdty","PX_SETTLE"))</f>
        <v>-50.5</v>
      </c>
      <c r="J28" s="39"/>
      <c r="K28" s="37">
        <f ca="1"/>
        <v>-53</v>
      </c>
      <c r="L28" s="38">
        <f t="shared" ca="1" si="3"/>
        <v>5293</v>
      </c>
      <c r="M28" s="35" cm="1">
        <f t="array" aca="1" ref="M28" ca="1">IF($D28="S 0303",0,_xll.BDP("LM"&amp;M$14&amp;"D"&amp;$D28&amp;" Comdty","PX_SETTLE"))</f>
        <v>-18.75</v>
      </c>
      <c r="N28" s="39"/>
      <c r="O28" s="37">
        <f ca="1"/>
        <v>-21.25</v>
      </c>
      <c r="P28" s="38">
        <f t="shared" ca="1" si="4"/>
        <v>2028.25</v>
      </c>
      <c r="Q28" s="35" cm="1">
        <f t="array" aca="1" ref="Q28" ca="1">IF($D28="S 0303",0,_xll.BDP("LM"&amp;Q$14&amp;"D"&amp;$D28&amp;" Comdty","PX_SETTLE"))</f>
        <v>-157</v>
      </c>
      <c r="R28" s="39"/>
      <c r="S28" s="37">
        <f ca="1"/>
        <v>-159.5</v>
      </c>
      <c r="T28" s="38">
        <f t="shared" ca="1" si="5"/>
        <v>12419.5</v>
      </c>
      <c r="U28" s="35" cm="1">
        <f t="array" aca="1" ref="U28" ca="1">IF($D28="S 0303",0,_xll.BDP("LM"&amp;U$14&amp;"D"&amp;$D28&amp;" Comdty","PX_SETTLE"))</f>
        <v>-30.25</v>
      </c>
      <c r="V28" s="39"/>
      <c r="W28" s="37">
        <f ca="1"/>
        <v>-32.75</v>
      </c>
      <c r="X28" s="38">
        <f t="shared" ca="1" si="6"/>
        <v>1684.75</v>
      </c>
      <c r="Y28" s="35" cm="1">
        <f t="array" aca="1" ref="Y28" ca="1">IF($D28="S 0303",0,_xll.BDP("LM"&amp;Y$14&amp;"D"&amp;$D28&amp;" Comdty","PX_SETTLE"))</f>
        <v>105</v>
      </c>
      <c r="Z28" s="39"/>
      <c r="AA28" s="37">
        <f ca="1"/>
        <v>103</v>
      </c>
      <c r="AB28" s="38">
        <f t="shared" ca="1" si="7"/>
        <v>15152</v>
      </c>
    </row>
    <row r="29" spans="2:28" x14ac:dyDescent="0.25">
      <c r="B29" s="1" cm="1">
        <f t="array" aca="1" ref="B29" ca="1">_xll.QDates_NextLMECurveDate(B28,$B$1,FALSE)</f>
        <v>44307</v>
      </c>
      <c r="C29" s="8" t="str" cm="1">
        <f t="array" aca="1" ref="C29" ca="1">IF(B29=$B$1,"03",_xll.QDates_GetMonthCodeAndYear(B29,2))</f>
        <v>J21</v>
      </c>
      <c r="D29" s="8" t="str">
        <f t="shared" ca="1" si="1"/>
        <v>S 03J21</v>
      </c>
      <c r="E29" s="35" cm="1">
        <f t="array" aca="1" ref="E29" ca="1">IF($D29="S 0303",0,_xll.BDP("LM"&amp;E$14&amp;"D"&amp;$D29&amp;" Comdty","PX_SETTLE"))</f>
        <v>-72.25</v>
      </c>
      <c r="F29" s="39"/>
      <c r="G29" s="37">
        <f ca="1"/>
        <v>-74.916666666666671</v>
      </c>
      <c r="H29" s="38">
        <f t="shared" ca="1" si="2"/>
        <v>1561.9166666666667</v>
      </c>
      <c r="I29" s="35" cm="1">
        <f t="array" aca="1" ref="I29" ca="1">IF($D29="S 0303",0,_xll.BDP("LM"&amp;I$14&amp;"D"&amp;$D29&amp;" Comdty","PX_SETTLE"))</f>
        <v>-57</v>
      </c>
      <c r="J29" s="39"/>
      <c r="K29" s="37">
        <f ca="1"/>
        <v>-59.666666666666664</v>
      </c>
      <c r="L29" s="38">
        <f t="shared" ca="1" si="3"/>
        <v>5299.666666666667</v>
      </c>
      <c r="M29" s="35" cm="1">
        <f t="array" aca="1" ref="M29" ca="1">IF($D29="S 0303",0,_xll.BDP("LM"&amp;M$14&amp;"D"&amp;$D29&amp;" Comdty","PX_SETTLE"))</f>
        <v>-22.75</v>
      </c>
      <c r="N29" s="39"/>
      <c r="O29" s="37">
        <f ca="1"/>
        <v>-25.416666666666668</v>
      </c>
      <c r="P29" s="38">
        <f t="shared" ca="1" si="4"/>
        <v>2032.4166666666667</v>
      </c>
      <c r="Q29" s="35" cm="1">
        <f t="array" aca="1" ref="Q29" ca="1">IF($D29="S 0303",0,_xll.BDP("LM"&amp;Q$14&amp;"D"&amp;$D29&amp;" Comdty","PX_SETTLE"))</f>
        <v>-181</v>
      </c>
      <c r="R29" s="39"/>
      <c r="S29" s="37">
        <f ca="1"/>
        <v>-183.66666666666666</v>
      </c>
      <c r="T29" s="38">
        <f t="shared" ca="1" si="5"/>
        <v>12443.666666666666</v>
      </c>
      <c r="U29" s="35" cm="1">
        <f t="array" aca="1" ref="U29" ca="1">IF($D29="S 0303",0,_xll.BDP("LM"&amp;U$14&amp;"D"&amp;$D29&amp;" Comdty","PX_SETTLE"))</f>
        <v>-33.5</v>
      </c>
      <c r="V29" s="39"/>
      <c r="W29" s="37">
        <f ca="1"/>
        <v>-36.166666666666664</v>
      </c>
      <c r="X29" s="38">
        <f t="shared" ca="1" si="6"/>
        <v>1688.1666666666667</v>
      </c>
      <c r="Y29" s="35" cm="1">
        <f t="array" aca="1" ref="Y29" ca="1">IF($D29="S 0303",0,_xll.BDP("LM"&amp;Y$14&amp;"D"&amp;$D29&amp;" Comdty","PX_SETTLE"))</f>
        <v>115</v>
      </c>
      <c r="Z29" s="39"/>
      <c r="AA29" s="37">
        <f ca="1"/>
        <v>113</v>
      </c>
      <c r="AB29" s="38">
        <f t="shared" ca="1" si="7"/>
        <v>15142</v>
      </c>
    </row>
    <row r="30" spans="2:28" x14ac:dyDescent="0.25">
      <c r="B30" s="1" cm="1">
        <f t="array" aca="1" ref="B30" ca="1">_xll.QDates_NextLMECurveDate(B29,$B$1,FALSE)</f>
        <v>44335</v>
      </c>
      <c r="C30" s="8" t="str" cm="1">
        <f t="array" aca="1" ref="C30" ca="1">IF(B30=$B$1,"03",_xll.QDates_GetMonthCodeAndYear(B30,2))</f>
        <v>K21</v>
      </c>
      <c r="D30" s="8" t="str">
        <f t="shared" ca="1" si="1"/>
        <v>S 03K21</v>
      </c>
      <c r="E30" s="35" cm="1">
        <f t="array" aca="1" ref="E30" ca="1">IF($D30="S 0303",0,_xll.BDP("LM"&amp;E$14&amp;"D"&amp;$D30&amp;" Comdty","PX_SETTLE"))</f>
        <v>-79</v>
      </c>
      <c r="F30" s="39"/>
      <c r="G30" s="37">
        <f ca="1"/>
        <v>-81.833333333333329</v>
      </c>
      <c r="H30" s="38">
        <f t="shared" ca="1" si="2"/>
        <v>1568.8333333333333</v>
      </c>
      <c r="I30" s="35" cm="1">
        <f t="array" aca="1" ref="I30" ca="1">IF($D30="S 0303",0,_xll.BDP("LM"&amp;I$14&amp;"D"&amp;$D30&amp;" Comdty","PX_SETTLE"))</f>
        <v>-63.75</v>
      </c>
      <c r="J30" s="39"/>
      <c r="K30" s="37">
        <f ca="1"/>
        <v>-66.583333333333329</v>
      </c>
      <c r="L30" s="38">
        <f t="shared" ca="1" si="3"/>
        <v>5306.583333333333</v>
      </c>
      <c r="M30" s="35" cm="1">
        <f t="array" aca="1" ref="M30" ca="1">IF($D30="S 0303",0,_xll.BDP("LM"&amp;M$14&amp;"D"&amp;$D30&amp;" Comdty","PX_SETTLE"))</f>
        <v>-26.75</v>
      </c>
      <c r="N30" s="39"/>
      <c r="O30" s="37">
        <f ca="1"/>
        <v>-29.583333333333332</v>
      </c>
      <c r="P30" s="38">
        <f t="shared" ca="1" si="4"/>
        <v>2036.5833333333333</v>
      </c>
      <c r="Q30" s="35" cm="1">
        <f t="array" aca="1" ref="Q30" ca="1">IF($D30="S 0303",0,_xll.BDP("LM"&amp;Q$14&amp;"D"&amp;$D30&amp;" Comdty","PX_SETTLE"))</f>
        <v>-199</v>
      </c>
      <c r="R30" s="39"/>
      <c r="S30" s="37">
        <f ca="1"/>
        <v>-201.83333333333334</v>
      </c>
      <c r="T30" s="38">
        <f t="shared" ca="1" si="5"/>
        <v>12461.833333333334</v>
      </c>
      <c r="U30" s="35" cm="1">
        <f t="array" aca="1" ref="U30" ca="1">IF($D30="S 0303",0,_xll.BDP("LM"&amp;U$14&amp;"D"&amp;$D30&amp;" Comdty","PX_SETTLE"))</f>
        <v>-36.75</v>
      </c>
      <c r="V30" s="39"/>
      <c r="W30" s="37">
        <f ca="1"/>
        <v>-39.583333333333336</v>
      </c>
      <c r="X30" s="38">
        <f t="shared" ca="1" si="6"/>
        <v>1691.5833333333333</v>
      </c>
      <c r="Y30" s="35" cm="1">
        <f t="array" aca="1" ref="Y30" ca="1">IF($D30="S 0303",0,_xll.BDP("LM"&amp;Y$14&amp;"D"&amp;$D30&amp;" Comdty","PX_SETTLE"))</f>
        <v>125</v>
      </c>
      <c r="Z30" s="39"/>
      <c r="AA30" s="37">
        <f ca="1"/>
        <v>123</v>
      </c>
      <c r="AB30" s="38">
        <f t="shared" ca="1" si="7"/>
        <v>15132</v>
      </c>
    </row>
    <row r="31" spans="2:28" x14ac:dyDescent="0.25">
      <c r="B31" s="1" cm="1">
        <f t="array" aca="1" ref="B31" ca="1">_xll.QDates_NextLMECurveDate(B30,$B$1,FALSE)</f>
        <v>44363</v>
      </c>
      <c r="C31" s="8" t="str" cm="1">
        <f t="array" aca="1" ref="C31" ca="1">IF(B31=$B$1,"03",_xll.QDates_GetMonthCodeAndYear(B31,2))</f>
        <v>M21</v>
      </c>
      <c r="D31" s="8" t="str">
        <f t="shared" ca="1" si="1"/>
        <v>S 03M21</v>
      </c>
      <c r="E31" s="35" cm="1">
        <f t="array" aca="1" ref="E31" ca="1">IF($D31="S 0303",0,_xll.BDP("LM"&amp;E$14&amp;"D"&amp;$D31&amp;" Comdty","PX_SETTLE"))</f>
        <v>-85.25</v>
      </c>
      <c r="F31" s="39"/>
      <c r="G31" s="37">
        <f ca="1"/>
        <v>-88.25</v>
      </c>
      <c r="H31" s="38">
        <f t="shared" ca="1" si="2"/>
        <v>1575.25</v>
      </c>
      <c r="I31" s="35" cm="1">
        <f t="array" aca="1" ref="I31" ca="1">IF($D31="S 0303",0,_xll.BDP("LM"&amp;I$14&amp;"D"&amp;$D31&amp;" Comdty","PX_SETTLE"))</f>
        <v>-70</v>
      </c>
      <c r="J31" s="39"/>
      <c r="K31" s="37">
        <f ca="1"/>
        <v>-73</v>
      </c>
      <c r="L31" s="38">
        <f t="shared" ca="1" si="3"/>
        <v>5313</v>
      </c>
      <c r="M31" s="35" cm="1">
        <f t="array" aca="1" ref="M31" ca="1">IF($D31="S 0303",0,_xll.BDP("LM"&amp;M$14&amp;"D"&amp;$D31&amp;" Comdty","PX_SETTLE"))</f>
        <v>-30.75</v>
      </c>
      <c r="N31" s="39"/>
      <c r="O31" s="37">
        <f ca="1"/>
        <v>-33.75</v>
      </c>
      <c r="P31" s="38">
        <f t="shared" ca="1" si="4"/>
        <v>2040.75</v>
      </c>
      <c r="Q31" s="35" cm="1">
        <f t="array" aca="1" ref="Q31" ca="1">IF($D31="S 0303",0,_xll.BDP("LM"&amp;Q$14&amp;"D"&amp;$D31&amp;" Comdty","PX_SETTLE"))</f>
        <v>-216</v>
      </c>
      <c r="R31" s="39"/>
      <c r="S31" s="37">
        <f ca="1"/>
        <v>-219</v>
      </c>
      <c r="T31" s="38">
        <f t="shared" ca="1" si="5"/>
        <v>12479</v>
      </c>
      <c r="U31" s="35" cm="1">
        <f t="array" aca="1" ref="U31" ca="1">IF($D31="S 0303",0,_xll.BDP("LM"&amp;U$14&amp;"D"&amp;$D31&amp;" Comdty","PX_SETTLE"))</f>
        <v>-39</v>
      </c>
      <c r="V31" s="39"/>
      <c r="W31" s="37">
        <f ca="1"/>
        <v>-42</v>
      </c>
      <c r="X31" s="38">
        <f t="shared" ca="1" si="6"/>
        <v>1694</v>
      </c>
      <c r="Y31" s="35" cm="1">
        <f t="array" aca="1" ref="Y31" ca="1">IF($D31="S 0303",0,_xll.BDP("LM"&amp;Y$14&amp;"D"&amp;$D31&amp;" Comdty","PX_SETTLE"))</f>
        <v>135</v>
      </c>
      <c r="Z31" s="39"/>
      <c r="AA31" s="37">
        <f ca="1"/>
        <v>133</v>
      </c>
      <c r="AB31" s="38">
        <f t="shared" ca="1" si="7"/>
        <v>15122</v>
      </c>
    </row>
    <row r="32" spans="2:28" x14ac:dyDescent="0.25">
      <c r="B32" s="1" cm="1">
        <f t="array" aca="1" ref="B32" ca="1">_xll.QDates_NextLMECurveDate(B31,$B$1,FALSE)</f>
        <v>44398</v>
      </c>
      <c r="C32" s="8" t="str" cm="1">
        <f t="array" aca="1" ref="C32" ca="1">IF(B32=$B$1,"03",_xll.QDates_GetMonthCodeAndYear(B32,2))</f>
        <v>N21</v>
      </c>
      <c r="D32" s="8" t="str">
        <f t="shared" ca="1" si="1"/>
        <v>S 03N21</v>
      </c>
      <c r="E32" s="35" cm="1">
        <f t="array" aca="1" ref="E32" ca="1">IF($D32="S 0303",0,_xll.BDP("LM"&amp;E$14&amp;"D"&amp;$D32&amp;" Comdty","PX_SETTLE"))</f>
        <v>-93.75</v>
      </c>
      <c r="F32" s="39"/>
      <c r="G32" s="37">
        <f ca="1"/>
        <v>-96.916666666666671</v>
      </c>
      <c r="H32" s="38">
        <f t="shared" ca="1" si="2"/>
        <v>1583.9166666666667</v>
      </c>
      <c r="I32" s="35" cm="1">
        <f t="array" aca="1" ref="I32" ca="1">IF($D32="S 0303",0,_xll.BDP("LM"&amp;I$14&amp;"D"&amp;$D32&amp;" Comdty","PX_SETTLE"))</f>
        <v>-75.75</v>
      </c>
      <c r="J32" s="39"/>
      <c r="K32" s="37">
        <f ca="1"/>
        <v>-78.916666666666671</v>
      </c>
      <c r="L32" s="38">
        <f t="shared" ca="1" si="3"/>
        <v>5318.916666666667</v>
      </c>
      <c r="M32" s="35" cm="1">
        <f t="array" aca="1" ref="M32" ca="1">IF($D32="S 0303",0,_xll.BDP("LM"&amp;M$14&amp;"D"&amp;$D32&amp;" Comdty","PX_SETTLE"))</f>
        <v>-33.25</v>
      </c>
      <c r="N32" s="39"/>
      <c r="O32" s="37">
        <f ca="1"/>
        <v>-36.416666666666664</v>
      </c>
      <c r="P32" s="38">
        <f t="shared" ca="1" si="4"/>
        <v>2043.4166666666667</v>
      </c>
      <c r="Q32" s="35" cm="1">
        <f t="array" aca="1" ref="Q32" ca="1">IF($D32="S 0303",0,_xll.BDP("LM"&amp;Q$14&amp;"D"&amp;$D32&amp;" Comdty","PX_SETTLE"))</f>
        <v>-237</v>
      </c>
      <c r="R32" s="39"/>
      <c r="S32" s="37">
        <f ca="1"/>
        <v>-240.16666666666666</v>
      </c>
      <c r="T32" s="38">
        <f t="shared" ca="1" si="5"/>
        <v>12500.166666666666</v>
      </c>
      <c r="U32" s="35" cm="1">
        <f t="array" aca="1" ref="U32" ca="1">IF($D32="S 0303",0,_xll.BDP("LM"&amp;U$14&amp;"D"&amp;$D32&amp;" Comdty","PX_SETTLE"))</f>
        <v>-41</v>
      </c>
      <c r="V32" s="39"/>
      <c r="W32" s="37">
        <f ca="1"/>
        <v>-44.166666666666664</v>
      </c>
      <c r="X32" s="38">
        <f t="shared" ca="1" si="6"/>
        <v>1696.1666666666667</v>
      </c>
      <c r="Y32" s="35" cm="1">
        <f t="array" aca="1" ref="Y32" ca="1">IF($D32="S 0303",0,_xll.BDP("LM"&amp;Y$14&amp;"D"&amp;$D32&amp;" Comdty","PX_SETTLE"))</f>
        <v>145</v>
      </c>
      <c r="Z32" s="39"/>
      <c r="AA32" s="37">
        <f ca="1"/>
        <v>143</v>
      </c>
      <c r="AB32" s="38">
        <f t="shared" ca="1" si="7"/>
        <v>15112</v>
      </c>
    </row>
    <row r="33" spans="2:28" x14ac:dyDescent="0.25">
      <c r="B33" s="1" cm="1">
        <f t="array" aca="1" ref="B33" ca="1">_xll.QDates_NextLMECurveDate(B32,$B$1,FALSE)</f>
        <v>44426</v>
      </c>
      <c r="C33" s="8" t="str" cm="1">
        <f t="array" aca="1" ref="C33" ca="1">IF(B33=$B$1,"03",_xll.QDates_GetMonthCodeAndYear(B33,2))</f>
        <v>Q21</v>
      </c>
      <c r="D33" s="8" t="str">
        <f t="shared" ca="1" si="1"/>
        <v>S 03Q21</v>
      </c>
      <c r="E33" s="35" cm="1">
        <f t="array" aca="1" ref="E33" ca="1">IF($D33="S 0303",0,_xll.BDP("LM"&amp;E$14&amp;"D"&amp;$D33&amp;" Comdty","PX_SETTLE"))</f>
        <v>-100.25</v>
      </c>
      <c r="F33" s="39"/>
      <c r="G33" s="37">
        <f ca="1"/>
        <v>-103.58333333333333</v>
      </c>
      <c r="H33" s="38">
        <f t="shared" ca="1" si="2"/>
        <v>1590.5833333333333</v>
      </c>
      <c r="I33" s="35" cm="1">
        <f t="array" aca="1" ref="I33" ca="1">IF($D33="S 0303",0,_xll.BDP("LM"&amp;I$14&amp;"D"&amp;$D33&amp;" Comdty","PX_SETTLE"))</f>
        <v>-81.25</v>
      </c>
      <c r="J33" s="39"/>
      <c r="K33" s="37">
        <f ca="1"/>
        <v>-84.583333333333329</v>
      </c>
      <c r="L33" s="38">
        <f t="shared" ca="1" si="3"/>
        <v>5324.583333333333</v>
      </c>
      <c r="M33" s="35" cm="1">
        <f t="array" aca="1" ref="M33" ca="1">IF($D33="S 0303",0,_xll.BDP("LM"&amp;M$14&amp;"D"&amp;$D33&amp;" Comdty","PX_SETTLE"))</f>
        <v>-35.75</v>
      </c>
      <c r="N33" s="39"/>
      <c r="O33" s="37">
        <f ca="1"/>
        <v>-39.083333333333336</v>
      </c>
      <c r="P33" s="38">
        <f t="shared" ca="1" si="4"/>
        <v>2046.0833333333333</v>
      </c>
      <c r="Q33" s="35" cm="1">
        <f t="array" aca="1" ref="Q33" ca="1">IF($D33="S 0303",0,_xll.BDP("LM"&amp;Q$14&amp;"D"&amp;$D33&amp;" Comdty","PX_SETTLE"))</f>
        <v>-255</v>
      </c>
      <c r="R33" s="39"/>
      <c r="S33" s="37">
        <f ca="1"/>
        <v>-258.33333333333331</v>
      </c>
      <c r="T33" s="38">
        <f t="shared" ca="1" si="5"/>
        <v>12518.333333333334</v>
      </c>
      <c r="U33" s="35" cm="1">
        <f t="array" aca="1" ref="U33" ca="1">IF($D33="S 0303",0,_xll.BDP("LM"&amp;U$14&amp;"D"&amp;$D33&amp;" Comdty","PX_SETTLE"))</f>
        <v>-43</v>
      </c>
      <c r="V33" s="39"/>
      <c r="W33" s="37">
        <f ca="1"/>
        <v>-46.333333333333336</v>
      </c>
      <c r="X33" s="38">
        <f t="shared" ca="1" si="6"/>
        <v>1698.3333333333333</v>
      </c>
      <c r="Y33" s="35" cm="1">
        <f t="array" aca="1" ref="Y33" ca="1">IF($D33="S 0303",0,_xll.BDP("LM"&amp;Y$14&amp;"D"&amp;$D33&amp;" Comdty","PX_SETTLE"))</f>
        <v>155</v>
      </c>
      <c r="Z33" s="39"/>
      <c r="AA33" s="37">
        <f ca="1"/>
        <v>153</v>
      </c>
      <c r="AB33" s="38">
        <f t="shared" ca="1" si="7"/>
        <v>15102</v>
      </c>
    </row>
    <row r="34" spans="2:28" x14ac:dyDescent="0.25">
      <c r="B34" s="1" cm="1">
        <f t="array" aca="1" ref="B34" ca="1">_xll.QDates_NextLMECurveDate(B33,$B$1,FALSE)</f>
        <v>44454</v>
      </c>
      <c r="C34" s="8" t="str" cm="1">
        <f t="array" aca="1" ref="C34" ca="1">IF(B34=$B$1,"03",_xll.QDates_GetMonthCodeAndYear(B34,2))</f>
        <v>U21</v>
      </c>
      <c r="D34" s="8" t="str">
        <f t="shared" ca="1" si="1"/>
        <v>S 03U21</v>
      </c>
      <c r="E34" s="35" cm="1">
        <f t="array" aca="1" ref="E34" ca="1">IF($D34="S 0303",0,_xll.BDP("LM"&amp;E$14&amp;"D"&amp;$D34&amp;" Comdty","PX_SETTLE"))</f>
        <v>-106.5</v>
      </c>
      <c r="F34" s="39"/>
      <c r="G34" s="37">
        <f ca="1"/>
        <v>-110</v>
      </c>
      <c r="H34" s="38">
        <f t="shared" ca="1" si="2"/>
        <v>1597</v>
      </c>
      <c r="I34" s="35" cm="1">
        <f t="array" aca="1" ref="I34" ca="1">IF($D34="S 0303",0,_xll.BDP("LM"&amp;I$14&amp;"D"&amp;$D34&amp;" Comdty","PX_SETTLE"))</f>
        <v>-86.75</v>
      </c>
      <c r="J34" s="39"/>
      <c r="K34" s="37">
        <f ca="1"/>
        <v>-90.25</v>
      </c>
      <c r="L34" s="38">
        <f t="shared" ca="1" si="3"/>
        <v>5330.25</v>
      </c>
      <c r="M34" s="35" cm="1">
        <f t="array" aca="1" ref="M34" ca="1">IF($D34="S 0303",0,_xll.BDP("LM"&amp;M$14&amp;"D"&amp;$D34&amp;" Comdty","PX_SETTLE"))</f>
        <v>-38.25</v>
      </c>
      <c r="N34" s="39"/>
      <c r="O34" s="37">
        <f ca="1"/>
        <v>-41.75</v>
      </c>
      <c r="P34" s="38">
        <f t="shared" ca="1" si="4"/>
        <v>2048.75</v>
      </c>
      <c r="Q34" s="35" cm="1">
        <f t="array" aca="1" ref="Q34" ca="1">IF($D34="S 0303",0,_xll.BDP("LM"&amp;Q$14&amp;"D"&amp;$D34&amp;" Comdty","PX_SETTLE"))</f>
        <v>-273</v>
      </c>
      <c r="R34" s="39"/>
      <c r="S34" s="37">
        <f ca="1"/>
        <v>-276.5</v>
      </c>
      <c r="T34" s="38">
        <f t="shared" ca="1" si="5"/>
        <v>12536.5</v>
      </c>
      <c r="U34" s="35" cm="1">
        <f t="array" aca="1" ref="U34" ca="1">IF($D34="S 0303",0,_xll.BDP("LM"&amp;U$14&amp;"D"&amp;$D34&amp;" Comdty","PX_SETTLE"))</f>
        <v>-45</v>
      </c>
      <c r="V34" s="39"/>
      <c r="W34" s="37">
        <f ca="1"/>
        <v>-48.5</v>
      </c>
      <c r="X34" s="38">
        <f t="shared" ca="1" si="6"/>
        <v>1700.5</v>
      </c>
      <c r="Y34" s="47">
        <f ca="1">Y33+(Y33-Y32)</f>
        <v>165</v>
      </c>
      <c r="Z34" s="39"/>
      <c r="AA34" s="37">
        <f ca="1"/>
        <v>163</v>
      </c>
      <c r="AB34" s="38">
        <f t="shared" ca="1" si="7"/>
        <v>15092</v>
      </c>
    </row>
    <row r="35" spans="2:28" x14ac:dyDescent="0.25">
      <c r="B35" s="1" cm="1">
        <f t="array" aca="1" ref="B35" ca="1">_xll.QDates_NextLMECurveDate(B34,$B$1,FALSE)</f>
        <v>44489</v>
      </c>
      <c r="C35" s="8" t="str" cm="1">
        <f t="array" aca="1" ref="C35" ca="1">IF(B35=$B$1,"03",_xll.QDates_GetMonthCodeAndYear(B35,2))</f>
        <v>V21</v>
      </c>
      <c r="D35" s="8" t="str">
        <f t="shared" ca="1" si="1"/>
        <v>S 03V21</v>
      </c>
      <c r="E35" s="35" cm="1">
        <f t="array" aca="1" ref="E35" ca="1">IF($D35="S 0303",0,_xll.BDP("LM"&amp;E$14&amp;"D"&amp;$D35&amp;" Comdty","PX_SETTLE"))</f>
        <v>-114.5</v>
      </c>
      <c r="F35" s="39"/>
      <c r="G35" s="37">
        <f ca="1"/>
        <v>-118.16666666666667</v>
      </c>
      <c r="H35" s="38">
        <f t="shared" ca="1" si="2"/>
        <v>1605.1666666666667</v>
      </c>
      <c r="I35" s="35" cm="1">
        <f t="array" aca="1" ref="I35" ca="1">IF($D35="S 0303",0,_xll.BDP("LM"&amp;I$14&amp;"D"&amp;$D35&amp;" Comdty","PX_SETTLE"))</f>
        <v>-92</v>
      </c>
      <c r="J35" s="39"/>
      <c r="K35" s="37">
        <f ca="1"/>
        <v>-95.666666666666671</v>
      </c>
      <c r="L35" s="38">
        <f t="shared" ca="1" si="3"/>
        <v>5335.666666666667</v>
      </c>
      <c r="M35" s="35" cm="1">
        <f t="array" aca="1" ref="M35" ca="1">IF($D35="S 0303",0,_xll.BDP("LM"&amp;M$14&amp;"D"&amp;$D35&amp;" Comdty","PX_SETTLE"))</f>
        <v>-40.75</v>
      </c>
      <c r="N35" s="39"/>
      <c r="O35" s="37">
        <f ca="1"/>
        <v>-44.416666666666664</v>
      </c>
      <c r="P35" s="38">
        <f t="shared" ca="1" si="4"/>
        <v>2051.4166666666665</v>
      </c>
      <c r="Q35" s="35" cm="1">
        <f t="array" aca="1" ref="Q35" ca="1">IF($D35="S 0303",0,_xll.BDP("LM"&amp;Q$14&amp;"D"&amp;$D35&amp;" Comdty","PX_SETTLE"))</f>
        <v>-291</v>
      </c>
      <c r="R35" s="39"/>
      <c r="S35" s="37">
        <f ca="1"/>
        <v>-294.66666666666669</v>
      </c>
      <c r="T35" s="38">
        <f t="shared" ca="1" si="5"/>
        <v>12554.666666666666</v>
      </c>
      <c r="U35" s="35" cm="1">
        <f t="array" aca="1" ref="U35" ca="1">IF($D35="S 0303",0,_xll.BDP("LM"&amp;U$14&amp;"D"&amp;$D35&amp;" Comdty","PX_SETTLE"))</f>
        <v>-47</v>
      </c>
      <c r="V35" s="39"/>
      <c r="W35" s="37">
        <f ca="1"/>
        <v>-50.666666666666664</v>
      </c>
      <c r="X35" s="38">
        <f t="shared" ca="1" si="6"/>
        <v>1702.6666666666667</v>
      </c>
      <c r="Y35" s="47">
        <f t="shared" ref="Y35:Y64" ca="1" si="8">Y34+(Y34-Y33)</f>
        <v>175</v>
      </c>
      <c r="Z35" s="39"/>
      <c r="AA35" s="37">
        <f ca="1"/>
        <v>173</v>
      </c>
      <c r="AB35" s="38">
        <f t="shared" ca="1" si="7"/>
        <v>15082</v>
      </c>
    </row>
    <row r="36" spans="2:28" x14ac:dyDescent="0.25">
      <c r="B36" s="1" cm="1">
        <f t="array" aca="1" ref="B36" ca="1">_xll.QDates_NextLMECurveDate(B35,$B$1,FALSE)</f>
        <v>44517</v>
      </c>
      <c r="C36" s="8" t="str" cm="1">
        <f t="array" aca="1" ref="C36" ca="1">IF(B36=$B$1,"03",_xll.QDates_GetMonthCodeAndYear(B36,2))</f>
        <v>X21</v>
      </c>
      <c r="D36" s="8" t="str">
        <f t="shared" ca="1" si="1"/>
        <v>S 03X21</v>
      </c>
      <c r="E36" s="35" cm="1">
        <f t="array" aca="1" ref="E36" ca="1">IF($D36="S 0303",0,_xll.BDP("LM"&amp;E$14&amp;"D"&amp;$D36&amp;" Comdty","PX_SETTLE"))</f>
        <v>-120.25</v>
      </c>
      <c r="F36" s="39"/>
      <c r="G36" s="37">
        <f ca="1"/>
        <v>-124.08333333333333</v>
      </c>
      <c r="H36" s="38">
        <f t="shared" ca="1" si="2"/>
        <v>1611.0833333333333</v>
      </c>
      <c r="I36" s="35" cm="1">
        <f t="array" aca="1" ref="I36" ca="1">IF($D36="S 0303",0,_xll.BDP("LM"&amp;I$14&amp;"D"&amp;$D36&amp;" Comdty","PX_SETTLE"))</f>
        <v>-97.25</v>
      </c>
      <c r="J36" s="39"/>
      <c r="K36" s="37">
        <f ca="1"/>
        <v>-101.08333333333333</v>
      </c>
      <c r="L36" s="38">
        <f t="shared" ca="1" si="3"/>
        <v>5341.083333333333</v>
      </c>
      <c r="M36" s="35" cm="1">
        <f t="array" aca="1" ref="M36" ca="1">IF($D36="S 0303",0,_xll.BDP("LM"&amp;M$14&amp;"D"&amp;$D36&amp;" Comdty","PX_SETTLE"))</f>
        <v>-43.25</v>
      </c>
      <c r="N36" s="39"/>
      <c r="O36" s="37">
        <f ca="1"/>
        <v>-47.083333333333336</v>
      </c>
      <c r="P36" s="38">
        <f t="shared" ca="1" si="4"/>
        <v>2054.0833333333335</v>
      </c>
      <c r="Q36" s="35" cm="1">
        <f t="array" aca="1" ref="Q36" ca="1">IF($D36="S 0303",0,_xll.BDP("LM"&amp;Q$14&amp;"D"&amp;$D36&amp;" Comdty","PX_SETTLE"))</f>
        <v>-309</v>
      </c>
      <c r="R36" s="39"/>
      <c r="S36" s="37">
        <f ca="1"/>
        <v>-312.83333333333331</v>
      </c>
      <c r="T36" s="38">
        <f t="shared" ca="1" si="5"/>
        <v>12572.833333333334</v>
      </c>
      <c r="U36" s="35" cm="1">
        <f t="array" aca="1" ref="U36" ca="1">IF($D36="S 0303",0,_xll.BDP("LM"&amp;U$14&amp;"D"&amp;$D36&amp;" Comdty","PX_SETTLE"))</f>
        <v>-49</v>
      </c>
      <c r="V36" s="39"/>
      <c r="W36" s="37">
        <f ca="1"/>
        <v>-52.833333333333336</v>
      </c>
      <c r="X36" s="38">
        <f t="shared" ca="1" si="6"/>
        <v>1704.8333333333333</v>
      </c>
      <c r="Y36" s="47">
        <f t="shared" ca="1" si="8"/>
        <v>185</v>
      </c>
      <c r="Z36" s="39"/>
      <c r="AA36" s="37">
        <f ca="1"/>
        <v>183</v>
      </c>
      <c r="AB36" s="38">
        <f t="shared" ca="1" si="7"/>
        <v>15072</v>
      </c>
    </row>
    <row r="37" spans="2:28" x14ac:dyDescent="0.25">
      <c r="B37" s="1" cm="1">
        <f t="array" aca="1" ref="B37" ca="1">_xll.QDates_NextLMECurveDate(B36,$B$1,FALSE)</f>
        <v>44545</v>
      </c>
      <c r="C37" s="8" t="str" cm="1">
        <f t="array" aca="1" ref="C37" ca="1">IF(B37=$B$1,"03",_xll.QDates_GetMonthCodeAndYear(B37,2))</f>
        <v>Z21</v>
      </c>
      <c r="D37" s="8" t="str">
        <f t="shared" ca="1" si="1"/>
        <v>S 03Z21</v>
      </c>
      <c r="E37" s="35" cm="1">
        <f t="array" aca="1" ref="E37" ca="1">IF($D37="S 0303",0,_xll.BDP("LM"&amp;E$14&amp;"D"&amp;$D37&amp;" Comdty","PX_SETTLE"))</f>
        <v>-126.25</v>
      </c>
      <c r="F37" s="36">
        <f ca="1">E37-4</f>
        <v>-130.25</v>
      </c>
      <c r="G37" s="37">
        <f ca="1"/>
        <v>-130.25</v>
      </c>
      <c r="H37" s="38">
        <f t="shared" ca="1" si="2"/>
        <v>1617.25</v>
      </c>
      <c r="I37" s="35" cm="1">
        <f t="array" aca="1" ref="I37" ca="1">IF($D37="S 0303",0,_xll.BDP("LM"&amp;I$14&amp;"D"&amp;$D37&amp;" Comdty","PX_SETTLE"))</f>
        <v>-102.5</v>
      </c>
      <c r="J37" s="36">
        <f ca="1">I37-4</f>
        <v>-106.5</v>
      </c>
      <c r="K37" s="37">
        <f ca="1"/>
        <v>-106.5</v>
      </c>
      <c r="L37" s="38">
        <f t="shared" ca="1" si="3"/>
        <v>5346.5</v>
      </c>
      <c r="M37" s="35" cm="1">
        <f t="array" aca="1" ref="M37" ca="1">IF($D37="S 0303",0,_xll.BDP("LM"&amp;M$14&amp;"D"&amp;$D37&amp;" Comdty","PX_SETTLE"))</f>
        <v>-45.75</v>
      </c>
      <c r="N37" s="36">
        <f ca="1">M37-4</f>
        <v>-49.75</v>
      </c>
      <c r="O37" s="37">
        <f ca="1"/>
        <v>-49.75</v>
      </c>
      <c r="P37" s="38">
        <f t="shared" ca="1" si="4"/>
        <v>2056.75</v>
      </c>
      <c r="Q37" s="35" cm="1">
        <f t="array" aca="1" ref="Q37" ca="1">IF($D37="S 0303",0,_xll.BDP("LM"&amp;Q$14&amp;"D"&amp;$D37&amp;" Comdty","PX_SETTLE"))</f>
        <v>-328</v>
      </c>
      <c r="R37" s="36">
        <f ca="1">Q37-4</f>
        <v>-332</v>
      </c>
      <c r="S37" s="37">
        <f ca="1"/>
        <v>-332</v>
      </c>
      <c r="T37" s="38">
        <f t="shared" ca="1" si="5"/>
        <v>12592</v>
      </c>
      <c r="U37" s="35" cm="1">
        <f t="array" aca="1" ref="U37" ca="1">IF($D37="S 0303",0,_xll.BDP("LM"&amp;U$14&amp;"D"&amp;$D37&amp;" Comdty","PX_SETTLE"))</f>
        <v>-51</v>
      </c>
      <c r="V37" s="36">
        <f ca="1">U37-4</f>
        <v>-55</v>
      </c>
      <c r="W37" s="37">
        <f ca="1"/>
        <v>-55</v>
      </c>
      <c r="X37" s="38">
        <f t="shared" ca="1" si="6"/>
        <v>1707</v>
      </c>
      <c r="Y37" s="47">
        <f t="shared" ca="1" si="8"/>
        <v>195</v>
      </c>
      <c r="Z37" s="36"/>
      <c r="AA37" s="37">
        <f ca="1"/>
        <v>193</v>
      </c>
      <c r="AB37" s="38">
        <f t="shared" ca="1" si="7"/>
        <v>15062</v>
      </c>
    </row>
    <row r="38" spans="2:28" x14ac:dyDescent="0.25">
      <c r="B38" s="1" cm="1">
        <f t="array" aca="1" ref="B38" ca="1">_xll.QDates_NextLMECurveDate(B37,$B$1,FALSE)</f>
        <v>44580</v>
      </c>
      <c r="C38" s="8" t="str" cm="1">
        <f t="array" aca="1" ref="C38" ca="1">IF(B38=$B$1,"03",_xll.QDates_GetMonthCodeAndYear(B38,2))</f>
        <v>F22</v>
      </c>
      <c r="D38" s="8" t="str">
        <f t="shared" ca="1" si="1"/>
        <v>S 03F22</v>
      </c>
      <c r="E38" s="35" cm="1">
        <f t="array" aca="1" ref="E38" ca="1">IF($D38="S 0303",0,_xll.BDP("LM"&amp;E$14&amp;"D"&amp;$D38&amp;" Comdty","PX_SETTLE"))</f>
        <v>-133.75</v>
      </c>
      <c r="F38" s="39"/>
      <c r="G38" s="37">
        <f ca="1"/>
        <v>-137.75</v>
      </c>
      <c r="H38" s="38">
        <f t="shared" ca="1" si="2"/>
        <v>1624.75</v>
      </c>
      <c r="I38" s="35" cm="1">
        <f t="array" aca="1" ref="I38" ca="1">IF($D38="S 0303",0,_xll.BDP("LM"&amp;I$14&amp;"D"&amp;$D38&amp;" Comdty","PX_SETTLE"))</f>
        <v>-108.5</v>
      </c>
      <c r="J38" s="39"/>
      <c r="K38" s="37">
        <f ca="1"/>
        <v>-112.5</v>
      </c>
      <c r="L38" s="38">
        <f t="shared" ca="1" si="3"/>
        <v>5352.5</v>
      </c>
      <c r="M38" s="35" cm="1">
        <f t="array" aca="1" ref="M38" ca="1">IF($D38="S 0303",0,_xll.BDP("LM"&amp;M$14&amp;"D"&amp;$D38&amp;" Comdty","PX_SETTLE"))</f>
        <v>-48.25</v>
      </c>
      <c r="N38" s="39"/>
      <c r="O38" s="37">
        <f ca="1"/>
        <v>-52.25</v>
      </c>
      <c r="P38" s="38">
        <f t="shared" ca="1" si="4"/>
        <v>2059.25</v>
      </c>
      <c r="Q38" s="35" cm="1">
        <f t="array" aca="1" ref="Q38" ca="1">IF($D38="S 0303",0,_xll.BDP("LM"&amp;Q$14&amp;"D"&amp;$D38&amp;" Comdty","PX_SETTLE"))</f>
        <v>-346</v>
      </c>
      <c r="R38" s="39"/>
      <c r="S38" s="37">
        <f ca="1"/>
        <v>-350</v>
      </c>
      <c r="T38" s="38">
        <f t="shared" ca="1" si="5"/>
        <v>12610</v>
      </c>
      <c r="U38" s="35" cm="1">
        <f t="array" aca="1" ref="U38" ca="1">IF($D38="S 0303",0,_xll.BDP("LM"&amp;U$14&amp;"D"&amp;$D38&amp;" Comdty","PX_SETTLE"))</f>
        <v>-54.25</v>
      </c>
      <c r="V38" s="39"/>
      <c r="W38" s="37">
        <f ca="1"/>
        <v>-58.25</v>
      </c>
      <c r="X38" s="38">
        <f t="shared" ca="1" si="6"/>
        <v>1710.25</v>
      </c>
      <c r="Y38" s="47">
        <f t="shared" ca="1" si="8"/>
        <v>205</v>
      </c>
      <c r="Z38" s="39"/>
      <c r="AA38" s="37">
        <f ca="1"/>
        <v>203</v>
      </c>
      <c r="AB38" s="38">
        <f t="shared" ca="1" si="7"/>
        <v>15052</v>
      </c>
    </row>
    <row r="39" spans="2:28" x14ac:dyDescent="0.25">
      <c r="B39" s="1" cm="1">
        <f t="array" aca="1" ref="B39" ca="1">_xll.QDates_NextLMECurveDate(B38,$B$1,FALSE)</f>
        <v>44608</v>
      </c>
      <c r="C39" s="8" t="str" cm="1">
        <f t="array" aca="1" ref="C39" ca="1">IF(B39=$B$1,"03",_xll.QDates_GetMonthCodeAndYear(B39,2))</f>
        <v>G22</v>
      </c>
      <c r="D39" s="8" t="str">
        <f t="shared" ca="1" si="1"/>
        <v>S 03G22</v>
      </c>
      <c r="E39" s="35" cm="1">
        <f t="array" aca="1" ref="E39" ca="1">IF($D39="S 0303",0,_xll.BDP("LM"&amp;E$14&amp;"D"&amp;$D39&amp;" Comdty","PX_SETTLE"))</f>
        <v>-140.75</v>
      </c>
      <c r="F39" s="39"/>
      <c r="G39" s="37">
        <f ca="1"/>
        <v>-144.75</v>
      </c>
      <c r="H39" s="38">
        <f t="shared" ca="1" si="2"/>
        <v>1631.75</v>
      </c>
      <c r="I39" s="35" cm="1">
        <f t="array" aca="1" ref="I39" ca="1">IF($D39="S 0303",0,_xll.BDP("LM"&amp;I$14&amp;"D"&amp;$D39&amp;" Comdty","PX_SETTLE"))</f>
        <v>-114.5</v>
      </c>
      <c r="J39" s="39"/>
      <c r="K39" s="37">
        <f ca="1"/>
        <v>-118.5</v>
      </c>
      <c r="L39" s="38">
        <f t="shared" ca="1" si="3"/>
        <v>5358.5</v>
      </c>
      <c r="M39" s="35" cm="1">
        <f t="array" aca="1" ref="M39" ca="1">IF($D39="S 0303",0,_xll.BDP("LM"&amp;M$14&amp;"D"&amp;$D39&amp;" Comdty","PX_SETTLE"))</f>
        <v>-50.75</v>
      </c>
      <c r="N39" s="39"/>
      <c r="O39" s="37">
        <f ca="1"/>
        <v>-54.75</v>
      </c>
      <c r="P39" s="38">
        <f t="shared" ca="1" si="4"/>
        <v>2061.75</v>
      </c>
      <c r="Q39" s="35" cm="1">
        <f t="array" aca="1" ref="Q39" ca="1">IF($D39="S 0303",0,_xll.BDP("LM"&amp;Q$14&amp;"D"&amp;$D39&amp;" Comdty","PX_SETTLE"))</f>
        <v>-364</v>
      </c>
      <c r="R39" s="39"/>
      <c r="S39" s="37">
        <f ca="1"/>
        <v>-368</v>
      </c>
      <c r="T39" s="38">
        <f t="shared" ca="1" si="5"/>
        <v>12628</v>
      </c>
      <c r="U39" s="35" cm="1">
        <f t="array" aca="1" ref="U39" ca="1">IF($D39="S 0303",0,_xll.BDP("LM"&amp;U$14&amp;"D"&amp;$D39&amp;" Comdty","PX_SETTLE"))</f>
        <v>-57.5</v>
      </c>
      <c r="V39" s="39"/>
      <c r="W39" s="37">
        <f ca="1"/>
        <v>-61.5</v>
      </c>
      <c r="X39" s="38">
        <f t="shared" ca="1" si="6"/>
        <v>1713.5</v>
      </c>
      <c r="Y39" s="47">
        <f t="shared" ca="1" si="8"/>
        <v>215</v>
      </c>
      <c r="Z39" s="39"/>
      <c r="AA39" s="37">
        <f ca="1"/>
        <v>213</v>
      </c>
      <c r="AB39" s="38">
        <f t="shared" ca="1" si="7"/>
        <v>15042</v>
      </c>
    </row>
    <row r="40" spans="2:28" x14ac:dyDescent="0.25">
      <c r="B40" s="1" cm="1">
        <f t="array" aca="1" ref="B40" ca="1">_xll.QDates_NextLMECurveDate(B39,$B$1,FALSE)</f>
        <v>44636</v>
      </c>
      <c r="C40" s="8" t="str" cm="1">
        <f t="array" aca="1" ref="C40" ca="1">IF(B40=$B$1,"03",_xll.QDates_GetMonthCodeAndYear(B40,2))</f>
        <v>H22</v>
      </c>
      <c r="D40" s="8" t="str">
        <f t="shared" ca="1" si="1"/>
        <v>S 03H22</v>
      </c>
      <c r="E40" s="35" cm="1">
        <f t="array" aca="1" ref="E40" ca="1">IF($D40="S 0303",0,_xll.BDP("LM"&amp;E$14&amp;"D"&amp;$D40&amp;" Comdty","PX_SETTLE"))</f>
        <v>-147.75</v>
      </c>
      <c r="F40" s="39"/>
      <c r="G40" s="37">
        <f ca="1"/>
        <v>-151.75</v>
      </c>
      <c r="H40" s="38">
        <f t="shared" ca="1" si="2"/>
        <v>1638.75</v>
      </c>
      <c r="I40" s="35" cm="1">
        <f t="array" aca="1" ref="I40" ca="1">IF($D40="S 0303",0,_xll.BDP("LM"&amp;I$14&amp;"D"&amp;$D40&amp;" Comdty","PX_SETTLE"))</f>
        <v>-120.25</v>
      </c>
      <c r="J40" s="39"/>
      <c r="K40" s="37">
        <f ca="1"/>
        <v>-124.25</v>
      </c>
      <c r="L40" s="38">
        <f t="shared" ca="1" si="3"/>
        <v>5364.25</v>
      </c>
      <c r="M40" s="35" cm="1">
        <f t="array" aca="1" ref="M40" ca="1">IF($D40="S 0303",0,_xll.BDP("LM"&amp;M$14&amp;"D"&amp;$D40&amp;" Comdty","PX_SETTLE"))</f>
        <v>-53.25</v>
      </c>
      <c r="N40" s="39"/>
      <c r="O40" s="37">
        <f ca="1"/>
        <v>-57.25</v>
      </c>
      <c r="P40" s="38">
        <f t="shared" ca="1" si="4"/>
        <v>2064.25</v>
      </c>
      <c r="Q40" s="35" cm="1">
        <f t="array" aca="1" ref="Q40" ca="1">IF($D40="S 0303",0,_xll.BDP("LM"&amp;Q$14&amp;"D"&amp;$D40&amp;" Comdty","PX_SETTLE"))</f>
        <v>-382</v>
      </c>
      <c r="R40" s="39"/>
      <c r="S40" s="37">
        <f ca="1"/>
        <v>-386</v>
      </c>
      <c r="T40" s="38">
        <f t="shared" ca="1" si="5"/>
        <v>12646</v>
      </c>
      <c r="U40" s="35" cm="1">
        <f t="array" aca="1" ref="U40" ca="1">IF($D40="S 0303",0,_xll.BDP("LM"&amp;U$14&amp;"D"&amp;$D40&amp;" Comdty","PX_SETTLE"))</f>
        <v>-60.75</v>
      </c>
      <c r="V40" s="39"/>
      <c r="W40" s="37">
        <f ca="1"/>
        <v>-64.75</v>
      </c>
      <c r="X40" s="38">
        <f t="shared" ca="1" si="6"/>
        <v>1716.75</v>
      </c>
      <c r="Y40" s="47">
        <f t="shared" ca="1" si="8"/>
        <v>225</v>
      </c>
      <c r="Z40" s="39"/>
      <c r="AA40" s="37">
        <f ca="1"/>
        <v>223</v>
      </c>
      <c r="AB40" s="38">
        <f t="shared" ca="1" si="7"/>
        <v>15032</v>
      </c>
    </row>
    <row r="41" spans="2:28" x14ac:dyDescent="0.25">
      <c r="B41" s="1" cm="1">
        <f t="array" aca="1" ref="B41" ca="1">_xll.QDates_NextLMECurveDate(B40,$B$1,FALSE)</f>
        <v>44671</v>
      </c>
      <c r="C41" s="8" t="str" cm="1">
        <f t="array" aca="1" ref="C41" ca="1">IF(B41=$B$1,"03",_xll.QDates_GetMonthCodeAndYear(B41,2))</f>
        <v>J22</v>
      </c>
      <c r="D41" s="8" t="str">
        <f t="shared" ca="1" si="1"/>
        <v>S 03J22</v>
      </c>
      <c r="E41" s="35" cm="1">
        <f t="array" aca="1" ref="E41" ca="1">IF($D41="S 0303",0,_xll.BDP("LM"&amp;E$14&amp;"D"&amp;$D41&amp;" Comdty","PX_SETTLE"))</f>
        <v>-155.75</v>
      </c>
      <c r="F41" s="39"/>
      <c r="G41" s="37">
        <f ca="1"/>
        <v>-159.75</v>
      </c>
      <c r="H41" s="38">
        <f t="shared" ca="1" si="2"/>
        <v>1646.75</v>
      </c>
      <c r="I41" s="35" cm="1">
        <f t="array" aca="1" ref="I41" ca="1">IF($D41="S 0303",0,_xll.BDP("LM"&amp;I$14&amp;"D"&amp;$D41&amp;" Comdty","PX_SETTLE"))</f>
        <v>-126</v>
      </c>
      <c r="J41" s="39"/>
      <c r="K41" s="37">
        <f ca="1"/>
        <v>-130</v>
      </c>
      <c r="L41" s="38">
        <f t="shared" ca="1" si="3"/>
        <v>5370</v>
      </c>
      <c r="M41" s="35" cm="1">
        <f t="array" aca="1" ref="M41" ca="1">IF($D41="S 0303",0,_xll.BDP("LM"&amp;M$14&amp;"D"&amp;$D41&amp;" Comdty","PX_SETTLE"))</f>
        <v>-55.75</v>
      </c>
      <c r="N41" s="39"/>
      <c r="O41" s="37">
        <f ca="1"/>
        <v>-59.75</v>
      </c>
      <c r="P41" s="38">
        <f t="shared" ca="1" si="4"/>
        <v>2066.75</v>
      </c>
      <c r="Q41" s="35" cm="1">
        <f t="array" aca="1" ref="Q41" ca="1">IF($D41="S 0303",0,_xll.BDP("LM"&amp;Q$14&amp;"D"&amp;$D41&amp;" Comdty","PX_SETTLE"))</f>
        <v>-400</v>
      </c>
      <c r="R41" s="39"/>
      <c r="S41" s="37">
        <f ca="1"/>
        <v>-404</v>
      </c>
      <c r="T41" s="38">
        <f t="shared" ca="1" si="5"/>
        <v>12664</v>
      </c>
      <c r="U41" s="35" cm="1">
        <f t="array" aca="1" ref="U41" ca="1">IF($D41="S 0303",0,_xll.BDP("LM"&amp;U$14&amp;"D"&amp;$D41&amp;" Comdty","PX_SETTLE"))</f>
        <v>-63</v>
      </c>
      <c r="V41" s="39"/>
      <c r="W41" s="37">
        <f ca="1"/>
        <v>-67</v>
      </c>
      <c r="X41" s="38">
        <f t="shared" ca="1" si="6"/>
        <v>1719</v>
      </c>
      <c r="Y41" s="47">
        <f t="shared" ca="1" si="8"/>
        <v>235</v>
      </c>
      <c r="Z41" s="39"/>
      <c r="AA41" s="37">
        <f ca="1"/>
        <v>233</v>
      </c>
      <c r="AB41" s="38">
        <f t="shared" ca="1" si="7"/>
        <v>15022</v>
      </c>
    </row>
    <row r="42" spans="2:28" x14ac:dyDescent="0.25">
      <c r="B42" s="1" cm="1">
        <f t="array" aca="1" ref="B42" ca="1">_xll.QDates_NextLMECurveDate(B41,$B$1,FALSE)</f>
        <v>44699</v>
      </c>
      <c r="C42" s="8" t="str" cm="1">
        <f t="array" aca="1" ref="C42" ca="1">IF(B42=$B$1,"03",_xll.QDates_GetMonthCodeAndYear(B42,2))</f>
        <v>K22</v>
      </c>
      <c r="D42" s="8" t="str">
        <f t="shared" ca="1" si="1"/>
        <v>S 03K22</v>
      </c>
      <c r="E42" s="35" cm="1">
        <f t="array" aca="1" ref="E42" ca="1">IF($D42="S 0303",0,_xll.BDP("LM"&amp;E$14&amp;"D"&amp;$D42&amp;" Comdty","PX_SETTLE"))</f>
        <v>-162.75</v>
      </c>
      <c r="F42" s="39"/>
      <c r="G42" s="37">
        <f ca="1"/>
        <v>-166.75</v>
      </c>
      <c r="H42" s="38">
        <f t="shared" ca="1" si="2"/>
        <v>1653.75</v>
      </c>
      <c r="I42" s="35" cm="1">
        <f t="array" aca="1" ref="I42" ca="1">IF($D42="S 0303",0,_xll.BDP("LM"&amp;I$14&amp;"D"&amp;$D42&amp;" Comdty","PX_SETTLE"))</f>
        <v>-131.75</v>
      </c>
      <c r="J42" s="39"/>
      <c r="K42" s="37">
        <f ca="1"/>
        <v>-135.75</v>
      </c>
      <c r="L42" s="38">
        <f t="shared" ca="1" si="3"/>
        <v>5375.75</v>
      </c>
      <c r="M42" s="35" cm="1">
        <f t="array" aca="1" ref="M42" ca="1">IF($D42="S 0303",0,_xll.BDP("LM"&amp;M$14&amp;"D"&amp;$D42&amp;" Comdty","PX_SETTLE"))</f>
        <v>-58.25</v>
      </c>
      <c r="N42" s="39"/>
      <c r="O42" s="37">
        <f ca="1"/>
        <v>-62.25</v>
      </c>
      <c r="P42" s="38">
        <f t="shared" ca="1" si="4"/>
        <v>2069.25</v>
      </c>
      <c r="Q42" s="35" cm="1">
        <f t="array" aca="1" ref="Q42" ca="1">IF($D42="S 0303",0,_xll.BDP("LM"&amp;Q$14&amp;"D"&amp;$D42&amp;" Comdty","PX_SETTLE"))</f>
        <v>-418</v>
      </c>
      <c r="R42" s="39"/>
      <c r="S42" s="37">
        <f ca="1"/>
        <v>-422</v>
      </c>
      <c r="T42" s="38">
        <f t="shared" ca="1" si="5"/>
        <v>12682</v>
      </c>
      <c r="U42" s="35" cm="1">
        <f t="array" aca="1" ref="U42" ca="1">IF($D42="S 0303",0,_xll.BDP("LM"&amp;U$14&amp;"D"&amp;$D42&amp;" Comdty","PX_SETTLE"))</f>
        <v>-65.25</v>
      </c>
      <c r="V42" s="39"/>
      <c r="W42" s="37">
        <f ca="1"/>
        <v>-69.25</v>
      </c>
      <c r="X42" s="38">
        <f t="shared" ca="1" si="6"/>
        <v>1721.25</v>
      </c>
      <c r="Y42" s="47">
        <f t="shared" ca="1" si="8"/>
        <v>245</v>
      </c>
      <c r="Z42" s="39"/>
      <c r="AA42" s="37">
        <f ca="1"/>
        <v>243</v>
      </c>
      <c r="AB42" s="38">
        <f t="shared" ca="1" si="7"/>
        <v>15012</v>
      </c>
    </row>
    <row r="43" spans="2:28" x14ac:dyDescent="0.25">
      <c r="B43" s="1" cm="1">
        <f t="array" aca="1" ref="B43" ca="1">_xll.QDates_NextLMECurveDate(B42,$B$1,FALSE)</f>
        <v>44727</v>
      </c>
      <c r="C43" s="8" t="str" cm="1">
        <f t="array" aca="1" ref="C43" ca="1">IF(B43=$B$1,"03",_xll.QDates_GetMonthCodeAndYear(B43,2))</f>
        <v>M22</v>
      </c>
      <c r="D43" s="8" t="str">
        <f t="shared" ca="1" si="1"/>
        <v>S 03M22</v>
      </c>
      <c r="E43" s="35" cm="1">
        <f t="array" aca="1" ref="E43" ca="1">IF($D43="S 0303",0,_xll.BDP("LM"&amp;E$14&amp;"D"&amp;$D43&amp;" Comdty","PX_SETTLE"))</f>
        <v>-169.5</v>
      </c>
      <c r="F43" s="39"/>
      <c r="G43" s="37">
        <f ca="1"/>
        <v>-173.5</v>
      </c>
      <c r="H43" s="38">
        <f t="shared" ca="1" si="2"/>
        <v>1660.5</v>
      </c>
      <c r="I43" s="35" cm="1">
        <f t="array" aca="1" ref="I43" ca="1">IF($D43="S 0303",0,_xll.BDP("LM"&amp;I$14&amp;"D"&amp;$D43&amp;" Comdty","PX_SETTLE"))</f>
        <v>-137.5</v>
      </c>
      <c r="J43" s="39"/>
      <c r="K43" s="37">
        <f ca="1"/>
        <v>-141.5</v>
      </c>
      <c r="L43" s="38">
        <f t="shared" ca="1" si="3"/>
        <v>5381.5</v>
      </c>
      <c r="M43" s="35" cm="1">
        <f t="array" aca="1" ref="M43" ca="1">IF($D43="S 0303",0,_xll.BDP("LM"&amp;M$14&amp;"D"&amp;$D43&amp;" Comdty","PX_SETTLE"))</f>
        <v>-60.75</v>
      </c>
      <c r="N43" s="39"/>
      <c r="O43" s="37">
        <f ca="1"/>
        <v>-64.75</v>
      </c>
      <c r="P43" s="38">
        <f t="shared" ca="1" si="4"/>
        <v>2071.75</v>
      </c>
      <c r="Q43" s="35" cm="1">
        <f t="array" aca="1" ref="Q43" ca="1">IF($D43="S 0303",0,_xll.BDP("LM"&amp;Q$14&amp;"D"&amp;$D43&amp;" Comdty","PX_SETTLE"))</f>
        <v>-436</v>
      </c>
      <c r="R43" s="39"/>
      <c r="S43" s="37">
        <f ca="1"/>
        <v>-440</v>
      </c>
      <c r="T43" s="38">
        <f t="shared" ca="1" si="5"/>
        <v>12700</v>
      </c>
      <c r="U43" s="35" cm="1">
        <f t="array" aca="1" ref="U43" ca="1">IF($D43="S 0303",0,_xll.BDP("LM"&amp;U$14&amp;"D"&amp;$D43&amp;" Comdty","PX_SETTLE"))</f>
        <v>-67.5</v>
      </c>
      <c r="V43" s="39"/>
      <c r="W43" s="37">
        <f ca="1"/>
        <v>-71.5</v>
      </c>
      <c r="X43" s="38">
        <f t="shared" ca="1" si="6"/>
        <v>1723.5</v>
      </c>
      <c r="Y43" s="47">
        <f t="shared" ca="1" si="8"/>
        <v>255</v>
      </c>
      <c r="Z43" s="39"/>
      <c r="AA43" s="37">
        <f ca="1"/>
        <v>253</v>
      </c>
      <c r="AB43" s="38">
        <f t="shared" ca="1" si="7"/>
        <v>15002</v>
      </c>
    </row>
    <row r="44" spans="2:28" x14ac:dyDescent="0.25">
      <c r="B44" s="1" cm="1">
        <f t="array" aca="1" ref="B44" ca="1">_xll.QDates_NextLMECurveDate(B43,$B$1,FALSE)</f>
        <v>44762</v>
      </c>
      <c r="C44" s="8" t="str" cm="1">
        <f t="array" aca="1" ref="C44" ca="1">IF(B44=$B$1,"03",_xll.QDates_GetMonthCodeAndYear(B44,2))</f>
        <v>N22</v>
      </c>
      <c r="D44" s="8" t="str">
        <f t="shared" ca="1" si="1"/>
        <v>S 03N22</v>
      </c>
      <c r="E44" s="35" cm="1">
        <f t="array" aca="1" ref="E44" ca="1">IF($D44="S 0303",0,_xll.BDP("LM"&amp;E$14&amp;"D"&amp;$D44&amp;" Comdty","PX_SETTLE"))</f>
        <v>-177.25</v>
      </c>
      <c r="F44" s="39"/>
      <c r="G44" s="37">
        <f ca="1"/>
        <v>-181.25</v>
      </c>
      <c r="H44" s="38">
        <f t="shared" ca="1" si="2"/>
        <v>1668.25</v>
      </c>
      <c r="I44" s="35" cm="1">
        <f t="array" aca="1" ref="I44" ca="1">IF($D44="S 0303",0,_xll.BDP("LM"&amp;I$14&amp;"D"&amp;$D44&amp;" Comdty","PX_SETTLE"))</f>
        <v>-143.5</v>
      </c>
      <c r="J44" s="39"/>
      <c r="K44" s="37">
        <f ca="1"/>
        <v>-147.5</v>
      </c>
      <c r="L44" s="38">
        <f t="shared" ca="1" si="3"/>
        <v>5387.5</v>
      </c>
      <c r="M44" s="35" cm="1">
        <f t="array" aca="1" ref="M44" ca="1">IF($D44="S 0303",0,_xll.BDP("LM"&amp;M$14&amp;"D"&amp;$D44&amp;" Comdty","PX_SETTLE"))</f>
        <v>-63.25</v>
      </c>
      <c r="N44" s="39"/>
      <c r="O44" s="37">
        <f ca="1"/>
        <v>-67.25</v>
      </c>
      <c r="P44" s="38">
        <f t="shared" ca="1" si="4"/>
        <v>2074.25</v>
      </c>
      <c r="Q44" s="35" cm="1">
        <f t="array" aca="1" ref="Q44" ca="1">IF($D44="S 0303",0,_xll.BDP("LM"&amp;Q$14&amp;"D"&amp;$D44&amp;" Comdty","PX_SETTLE"))</f>
        <v>-457</v>
      </c>
      <c r="R44" s="39"/>
      <c r="S44" s="37">
        <f ca="1"/>
        <v>-461</v>
      </c>
      <c r="T44" s="38">
        <f t="shared" ca="1" si="5"/>
        <v>12721</v>
      </c>
      <c r="U44" s="35" cm="1">
        <f t="array" aca="1" ref="U44" ca="1">IF($D44="S 0303",0,_xll.BDP("LM"&amp;U$14&amp;"D"&amp;$D44&amp;" Comdty","PX_SETTLE"))</f>
        <v>-69.75</v>
      </c>
      <c r="V44" s="39"/>
      <c r="W44" s="37">
        <f ca="1"/>
        <v>-73.75</v>
      </c>
      <c r="X44" s="38">
        <f t="shared" ca="1" si="6"/>
        <v>1725.75</v>
      </c>
      <c r="Y44" s="47">
        <f t="shared" ca="1" si="8"/>
        <v>265</v>
      </c>
      <c r="Z44" s="39"/>
      <c r="AA44" s="37">
        <f ca="1"/>
        <v>263</v>
      </c>
      <c r="AB44" s="38">
        <f t="shared" ca="1" si="7"/>
        <v>14992</v>
      </c>
    </row>
    <row r="45" spans="2:28" x14ac:dyDescent="0.25">
      <c r="B45" s="1" cm="1">
        <f t="array" aca="1" ref="B45" ca="1">_xll.QDates_NextLMECurveDate(B44,$B$1,FALSE)</f>
        <v>44790</v>
      </c>
      <c r="C45" s="8" t="str" cm="1">
        <f t="array" aca="1" ref="C45" ca="1">IF(B45=$B$1,"03",_xll.QDates_GetMonthCodeAndYear(B45,2))</f>
        <v>Q22</v>
      </c>
      <c r="D45" s="8" t="str">
        <f t="shared" ca="1" si="1"/>
        <v>S 03Q22</v>
      </c>
      <c r="E45" s="35" cm="1">
        <f t="array" aca="1" ref="E45" ca="1">IF($D45="S 0303",0,_xll.BDP("LM"&amp;E$14&amp;"D"&amp;$D45&amp;" Comdty","PX_SETTLE"))</f>
        <v>-184.25</v>
      </c>
      <c r="F45" s="39"/>
      <c r="G45" s="37">
        <f ca="1"/>
        <v>-188.25</v>
      </c>
      <c r="H45" s="38">
        <f t="shared" ca="1" si="2"/>
        <v>1675.25</v>
      </c>
      <c r="I45" s="35" cm="1">
        <f t="array" aca="1" ref="I45" ca="1">IF($D45="S 0303",0,_xll.BDP("LM"&amp;I$14&amp;"D"&amp;$D45&amp;" Comdty","PX_SETTLE"))</f>
        <v>-149.5</v>
      </c>
      <c r="J45" s="39"/>
      <c r="K45" s="37">
        <f ca="1"/>
        <v>-153.5</v>
      </c>
      <c r="L45" s="38">
        <f t="shared" ca="1" si="3"/>
        <v>5393.5</v>
      </c>
      <c r="M45" s="35" cm="1">
        <f t="array" aca="1" ref="M45" ca="1">IF($D45="S 0303",0,_xll.BDP("LM"&amp;M$14&amp;"D"&amp;$D45&amp;" Comdty","PX_SETTLE"))</f>
        <v>-65.75</v>
      </c>
      <c r="N45" s="39"/>
      <c r="O45" s="37">
        <f ca="1"/>
        <v>-69.75</v>
      </c>
      <c r="P45" s="38">
        <f t="shared" ca="1" si="4"/>
        <v>2076.75</v>
      </c>
      <c r="Q45" s="35" cm="1">
        <f t="array" aca="1" ref="Q45" ca="1">IF($D45="S 0303",0,_xll.BDP("LM"&amp;Q$14&amp;"D"&amp;$D45&amp;" Comdty","PX_SETTLE"))</f>
        <v>-479</v>
      </c>
      <c r="R45" s="39"/>
      <c r="S45" s="37">
        <f ca="1"/>
        <v>-483</v>
      </c>
      <c r="T45" s="38">
        <f t="shared" ca="1" si="5"/>
        <v>12743</v>
      </c>
      <c r="U45" s="35" cm="1">
        <f t="array" aca="1" ref="U45" ca="1">IF($D45="S 0303",0,_xll.BDP("LM"&amp;U$14&amp;"D"&amp;$D45&amp;" Comdty","PX_SETTLE"))</f>
        <v>-72</v>
      </c>
      <c r="V45" s="39"/>
      <c r="W45" s="37">
        <f ca="1"/>
        <v>-76</v>
      </c>
      <c r="X45" s="38">
        <f t="shared" ca="1" si="6"/>
        <v>1728</v>
      </c>
      <c r="Y45" s="47">
        <f t="shared" ca="1" si="8"/>
        <v>275</v>
      </c>
      <c r="Z45" s="39"/>
      <c r="AA45" s="37">
        <f ca="1"/>
        <v>273</v>
      </c>
      <c r="AB45" s="38">
        <f t="shared" ca="1" si="7"/>
        <v>14982</v>
      </c>
    </row>
    <row r="46" spans="2:28" x14ac:dyDescent="0.25">
      <c r="B46" s="1" cm="1">
        <f t="array" aca="1" ref="B46" ca="1">_xll.QDates_NextLMECurveDate(B45,$B$1,FALSE)</f>
        <v>44825</v>
      </c>
      <c r="C46" s="8" t="str" cm="1">
        <f t="array" aca="1" ref="C46" ca="1">IF(B46=$B$1,"03",_xll.QDates_GetMonthCodeAndYear(B46,2))</f>
        <v>U22</v>
      </c>
      <c r="D46" s="8" t="str">
        <f t="shared" ca="1" si="1"/>
        <v>S 03U22</v>
      </c>
      <c r="E46" s="35" cm="1">
        <f t="array" aca="1" ref="E46" ca="1">IF($D46="S 0303",0,_xll.BDP("LM"&amp;E$14&amp;"D"&amp;$D46&amp;" Comdty","PX_SETTLE"))</f>
        <v>-191.25</v>
      </c>
      <c r="F46" s="39"/>
      <c r="G46" s="37">
        <f ca="1"/>
        <v>-195.25</v>
      </c>
      <c r="H46" s="38">
        <f t="shared" ca="1" si="2"/>
        <v>1682.25</v>
      </c>
      <c r="I46" s="35" cm="1">
        <f t="array" aca="1" ref="I46" ca="1">IF($D46="S 0303",0,_xll.BDP("LM"&amp;I$14&amp;"D"&amp;$D46&amp;" Comdty","PX_SETTLE"))</f>
        <v>-155.25</v>
      </c>
      <c r="J46" s="39"/>
      <c r="K46" s="37">
        <f ca="1"/>
        <v>-159.25</v>
      </c>
      <c r="L46" s="38">
        <f t="shared" ca="1" si="3"/>
        <v>5399.25</v>
      </c>
      <c r="M46" s="35" cm="1">
        <f t="array" aca="1" ref="M46" ca="1">IF($D46="S 0303",0,_xll.BDP("LM"&amp;M$14&amp;"D"&amp;$D46&amp;" Comdty","PX_SETTLE"))</f>
        <v>-68.25</v>
      </c>
      <c r="N46" s="39"/>
      <c r="O46" s="37">
        <f ca="1"/>
        <v>-72.25</v>
      </c>
      <c r="P46" s="38">
        <f t="shared" ca="1" si="4"/>
        <v>2079.25</v>
      </c>
      <c r="Q46" s="35" cm="1">
        <f t="array" aca="1" ref="Q46" ca="1">IF($D46="S 0303",0,_xll.BDP("LM"&amp;Q$14&amp;"D"&amp;$D46&amp;" Comdty","PX_SETTLE"))</f>
        <v>-502</v>
      </c>
      <c r="R46" s="39"/>
      <c r="S46" s="37">
        <f ca="1"/>
        <v>-506</v>
      </c>
      <c r="T46" s="38">
        <f t="shared" ca="1" si="5"/>
        <v>12766</v>
      </c>
      <c r="U46" s="35" cm="1">
        <f t="array" aca="1" ref="U46" ca="1">IF($D46="S 0303",0,_xll.BDP("LM"&amp;U$14&amp;"D"&amp;$D46&amp;" Comdty","PX_SETTLE"))</f>
        <v>-74.25</v>
      </c>
      <c r="V46" s="39"/>
      <c r="W46" s="37">
        <f ca="1"/>
        <v>-78.25</v>
      </c>
      <c r="X46" s="38">
        <f t="shared" ca="1" si="6"/>
        <v>1730.25</v>
      </c>
      <c r="Y46" s="47">
        <f t="shared" ca="1" si="8"/>
        <v>285</v>
      </c>
      <c r="Z46" s="39"/>
      <c r="AA46" s="37">
        <f ca="1"/>
        <v>283</v>
      </c>
      <c r="AB46" s="38">
        <f t="shared" ca="1" si="7"/>
        <v>14972</v>
      </c>
    </row>
    <row r="47" spans="2:28" x14ac:dyDescent="0.25">
      <c r="B47" s="1" cm="1">
        <f t="array" aca="1" ref="B47" ca="1">_xll.QDates_NextLMECurveDate(B46,$B$1,FALSE)</f>
        <v>44853</v>
      </c>
      <c r="C47" s="8" t="str" cm="1">
        <f t="array" aca="1" ref="C47" ca="1">IF(B47=$B$1,"03",_xll.QDates_GetMonthCodeAndYear(B47,2))</f>
        <v>V22</v>
      </c>
      <c r="D47" s="8" t="str">
        <f t="shared" ca="1" si="1"/>
        <v>S 03V22</v>
      </c>
      <c r="E47" s="35" cm="1">
        <f t="array" aca="1" ref="E47" ca="1">IF($D47="S 0303",0,_xll.BDP("LM"&amp;E$14&amp;"D"&amp;$D47&amp;" Comdty","PX_SETTLE"))</f>
        <v>-198.25</v>
      </c>
      <c r="F47" s="39"/>
      <c r="G47" s="37">
        <f ca="1"/>
        <v>-202.25</v>
      </c>
      <c r="H47" s="38">
        <f t="shared" ca="1" si="2"/>
        <v>1689.25</v>
      </c>
      <c r="I47" s="35" cm="1">
        <f t="array" aca="1" ref="I47" ca="1">IF($D47="S 0303",0,_xll.BDP("LM"&amp;I$14&amp;"D"&amp;$D47&amp;" Comdty","PX_SETTLE"))</f>
        <v>-161</v>
      </c>
      <c r="J47" s="39"/>
      <c r="K47" s="37">
        <f ca="1"/>
        <v>-165</v>
      </c>
      <c r="L47" s="38">
        <f t="shared" ca="1" si="3"/>
        <v>5405</v>
      </c>
      <c r="M47" s="35" cm="1">
        <f t="array" aca="1" ref="M47" ca="1">IF($D47="S 0303",0,_xll.BDP("LM"&amp;M$14&amp;"D"&amp;$D47&amp;" Comdty","PX_SETTLE"))</f>
        <v>-71</v>
      </c>
      <c r="N47" s="39"/>
      <c r="O47" s="37">
        <f ca="1"/>
        <v>-75</v>
      </c>
      <c r="P47" s="38">
        <f t="shared" ca="1" si="4"/>
        <v>2082</v>
      </c>
      <c r="Q47" s="35" cm="1">
        <f t="array" aca="1" ref="Q47" ca="1">IF($D47="S 0303",0,_xll.BDP("LM"&amp;Q$14&amp;"D"&amp;$D47&amp;" Comdty","PX_SETTLE"))</f>
        <v>-523</v>
      </c>
      <c r="R47" s="39"/>
      <c r="S47" s="37">
        <f ca="1"/>
        <v>-527</v>
      </c>
      <c r="T47" s="38">
        <f t="shared" ca="1" si="5"/>
        <v>12787</v>
      </c>
      <c r="U47" s="35" cm="1">
        <f t="array" aca="1" ref="U47" ca="1">IF($D47="S 0303",0,_xll.BDP("LM"&amp;U$14&amp;"D"&amp;$D47&amp;" Comdty","PX_SETTLE"))</f>
        <v>-76.5</v>
      </c>
      <c r="V47" s="39"/>
      <c r="W47" s="37">
        <f ca="1"/>
        <v>-80.5</v>
      </c>
      <c r="X47" s="38">
        <f t="shared" ca="1" si="6"/>
        <v>1732.5</v>
      </c>
      <c r="Y47" s="47">
        <f t="shared" ca="1" si="8"/>
        <v>295</v>
      </c>
      <c r="Z47" s="39"/>
      <c r="AA47" s="37">
        <f ca="1"/>
        <v>293</v>
      </c>
      <c r="AB47" s="38">
        <f t="shared" ca="1" si="7"/>
        <v>14962</v>
      </c>
    </row>
    <row r="48" spans="2:28" x14ac:dyDescent="0.25">
      <c r="B48" s="1" cm="1">
        <f t="array" aca="1" ref="B48" ca="1">_xll.QDates_NextLMECurveDate(B47,$B$1,FALSE)</f>
        <v>44881</v>
      </c>
      <c r="C48" s="8" t="str" cm="1">
        <f t="array" aca="1" ref="C48" ca="1">IF(B48=$B$1,"03",_xll.QDates_GetMonthCodeAndYear(B48,2))</f>
        <v>X22</v>
      </c>
      <c r="D48" s="8" t="str">
        <f t="shared" ca="1" si="1"/>
        <v>S 03X22</v>
      </c>
      <c r="E48" s="35" cm="1">
        <f t="array" aca="1" ref="E48" ca="1">IF($D48="S 0303",0,_xll.BDP("LM"&amp;E$14&amp;"D"&amp;$D48&amp;" Comdty","PX_SETTLE"))</f>
        <v>-205.25</v>
      </c>
      <c r="F48" s="39"/>
      <c r="G48" s="37">
        <f ca="1"/>
        <v>-209.25</v>
      </c>
      <c r="H48" s="38">
        <f t="shared" ca="1" si="2"/>
        <v>1696.25</v>
      </c>
      <c r="I48" s="35" cm="1">
        <f t="array" aca="1" ref="I48" ca="1">IF($D48="S 0303",0,_xll.BDP("LM"&amp;I$14&amp;"D"&amp;$D48&amp;" Comdty","PX_SETTLE"))</f>
        <v>-166.75</v>
      </c>
      <c r="J48" s="39"/>
      <c r="K48" s="37">
        <f ca="1"/>
        <v>-170.75</v>
      </c>
      <c r="L48" s="38">
        <f t="shared" ca="1" si="3"/>
        <v>5410.75</v>
      </c>
      <c r="M48" s="35" cm="1">
        <f t="array" aca="1" ref="M48" ca="1">IF($D48="S 0303",0,_xll.BDP("LM"&amp;M$14&amp;"D"&amp;$D48&amp;" Comdty","PX_SETTLE"))</f>
        <v>-74</v>
      </c>
      <c r="N48" s="39"/>
      <c r="O48" s="37">
        <f ca="1"/>
        <v>-78</v>
      </c>
      <c r="P48" s="38">
        <f t="shared" ca="1" si="4"/>
        <v>2085</v>
      </c>
      <c r="Q48" s="35" cm="1">
        <f t="array" aca="1" ref="Q48" ca="1">IF($D48="S 0303",0,_xll.BDP("LM"&amp;Q$14&amp;"D"&amp;$D48&amp;" Comdty","PX_SETTLE"))</f>
        <v>-543</v>
      </c>
      <c r="R48" s="39"/>
      <c r="S48" s="37">
        <f ca="1"/>
        <v>-547</v>
      </c>
      <c r="T48" s="38">
        <f t="shared" ca="1" si="5"/>
        <v>12807</v>
      </c>
      <c r="U48" s="35" cm="1">
        <f t="array" aca="1" ref="U48" ca="1">IF($D48="S 0303",0,_xll.BDP("LM"&amp;U$14&amp;"D"&amp;$D48&amp;" Comdty","PX_SETTLE"))</f>
        <v>-78.75</v>
      </c>
      <c r="V48" s="39"/>
      <c r="W48" s="37">
        <f ca="1"/>
        <v>-82.75</v>
      </c>
      <c r="X48" s="38">
        <f t="shared" ca="1" si="6"/>
        <v>1734.75</v>
      </c>
      <c r="Y48" s="47">
        <f t="shared" ca="1" si="8"/>
        <v>305</v>
      </c>
      <c r="Z48" s="39"/>
      <c r="AA48" s="37">
        <f ca="1"/>
        <v>303</v>
      </c>
      <c r="AB48" s="38">
        <f t="shared" ca="1" si="7"/>
        <v>14952</v>
      </c>
    </row>
    <row r="49" spans="2:28" x14ac:dyDescent="0.25">
      <c r="B49" s="1" cm="1">
        <f t="array" aca="1" ref="B49" ca="1">_xll.QDates_NextLMECurveDate(B48,$B$1,FALSE)</f>
        <v>44916</v>
      </c>
      <c r="C49" s="8" t="str" cm="1">
        <f t="array" aca="1" ref="C49" ca="1">IF(B49=$B$1,"03",_xll.QDates_GetMonthCodeAndYear(B49,2))</f>
        <v>Z22</v>
      </c>
      <c r="D49" s="8" t="str">
        <f t="shared" ca="1" si="1"/>
        <v>S 03Z22</v>
      </c>
      <c r="E49" s="35" cm="1">
        <f t="array" aca="1" ref="E49" ca="1">IF($D49="S 0303",0,_xll.BDP("LM"&amp;E$14&amp;"D"&amp;$D49&amp;" Comdty","PX_SETTLE"))</f>
        <v>-212.25</v>
      </c>
      <c r="F49" s="39"/>
      <c r="G49" s="37">
        <f ca="1"/>
        <v>-216.25</v>
      </c>
      <c r="H49" s="38">
        <f t="shared" ca="1" si="2"/>
        <v>1703.25</v>
      </c>
      <c r="I49" s="35" cm="1">
        <f t="array" aca="1" ref="I49" ca="1">IF($D49="S 0303",0,_xll.BDP("LM"&amp;I$14&amp;"D"&amp;$D49&amp;" Comdty","PX_SETTLE"))</f>
        <v>-172.5</v>
      </c>
      <c r="J49" s="39"/>
      <c r="K49" s="37">
        <f ca="1"/>
        <v>-176.5</v>
      </c>
      <c r="L49" s="38">
        <f t="shared" ca="1" si="3"/>
        <v>5416.5</v>
      </c>
      <c r="M49" s="35" cm="1">
        <f t="array" aca="1" ref="M49" ca="1">IF($D49="S 0303",0,_xll.BDP("LM"&amp;M$14&amp;"D"&amp;$D49&amp;" Comdty","PX_SETTLE"))</f>
        <v>-77</v>
      </c>
      <c r="N49" s="39"/>
      <c r="O49" s="37">
        <f ca="1"/>
        <v>-81</v>
      </c>
      <c r="P49" s="38">
        <f t="shared" ca="1" si="4"/>
        <v>2088</v>
      </c>
      <c r="Q49" s="35" cm="1">
        <f t="array" aca="1" ref="Q49" ca="1">IF($D49="S 0303",0,_xll.BDP("LM"&amp;Q$14&amp;"D"&amp;$D49&amp;" Comdty","PX_SETTLE"))</f>
        <v>-563</v>
      </c>
      <c r="R49" s="39"/>
      <c r="S49" s="37">
        <f ca="1"/>
        <v>-567</v>
      </c>
      <c r="T49" s="38">
        <f t="shared" ca="1" si="5"/>
        <v>12827</v>
      </c>
      <c r="U49" s="35" cm="1">
        <f t="array" aca="1" ref="U49" ca="1">IF($D49="S 0303",0,_xll.BDP("LM"&amp;U$14&amp;"D"&amp;$D49&amp;" Comdty","PX_SETTLE"))</f>
        <v>-81</v>
      </c>
      <c r="V49" s="39"/>
      <c r="W49" s="37">
        <f ca="1"/>
        <v>-85</v>
      </c>
      <c r="X49" s="38">
        <f t="shared" ca="1" si="6"/>
        <v>1737</v>
      </c>
      <c r="Y49" s="47">
        <f t="shared" ca="1" si="8"/>
        <v>315</v>
      </c>
      <c r="Z49" s="39"/>
      <c r="AA49" s="37">
        <f ca="1"/>
        <v>313</v>
      </c>
      <c r="AB49" s="38">
        <f t="shared" ca="1" si="7"/>
        <v>14942</v>
      </c>
    </row>
    <row r="50" spans="2:28" x14ac:dyDescent="0.25">
      <c r="B50" s="1" cm="1">
        <f t="array" aca="1" ref="B50" ca="1">_xll.QDates_NextLMECurveDate(B49,$B$1,FALSE)</f>
        <v>44944</v>
      </c>
      <c r="C50" s="8" t="str" cm="1">
        <f t="array" aca="1" ref="C50" ca="1">IF(B50=$B$1,"03",_xll.QDates_GetMonthCodeAndYear(B50,2))</f>
        <v>F23</v>
      </c>
      <c r="D50" s="8" t="str">
        <f t="shared" ca="1" si="1"/>
        <v>S 03F23</v>
      </c>
      <c r="E50" s="35" cm="1">
        <f t="array" aca="1" ref="E50" ca="1">IF($D50="S 0303",0,_xll.BDP("LM"&amp;E$14&amp;"D"&amp;$D50&amp;" Comdty","PX_SETTLE"))</f>
        <v>-218.25</v>
      </c>
      <c r="F50" s="39"/>
      <c r="G50" s="37">
        <f ca="1"/>
        <v>-222.25</v>
      </c>
      <c r="H50" s="38">
        <f t="shared" ca="1" si="2"/>
        <v>1709.25</v>
      </c>
      <c r="I50" s="35" cm="1">
        <f t="array" aca="1" ref="I50" ca="1">IF($D50="S 0303",0,_xll.BDP("LM"&amp;I$14&amp;"D"&amp;$D50&amp;" Comdty","PX_SETTLE"))</f>
        <v>-178</v>
      </c>
      <c r="J50" s="39"/>
      <c r="K50" s="37">
        <f ca="1"/>
        <v>-182</v>
      </c>
      <c r="L50" s="38">
        <f t="shared" ca="1" si="3"/>
        <v>5422</v>
      </c>
      <c r="M50" s="35" cm="1">
        <f t="array" aca="1" ref="M50" ca="1">IF($D50="S 0303",0,_xll.BDP("LM"&amp;M$14&amp;"D"&amp;$D50&amp;" Comdty","PX_SETTLE"))</f>
        <v>-81</v>
      </c>
      <c r="N50" s="39"/>
      <c r="O50" s="37">
        <f ca="1"/>
        <v>-85</v>
      </c>
      <c r="P50" s="38">
        <f t="shared" ca="1" si="4"/>
        <v>2092</v>
      </c>
      <c r="Q50" s="35" cm="1">
        <f t="array" aca="1" ref="Q50" ca="1">IF($D50="S 0303",0,_xll.BDP("LM"&amp;Q$14&amp;"D"&amp;$D50&amp;" Comdty","PX_SETTLE"))</f>
        <v>-583</v>
      </c>
      <c r="R50" s="39"/>
      <c r="S50" s="37">
        <f ca="1"/>
        <v>-587</v>
      </c>
      <c r="T50" s="38">
        <f t="shared" ca="1" si="5"/>
        <v>12847</v>
      </c>
      <c r="U50" s="35" cm="1">
        <f t="array" aca="1" ref="U50" ca="1">IF($D50="S 0303",0,_xll.BDP("LM"&amp;U$14&amp;"D"&amp;$D50&amp;" Comdty","PX_SETTLE"))</f>
        <v>-83.25</v>
      </c>
      <c r="V50" s="39"/>
      <c r="W50" s="37">
        <f ca="1"/>
        <v>-87.25</v>
      </c>
      <c r="X50" s="38">
        <f t="shared" ca="1" si="6"/>
        <v>1739.25</v>
      </c>
      <c r="Y50" s="47">
        <f t="shared" ca="1" si="8"/>
        <v>325</v>
      </c>
      <c r="Z50" s="39"/>
      <c r="AA50" s="37">
        <f ca="1"/>
        <v>323</v>
      </c>
      <c r="AB50" s="38">
        <f t="shared" ca="1" si="7"/>
        <v>14932</v>
      </c>
    </row>
    <row r="51" spans="2:28" x14ac:dyDescent="0.25">
      <c r="B51" s="1" cm="1">
        <f t="array" aca="1" ref="B51" ca="1">_xll.QDates_NextLMECurveDate(B50,$B$1,FALSE)</f>
        <v>44972</v>
      </c>
      <c r="C51" s="8" t="str" cm="1">
        <f t="array" aca="1" ref="C51" ca="1">IF(B51=$B$1,"03",_xll.QDates_GetMonthCodeAndYear(B51,2))</f>
        <v>G23</v>
      </c>
      <c r="D51" s="8" t="str">
        <f t="shared" ca="1" si="1"/>
        <v>S 03G23</v>
      </c>
      <c r="E51" s="35" cm="1">
        <f t="array" aca="1" ref="E51" ca="1">IF($D51="S 0303",0,_xll.BDP("LM"&amp;E$14&amp;"D"&amp;$D51&amp;" Comdty","PX_SETTLE"))</f>
        <v>-224.5</v>
      </c>
      <c r="F51" s="39"/>
      <c r="G51" s="37">
        <f ca="1"/>
        <v>-228.5</v>
      </c>
      <c r="H51" s="38">
        <f t="shared" ca="1" si="2"/>
        <v>1715.5</v>
      </c>
      <c r="I51" s="35" cm="1">
        <f t="array" aca="1" ref="I51" ca="1">IF($D51="S 0303",0,_xll.BDP("LM"&amp;I$14&amp;"D"&amp;$D51&amp;" Comdty","PX_SETTLE"))</f>
        <v>-183.5</v>
      </c>
      <c r="J51" s="39"/>
      <c r="K51" s="37">
        <f ca="1"/>
        <v>-187.5</v>
      </c>
      <c r="L51" s="38">
        <f t="shared" ca="1" si="3"/>
        <v>5427.5</v>
      </c>
      <c r="M51" s="35" cm="1">
        <f t="array" aca="1" ref="M51" ca="1">IF($D51="S 0303",0,_xll.BDP("LM"&amp;M$14&amp;"D"&amp;$D51&amp;" Comdty","PX_SETTLE"))</f>
        <v>-85</v>
      </c>
      <c r="N51" s="39"/>
      <c r="O51" s="37">
        <f ca="1"/>
        <v>-89</v>
      </c>
      <c r="P51" s="38">
        <f t="shared" ca="1" si="4"/>
        <v>2096</v>
      </c>
      <c r="Q51" s="35" cm="1">
        <f t="array" aca="1" ref="Q51" ca="1">IF($D51="S 0303",0,_xll.BDP("LM"&amp;Q$14&amp;"D"&amp;$D51&amp;" Comdty","PX_SETTLE"))</f>
        <v>-603</v>
      </c>
      <c r="R51" s="39"/>
      <c r="S51" s="37">
        <f ca="1"/>
        <v>-607</v>
      </c>
      <c r="T51" s="38">
        <f t="shared" ca="1" si="5"/>
        <v>12867</v>
      </c>
      <c r="U51" s="35" cm="1">
        <f t="array" aca="1" ref="U51" ca="1">IF($D51="S 0303",0,_xll.BDP("LM"&amp;U$14&amp;"D"&amp;$D51&amp;" Comdty","PX_SETTLE"))</f>
        <v>-85.5</v>
      </c>
      <c r="V51" s="39"/>
      <c r="W51" s="37">
        <f ca="1"/>
        <v>-89.5</v>
      </c>
      <c r="X51" s="38">
        <f t="shared" ca="1" si="6"/>
        <v>1741.5</v>
      </c>
      <c r="Y51" s="47">
        <f t="shared" ca="1" si="8"/>
        <v>335</v>
      </c>
      <c r="Z51" s="39"/>
      <c r="AA51" s="37">
        <f ca="1"/>
        <v>333</v>
      </c>
      <c r="AB51" s="38">
        <f t="shared" ca="1" si="7"/>
        <v>14922</v>
      </c>
    </row>
    <row r="52" spans="2:28" x14ac:dyDescent="0.25">
      <c r="B52" s="1" cm="1">
        <f t="array" aca="1" ref="B52" ca="1">_xll.QDates_NextLMECurveDate(B51,$B$1,FALSE)</f>
        <v>45000</v>
      </c>
      <c r="C52" s="8" t="str" cm="1">
        <f t="array" aca="1" ref="C52" ca="1">IF(B52=$B$1,"03",_xll.QDates_GetMonthCodeAndYear(B52,2))</f>
        <v>H23</v>
      </c>
      <c r="D52" s="8" t="str">
        <f t="shared" ca="1" si="1"/>
        <v>S 03H23</v>
      </c>
      <c r="E52" s="35" cm="1">
        <f t="array" aca="1" ref="E52" ca="1">IF($D52="S 0303",0,_xll.BDP("LM"&amp;E$14&amp;"D"&amp;$D52&amp;" Comdty","PX_SETTLE"))</f>
        <v>-230.75</v>
      </c>
      <c r="F52" s="39"/>
      <c r="G52" s="37">
        <f ca="1"/>
        <v>-234.75</v>
      </c>
      <c r="H52" s="38">
        <f t="shared" ca="1" si="2"/>
        <v>1721.75</v>
      </c>
      <c r="I52" s="35" cm="1">
        <f t="array" aca="1" ref="I52" ca="1">IF($D52="S 0303",0,_xll.BDP("LM"&amp;I$14&amp;"D"&amp;$D52&amp;" Comdty","PX_SETTLE"))</f>
        <v>-189</v>
      </c>
      <c r="J52" s="39"/>
      <c r="K52" s="37">
        <f ca="1"/>
        <v>-193</v>
      </c>
      <c r="L52" s="38">
        <f t="shared" ca="1" si="3"/>
        <v>5433</v>
      </c>
      <c r="M52" s="35" cm="1">
        <f t="array" aca="1" ref="M52" ca="1">IF($D52="S 0303",0,_xll.BDP("LM"&amp;M$14&amp;"D"&amp;$D52&amp;" Comdty","PX_SETTLE"))</f>
        <v>-85</v>
      </c>
      <c r="N52" s="39"/>
      <c r="O52" s="37">
        <f ca="1"/>
        <v>-89</v>
      </c>
      <c r="P52" s="38">
        <f t="shared" ca="1" si="4"/>
        <v>2096</v>
      </c>
      <c r="Q52" s="35" cm="1">
        <f t="array" aca="1" ref="Q52" ca="1">IF($D52="S 0303",0,_xll.BDP("LM"&amp;Q$14&amp;"D"&amp;$D52&amp;" Comdty","PX_SETTLE"))</f>
        <v>-622</v>
      </c>
      <c r="R52" s="39"/>
      <c r="S52" s="37">
        <f ca="1"/>
        <v>-626</v>
      </c>
      <c r="T52" s="38">
        <f t="shared" ca="1" si="5"/>
        <v>12886</v>
      </c>
      <c r="U52" s="35" cm="1">
        <f t="array" aca="1" ref="U52" ca="1">IF($D52="S 0303",0,_xll.BDP("LM"&amp;U$14&amp;"D"&amp;$D52&amp;" Comdty","PX_SETTLE"))</f>
        <v>-87.75</v>
      </c>
      <c r="V52" s="39"/>
      <c r="W52" s="37">
        <f ca="1"/>
        <v>-91.75</v>
      </c>
      <c r="X52" s="38">
        <f t="shared" ca="1" si="6"/>
        <v>1743.75</v>
      </c>
      <c r="Y52" s="47">
        <f t="shared" ca="1" si="8"/>
        <v>345</v>
      </c>
      <c r="Z52" s="39"/>
      <c r="AA52" s="37">
        <f ca="1"/>
        <v>343</v>
      </c>
      <c r="AB52" s="38">
        <f t="shared" ca="1" si="7"/>
        <v>14912</v>
      </c>
    </row>
    <row r="53" spans="2:28" x14ac:dyDescent="0.25">
      <c r="B53" s="1" cm="1">
        <f t="array" aca="1" ref="B53" ca="1">_xll.QDates_NextLMECurveDate(B52,$B$1,FALSE)</f>
        <v>45035</v>
      </c>
      <c r="C53" s="8" t="str" cm="1">
        <f t="array" aca="1" ref="C53" ca="1">IF(B53=$B$1,"03",_xll.QDates_GetMonthCodeAndYear(B53,2))</f>
        <v>J23</v>
      </c>
      <c r="D53" s="8" t="str">
        <f t="shared" ca="1" si="1"/>
        <v>S 03J23</v>
      </c>
      <c r="E53" s="35" cm="1">
        <f t="array" aca="1" ref="E53" ca="1">IF($D53="S 0303",0,_xll.BDP("LM"&amp;E$14&amp;"D"&amp;$D53&amp;" Comdty","PX_SETTLE"))</f>
        <v>-239.25</v>
      </c>
      <c r="F53" s="39"/>
      <c r="G53" s="37">
        <f ca="1"/>
        <v>-243.25</v>
      </c>
      <c r="H53" s="38">
        <f t="shared" ca="1" si="2"/>
        <v>1730.25</v>
      </c>
      <c r="I53" s="35" cm="1">
        <f t="array" aca="1" ref="I53" ca="1">IF($D53="S 0303",0,_xll.BDP("LM"&amp;I$14&amp;"D"&amp;$D53&amp;" Comdty","PX_SETTLE"))</f>
        <v>-194.5</v>
      </c>
      <c r="J53" s="39"/>
      <c r="K53" s="37">
        <f ca="1"/>
        <v>-198.5</v>
      </c>
      <c r="L53" s="38">
        <f t="shared" ca="1" si="3"/>
        <v>5438.5</v>
      </c>
      <c r="M53" s="35" cm="1">
        <f t="array" aca="1" ref="M53" ca="1">IF($D53="S 0303",0,_xll.BDP("LM"&amp;M$14&amp;"D"&amp;$D53&amp;" Comdty","PX_SETTLE"))</f>
        <v>-85</v>
      </c>
      <c r="N53" s="39"/>
      <c r="O53" s="37">
        <f ca="1"/>
        <v>-89</v>
      </c>
      <c r="P53" s="38">
        <f t="shared" ca="1" si="4"/>
        <v>2096</v>
      </c>
      <c r="Q53" s="35" cm="1">
        <f t="array" aca="1" ref="Q53" ca="1">IF($D53="S 0303",0,_xll.BDP("LM"&amp;Q$14&amp;"D"&amp;$D53&amp;" Comdty","PX_SETTLE"))</f>
        <v>-641</v>
      </c>
      <c r="R53" s="39"/>
      <c r="S53" s="37">
        <f ca="1"/>
        <v>-645</v>
      </c>
      <c r="T53" s="38">
        <f t="shared" ca="1" si="5"/>
        <v>12905</v>
      </c>
      <c r="U53" s="35" cm="1">
        <f t="array" aca="1" ref="U53" ca="1">IF($D53="S 0303",0,_xll.BDP("LM"&amp;U$14&amp;"D"&amp;$D53&amp;" Comdty","PX_SETTLE"))</f>
        <v>-90</v>
      </c>
      <c r="V53" s="39"/>
      <c r="W53" s="37">
        <f ca="1"/>
        <v>-94</v>
      </c>
      <c r="X53" s="38">
        <f t="shared" ca="1" si="6"/>
        <v>1746</v>
      </c>
      <c r="Y53" s="47">
        <f t="shared" ca="1" si="8"/>
        <v>355</v>
      </c>
      <c r="Z53" s="39"/>
      <c r="AA53" s="37">
        <f ca="1"/>
        <v>353</v>
      </c>
      <c r="AB53" s="38">
        <f t="shared" ca="1" si="7"/>
        <v>14902</v>
      </c>
    </row>
    <row r="54" spans="2:28" x14ac:dyDescent="0.25">
      <c r="B54" s="1" cm="1">
        <f t="array" aca="1" ref="B54" ca="1">_xll.QDates_NextLMECurveDate(B53,$B$1,FALSE)</f>
        <v>45063</v>
      </c>
      <c r="C54" s="8" t="str" cm="1">
        <f t="array" aca="1" ref="C54" ca="1">IF(B54=$B$1,"03",_xll.QDates_GetMonthCodeAndYear(B54,2))</f>
        <v>K23</v>
      </c>
      <c r="D54" s="8" t="str">
        <f t="shared" ca="1" si="1"/>
        <v>S 03K23</v>
      </c>
      <c r="E54" s="35" cm="1">
        <f t="array" aca="1" ref="E54" ca="1">IF($D54="S 0303",0,_xll.BDP("LM"&amp;E$14&amp;"D"&amp;$D54&amp;" Comdty","PX_SETTLE"))</f>
        <v>-246.25</v>
      </c>
      <c r="F54" s="39"/>
      <c r="G54" s="37">
        <f ca="1"/>
        <v>-250.25</v>
      </c>
      <c r="H54" s="38">
        <f t="shared" ca="1" si="2"/>
        <v>1737.25</v>
      </c>
      <c r="I54" s="35" cm="1">
        <f t="array" aca="1" ref="I54" ca="1">IF($D54="S 0303",0,_xll.BDP("LM"&amp;I$14&amp;"D"&amp;$D54&amp;" Comdty","PX_SETTLE"))</f>
        <v>-200</v>
      </c>
      <c r="J54" s="39"/>
      <c r="K54" s="37">
        <f ca="1"/>
        <v>-204</v>
      </c>
      <c r="L54" s="38">
        <f t="shared" ca="1" si="3"/>
        <v>5444</v>
      </c>
      <c r="M54" s="35" cm="1">
        <f t="array" aca="1" ref="M54" ca="1">IF($D54="S 0303",0,_xll.BDP("LM"&amp;M$14&amp;"D"&amp;$D54&amp;" Comdty","PX_SETTLE"))</f>
        <v>-85</v>
      </c>
      <c r="N54" s="39"/>
      <c r="O54" s="37">
        <f ca="1"/>
        <v>-89</v>
      </c>
      <c r="P54" s="38">
        <f t="shared" ca="1" si="4"/>
        <v>2096</v>
      </c>
      <c r="Q54" s="35" cm="1">
        <f t="array" aca="1" ref="Q54" ca="1">IF($D54="S 0303",0,_xll.BDP("LM"&amp;Q$14&amp;"D"&amp;$D54&amp;" Comdty","PX_SETTLE"))</f>
        <v>-660</v>
      </c>
      <c r="R54" s="39"/>
      <c r="S54" s="37">
        <f ca="1"/>
        <v>-664</v>
      </c>
      <c r="T54" s="38">
        <f t="shared" ca="1" si="5"/>
        <v>12924</v>
      </c>
      <c r="U54" s="35" cm="1">
        <f t="array" aca="1" ref="U54" ca="1">IF($D54="S 0303",0,_xll.BDP("LM"&amp;U$14&amp;"D"&amp;$D54&amp;" Comdty","PX_SETTLE"))</f>
        <v>-92</v>
      </c>
      <c r="V54" s="39"/>
      <c r="W54" s="37">
        <f ca="1"/>
        <v>-96</v>
      </c>
      <c r="X54" s="38">
        <f t="shared" ca="1" si="6"/>
        <v>1748</v>
      </c>
      <c r="Y54" s="47">
        <f t="shared" ca="1" si="8"/>
        <v>365</v>
      </c>
      <c r="Z54" s="39"/>
      <c r="AA54" s="37">
        <f ca="1"/>
        <v>363</v>
      </c>
      <c r="AB54" s="38">
        <f t="shared" ca="1" si="7"/>
        <v>14892</v>
      </c>
    </row>
    <row r="55" spans="2:28" x14ac:dyDescent="0.25">
      <c r="B55" s="1" cm="1">
        <f t="array" aca="1" ref="B55" ca="1">_xll.QDates_NextLMECurveDate(B54,$B$1,FALSE)</f>
        <v>45098</v>
      </c>
      <c r="C55" s="8" t="str" cm="1">
        <f t="array" aca="1" ref="C55" ca="1">IF(B55=$B$1,"03",_xll.QDates_GetMonthCodeAndYear(B55,2))</f>
        <v>M23</v>
      </c>
      <c r="D55" s="8" t="str">
        <f t="shared" ca="1" si="1"/>
        <v>S 03M23</v>
      </c>
      <c r="E55" s="35" cm="1">
        <f t="array" aca="1" ref="E55" ca="1">IF($D55="S 0303",0,_xll.BDP("LM"&amp;E$14&amp;"D"&amp;$D55&amp;" Comdty","PX_SETTLE"))</f>
        <v>-254.75</v>
      </c>
      <c r="F55" s="39"/>
      <c r="G55" s="37">
        <f ca="1"/>
        <v>-258.75</v>
      </c>
      <c r="H55" s="38">
        <f t="shared" ca="1" si="2"/>
        <v>1745.75</v>
      </c>
      <c r="I55" s="35" cm="1">
        <f t="array" aca="1" ref="I55" ca="1">IF($D55="S 0303",0,_xll.BDP("LM"&amp;I$14&amp;"D"&amp;$D55&amp;" Comdty","PX_SETTLE"))</f>
        <v>-205.5</v>
      </c>
      <c r="J55" s="39"/>
      <c r="K55" s="37">
        <f ca="1"/>
        <v>-209.5</v>
      </c>
      <c r="L55" s="38">
        <f t="shared" ca="1" si="3"/>
        <v>5449.5</v>
      </c>
      <c r="M55" s="35" cm="1">
        <f t="array" aca="1" ref="M55" ca="1">IF($D55="S 0303",0,_xll.BDP("LM"&amp;M$14&amp;"D"&amp;$D55&amp;" Comdty","PX_SETTLE"))</f>
        <v>-85</v>
      </c>
      <c r="N55" s="39"/>
      <c r="O55" s="37">
        <f ca="1"/>
        <v>-89</v>
      </c>
      <c r="P55" s="38">
        <f t="shared" ca="1" si="4"/>
        <v>2096</v>
      </c>
      <c r="Q55" s="35" cm="1">
        <f t="array" aca="1" ref="Q55" ca="1">IF($D55="S 0303",0,_xll.BDP("LM"&amp;Q$14&amp;"D"&amp;$D55&amp;" Comdty","PX_SETTLE"))</f>
        <v>-679</v>
      </c>
      <c r="R55" s="39"/>
      <c r="S55" s="37">
        <f ca="1"/>
        <v>-683</v>
      </c>
      <c r="T55" s="38">
        <f t="shared" ca="1" si="5"/>
        <v>12943</v>
      </c>
      <c r="U55" s="35" cm="1">
        <f t="array" aca="1" ref="U55" ca="1">IF($D55="S 0303",0,_xll.BDP("LM"&amp;U$14&amp;"D"&amp;$D55&amp;" Comdty","PX_SETTLE"))</f>
        <v>-94</v>
      </c>
      <c r="V55" s="39"/>
      <c r="W55" s="37">
        <f ca="1"/>
        <v>-98</v>
      </c>
      <c r="X55" s="38">
        <f t="shared" ca="1" si="6"/>
        <v>1750</v>
      </c>
      <c r="Y55" s="47">
        <f t="shared" ca="1" si="8"/>
        <v>375</v>
      </c>
      <c r="Z55" s="39"/>
      <c r="AA55" s="37">
        <f ca="1"/>
        <v>373</v>
      </c>
      <c r="AB55" s="38">
        <f t="shared" ca="1" si="7"/>
        <v>14882</v>
      </c>
    </row>
    <row r="56" spans="2:28" x14ac:dyDescent="0.25">
      <c r="B56" s="1" cm="1">
        <f t="array" aca="1" ref="B56" ca="1">_xll.QDates_NextLMECurveDate(B55,$B$1,FALSE)</f>
        <v>45126</v>
      </c>
      <c r="C56" s="8" t="str" cm="1">
        <f t="array" aca="1" ref="C56" ca="1">IF(B56=$B$1,"03",_xll.QDates_GetMonthCodeAndYear(B56,2))</f>
        <v>N23</v>
      </c>
      <c r="D56" s="8" t="str">
        <f t="shared" ca="1" si="1"/>
        <v>S 03N23</v>
      </c>
      <c r="E56" s="35" cm="1">
        <f t="array" aca="1" ref="E56" ca="1">IF($D56="S 0303",0,_xll.BDP("LM"&amp;E$14&amp;"D"&amp;$D56&amp;" Comdty","PX_SETTLE"))</f>
        <v>-261.5</v>
      </c>
      <c r="F56" s="39"/>
      <c r="G56" s="37">
        <f ca="1"/>
        <v>-265.5</v>
      </c>
      <c r="H56" s="38">
        <f t="shared" ca="1" si="2"/>
        <v>1752.5</v>
      </c>
      <c r="I56" s="35" cm="1">
        <f t="array" aca="1" ref="I56" ca="1">IF($D56="S 0303",0,_xll.BDP("LM"&amp;I$14&amp;"D"&amp;$D56&amp;" Comdty","PX_SETTLE"))</f>
        <v>-211</v>
      </c>
      <c r="J56" s="39"/>
      <c r="K56" s="37">
        <f ca="1"/>
        <v>-215</v>
      </c>
      <c r="L56" s="38">
        <f t="shared" ca="1" si="3"/>
        <v>5455</v>
      </c>
      <c r="M56" s="35" cm="1">
        <f t="array" aca="1" ref="M56" ca="1">IF($D56="S 0303",0,_xll.BDP("LM"&amp;M$14&amp;"D"&amp;$D56&amp;" Comdty","PX_SETTLE"))</f>
        <v>-85</v>
      </c>
      <c r="N56" s="39"/>
      <c r="O56" s="37">
        <f ca="1"/>
        <v>-89</v>
      </c>
      <c r="P56" s="38">
        <f t="shared" ca="1" si="4"/>
        <v>2096</v>
      </c>
      <c r="Q56" s="35" cm="1">
        <f t="array" aca="1" ref="Q56" ca="1">IF($D56="S 0303",0,_xll.BDP("LM"&amp;Q$14&amp;"D"&amp;$D56&amp;" Comdty","PX_SETTLE"))</f>
        <v>-698</v>
      </c>
      <c r="R56" s="39"/>
      <c r="S56" s="37">
        <f ca="1"/>
        <v>-702</v>
      </c>
      <c r="T56" s="38">
        <f t="shared" ca="1" si="5"/>
        <v>12962</v>
      </c>
      <c r="U56" s="35" cm="1">
        <f t="array" aca="1" ref="U56" ca="1">IF($D56="S 0303",0,_xll.BDP("LM"&amp;U$14&amp;"D"&amp;$D56&amp;" Comdty","PX_SETTLE"))</f>
        <v>-96</v>
      </c>
      <c r="V56" s="39"/>
      <c r="W56" s="37">
        <f ca="1"/>
        <v>-100</v>
      </c>
      <c r="X56" s="38">
        <f t="shared" ca="1" si="6"/>
        <v>1752</v>
      </c>
      <c r="Y56" s="47">
        <f t="shared" ca="1" si="8"/>
        <v>385</v>
      </c>
      <c r="Z56" s="39"/>
      <c r="AA56" s="37">
        <f ca="1"/>
        <v>383</v>
      </c>
      <c r="AB56" s="38">
        <f t="shared" ca="1" si="7"/>
        <v>14872</v>
      </c>
    </row>
    <row r="57" spans="2:28" x14ac:dyDescent="0.25">
      <c r="B57" s="1" cm="1">
        <f t="array" aca="1" ref="B57" ca="1">_xll.QDates_NextLMECurveDate(B56,$B$1,FALSE)</f>
        <v>45154</v>
      </c>
      <c r="C57" s="8" t="str" cm="1">
        <f t="array" aca="1" ref="C57" ca="1">IF(B57=$B$1,"03",_xll.QDates_GetMonthCodeAndYear(B57,2))</f>
        <v>Q23</v>
      </c>
      <c r="D57" s="8" t="str">
        <f t="shared" ca="1" si="1"/>
        <v>S 03Q23</v>
      </c>
      <c r="E57" s="35" cm="1">
        <f t="array" aca="1" ref="E57" ca="1">IF($D57="S 0303",0,_xll.BDP("LM"&amp;E$14&amp;"D"&amp;$D57&amp;" Comdty","PX_SETTLE"))</f>
        <v>-268.25</v>
      </c>
      <c r="F57" s="39"/>
      <c r="G57" s="37">
        <f ca="1"/>
        <v>-272.25</v>
      </c>
      <c r="H57" s="38">
        <f t="shared" ca="1" si="2"/>
        <v>1759.25</v>
      </c>
      <c r="I57" s="35" cm="1">
        <f t="array" aca="1" ref="I57" ca="1">IF($D57="S 0303",0,_xll.BDP("LM"&amp;I$14&amp;"D"&amp;$D57&amp;" Comdty","PX_SETTLE"))</f>
        <v>-216.5</v>
      </c>
      <c r="J57" s="39"/>
      <c r="K57" s="37">
        <f ca="1"/>
        <v>-220.5</v>
      </c>
      <c r="L57" s="38">
        <f t="shared" ca="1" si="3"/>
        <v>5460.5</v>
      </c>
      <c r="M57" s="35" cm="1">
        <f t="array" aca="1" ref="M57" ca="1">IF($D57="S 0303",0,_xll.BDP("LM"&amp;M$14&amp;"D"&amp;$D57&amp;" Comdty","PX_SETTLE"))</f>
        <v>-85</v>
      </c>
      <c r="N57" s="39"/>
      <c r="O57" s="37">
        <f ca="1"/>
        <v>-89</v>
      </c>
      <c r="P57" s="38">
        <f t="shared" ca="1" si="4"/>
        <v>2096</v>
      </c>
      <c r="Q57" s="35" cm="1">
        <f t="array" aca="1" ref="Q57" ca="1">IF($D57="S 0303",0,_xll.BDP("LM"&amp;Q$14&amp;"D"&amp;$D57&amp;" Comdty","PX_SETTLE"))</f>
        <v>-717</v>
      </c>
      <c r="R57" s="39"/>
      <c r="S57" s="37">
        <f ca="1"/>
        <v>-721</v>
      </c>
      <c r="T57" s="38">
        <f t="shared" ca="1" si="5"/>
        <v>12981</v>
      </c>
      <c r="U57" s="35" cm="1">
        <f t="array" aca="1" ref="U57" ca="1">IF($D57="S 0303",0,_xll.BDP("LM"&amp;U$14&amp;"D"&amp;$D57&amp;" Comdty","PX_SETTLE"))</f>
        <v>-98</v>
      </c>
      <c r="V57" s="39"/>
      <c r="W57" s="37">
        <f ca="1"/>
        <v>-102</v>
      </c>
      <c r="X57" s="38">
        <f t="shared" ca="1" si="6"/>
        <v>1754</v>
      </c>
      <c r="Y57" s="47">
        <f t="shared" ca="1" si="8"/>
        <v>395</v>
      </c>
      <c r="Z57" s="39"/>
      <c r="AA57" s="37">
        <f ca="1"/>
        <v>393</v>
      </c>
      <c r="AB57" s="38">
        <f t="shared" ca="1" si="7"/>
        <v>14862</v>
      </c>
    </row>
    <row r="58" spans="2:28" x14ac:dyDescent="0.25">
      <c r="B58" s="1" cm="1">
        <f t="array" aca="1" ref="B58" ca="1">_xll.QDates_NextLMECurveDate(B57,$B$1,FALSE)</f>
        <v>45189</v>
      </c>
      <c r="C58" s="8" t="str" cm="1">
        <f t="array" aca="1" ref="C58" ca="1">IF(B58=$B$1,"03",_xll.QDates_GetMonthCodeAndYear(B58,2))</f>
        <v>U23</v>
      </c>
      <c r="D58" s="8" t="str">
        <f t="shared" ca="1" si="1"/>
        <v>S 03U23</v>
      </c>
      <c r="E58" s="35" cm="1">
        <f t="array" aca="1" ref="E58" ca="1">IF($D58="S 0303",0,_xll.BDP("LM"&amp;E$14&amp;"D"&amp;$D58&amp;" Comdty","PX_SETTLE"))</f>
        <v>-275.75</v>
      </c>
      <c r="F58" s="39"/>
      <c r="G58" s="37">
        <f ca="1"/>
        <v>-279.75</v>
      </c>
      <c r="H58" s="38">
        <f t="shared" ca="1" si="2"/>
        <v>1766.75</v>
      </c>
      <c r="I58" s="35" cm="1">
        <f t="array" aca="1" ref="I58" ca="1">IF($D58="S 0303",0,_xll.BDP("LM"&amp;I$14&amp;"D"&amp;$D58&amp;" Comdty","PX_SETTLE"))</f>
        <v>-222</v>
      </c>
      <c r="J58" s="39"/>
      <c r="K58" s="37">
        <f ca="1"/>
        <v>-226</v>
      </c>
      <c r="L58" s="38">
        <f t="shared" ca="1" si="3"/>
        <v>5466</v>
      </c>
      <c r="M58" s="35" cm="1">
        <f t="array" aca="1" ref="M58" ca="1">IF($D58="S 0303",0,_xll.BDP("LM"&amp;M$14&amp;"D"&amp;$D58&amp;" Comdty","PX_SETTLE"))</f>
        <v>-85</v>
      </c>
      <c r="N58" s="39"/>
      <c r="O58" s="37">
        <f ca="1"/>
        <v>-89</v>
      </c>
      <c r="P58" s="38">
        <f t="shared" ca="1" si="4"/>
        <v>2096</v>
      </c>
      <c r="Q58" s="35" cm="1">
        <f t="array" aca="1" ref="Q58" ca="1">IF($D58="S 0303",0,_xll.BDP("LM"&amp;Q$14&amp;"D"&amp;$D58&amp;" Comdty","PX_SETTLE"))</f>
        <v>-736</v>
      </c>
      <c r="R58" s="39"/>
      <c r="S58" s="37">
        <f ca="1"/>
        <v>-740</v>
      </c>
      <c r="T58" s="38">
        <f t="shared" ca="1" si="5"/>
        <v>13000</v>
      </c>
      <c r="U58" s="35" cm="1">
        <f t="array" aca="1" ref="U58" ca="1">IF($D58="S 0303",0,_xll.BDP("LM"&amp;U$14&amp;"D"&amp;$D58&amp;" Comdty","PX_SETTLE"))</f>
        <v>-100</v>
      </c>
      <c r="V58" s="39"/>
      <c r="W58" s="37">
        <f ca="1"/>
        <v>-104</v>
      </c>
      <c r="X58" s="38">
        <f t="shared" ca="1" si="6"/>
        <v>1756</v>
      </c>
      <c r="Y58" s="47">
        <f t="shared" ca="1" si="8"/>
        <v>405</v>
      </c>
      <c r="Z58" s="39"/>
      <c r="AA58" s="37">
        <f ca="1"/>
        <v>403</v>
      </c>
      <c r="AB58" s="38">
        <f t="shared" ca="1" si="7"/>
        <v>14852</v>
      </c>
    </row>
    <row r="59" spans="2:28" x14ac:dyDescent="0.25">
      <c r="B59" s="1" cm="1">
        <f t="array" aca="1" ref="B59" ca="1">_xll.QDates_NextLMECurveDate(B58,$B$1,FALSE)</f>
        <v>45217</v>
      </c>
      <c r="C59" s="8" t="str" cm="1">
        <f t="array" aca="1" ref="C59" ca="1">IF(B59=$B$1,"03",_xll.QDates_GetMonthCodeAndYear(B59,2))</f>
        <v>V23</v>
      </c>
      <c r="D59" s="8" t="str">
        <f t="shared" ca="1" si="1"/>
        <v>S 03V23</v>
      </c>
      <c r="E59" s="35" cm="1">
        <f t="array" aca="1" ref="E59" ca="1">IF($D59="S 0303",0,_xll.BDP("LM"&amp;E$14&amp;"D"&amp;$D59&amp;" Comdty","PX_SETTLE"))</f>
        <v>-282.5</v>
      </c>
      <c r="F59" s="39"/>
      <c r="G59" s="37">
        <f ca="1"/>
        <v>-286.5</v>
      </c>
      <c r="H59" s="38">
        <f t="shared" ca="1" si="2"/>
        <v>1773.5</v>
      </c>
      <c r="I59" s="35" cm="1">
        <f t="array" aca="1" ref="I59" ca="1">IF($D59="S 0303",0,_xll.BDP("LM"&amp;I$14&amp;"D"&amp;$D59&amp;" Comdty","PX_SETTLE"))</f>
        <v>-227.5</v>
      </c>
      <c r="J59" s="39"/>
      <c r="K59" s="37">
        <f ca="1"/>
        <v>-231.5</v>
      </c>
      <c r="L59" s="38">
        <f t="shared" ca="1" si="3"/>
        <v>5471.5</v>
      </c>
      <c r="M59" s="35" cm="1">
        <f t="array" aca="1" ref="M59" ca="1">IF($D59="S 0303",0,_xll.BDP("LM"&amp;M$14&amp;"D"&amp;$D59&amp;" Comdty","PX_SETTLE"))</f>
        <v>-85</v>
      </c>
      <c r="N59" s="39"/>
      <c r="O59" s="37">
        <f ca="1"/>
        <v>-89</v>
      </c>
      <c r="P59" s="38">
        <f t="shared" ca="1" si="4"/>
        <v>2096</v>
      </c>
      <c r="Q59" s="35" cm="1">
        <f t="array" aca="1" ref="Q59" ca="1">IF($D59="S 0303",0,_xll.BDP("LM"&amp;Q$14&amp;"D"&amp;$D59&amp;" Comdty","PX_SETTLE"))</f>
        <v>-755</v>
      </c>
      <c r="R59" s="39"/>
      <c r="S59" s="37">
        <f ca="1"/>
        <v>-759</v>
      </c>
      <c r="T59" s="38">
        <f t="shared" ca="1" si="5"/>
        <v>13019</v>
      </c>
      <c r="U59" s="35" cm="1">
        <f t="array" aca="1" ref="U59" ca="1">IF($D59="S 0303",0,_xll.BDP("LM"&amp;U$14&amp;"D"&amp;$D59&amp;" Comdty","PX_SETTLE"))</f>
        <v>-102</v>
      </c>
      <c r="V59" s="39"/>
      <c r="W59" s="37">
        <f ca="1"/>
        <v>-106</v>
      </c>
      <c r="X59" s="38">
        <f t="shared" ca="1" si="6"/>
        <v>1758</v>
      </c>
      <c r="Y59" s="47">
        <f t="shared" ca="1" si="8"/>
        <v>415</v>
      </c>
      <c r="Z59" s="39"/>
      <c r="AA59" s="37">
        <f ca="1"/>
        <v>413</v>
      </c>
      <c r="AB59" s="38">
        <f t="shared" ca="1" si="7"/>
        <v>14842</v>
      </c>
    </row>
    <row r="60" spans="2:28" x14ac:dyDescent="0.25">
      <c r="B60" s="1" cm="1">
        <f t="array" aca="1" ref="B60" ca="1">_xll.QDates_NextLMECurveDate(B59,$B$1,FALSE)</f>
        <v>45245</v>
      </c>
      <c r="C60" s="8" t="str" cm="1">
        <f t="array" aca="1" ref="C60" ca="1">IF(B60=$B$1,"03",_xll.QDates_GetMonthCodeAndYear(B60,2))</f>
        <v>X23</v>
      </c>
      <c r="D60" s="8" t="str">
        <f t="shared" ca="1" si="1"/>
        <v>S 03X23</v>
      </c>
      <c r="E60" s="35" cm="1">
        <f t="array" aca="1" ref="E60" ca="1">IF($D60="S 0303",0,_xll.BDP("LM"&amp;E$14&amp;"D"&amp;$D60&amp;" Comdty","PX_SETTLE"))</f>
        <v>-288.75</v>
      </c>
      <c r="F60" s="39"/>
      <c r="G60" s="37">
        <f ca="1"/>
        <v>-292.75</v>
      </c>
      <c r="H60" s="38">
        <f t="shared" ca="1" si="2"/>
        <v>1779.75</v>
      </c>
      <c r="I60" s="35" cm="1">
        <f t="array" aca="1" ref="I60" ca="1">IF($D60="S 0303",0,_xll.BDP("LM"&amp;I$14&amp;"D"&amp;$D60&amp;" Comdty","PX_SETTLE"))</f>
        <v>-233</v>
      </c>
      <c r="J60" s="39"/>
      <c r="K60" s="37">
        <f ca="1"/>
        <v>-237</v>
      </c>
      <c r="L60" s="38">
        <f t="shared" ca="1" si="3"/>
        <v>5477</v>
      </c>
      <c r="M60" s="35" cm="1">
        <f t="array" aca="1" ref="M60" ca="1">IF($D60="S 0303",0,_xll.BDP("LM"&amp;M$14&amp;"D"&amp;$D60&amp;" Comdty","PX_SETTLE"))</f>
        <v>-85</v>
      </c>
      <c r="N60" s="39"/>
      <c r="O60" s="37">
        <f ca="1"/>
        <v>-89</v>
      </c>
      <c r="P60" s="38">
        <f t="shared" ca="1" si="4"/>
        <v>2096</v>
      </c>
      <c r="Q60" s="35" cm="1">
        <f t="array" aca="1" ref="Q60" ca="1">IF($D60="S 0303",0,_xll.BDP("LM"&amp;Q$14&amp;"D"&amp;$D60&amp;" Comdty","PX_SETTLE"))</f>
        <v>-774</v>
      </c>
      <c r="R60" s="39"/>
      <c r="S60" s="37">
        <f ca="1"/>
        <v>-778</v>
      </c>
      <c r="T60" s="38">
        <f t="shared" ca="1" si="5"/>
        <v>13038</v>
      </c>
      <c r="U60" s="35" cm="1">
        <f t="array" aca="1" ref="U60" ca="1">IF($D60="S 0303",0,_xll.BDP("LM"&amp;U$14&amp;"D"&amp;$D60&amp;" Comdty","PX_SETTLE"))</f>
        <v>-104</v>
      </c>
      <c r="V60" s="39"/>
      <c r="W60" s="37">
        <f ca="1"/>
        <v>-108</v>
      </c>
      <c r="X60" s="38">
        <f t="shared" ca="1" si="6"/>
        <v>1760</v>
      </c>
      <c r="Y60" s="47">
        <f t="shared" ca="1" si="8"/>
        <v>425</v>
      </c>
      <c r="Z60" s="39"/>
      <c r="AA60" s="37">
        <f ca="1"/>
        <v>423</v>
      </c>
      <c r="AB60" s="38">
        <f t="shared" ca="1" si="7"/>
        <v>14832</v>
      </c>
    </row>
    <row r="61" spans="2:28" x14ac:dyDescent="0.25">
      <c r="B61" s="1" cm="1">
        <f t="array" aca="1" ref="B61" ca="1">_xll.QDates_NextLMECurveDate(B60,$B$1,FALSE)</f>
        <v>45280</v>
      </c>
      <c r="C61" s="8" t="str" cm="1">
        <f t="array" aca="1" ref="C61" ca="1">IF(B61=$B$1,"03",_xll.QDates_GetMonthCodeAndYear(B61,2))</f>
        <v>Z23</v>
      </c>
      <c r="D61" s="8" t="str">
        <f t="shared" ca="1" si="1"/>
        <v>S 03Z23</v>
      </c>
      <c r="E61" s="35" cm="1">
        <f t="array" aca="1" ref="E61" ca="1">IF($D61="S 0303",0,_xll.BDP("LM"&amp;E$14&amp;"D"&amp;$D61&amp;" Comdty","PX_SETTLE"))</f>
        <v>-296</v>
      </c>
      <c r="F61" s="39"/>
      <c r="G61" s="37">
        <f ca="1"/>
        <v>-300</v>
      </c>
      <c r="H61" s="38">
        <f t="shared" ca="1" si="2"/>
        <v>1787</v>
      </c>
      <c r="I61" s="35" cm="1">
        <f t="array" aca="1" ref="I61" ca="1">IF($D61="S 0303",0,_xll.BDP("LM"&amp;I$14&amp;"D"&amp;$D61&amp;" Comdty","PX_SETTLE"))</f>
        <v>-238.5</v>
      </c>
      <c r="J61" s="39"/>
      <c r="K61" s="37">
        <f ca="1"/>
        <v>-242.5</v>
      </c>
      <c r="L61" s="38">
        <f t="shared" ca="1" si="3"/>
        <v>5482.5</v>
      </c>
      <c r="M61" s="35" cm="1">
        <f t="array" aca="1" ref="M61" ca="1">IF($D61="S 0303",0,_xll.BDP("LM"&amp;M$14&amp;"D"&amp;$D61&amp;" Comdty","PX_SETTLE"))</f>
        <v>-85</v>
      </c>
      <c r="N61" s="39"/>
      <c r="O61" s="37">
        <f ca="1"/>
        <v>-89</v>
      </c>
      <c r="P61" s="38">
        <f t="shared" ca="1" si="4"/>
        <v>2096</v>
      </c>
      <c r="Q61" s="35" cm="1">
        <f t="array" aca="1" ref="Q61" ca="1">IF($D61="S 0303",0,_xll.BDP("LM"&amp;Q$14&amp;"D"&amp;$D61&amp;" Comdty","PX_SETTLE"))</f>
        <v>-793</v>
      </c>
      <c r="R61" s="39"/>
      <c r="S61" s="37">
        <f ca="1"/>
        <v>-797</v>
      </c>
      <c r="T61" s="38">
        <f t="shared" ca="1" si="5"/>
        <v>13057</v>
      </c>
      <c r="U61" s="35" cm="1">
        <f t="array" aca="1" ref="U61" ca="1">IF($D61="S 0303",0,_xll.BDP("LM"&amp;U$14&amp;"D"&amp;$D61&amp;" Comdty","PX_SETTLE"))</f>
        <v>-106</v>
      </c>
      <c r="V61" s="39"/>
      <c r="W61" s="37">
        <f ca="1"/>
        <v>-110</v>
      </c>
      <c r="X61" s="38">
        <f t="shared" ca="1" si="6"/>
        <v>1762</v>
      </c>
      <c r="Y61" s="47">
        <f t="shared" ca="1" si="8"/>
        <v>435</v>
      </c>
      <c r="Z61" s="39"/>
      <c r="AA61" s="37">
        <f ca="1"/>
        <v>433</v>
      </c>
      <c r="AB61" s="38">
        <f t="shared" ca="1" si="7"/>
        <v>14822</v>
      </c>
    </row>
    <row r="62" spans="2:28" x14ac:dyDescent="0.25">
      <c r="B62" s="1" cm="1">
        <f t="array" aca="1" ref="B62" ca="1">_xll.QDates_NextLMECurveDate(B61,$B$1,FALSE)</f>
        <v>45308</v>
      </c>
      <c r="C62" s="8" t="str" cm="1">
        <f t="array" aca="1" ref="C62" ca="1">IF(B62=$B$1,"03",_xll.QDates_GetMonthCodeAndYear(B62,2))</f>
        <v>F24</v>
      </c>
      <c r="D62" s="8" t="str">
        <f t="shared" ca="1" si="1"/>
        <v>S 03F24</v>
      </c>
      <c r="E62" s="35" cm="1">
        <f t="array" aca="1" ref="E62" ca="1">IF($D62="S 0303",0,_xll.BDP("LM"&amp;E$14&amp;"D"&amp;$D62&amp;" Comdty","PX_SETTLE"))</f>
        <v>-302.5</v>
      </c>
      <c r="F62" s="39"/>
      <c r="G62" s="37">
        <f ca="1"/>
        <v>-306.5</v>
      </c>
      <c r="H62" s="38">
        <f t="shared" ca="1" si="2"/>
        <v>1793.5</v>
      </c>
      <c r="I62" s="35" cm="1">
        <f t="array" aca="1" ref="I62" ca="1">IF($D62="S 0303",0,_xll.BDP("LM"&amp;I$14&amp;"D"&amp;$D62&amp;" Comdty","PX_SETTLE"))</f>
        <v>-243.75</v>
      </c>
      <c r="J62" s="39"/>
      <c r="K62" s="37">
        <f ca="1"/>
        <v>-247.75</v>
      </c>
      <c r="L62" s="38">
        <f t="shared" ca="1" si="3"/>
        <v>5487.75</v>
      </c>
      <c r="M62" s="35" cm="1">
        <f t="array" aca="1" ref="M62" ca="1">IF($D62="S 0303",0,_xll.BDP("LM"&amp;M$14&amp;"D"&amp;$D62&amp;" Comdty","PX_SETTLE"))</f>
        <v>-85</v>
      </c>
      <c r="N62" s="39"/>
      <c r="O62" s="37">
        <f ca="1"/>
        <v>-89</v>
      </c>
      <c r="P62" s="38">
        <f t="shared" ca="1" si="4"/>
        <v>2096</v>
      </c>
      <c r="Q62" s="35" cm="1">
        <f t="array" aca="1" ref="Q62" ca="1">IF($D62="S 0303",0,_xll.BDP("LM"&amp;Q$14&amp;"D"&amp;$D62&amp;" Comdty","PX_SETTLE"))</f>
        <v>-812</v>
      </c>
      <c r="R62" s="39"/>
      <c r="S62" s="37">
        <f ca="1"/>
        <v>-816</v>
      </c>
      <c r="T62" s="38">
        <f t="shared" ca="1" si="5"/>
        <v>13076</v>
      </c>
      <c r="U62" s="35" cm="1">
        <f t="array" aca="1" ref="U62" ca="1">IF($D62="S 0303",0,_xll.BDP("LM"&amp;U$14&amp;"D"&amp;$D62&amp;" Comdty","PX_SETTLE"))</f>
        <v>-106</v>
      </c>
      <c r="V62" s="39"/>
      <c r="W62" s="37">
        <f ca="1"/>
        <v>-110</v>
      </c>
      <c r="X62" s="38">
        <f t="shared" ca="1" si="6"/>
        <v>1762</v>
      </c>
      <c r="Y62" s="47">
        <f t="shared" ca="1" si="8"/>
        <v>445</v>
      </c>
      <c r="Z62" s="39"/>
      <c r="AA62" s="37">
        <f ca="1"/>
        <v>443</v>
      </c>
      <c r="AB62" s="38">
        <f t="shared" ca="1" si="7"/>
        <v>14812</v>
      </c>
    </row>
    <row r="63" spans="2:28" x14ac:dyDescent="0.25">
      <c r="B63" s="1" cm="1">
        <f t="array" aca="1" ref="B63" ca="1">_xll.QDates_NextLMECurveDate(B62,$B$1,FALSE)</f>
        <v>45343</v>
      </c>
      <c r="C63" s="8" t="str" cm="1">
        <f t="array" aca="1" ref="C63" ca="1">IF(B63=$B$1,"03",_xll.QDates_GetMonthCodeAndYear(B63,2))</f>
        <v>G24</v>
      </c>
      <c r="D63" s="8" t="str">
        <f t="shared" ca="1" si="1"/>
        <v>S 03G24</v>
      </c>
      <c r="E63" s="35" cm="1">
        <f t="array" aca="1" ref="E63" ca="1">IF($D63="S 0303",0,_xll.BDP("LM"&amp;E$14&amp;"D"&amp;$D63&amp;" Comdty","PX_SETTLE"))</f>
        <v>-310.5</v>
      </c>
      <c r="F63" s="39"/>
      <c r="G63" s="37">
        <f ca="1"/>
        <v>-314.5</v>
      </c>
      <c r="H63" s="38">
        <f t="shared" ca="1" si="2"/>
        <v>1801.5</v>
      </c>
      <c r="I63" s="35" cm="1">
        <f t="array" aca="1" ref="I63" ca="1">IF($D63="S 0303",0,_xll.BDP("LM"&amp;I$14&amp;"D"&amp;$D63&amp;" Comdty","PX_SETTLE"))</f>
        <v>-249</v>
      </c>
      <c r="J63" s="39"/>
      <c r="K63" s="37">
        <f ca="1"/>
        <v>-253</v>
      </c>
      <c r="L63" s="38">
        <f t="shared" ca="1" si="3"/>
        <v>5493</v>
      </c>
      <c r="M63" s="35" cm="1">
        <f t="array" aca="1" ref="M63" ca="1">IF($D63="S 0303",0,_xll.BDP("LM"&amp;M$14&amp;"D"&amp;$D63&amp;" Comdty","PX_SETTLE"))</f>
        <v>-85</v>
      </c>
      <c r="N63" s="39"/>
      <c r="O63" s="37">
        <f ca="1"/>
        <v>-89</v>
      </c>
      <c r="P63" s="38">
        <f t="shared" ca="1" si="4"/>
        <v>2096</v>
      </c>
      <c r="Q63" s="35" cm="1">
        <f t="array" aca="1" ref="Q63" ca="1">IF($D63="S 0303",0,_xll.BDP("LM"&amp;Q$14&amp;"D"&amp;$D63&amp;" Comdty","PX_SETTLE"))</f>
        <v>-828</v>
      </c>
      <c r="R63" s="39"/>
      <c r="S63" s="37">
        <f ca="1"/>
        <v>-832</v>
      </c>
      <c r="T63" s="38">
        <f t="shared" ca="1" si="5"/>
        <v>13092</v>
      </c>
      <c r="U63" s="35" cm="1">
        <f t="array" aca="1" ref="U63" ca="1">IF($D63="S 0303",0,_xll.BDP("LM"&amp;U$14&amp;"D"&amp;$D63&amp;" Comdty","PX_SETTLE"))</f>
        <v>-106</v>
      </c>
      <c r="V63" s="39"/>
      <c r="W63" s="37">
        <f ca="1"/>
        <v>-110</v>
      </c>
      <c r="X63" s="38">
        <f t="shared" ca="1" si="6"/>
        <v>1762</v>
      </c>
      <c r="Y63" s="47">
        <f t="shared" ca="1" si="8"/>
        <v>455</v>
      </c>
      <c r="Z63" s="39"/>
      <c r="AA63" s="37">
        <f ca="1"/>
        <v>453</v>
      </c>
      <c r="AB63" s="38">
        <f t="shared" ca="1" si="7"/>
        <v>14802</v>
      </c>
    </row>
    <row r="64" spans="2:28" x14ac:dyDescent="0.25">
      <c r="B64" s="1" cm="1">
        <f t="array" aca="1" ref="B64" ca="1">_xll.QDates_NextLMECurveDate(B63,$B$1,FALSE)</f>
        <v>45371</v>
      </c>
      <c r="C64" s="8" t="str" cm="1">
        <f t="array" aca="1" ref="C64" ca="1">IF(B64=$B$1,"03",_xll.QDates_GetMonthCodeAndYear(B64,2))</f>
        <v>H24</v>
      </c>
      <c r="D64" s="8" t="str">
        <f t="shared" ca="1" si="1"/>
        <v>S 03H24</v>
      </c>
      <c r="E64" s="40" cm="1">
        <f t="array" aca="1" ref="E64" ca="1">IF($D64="S 0303",0,_xll.BDP("LM"&amp;E$14&amp;"D"&amp;$D64&amp;" Comdty","PX_SETTLE"))</f>
        <v>-317.25</v>
      </c>
      <c r="F64" s="41"/>
      <c r="G64" s="42">
        <f ca="1"/>
        <v>-321.25</v>
      </c>
      <c r="H64" s="38">
        <f t="shared" ca="1" si="2"/>
        <v>1808.25</v>
      </c>
      <c r="I64" s="40" cm="1">
        <f t="array" aca="1" ref="I64" ca="1">IF($D64="S 0303",0,_xll.BDP("LM"&amp;I$14&amp;"D"&amp;$D64&amp;" Comdty","PX_SETTLE"))</f>
        <v>-254.25</v>
      </c>
      <c r="J64" s="41"/>
      <c r="K64" s="42">
        <f ca="1"/>
        <v>-258.25</v>
      </c>
      <c r="L64" s="38">
        <f t="shared" ca="1" si="3"/>
        <v>5498.25</v>
      </c>
      <c r="M64" s="40" cm="1">
        <f t="array" aca="1" ref="M64" ca="1">IF($D64="S 0303",0,_xll.BDP("LM"&amp;M$14&amp;"D"&amp;$D64&amp;" Comdty","PX_SETTLE"))</f>
        <v>-85</v>
      </c>
      <c r="N64" s="41"/>
      <c r="O64" s="42">
        <f ca="1"/>
        <v>-89</v>
      </c>
      <c r="P64" s="38">
        <f t="shared" ca="1" si="4"/>
        <v>2096</v>
      </c>
      <c r="Q64" s="40" cm="1">
        <f t="array" aca="1" ref="Q64" ca="1">IF($D64="S 0303",0,_xll.BDP("LM"&amp;Q$14&amp;"D"&amp;$D64&amp;" Comdty","PX_SETTLE"))</f>
        <v>-844</v>
      </c>
      <c r="R64" s="41"/>
      <c r="S64" s="42">
        <f ca="1"/>
        <v>-848</v>
      </c>
      <c r="T64" s="38">
        <f t="shared" ca="1" si="5"/>
        <v>13108</v>
      </c>
      <c r="U64" s="40" cm="1">
        <f t="array" aca="1" ref="U64" ca="1">IF($D64="S 0303",0,_xll.BDP("LM"&amp;U$14&amp;"D"&amp;$D64&amp;" Comdty","PX_SETTLE"))</f>
        <v>-106</v>
      </c>
      <c r="V64" s="41"/>
      <c r="W64" s="42">
        <f ca="1"/>
        <v>-110</v>
      </c>
      <c r="X64" s="38">
        <f t="shared" ca="1" si="6"/>
        <v>1762</v>
      </c>
      <c r="Y64" s="47">
        <f t="shared" ca="1" si="8"/>
        <v>465</v>
      </c>
      <c r="Z64" s="41"/>
      <c r="AA64" s="42">
        <f ca="1"/>
        <v>463</v>
      </c>
      <c r="AB64" s="38">
        <f t="shared" ca="1" si="7"/>
        <v>14792</v>
      </c>
    </row>
    <row r="66" spans="1:46" ht="15.75" thickBot="1" x14ac:dyDescent="0.3">
      <c r="A66" s="3" t="s">
        <v>115</v>
      </c>
    </row>
    <row r="67" spans="1:46" x14ac:dyDescent="0.25">
      <c r="D67" s="62" t="s">
        <v>117</v>
      </c>
      <c r="E67" s="63" t="s">
        <v>105</v>
      </c>
      <c r="F67" s="64"/>
      <c r="G67" s="65" t="s">
        <v>92</v>
      </c>
      <c r="H67" s="66">
        <v>0.01</v>
      </c>
      <c r="I67" s="64"/>
      <c r="J67" s="64"/>
      <c r="K67" s="64"/>
      <c r="L67" s="64" t="str" cm="1">
        <f t="array" aca="1" ref="L67" ca="1">_xll.QVol_CreateRiskyFlyVolSurface("vol_"&amp;E67,E67,valDate,L69:M69,$B$70:$B$112,I70:I112,J70:K112,L70:M112,,,"Simple",,,$C$70:$C$112,"USD","2b")</f>
        <v>vol_AH¬0</v>
      </c>
      <c r="M67" s="67"/>
      <c r="N67" s="64"/>
      <c r="O67" s="62" t="s">
        <v>117</v>
      </c>
      <c r="P67" s="63" t="s">
        <v>109</v>
      </c>
      <c r="Q67" s="64"/>
      <c r="R67" s="65" t="s">
        <v>92</v>
      </c>
      <c r="S67" s="66">
        <v>0.01</v>
      </c>
      <c r="T67" s="64"/>
      <c r="U67" s="64"/>
      <c r="V67" s="64"/>
      <c r="W67" s="64" t="str" cm="1">
        <f t="array" aca="1" ref="W67" ca="1">_xll.QVol_CreateRiskyFlyVolSurface("vol_"&amp;P67,P67,valDate,W69:X69,$B$70:$B$112,T70:T112,U70:V112,W70:X112,,,"Simple",,,$C$70:$C$112,"USD","2b")</f>
        <v>vol_CA¬0</v>
      </c>
      <c r="X67" s="67"/>
      <c r="Y67" s="64"/>
      <c r="Z67" s="62" t="s">
        <v>117</v>
      </c>
      <c r="AA67" s="63" t="s">
        <v>110</v>
      </c>
      <c r="AB67" s="64"/>
      <c r="AC67" s="65" t="s">
        <v>92</v>
      </c>
      <c r="AD67" s="66">
        <v>0.01</v>
      </c>
      <c r="AE67" s="64"/>
      <c r="AF67" s="64"/>
      <c r="AG67" s="64"/>
      <c r="AH67" s="64" t="str" cm="1">
        <f t="array" aca="1" ref="AH67" ca="1">_xll.QVol_CreateRiskyFlyVolSurface("vol_"&amp;AA67,AA67,valDate,AH69:AI69,$B$70:$B$96,AE70:AE96,AF70:AG96,AH70:AI96,,,"Simple",,,$C$70:$C$96,"USD","2b")</f>
        <v>vol_ZS¬0</v>
      </c>
      <c r="AI67" s="67"/>
      <c r="AJ67" s="64"/>
      <c r="AK67" s="62" t="s">
        <v>117</v>
      </c>
      <c r="AL67" s="63" t="s">
        <v>111</v>
      </c>
      <c r="AM67" s="64"/>
      <c r="AN67" s="65" t="s">
        <v>92</v>
      </c>
      <c r="AO67" s="66">
        <v>0.01</v>
      </c>
      <c r="AP67" s="64"/>
      <c r="AQ67" s="64"/>
      <c r="AR67" s="64"/>
      <c r="AS67" s="64" t="str" cm="1">
        <f t="array" aca="1" ref="AS67" ca="1">_xll.QVol_CreateRiskyFlyVolSurface("vol_"&amp;AL67,AL67,valDate,AS69:AT69,$B$70:$B$96,AP70:AP96,AQ70:AR96,AS70:AT96,,,"Simple",,,$C$70:$C$96,"USD","2b")</f>
        <v>vol_NI¬0</v>
      </c>
      <c r="AT67" s="67"/>
    </row>
    <row r="68" spans="1:46" x14ac:dyDescent="0.25">
      <c r="D68" s="68" t="s">
        <v>116</v>
      </c>
      <c r="E68" s="58" t="s">
        <v>104</v>
      </c>
      <c r="F68" s="25"/>
      <c r="G68" s="59" t="s">
        <v>118</v>
      </c>
      <c r="H68" s="60">
        <v>1</v>
      </c>
      <c r="I68" s="57" t="s">
        <v>86</v>
      </c>
      <c r="J68" s="110" t="s">
        <v>88</v>
      </c>
      <c r="K68" s="111"/>
      <c r="L68" s="112" t="s">
        <v>89</v>
      </c>
      <c r="M68" s="113"/>
      <c r="N68" s="79"/>
      <c r="O68" s="68" t="s">
        <v>116</v>
      </c>
      <c r="P68" s="58" t="s">
        <v>119</v>
      </c>
      <c r="Q68" s="25"/>
      <c r="R68" s="59" t="s">
        <v>118</v>
      </c>
      <c r="S68" s="60">
        <v>1</v>
      </c>
      <c r="T68" s="57" t="s">
        <v>86</v>
      </c>
      <c r="U68" s="110" t="s">
        <v>88</v>
      </c>
      <c r="V68" s="111"/>
      <c r="W68" s="112" t="s">
        <v>89</v>
      </c>
      <c r="X68" s="113"/>
      <c r="Y68" s="79"/>
      <c r="Z68" s="68" t="s">
        <v>116</v>
      </c>
      <c r="AA68" s="58" t="s">
        <v>120</v>
      </c>
      <c r="AB68" s="25"/>
      <c r="AC68" s="59" t="s">
        <v>118</v>
      </c>
      <c r="AD68" s="60">
        <v>1</v>
      </c>
      <c r="AE68" s="57" t="s">
        <v>86</v>
      </c>
      <c r="AF68" s="110" t="s">
        <v>88</v>
      </c>
      <c r="AG68" s="111"/>
      <c r="AH68" s="112" t="s">
        <v>89</v>
      </c>
      <c r="AI68" s="113"/>
      <c r="AJ68" s="79"/>
      <c r="AK68" s="68" t="s">
        <v>116</v>
      </c>
      <c r="AL68" s="58" t="s">
        <v>121</v>
      </c>
      <c r="AM68" s="25"/>
      <c r="AN68" s="59" t="s">
        <v>118</v>
      </c>
      <c r="AO68" s="60">
        <v>1</v>
      </c>
      <c r="AP68" s="57" t="s">
        <v>86</v>
      </c>
      <c r="AQ68" s="110" t="s">
        <v>88</v>
      </c>
      <c r="AR68" s="111"/>
      <c r="AS68" s="112" t="s">
        <v>89</v>
      </c>
      <c r="AT68" s="113"/>
    </row>
    <row r="69" spans="1:46" x14ac:dyDescent="0.25">
      <c r="D69" s="69">
        <v>0.1</v>
      </c>
      <c r="E69" s="49">
        <v>0.25</v>
      </c>
      <c r="F69" s="50">
        <v>0.5</v>
      </c>
      <c r="G69" s="49">
        <v>0.75</v>
      </c>
      <c r="H69" s="49">
        <v>0.9</v>
      </c>
      <c r="I69" s="54">
        <v>0.5</v>
      </c>
      <c r="J69" s="54">
        <v>0.25</v>
      </c>
      <c r="K69" s="56">
        <v>0.1</v>
      </c>
      <c r="L69" s="55">
        <v>0.25</v>
      </c>
      <c r="M69" s="70">
        <v>0.1</v>
      </c>
      <c r="N69" s="55"/>
      <c r="O69" s="69">
        <v>0.1</v>
      </c>
      <c r="P69" s="49">
        <v>0.25</v>
      </c>
      <c r="Q69" s="50">
        <v>0.5</v>
      </c>
      <c r="R69" s="49">
        <v>0.75</v>
      </c>
      <c r="S69" s="49">
        <v>0.9</v>
      </c>
      <c r="T69" s="54">
        <v>0.5</v>
      </c>
      <c r="U69" s="54">
        <v>0.25</v>
      </c>
      <c r="V69" s="56">
        <v>0.1</v>
      </c>
      <c r="W69" s="55">
        <v>0.25</v>
      </c>
      <c r="X69" s="70">
        <v>0.1</v>
      </c>
      <c r="Y69" s="55"/>
      <c r="Z69" s="69">
        <v>0.1</v>
      </c>
      <c r="AA69" s="49">
        <v>0.25</v>
      </c>
      <c r="AB69" s="50">
        <v>0.5</v>
      </c>
      <c r="AC69" s="49">
        <v>0.75</v>
      </c>
      <c r="AD69" s="49">
        <v>0.9</v>
      </c>
      <c r="AE69" s="54">
        <v>0.5</v>
      </c>
      <c r="AF69" s="54">
        <v>0.25</v>
      </c>
      <c r="AG69" s="56">
        <v>0.1</v>
      </c>
      <c r="AH69" s="55">
        <v>0.25</v>
      </c>
      <c r="AI69" s="70">
        <v>0.1</v>
      </c>
      <c r="AJ69" s="55"/>
      <c r="AK69" s="69">
        <v>0.1</v>
      </c>
      <c r="AL69" s="49">
        <v>0.25</v>
      </c>
      <c r="AM69" s="50">
        <v>0.5</v>
      </c>
      <c r="AN69" s="49">
        <v>0.75</v>
      </c>
      <c r="AO69" s="49">
        <v>0.9</v>
      </c>
      <c r="AP69" s="54">
        <v>0.5</v>
      </c>
      <c r="AQ69" s="54">
        <v>0.25</v>
      </c>
      <c r="AR69" s="56">
        <v>0.1</v>
      </c>
      <c r="AS69" s="55">
        <v>0.25</v>
      </c>
      <c r="AT69" s="70">
        <v>0.1</v>
      </c>
    </row>
    <row r="70" spans="1:46" x14ac:dyDescent="0.25">
      <c r="B70" s="1" cm="1">
        <f t="array" aca="1" ref="B70" ca="1">IF(valDate&gt;=_xll.QDates_SpecificWeekday(valDate,"Wednesday",1),_xll.QDates_SpecificWeekday(EDATE(valDate,1),"Wednesday",1),_xll.QDates_SpecificWeekday(valDate,"Wednesday",1))</f>
        <v>43985</v>
      </c>
      <c r="C70" t="str">
        <f ca="1">UPPER(TEXT(B70,"MMMYY"))</f>
        <v>JUN20</v>
      </c>
      <c r="D70" s="71" cm="1">
        <f t="array" aca="1" ref="D70" ca="1">_xll.BDP(E$68&amp;" "&amp;$C70&amp;" 10DP VOL LME Comdty","PX_LAST")/100</f>
        <v>0.21538915634155273</v>
      </c>
      <c r="E70" s="61" cm="1">
        <f t="array" aca="1" ref="E70" ca="1">_xll.BDP(E$68&amp;" "&amp;$C70&amp;" 25DP VOL LME Comdty","PX_LAST")/100</f>
        <v>0.18768842697143553</v>
      </c>
      <c r="F70" s="48" cm="1">
        <f t="array" aca="1" ref="F70" ca="1">_xll.BDP(E$68&amp;" "&amp;$C70&amp;" 50D VOL LME Comdty","PX_LAST")/100</f>
        <v>0.16380023956298828</v>
      </c>
      <c r="G70" s="61" cm="1">
        <f t="array" aca="1" ref="G70" ca="1">_xll.BDP(E$68&amp;" "&amp;$C70&amp;" 25DC VOL LME Comdty","PX_LAST")/100</f>
        <v>0.15859993934631347</v>
      </c>
      <c r="H70" s="61" cm="1">
        <f t="array" aca="1" ref="H70" ca="1">_xll.BDP(E$68&amp;" "&amp;$C70&amp;" 10DC VOL LME Comdty","PX_LAST")/100</f>
        <v>0.16019886016845702</v>
      </c>
      <c r="I70" s="52">
        <f ca="1">F70+H$67</f>
        <v>0.17380023956298829</v>
      </c>
      <c r="J70" s="53">
        <f ca="1">(G70-E70)*H$68</f>
        <v>-2.9088487625122061E-2</v>
      </c>
      <c r="K70" s="53">
        <f ca="1">(H70-D70)*H$68</f>
        <v>-5.5190296173095704E-2</v>
      </c>
      <c r="L70" s="53">
        <f ca="1">(AVERAGE(E70,G70)-F70)*H$68</f>
        <v>9.3439435958862227E-3</v>
      </c>
      <c r="M70" s="72">
        <f ca="1">(AVERAGE(D70,H70)-F70)*H$68</f>
        <v>2.3993768692016582E-2</v>
      </c>
      <c r="N70" s="53"/>
      <c r="O70" s="71" cm="1">
        <f t="array" aca="1" ref="O70" ca="1">_xll.BDP(P$68&amp;" "&amp;$C70&amp;" 10DP VOL LME Comdty","PX_LAST")/100</f>
        <v>0.2727889823913574</v>
      </c>
      <c r="P70" s="61" cm="1">
        <f t="array" aca="1" ref="P70" ca="1">_xll.BDP(P$68&amp;" "&amp;$C70&amp;" 25DP VOL LME Comdty","PX_LAST")/100</f>
        <v>0.24608871459960938</v>
      </c>
      <c r="Q70" s="48" cm="1">
        <f t="array" aca="1" ref="Q70" ca="1">_xll.BDP(P$68&amp;" "&amp;$C70&amp;" 50D VOL LME Comdty","PX_LAST")/100</f>
        <v>0.2183004379272461</v>
      </c>
      <c r="R70" s="61" cm="1">
        <f t="array" aca="1" ref="R70" ca="1">_xll.BDP(P$68&amp;" "&amp;$C70&amp;" 25DC VOL LME Comdty","PX_LAST")/100</f>
        <v>0.21259920120239259</v>
      </c>
      <c r="S70" s="61" cm="1">
        <f t="array" aca="1" ref="S70" ca="1">_xll.BDP(P$68&amp;" "&amp;$C70&amp;" 10DC VOL LME Comdty","PX_LAST")/100</f>
        <v>0.21639734268188476</v>
      </c>
      <c r="T70" s="52">
        <f ca="1">Q70+S$67</f>
        <v>0.22830043792724611</v>
      </c>
      <c r="U70" s="53">
        <f ca="1">(R70-P70)*S$68</f>
        <v>-3.3489513397216786E-2</v>
      </c>
      <c r="V70" s="53">
        <f ca="1">(S70-O70)*S$68</f>
        <v>-5.6391639709472641E-2</v>
      </c>
      <c r="W70" s="53">
        <f ca="1">(AVERAGE(P70,R70)-Q70)*S$68</f>
        <v>1.1043519973754884E-2</v>
      </c>
      <c r="X70" s="72">
        <f ca="1">(AVERAGE(O70,S70)-Q70)*S$68</f>
        <v>2.6292724609374984E-2</v>
      </c>
      <c r="Y70" s="53"/>
      <c r="Z70" s="71" cm="1">
        <f t="array" aca="1" ref="Z70" ca="1">_xll.BDP(AA$68&amp;" "&amp;$C70&amp;" 10DP VOL LME Comdty","PX_LAST")/100</f>
        <v>0.24869365692138673</v>
      </c>
      <c r="AA70" s="61" cm="1">
        <f t="array" aca="1" ref="AA70" ca="1">_xll.BDP(AA$68&amp;" "&amp;$C70&amp;" 25DP VOL LME Comdty","PX_LAST")/100</f>
        <v>0.23499431610107421</v>
      </c>
      <c r="AB70" s="48" cm="1">
        <f t="array" aca="1" ref="AB70" ca="1">_xll.BDP(AA$68&amp;" "&amp;$C70&amp;" 50D VOL LME Comdty","PX_LAST")/100</f>
        <v>0.22100015640258788</v>
      </c>
      <c r="AC70" s="61" cm="1">
        <f t="array" aca="1" ref="AC70" ca="1">_xll.BDP(AA$68&amp;" "&amp;$C70&amp;" 25DC VOL LME Comdty","PX_LAST")/100</f>
        <v>0.22289777755737306</v>
      </c>
      <c r="AD70" s="61" cm="1">
        <f t="array" aca="1" ref="AD70" ca="1">_xll.BDP(AA$68&amp;" "&amp;$C70&amp;" 10DC VOL LME Comdty","PX_LAST")/100</f>
        <v>0.22779722213745118</v>
      </c>
      <c r="AE70" s="52">
        <f ca="1">AB70+AD$67</f>
        <v>0.23100015640258789</v>
      </c>
      <c r="AF70" s="53">
        <f ca="1">(AC70-AA70)*AD$68</f>
        <v>-1.2096538543701157E-2</v>
      </c>
      <c r="AG70" s="53">
        <f ca="1">(AD70-Z70)*AD$68</f>
        <v>-2.0896434783935547E-2</v>
      </c>
      <c r="AH70" s="53">
        <f ca="1">(AVERAGE(AA70,AC70)-AB70)*AD$68</f>
        <v>7.9458904266357655E-3</v>
      </c>
      <c r="AI70" s="72">
        <f ca="1">(AVERAGE(Z70,AD70)-AB70)*AD$68</f>
        <v>1.7245283126831074E-2</v>
      </c>
      <c r="AJ70" s="53"/>
      <c r="AK70" s="71" cm="1">
        <f t="array" aca="1" ref="AK70" ca="1">_xll.BDP(AL$68&amp;" "&amp;$C70&amp;" 10DP VOL LME Comdty","PX_LAST")/100</f>
        <v>0.33139465332031248</v>
      </c>
      <c r="AL70" s="61" cm="1">
        <f t="array" aca="1" ref="AL70" ca="1">_xll.BDP(AL$68&amp;" "&amp;$C70&amp;" 25DP VOL LME Comdty","PX_LAST")/100</f>
        <v>0.32049579620361329</v>
      </c>
      <c r="AM70" s="48" cm="1">
        <f t="array" aca="1" ref="AM70" ca="1">_xll.BDP(AL$68&amp;" "&amp;$C70&amp;" 50D VOL LME Comdty","PX_LAST")/100</f>
        <v>0.31140001296997072</v>
      </c>
      <c r="AN70" s="61" cm="1">
        <f t="array" aca="1" ref="AN70" ca="1">_xll.BDP(AL$68&amp;" "&amp;$C70&amp;" 25DC VOL LME Comdty","PX_LAST")/100</f>
        <v>0.31959558486938477</v>
      </c>
      <c r="AO70" s="61" cm="1">
        <f t="array" aca="1" ref="AO70" ca="1">_xll.BDP(AL$68&amp;" "&amp;$C70&amp;" 10DC VOL LME Comdty","PX_LAST")/100</f>
        <v>0.32779533386230469</v>
      </c>
      <c r="AP70" s="52">
        <f ca="1">AM70+AO$67</f>
        <v>0.32140001296997073</v>
      </c>
      <c r="AQ70" s="53">
        <f ca="1">(AN70-AL70)*AO$68</f>
        <v>-9.0021133422851785E-4</v>
      </c>
      <c r="AR70" s="53">
        <f ca="1">(AO70-AK70)*AO$68</f>
        <v>-3.5993194580077881E-3</v>
      </c>
      <c r="AS70" s="53">
        <f ca="1">(AVERAGE(AL70,AN70)-AM70)*AO$68</f>
        <v>8.645677566528287E-3</v>
      </c>
      <c r="AT70" s="72">
        <f ca="1">(AVERAGE(AK70,AO70)-AM70)*AO$68</f>
        <v>1.8194980621337897E-2</v>
      </c>
    </row>
    <row r="71" spans="1:46" x14ac:dyDescent="0.25">
      <c r="B71" s="1" cm="1">
        <f t="array" aca="1" ref="B71" ca="1">_xll.QDates_SpecificWeekday(EDATE(B70,1),"Wednesday",1)</f>
        <v>44013</v>
      </c>
      <c r="C71" t="str">
        <f ca="1">UPPER(TEXT(B71,"MMMYY"))</f>
        <v>JUL20</v>
      </c>
      <c r="D71" s="71" cm="1">
        <f t="array" aca="1" ref="D71" ca="1">_xll.BDP(E$68&amp;" "&amp;$C71&amp;" 10DP VOL LME Comdty","PX_LAST")/100</f>
        <v>0.2172892189025879</v>
      </c>
      <c r="E71" s="61" cm="1">
        <f t="array" aca="1" ref="E71" ca="1">_xll.BDP(E$68&amp;" "&amp;$C71&amp;" 25DP VOL LME Comdty","PX_LAST")/100</f>
        <v>0.19048955917358398</v>
      </c>
      <c r="F71" s="48" cm="1">
        <f t="array" aca="1" ref="F71" ca="1">_xll.BDP(E$68&amp;" "&amp;$C71&amp;" 50D VOL LME Comdty","PX_LAST")/100</f>
        <v>0.16810035705566406</v>
      </c>
      <c r="G71" s="61" cm="1">
        <f t="array" aca="1" ref="G71" ca="1">_xll.BDP(E$68&amp;" "&amp;$C71&amp;" 25DC VOL LME Comdty","PX_LAST")/100</f>
        <v>0.16319997787475585</v>
      </c>
      <c r="H71" s="61" cm="1">
        <f t="array" aca="1" ref="H71" ca="1">_xll.BDP(E$68&amp;" "&amp;$C71&amp;" 10DC VOL LME Comdty","PX_LAST")/100</f>
        <v>0.16429901123046875</v>
      </c>
      <c r="I71" s="52">
        <f t="shared" ref="I71:I112" ca="1" si="9">F71+H$67</f>
        <v>0.17810035705566407</v>
      </c>
      <c r="J71" s="53">
        <f t="shared" ref="J71:J112" ca="1" si="10">(G71-E71)*H$68</f>
        <v>-2.7289581298828136E-2</v>
      </c>
      <c r="K71" s="53">
        <f t="shared" ref="K71:K112" ca="1" si="11">(H71-D71)*H$68</f>
        <v>-5.299020767211915E-2</v>
      </c>
      <c r="L71" s="53">
        <f t="shared" ref="L71:L112" ca="1" si="12">(AVERAGE(E71,G71)-F71)*H$68</f>
        <v>8.7444114685058527E-3</v>
      </c>
      <c r="M71" s="72">
        <f t="shared" ref="M71:M112" ca="1" si="13">(AVERAGE(D71,H71)-F71)*H$68</f>
        <v>2.2693758010864262E-2</v>
      </c>
      <c r="N71" s="53"/>
      <c r="O71" s="71" cm="1">
        <f t="array" aca="1" ref="O71" ca="1">_xll.BDP(P$68&amp;" "&amp;$C71&amp;" 10DP VOL LME Comdty","PX_LAST")/100</f>
        <v>0.27148952484130862</v>
      </c>
      <c r="P71" s="61" cm="1">
        <f t="array" aca="1" ref="P71" ca="1">_xll.BDP(P$68&amp;" "&amp;$C71&amp;" 25DP VOL LME Comdty","PX_LAST")/100</f>
        <v>0.2466899871826172</v>
      </c>
      <c r="Q71" s="48" cm="1">
        <f t="array" aca="1" ref="Q71" ca="1">_xll.BDP(P$68&amp;" "&amp;$C71&amp;" 50D VOL LME Comdty","PX_LAST")/100</f>
        <v>0.2203006362915039</v>
      </c>
      <c r="R71" s="61" cm="1">
        <f t="array" aca="1" ref="R71" ca="1">_xll.BDP(P$68&amp;" "&amp;$C71&amp;" 25DC VOL LME Comdty","PX_LAST")/100</f>
        <v>0.21479923248291016</v>
      </c>
      <c r="S71" s="61" cm="1">
        <f t="array" aca="1" ref="S71" ca="1">_xll.BDP(P$68&amp;" "&amp;$C71&amp;" 10DC VOL LME Comdty","PX_LAST")/100</f>
        <v>0.21819753646850587</v>
      </c>
      <c r="T71" s="52">
        <f t="shared" ref="T71:T112" ca="1" si="14">Q71+S$67</f>
        <v>0.23030063629150391</v>
      </c>
      <c r="U71" s="53">
        <f t="shared" ref="U71:U112" ca="1" si="15">(R71-P71)*S$68</f>
        <v>-3.1890754699707036E-2</v>
      </c>
      <c r="V71" s="53">
        <f t="shared" ref="V71:V112" ca="1" si="16">(S71-O71)*S$68</f>
        <v>-5.3291988372802745E-2</v>
      </c>
      <c r="W71" s="53">
        <f t="shared" ref="W71:W112" ca="1" si="17">(AVERAGE(P71,R71)-Q71)*S$68</f>
        <v>1.0443973541259782E-2</v>
      </c>
      <c r="X71" s="72">
        <f t="shared" ref="X71:X112" ca="1" si="18">(AVERAGE(O71,S71)-Q71)*S$68</f>
        <v>2.4542894363403345E-2</v>
      </c>
      <c r="Y71" s="53"/>
      <c r="Z71" s="71" cm="1">
        <f t="array" aca="1" ref="Z71" ca="1">_xll.BDP(AA$68&amp;" "&amp;$C71&amp;" 10DP VOL LME Comdty","PX_LAST")/100</f>
        <v>0.24979393005371095</v>
      </c>
      <c r="AA71" s="61" cm="1">
        <f t="array" aca="1" ref="AA71" ca="1">_xll.BDP(AA$68&amp;" "&amp;$C71&amp;" 25DP VOL LME Comdty","PX_LAST")/100</f>
        <v>0.23699462890625</v>
      </c>
      <c r="AB71" s="48" cm="1">
        <f t="array" aca="1" ref="AB71" ca="1">_xll.BDP(AA$68&amp;" "&amp;$C71&amp;" 50D VOL LME Comdty","PX_LAST")/100</f>
        <v>0.22240026473999022</v>
      </c>
      <c r="AC71" s="61" cm="1">
        <f t="array" aca="1" ref="AC71" ca="1">_xll.BDP(AA$68&amp;" "&amp;$C71&amp;" 25DC VOL LME Comdty","PX_LAST")/100</f>
        <v>0.22359809875488282</v>
      </c>
      <c r="AD71" s="61" cm="1">
        <f t="array" aca="1" ref="AD71" ca="1">_xll.BDP(AA$68&amp;" "&amp;$C71&amp;" 10DC VOL LME Comdty","PX_LAST")/100</f>
        <v>0.22759765625</v>
      </c>
      <c r="AE71" s="52">
        <f t="shared" ref="AE71:AE96" ca="1" si="19">AB71+AD$67</f>
        <v>0.23240026473999023</v>
      </c>
      <c r="AF71" s="53">
        <f t="shared" ref="AF71:AF96" ca="1" si="20">(AC71-AA71)*AD$68</f>
        <v>-1.3396530151367186E-2</v>
      </c>
      <c r="AG71" s="53">
        <f t="shared" ref="AG71:AG96" ca="1" si="21">(AD71-Z71)*AD$68</f>
        <v>-2.2196273803710947E-2</v>
      </c>
      <c r="AH71" s="53">
        <f t="shared" ref="AH71:AH96" ca="1" si="22">(AVERAGE(AA71,AC71)-AB71)*AD$68</f>
        <v>7.8960990905761752E-3</v>
      </c>
      <c r="AI71" s="72">
        <f t="shared" ref="AI71:AI96" ca="1" si="23">(AVERAGE(Z71,AD71)-AB71)*AD$68</f>
        <v>1.629552841186524E-2</v>
      </c>
      <c r="AJ71" s="53"/>
      <c r="AK71" s="71" cm="1">
        <f t="array" aca="1" ref="AK71" ca="1">_xll.BDP(AL$68&amp;" "&amp;$C71&amp;" 10DP VOL LME Comdty","PX_LAST")/100</f>
        <v>0.33049503326416013</v>
      </c>
      <c r="AL71" s="61" cm="1">
        <f t="array" aca="1" ref="AL71" ca="1">_xll.BDP(AL$68&amp;" "&amp;$C71&amp;" 25DP VOL LME Comdty","PX_LAST")/100</f>
        <v>0.32049629211425779</v>
      </c>
      <c r="AM71" s="48" cm="1">
        <f t="array" aca="1" ref="AM71" ca="1">_xll.BDP(AL$68&amp;" "&amp;$C71&amp;" 50D VOL LME Comdty","PX_LAST")/100</f>
        <v>0.31170000076293947</v>
      </c>
      <c r="AN71" s="61" cm="1">
        <f t="array" aca="1" ref="AN71" ca="1">_xll.BDP(AL$68&amp;" "&amp;$C71&amp;" 25DC VOL LME Comdty","PX_LAST")/100</f>
        <v>0.31989538192749023</v>
      </c>
      <c r="AO71" s="61" cm="1">
        <f t="array" aca="1" ref="AO71" ca="1">_xll.BDP(AL$68&amp;" "&amp;$C71&amp;" 10DC VOL LME Comdty","PX_LAST")/100</f>
        <v>0.32819530487060544</v>
      </c>
      <c r="AP71" s="52">
        <f t="shared" ref="AP71:AP96" ca="1" si="24">AM71+AO$67</f>
        <v>0.32170000076293948</v>
      </c>
      <c r="AQ71" s="53">
        <f t="shared" ref="AQ71:AQ96" ca="1" si="25">(AN71-AL71)*AO$68</f>
        <v>-6.0091018676755592E-4</v>
      </c>
      <c r="AR71" s="53">
        <f t="shared" ref="AR71:AR96" ca="1" si="26">(AO71-AK71)*AO$68</f>
        <v>-2.2997283935546897E-3</v>
      </c>
      <c r="AS71" s="53">
        <f t="shared" ref="AS71:AS96" ca="1" si="27">(AVERAGE(AL71,AN71)-AM71)*AO$68</f>
        <v>8.4958362579345414E-3</v>
      </c>
      <c r="AT71" s="72">
        <f t="shared" ref="AT71:AT96" ca="1" si="28">(AVERAGE(AK71,AO71)-AM71)*AO$68</f>
        <v>1.7645168304443293E-2</v>
      </c>
    </row>
    <row r="72" spans="1:46" x14ac:dyDescent="0.25">
      <c r="B72" s="1" cm="1">
        <f t="array" aca="1" ref="B72" ca="1">_xll.QDates_SpecificWeekday(EDATE(B71,1),"Wednesday",1)</f>
        <v>44048</v>
      </c>
      <c r="C72" t="str">
        <f t="shared" ref="C72:C112" ca="1" si="29">UPPER(TEXT(B72,"MMMYY"))</f>
        <v>AUG20</v>
      </c>
      <c r="D72" s="71" cm="1">
        <f t="array" aca="1" ref="D72" ca="1">_xll.BDP(E$68&amp;" "&amp;$C72&amp;" 10DP VOL LME Comdty","PX_LAST")/100</f>
        <v>0.21598974227905274</v>
      </c>
      <c r="E72" s="61" cm="1">
        <f t="array" aca="1" ref="E72" ca="1">_xll.BDP(E$68&amp;" "&amp;$C72&amp;" 25DP VOL LME Comdty","PX_LAST")/100</f>
        <v>0.19089061737060548</v>
      </c>
      <c r="F72" s="48" cm="1">
        <f t="array" aca="1" ref="F72" ca="1">_xll.BDP(E$68&amp;" "&amp;$C72&amp;" 50D VOL LME Comdty","PX_LAST")/100</f>
        <v>0.16950048446655275</v>
      </c>
      <c r="G72" s="61" cm="1">
        <f t="array" aca="1" ref="G72" ca="1">_xll.BDP(E$68&amp;" "&amp;$C72&amp;" 25DC VOL LME Comdty","PX_LAST")/100</f>
        <v>0.1646999740600586</v>
      </c>
      <c r="H72" s="61" cm="1">
        <f t="array" aca="1" ref="H72" ca="1">_xll.BDP(E$68&amp;" "&amp;$C72&amp;" 10DC VOL LME Comdty","PX_LAST")/100</f>
        <v>0.16579904556274414</v>
      </c>
      <c r="I72" s="52">
        <f t="shared" ca="1" si="9"/>
        <v>0.17950048446655276</v>
      </c>
      <c r="J72" s="53">
        <f t="shared" ca="1" si="10"/>
        <v>-2.6190643310546879E-2</v>
      </c>
      <c r="K72" s="53">
        <f t="shared" ca="1" si="11"/>
        <v>-5.0190696716308603E-2</v>
      </c>
      <c r="L72" s="53">
        <f t="shared" ca="1" si="12"/>
        <v>8.294811248779288E-3</v>
      </c>
      <c r="M72" s="72">
        <f t="shared" ca="1" si="13"/>
        <v>2.1393909454345689E-2</v>
      </c>
      <c r="N72" s="53"/>
      <c r="O72" s="71" cm="1">
        <f t="array" aca="1" ref="O72" ca="1">_xll.BDP(P$68&amp;" "&amp;$C72&amp;" 10DP VOL LME Comdty","PX_LAST")/100</f>
        <v>0.27029006958007812</v>
      </c>
      <c r="P72" s="61" cm="1">
        <f t="array" aca="1" ref="P72" ca="1">_xll.BDP(P$68&amp;" "&amp;$C72&amp;" 25DP VOL LME Comdty","PX_LAST")/100</f>
        <v>0.24679082870483399</v>
      </c>
      <c r="Q72" s="48" cm="1">
        <f t="array" aca="1" ref="Q72" ca="1">_xll.BDP(P$68&amp;" "&amp;$C72&amp;" 50D VOL LME Comdty","PX_LAST")/100</f>
        <v>0.22070081710815428</v>
      </c>
      <c r="R72" s="61" cm="1">
        <f t="array" aca="1" ref="R72" ca="1">_xll.BDP(P$68&amp;" "&amp;$C72&amp;" 25DC VOL LME Comdty","PX_LAST")/100</f>
        <v>0.21529926300048829</v>
      </c>
      <c r="S72" s="61" cm="1">
        <f t="array" aca="1" ref="S72" ca="1">_xll.BDP(P$68&amp;" "&amp;$C72&amp;" 10DC VOL LME Comdty","PX_LAST")/100</f>
        <v>0.21859767913818359</v>
      </c>
      <c r="T72" s="52">
        <f t="shared" ca="1" si="14"/>
        <v>0.23070081710815429</v>
      </c>
      <c r="U72" s="53">
        <f t="shared" ca="1" si="15"/>
        <v>-3.1491565704345692E-2</v>
      </c>
      <c r="V72" s="53">
        <f t="shared" ca="1" si="16"/>
        <v>-5.1692390441894526E-2</v>
      </c>
      <c r="W72" s="53">
        <f t="shared" ca="1" si="17"/>
        <v>1.0344228744506856E-2</v>
      </c>
      <c r="X72" s="72">
        <f t="shared" ca="1" si="18"/>
        <v>2.3743057250976557E-2</v>
      </c>
      <c r="Y72" s="53"/>
      <c r="Z72" s="71" cm="1">
        <f t="array" aca="1" ref="Z72" ca="1">_xll.BDP(AA$68&amp;" "&amp;$C72&amp;" 10DP VOL LME Comdty","PX_LAST")/100</f>
        <v>0.25109411239624024</v>
      </c>
      <c r="AA72" s="61" cm="1">
        <f t="array" aca="1" ref="AA72" ca="1">_xll.BDP(AA$68&amp;" "&amp;$C72&amp;" 25DP VOL LME Comdty","PX_LAST")/100</f>
        <v>0.23829486846923828</v>
      </c>
      <c r="AB72" s="48" cm="1">
        <f t="array" aca="1" ref="AB72" ca="1">_xll.BDP(AA$68&amp;" "&amp;$C72&amp;" 50D VOL LME Comdty","PX_LAST")/100</f>
        <v>0.2235003662109375</v>
      </c>
      <c r="AC72" s="61" cm="1">
        <f t="array" aca="1" ref="AC72" ca="1">_xll.BDP(AA$68&amp;" "&amp;$C72&amp;" 25DC VOL LME Comdty","PX_LAST")/100</f>
        <v>0.22439842224121093</v>
      </c>
      <c r="AD72" s="61" cm="1">
        <f t="array" aca="1" ref="AD72" ca="1">_xll.BDP(AA$68&amp;" "&amp;$C72&amp;" 10DC VOL LME Comdty","PX_LAST")/100</f>
        <v>0.22729814529418946</v>
      </c>
      <c r="AE72" s="52">
        <f t="shared" ca="1" si="19"/>
        <v>0.2335003662109375</v>
      </c>
      <c r="AF72" s="53">
        <f t="shared" ca="1" si="20"/>
        <v>-1.3896446228027354E-2</v>
      </c>
      <c r="AG72" s="53">
        <f t="shared" ca="1" si="21"/>
        <v>-2.3795967102050786E-2</v>
      </c>
      <c r="AH72" s="53">
        <f t="shared" ca="1" si="22"/>
        <v>7.8462791442870938E-3</v>
      </c>
      <c r="AI72" s="72">
        <f t="shared" ca="1" si="23"/>
        <v>1.5695762634277355E-2</v>
      </c>
      <c r="AJ72" s="53"/>
      <c r="AK72" s="71" cm="1">
        <f t="array" aca="1" ref="AK72" ca="1">_xll.BDP(AL$68&amp;" "&amp;$C72&amp;" 10DP VOL LME Comdty","PX_LAST")/100</f>
        <v>0.32919548034667967</v>
      </c>
      <c r="AL72" s="61" cm="1">
        <f t="array" aca="1" ref="AL72" ca="1">_xll.BDP(AL$68&amp;" "&amp;$C72&amp;" 25DP VOL LME Comdty","PX_LAST")/100</f>
        <v>0.31979675292968751</v>
      </c>
      <c r="AM72" s="48" cm="1">
        <f t="array" aca="1" ref="AM72" ca="1">_xll.BDP(AL$68&amp;" "&amp;$C72&amp;" 50D VOL LME Comdty","PX_LAST")/100</f>
        <v>0.31169998168945312</v>
      </c>
      <c r="AN72" s="61" cm="1">
        <f t="array" aca="1" ref="AN72" ca="1">_xll.BDP(AL$68&amp;" "&amp;$C72&amp;" 25DC VOL LME Comdty","PX_LAST")/100</f>
        <v>0.31999517440795899</v>
      </c>
      <c r="AO72" s="61" cm="1">
        <f t="array" aca="1" ref="AO72" ca="1">_xll.BDP(AL$68&amp;" "&amp;$C72&amp;" 10DC VOL LME Comdty","PX_LAST")/100</f>
        <v>0.32819522857666017</v>
      </c>
      <c r="AP72" s="52">
        <f t="shared" ca="1" si="24"/>
        <v>0.32169998168945313</v>
      </c>
      <c r="AQ72" s="53">
        <f t="shared" ca="1" si="25"/>
        <v>1.9842147827148215E-4</v>
      </c>
      <c r="AR72" s="53">
        <f t="shared" ca="1" si="26"/>
        <v>-1.0002517700195002E-3</v>
      </c>
      <c r="AS72" s="53">
        <f t="shared" ca="1" si="27"/>
        <v>8.1959819793701039E-3</v>
      </c>
      <c r="AT72" s="72">
        <f t="shared" ca="1" si="28"/>
        <v>1.6995372772216799E-2</v>
      </c>
    </row>
    <row r="73" spans="1:46" x14ac:dyDescent="0.25">
      <c r="B73" s="1" cm="1">
        <f t="array" aca="1" ref="B73" ca="1">_xll.QDates_SpecificWeekday(EDATE(B72,1),"Wednesday",1)</f>
        <v>44076</v>
      </c>
      <c r="C73" t="str">
        <f t="shared" ca="1" si="29"/>
        <v>SEP20</v>
      </c>
      <c r="D73" s="71" cm="1">
        <f t="array" aca="1" ref="D73" ca="1">_xll.BDP(E$68&amp;" "&amp;$C73&amp;" 10DP VOL LME Comdty","PX_LAST")/100</f>
        <v>0.21499023437500001</v>
      </c>
      <c r="E73" s="61" cm="1">
        <f t="array" aca="1" ref="E73" ca="1">_xll.BDP(E$68&amp;" "&amp;$C73&amp;" 25DP VOL LME Comdty","PX_LAST")/100</f>
        <v>0.19159130096435548</v>
      </c>
      <c r="F73" s="48" cm="1">
        <f t="array" aca="1" ref="F73" ca="1">_xll.BDP(E$68&amp;" "&amp;$C73&amp;" 50D VOL LME Comdty","PX_LAST")/100</f>
        <v>0.17040052413940429</v>
      </c>
      <c r="G73" s="61" cm="1">
        <f t="array" aca="1" ref="G73" ca="1">_xll.BDP(E$68&amp;" "&amp;$C73&amp;" 25DC VOL LME Comdty","PX_LAST")/100</f>
        <v>0.16629974365234376</v>
      </c>
      <c r="H73" s="61" cm="1">
        <f t="array" aca="1" ref="H73" ca="1">_xll.BDP(E$68&amp;" "&amp;$C73&amp;" 10DC VOL LME Comdty","PX_LAST")/100</f>
        <v>0.16799888610839844</v>
      </c>
      <c r="I73" s="52">
        <f t="shared" ca="1" si="9"/>
        <v>0.1804005241394043</v>
      </c>
      <c r="J73" s="53">
        <f t="shared" ca="1" si="10"/>
        <v>-2.5291557312011714E-2</v>
      </c>
      <c r="K73" s="53">
        <f t="shared" ca="1" si="11"/>
        <v>-4.6991348266601563E-2</v>
      </c>
      <c r="L73" s="53">
        <f t="shared" ca="1" si="12"/>
        <v>8.544998168945328E-3</v>
      </c>
      <c r="M73" s="72">
        <f t="shared" ca="1" si="13"/>
        <v>2.1094036102294933E-2</v>
      </c>
      <c r="N73" s="53"/>
      <c r="O73" s="71" cm="1">
        <f t="array" aca="1" ref="O73" ca="1">_xll.BDP(P$68&amp;" "&amp;$C73&amp;" 10DP VOL LME Comdty","PX_LAST")/100</f>
        <v>0.26869037628173831</v>
      </c>
      <c r="P73" s="61" cm="1">
        <f t="array" aca="1" ref="P73" ca="1">_xll.BDP(P$68&amp;" "&amp;$C73&amp;" 25DP VOL LME Comdty","PX_LAST")/100</f>
        <v>0.24569139480590821</v>
      </c>
      <c r="Q73" s="48" cm="1">
        <f t="array" aca="1" ref="Q73" ca="1">_xll.BDP(P$68&amp;" "&amp;$C73&amp;" 50D VOL LME Comdty","PX_LAST")/100</f>
        <v>0.22040092468261718</v>
      </c>
      <c r="R73" s="61" cm="1">
        <f t="array" aca="1" ref="R73" ca="1">_xll.BDP(P$68&amp;" "&amp;$C73&amp;" 25DC VOL LME Comdty","PX_LAST")/100</f>
        <v>0.2153993034362793</v>
      </c>
      <c r="S73" s="61" cm="1">
        <f t="array" aca="1" ref="S73" ca="1">_xll.BDP(P$68&amp;" "&amp;$C73&amp;" 10DC VOL LME Comdty","PX_LAST")/100</f>
        <v>0.21829788208007814</v>
      </c>
      <c r="T73" s="52">
        <f t="shared" ca="1" si="14"/>
        <v>0.23040092468261719</v>
      </c>
      <c r="U73" s="53">
        <f t="shared" ca="1" si="15"/>
        <v>-3.0292091369628904E-2</v>
      </c>
      <c r="V73" s="53">
        <f t="shared" ca="1" si="16"/>
        <v>-5.0392494201660171E-2</v>
      </c>
      <c r="W73" s="53">
        <f t="shared" ca="1" si="17"/>
        <v>1.0144424438476574E-2</v>
      </c>
      <c r="X73" s="72">
        <f t="shared" ca="1" si="18"/>
        <v>2.3093204498291053E-2</v>
      </c>
      <c r="Y73" s="53"/>
      <c r="Z73" s="71" cm="1">
        <f t="array" aca="1" ref="Z73" ca="1">_xll.BDP(AA$68&amp;" "&amp;$C73&amp;" 10DP VOL LME Comdty","PX_LAST")/100</f>
        <v>0.25169412612915038</v>
      </c>
      <c r="AA73" s="61" cm="1">
        <f t="array" aca="1" ref="AA73" ca="1">_xll.BDP(AA$68&amp;" "&amp;$C73&amp;" 25DP VOL LME Comdty","PX_LAST")/100</f>
        <v>0.23869497299194337</v>
      </c>
      <c r="AB73" s="48" cm="1">
        <f t="array" aca="1" ref="AB73" ca="1">_xll.BDP(AA$68&amp;" "&amp;$C73&amp;" 50D VOL LME Comdty","PX_LAST")/100</f>
        <v>0.2237004280090332</v>
      </c>
      <c r="AC73" s="61" cm="1">
        <f t="array" aca="1" ref="AC73" ca="1">_xll.BDP(AA$68&amp;" "&amp;$C73&amp;" 25DC VOL LME Comdty","PX_LAST")/100</f>
        <v>0.22419862747192382</v>
      </c>
      <c r="AD73" s="61" cm="1">
        <f t="array" aca="1" ref="AD73" ca="1">_xll.BDP(AA$68&amp;" "&amp;$C73&amp;" 10DC VOL LME Comdty","PX_LAST")/100</f>
        <v>0.22659843444824218</v>
      </c>
      <c r="AE73" s="52">
        <f t="shared" ca="1" si="19"/>
        <v>0.23370042800903321</v>
      </c>
      <c r="AF73" s="53">
        <f t="shared" ca="1" si="20"/>
        <v>-1.4496345520019549E-2</v>
      </c>
      <c r="AG73" s="53">
        <f t="shared" ca="1" si="21"/>
        <v>-2.5095691680908194E-2</v>
      </c>
      <c r="AH73" s="53">
        <f t="shared" ca="1" si="22"/>
        <v>7.746372222900394E-3</v>
      </c>
      <c r="AI73" s="72">
        <f t="shared" ca="1" si="23"/>
        <v>1.544585227966308E-2</v>
      </c>
      <c r="AJ73" s="53"/>
      <c r="AK73" s="71" cm="1">
        <f t="array" aca="1" ref="AK73" ca="1">_xll.BDP(AL$68&amp;" "&amp;$C73&amp;" 10DP VOL LME Comdty","PX_LAST")/100</f>
        <v>0.32789577484130861</v>
      </c>
      <c r="AL73" s="61" cm="1">
        <f t="array" aca="1" ref="AL73" ca="1">_xll.BDP(AL$68&amp;" "&amp;$C73&amp;" 25DP VOL LME Comdty","PX_LAST")/100</f>
        <v>0.31899702072143554</v>
      </c>
      <c r="AM73" s="48" cm="1">
        <f t="array" aca="1" ref="AM73" ca="1">_xll.BDP(AL$68&amp;" "&amp;$C73&amp;" 50D VOL LME Comdty","PX_LAST")/100</f>
        <v>0.31109996795654299</v>
      </c>
      <c r="AN73" s="61" cm="1">
        <f t="array" aca="1" ref="AN73" ca="1">_xll.BDP(AL$68&amp;" "&amp;$C73&amp;" 25DC VOL LME Comdty","PX_LAST")/100</f>
        <v>0.31949493408203122</v>
      </c>
      <c r="AO73" s="61" cm="1">
        <f t="array" aca="1" ref="AO73" ca="1">_xll.BDP(AL$68&amp;" "&amp;$C73&amp;" 10DC VOL LME Comdty","PX_LAST")/100</f>
        <v>0.32809501647949219</v>
      </c>
      <c r="AP73" s="52">
        <f t="shared" ca="1" si="24"/>
        <v>0.321099967956543</v>
      </c>
      <c r="AQ73" s="53">
        <f t="shared" ca="1" si="25"/>
        <v>4.9791336059568092E-4</v>
      </c>
      <c r="AR73" s="53">
        <f t="shared" ca="1" si="26"/>
        <v>1.9924163818357821E-4</v>
      </c>
      <c r="AS73" s="53">
        <f t="shared" ca="1" si="27"/>
        <v>8.1460094451903942E-3</v>
      </c>
      <c r="AT73" s="72">
        <f t="shared" ca="1" si="28"/>
        <v>1.689542770385738E-2</v>
      </c>
    </row>
    <row r="74" spans="1:46" x14ac:dyDescent="0.25">
      <c r="B74" s="1" cm="1">
        <f t="array" aca="1" ref="B74" ca="1">_xll.QDates_SpecificWeekday(EDATE(B73,1),"Wednesday",1)</f>
        <v>44111</v>
      </c>
      <c r="C74" t="str">
        <f t="shared" ca="1" si="29"/>
        <v>OCT20</v>
      </c>
      <c r="D74" s="71" cm="1">
        <f t="array" aca="1" ref="D74" ca="1">_xll.BDP(E$68&amp;" "&amp;$C74&amp;" 10DP VOL LME Comdty","PX_LAST")/100</f>
        <v>0.21169080734252929</v>
      </c>
      <c r="E74" s="61" cm="1">
        <f t="array" aca="1" ref="E74" ca="1">_xll.BDP(E$68&amp;" "&amp;$C74&amp;" 25DP VOL LME Comdty","PX_LAST")/100</f>
        <v>0.19009214401245117</v>
      </c>
      <c r="F74" s="48" cm="1">
        <f t="array" aca="1" ref="F74" ca="1">_xll.BDP(E$68&amp;" "&amp;$C74&amp;" 50D VOL LME Comdty","PX_LAST")/100</f>
        <v>0.17030054092407226</v>
      </c>
      <c r="G74" s="61" cm="1">
        <f t="array" aca="1" ref="G74" ca="1">_xll.BDP(E$68&amp;" "&amp;$C74&amp;" 25DC VOL LME Comdty","PX_LAST")/100</f>
        <v>0.16759950637817383</v>
      </c>
      <c r="H74" s="61" cm="1">
        <f t="array" aca="1" ref="H74" ca="1">_xll.BDP(E$68&amp;" "&amp;$C74&amp;" 10DC VOL LME Comdty","PX_LAST")/100</f>
        <v>0.16919881820678712</v>
      </c>
      <c r="I74" s="52">
        <f t="shared" ca="1" si="9"/>
        <v>0.18030054092407227</v>
      </c>
      <c r="J74" s="53">
        <f t="shared" ca="1" si="10"/>
        <v>-2.2492637634277335E-2</v>
      </c>
      <c r="K74" s="53">
        <f t="shared" ca="1" si="11"/>
        <v>-4.2491989135742175E-2</v>
      </c>
      <c r="L74" s="53">
        <f t="shared" ca="1" si="12"/>
        <v>8.5452842712402388E-3</v>
      </c>
      <c r="M74" s="72">
        <f t="shared" ca="1" si="13"/>
        <v>2.0144271850585926E-2</v>
      </c>
      <c r="N74" s="53"/>
      <c r="O74" s="71" cm="1">
        <f t="array" aca="1" ref="O74" ca="1">_xll.BDP(P$68&amp;" "&amp;$C74&amp;" 10DP VOL LME Comdty","PX_LAST")/100</f>
        <v>0.26679069519042969</v>
      </c>
      <c r="P74" s="61" cm="1">
        <f t="array" aca="1" ref="P74" ca="1">_xll.BDP(P$68&amp;" "&amp;$C74&amp;" 25DP VOL LME Comdty","PX_LAST")/100</f>
        <v>0.24449188232421876</v>
      </c>
      <c r="Q74" s="48" cm="1">
        <f t="array" aca="1" ref="Q74" ca="1">_xll.BDP(P$68&amp;" "&amp;$C74&amp;" 50D VOL LME Comdty","PX_LAST")/100</f>
        <v>0.21950101852416992</v>
      </c>
      <c r="R74" s="61" cm="1">
        <f t="array" aca="1" ref="R74" ca="1">_xll.BDP(P$68&amp;" "&amp;$C74&amp;" 25DC VOL LME Comdty","PX_LAST")/100</f>
        <v>0.21469934463500975</v>
      </c>
      <c r="S74" s="61" cm="1">
        <f t="array" aca="1" ref="S74" ca="1">_xll.BDP(P$68&amp;" "&amp;$C74&amp;" 10DC VOL LME Comdty","PX_LAST")/100</f>
        <v>0.21719810485839844</v>
      </c>
      <c r="T74" s="52">
        <f t="shared" ca="1" si="14"/>
        <v>0.22950101852416993</v>
      </c>
      <c r="U74" s="53">
        <f t="shared" ca="1" si="15"/>
        <v>-2.9792537689209003E-2</v>
      </c>
      <c r="V74" s="53">
        <f t="shared" ca="1" si="16"/>
        <v>-4.9592590332031256E-2</v>
      </c>
      <c r="W74" s="53">
        <f t="shared" ca="1" si="17"/>
        <v>1.0094594955444347E-2</v>
      </c>
      <c r="X74" s="72">
        <f t="shared" ca="1" si="18"/>
        <v>2.2493381500244158E-2</v>
      </c>
      <c r="Y74" s="53"/>
      <c r="Z74" s="71" cm="1">
        <f t="array" aca="1" ref="Z74" ca="1">_xll.BDP(AA$68&amp;" "&amp;$C74&amp;" 10DP VOL LME Comdty","PX_LAST")/100</f>
        <v>0.2522940254211426</v>
      </c>
      <c r="AA74" s="61" cm="1">
        <f t="array" aca="1" ref="AA74" ca="1">_xll.BDP(AA$68&amp;" "&amp;$C74&amp;" 25DP VOL LME Comdty","PX_LAST")/100</f>
        <v>0.23899499893188478</v>
      </c>
      <c r="AB74" s="48" cm="1">
        <f t="array" aca="1" ref="AB74" ca="1">_xll.BDP(AA$68&amp;" "&amp;$C74&amp;" 50D VOL LME Comdty","PX_LAST")/100</f>
        <v>0.22350048065185546</v>
      </c>
      <c r="AC74" s="61" cm="1">
        <f t="array" aca="1" ref="AC74" ca="1">_xll.BDP(AA$68&amp;" "&amp;$C74&amp;" 25DC VOL LME Comdty","PX_LAST")/100</f>
        <v>0.22379880905151367</v>
      </c>
      <c r="AD74" s="61" cm="1">
        <f t="array" aca="1" ref="AD74" ca="1">_xll.BDP(AA$68&amp;" "&amp;$C74&amp;" 10DC VOL LME Comdty","PX_LAST")/100</f>
        <v>0.22569871902465821</v>
      </c>
      <c r="AE74" s="52">
        <f t="shared" ca="1" si="19"/>
        <v>0.23350048065185547</v>
      </c>
      <c r="AF74" s="53">
        <f t="shared" ca="1" si="20"/>
        <v>-1.5196189880371108E-2</v>
      </c>
      <c r="AG74" s="53">
        <f t="shared" ca="1" si="21"/>
        <v>-2.6595306396484386E-2</v>
      </c>
      <c r="AH74" s="53">
        <f t="shared" ca="1" si="22"/>
        <v>7.89642333984375E-3</v>
      </c>
      <c r="AI74" s="72">
        <f t="shared" ca="1" si="23"/>
        <v>1.5495891571044945E-2</v>
      </c>
      <c r="AJ74" s="53"/>
      <c r="AK74" s="71" cm="1">
        <f t="array" aca="1" ref="AK74" ca="1">_xll.BDP(AL$68&amp;" "&amp;$C74&amp;" 10DP VOL LME Comdty","PX_LAST")/100</f>
        <v>0.32519607543945311</v>
      </c>
      <c r="AL74" s="61" cm="1">
        <f t="array" aca="1" ref="AL74" ca="1">_xll.BDP(AL$68&amp;" "&amp;$C74&amp;" 25DP VOL LME Comdty","PX_LAST")/100</f>
        <v>0.31689731597900389</v>
      </c>
      <c r="AM74" s="48" cm="1">
        <f t="array" aca="1" ref="AM74" ca="1">_xll.BDP(AL$68&amp;" "&amp;$C74&amp;" 50D VOL LME Comdty","PX_LAST")/100</f>
        <v>0.30949993133544923</v>
      </c>
      <c r="AN74" s="61" cm="1">
        <f t="array" aca="1" ref="AN74" ca="1">_xll.BDP(AL$68&amp;" "&amp;$C74&amp;" 25DC VOL LME Comdty","PX_LAST")/100</f>
        <v>0.31799465179443359</v>
      </c>
      <c r="AO74" s="61" cm="1">
        <f t="array" aca="1" ref="AO74" ca="1">_xll.BDP(AL$68&amp;" "&amp;$C74&amp;" 10DC VOL LME Comdty","PX_LAST")/100</f>
        <v>0.3268948745727539</v>
      </c>
      <c r="AP74" s="52">
        <f t="shared" ca="1" si="24"/>
        <v>0.31949993133544924</v>
      </c>
      <c r="AQ74" s="53">
        <f t="shared" ca="1" si="25"/>
        <v>1.0973358154297008E-3</v>
      </c>
      <c r="AR74" s="53">
        <f t="shared" ca="1" si="26"/>
        <v>1.6987991333007879E-3</v>
      </c>
      <c r="AS74" s="53">
        <f t="shared" ca="1" si="27"/>
        <v>7.9460525512695113E-3</v>
      </c>
      <c r="AT74" s="72">
        <f t="shared" ca="1" si="28"/>
        <v>1.654554367065425E-2</v>
      </c>
    </row>
    <row r="75" spans="1:46" x14ac:dyDescent="0.25">
      <c r="B75" s="1" cm="1">
        <f t="array" aca="1" ref="B75" ca="1">_xll.QDates_SpecificWeekday(EDATE(B74,1),"Wednesday",1)</f>
        <v>44139</v>
      </c>
      <c r="C75" t="str">
        <f t="shared" ca="1" si="29"/>
        <v>NOV20</v>
      </c>
      <c r="D75" s="71" cm="1">
        <f t="array" aca="1" ref="D75" ca="1">_xll.BDP(E$68&amp;" "&amp;$C75&amp;" 10DP VOL LME Comdty","PX_LAST")/100</f>
        <v>0.21029123306274414</v>
      </c>
      <c r="E75" s="61" cm="1">
        <f t="array" aca="1" ref="E75" ca="1">_xll.BDP(E$68&amp;" "&amp;$C75&amp;" 25DP VOL LME Comdty","PX_LAST")/100</f>
        <v>0.18959259033203124</v>
      </c>
      <c r="F75" s="48" cm="1">
        <f t="array" aca="1" ref="F75" ca="1">_xll.BDP(E$68&amp;" "&amp;$C75&amp;" 50D VOL LME Comdty","PX_LAST")/100</f>
        <v>0.17030057907104493</v>
      </c>
      <c r="G75" s="61" cm="1">
        <f t="array" aca="1" ref="G75" ca="1">_xll.BDP(E$68&amp;" "&amp;$C75&amp;" 25DC VOL LME Comdty","PX_LAST")/100</f>
        <v>0.16799932479858398</v>
      </c>
      <c r="H75" s="61" cm="1">
        <f t="array" aca="1" ref="H75" ca="1">_xll.BDP(E$68&amp;" "&amp;$C75&amp;" 10DC VOL LME Comdty","PX_LAST")/100</f>
        <v>0.16969861984252929</v>
      </c>
      <c r="I75" s="52">
        <f t="shared" ca="1" si="9"/>
        <v>0.18030057907104494</v>
      </c>
      <c r="J75" s="53">
        <f t="shared" ca="1" si="10"/>
        <v>-2.1593265533447259E-2</v>
      </c>
      <c r="K75" s="53">
        <f t="shared" ca="1" si="11"/>
        <v>-4.0592613220214846E-2</v>
      </c>
      <c r="L75" s="53">
        <f t="shared" ca="1" si="12"/>
        <v>8.4953784942626842E-3</v>
      </c>
      <c r="M75" s="72">
        <f t="shared" ca="1" si="13"/>
        <v>1.9694347381591787E-2</v>
      </c>
      <c r="N75" s="53"/>
      <c r="O75" s="71" cm="1">
        <f t="array" aca="1" ref="O75" ca="1">_xll.BDP(P$68&amp;" "&amp;$C75&amp;" 10DP VOL LME Comdty","PX_LAST")/100</f>
        <v>0.26529085159301757</v>
      </c>
      <c r="P75" s="61" cm="1">
        <f t="array" aca="1" ref="P75" ca="1">_xll.BDP(P$68&amp;" "&amp;$C75&amp;" 25DP VOL LME Comdty","PX_LAST")/100</f>
        <v>0.24309221267700196</v>
      </c>
      <c r="Q75" s="48" cm="1">
        <f t="array" aca="1" ref="Q75" ca="1">_xll.BDP(P$68&amp;" "&amp;$C75&amp;" 50D VOL LME Comdty","PX_LAST")/100</f>
        <v>0.21860107421875</v>
      </c>
      <c r="R75" s="61" cm="1">
        <f t="array" aca="1" ref="R75" ca="1">_xll.BDP(P$68&amp;" "&amp;$C75&amp;" 25DC VOL LME Comdty","PX_LAST")/100</f>
        <v>0.21429939270019532</v>
      </c>
      <c r="S75" s="61" cm="1">
        <f t="array" aca="1" ref="S75" ca="1">_xll.BDP(P$68&amp;" "&amp;$C75&amp;" 10DC VOL LME Comdty","PX_LAST")/100</f>
        <v>0.21639825820922851</v>
      </c>
      <c r="T75" s="52">
        <f t="shared" ca="1" si="14"/>
        <v>0.22860107421875001</v>
      </c>
      <c r="U75" s="53">
        <f t="shared" ca="1" si="15"/>
        <v>-2.8792819976806633E-2</v>
      </c>
      <c r="V75" s="53">
        <f t="shared" ca="1" si="16"/>
        <v>-4.8892593383789068E-2</v>
      </c>
      <c r="W75" s="53">
        <f t="shared" ca="1" si="17"/>
        <v>1.0094728469848629E-2</v>
      </c>
      <c r="X75" s="72">
        <f t="shared" ca="1" si="18"/>
        <v>2.2243480682373057E-2</v>
      </c>
      <c r="Y75" s="53"/>
      <c r="Z75" s="71" cm="1">
        <f t="array" aca="1" ref="Z75" ca="1">_xll.BDP(AA$68&amp;" "&amp;$C75&amp;" 10DP VOL LME Comdty","PX_LAST")/100</f>
        <v>0.25249378204345702</v>
      </c>
      <c r="AA75" s="61" cm="1">
        <f t="array" aca="1" ref="AA75" ca="1">_xll.BDP(AA$68&amp;" "&amp;$C75&amp;" 25DP VOL LME Comdty","PX_LAST")/100</f>
        <v>0.23879497528076171</v>
      </c>
      <c r="AB75" s="48" cm="1">
        <f t="array" aca="1" ref="AB75" ca="1">_xll.BDP(AA$68&amp;" "&amp;$C75&amp;" 50D VOL LME Comdty","PX_LAST")/100</f>
        <v>0.22330053329467772</v>
      </c>
      <c r="AC75" s="61" cm="1">
        <f t="array" aca="1" ref="AC75" ca="1">_xll.BDP(AA$68&amp;" "&amp;$C75&amp;" 25DC VOL LME Comdty","PX_LAST")/100</f>
        <v>0.22359901428222656</v>
      </c>
      <c r="AD75" s="61" cm="1">
        <f t="array" aca="1" ref="AD75" ca="1">_xll.BDP(AA$68&amp;" "&amp;$C75&amp;" 10DC VOL LME Comdty","PX_LAST")/100</f>
        <v>0.22529907226562501</v>
      </c>
      <c r="AE75" s="52">
        <f t="shared" ca="1" si="19"/>
        <v>0.23330053329467773</v>
      </c>
      <c r="AF75" s="53">
        <f t="shared" ca="1" si="20"/>
        <v>-1.5195960998535152E-2</v>
      </c>
      <c r="AG75" s="53">
        <f t="shared" ca="1" si="21"/>
        <v>-2.7194709777832005E-2</v>
      </c>
      <c r="AH75" s="53">
        <f t="shared" ca="1" si="22"/>
        <v>7.896461486816414E-3</v>
      </c>
      <c r="AI75" s="72">
        <f t="shared" ca="1" si="23"/>
        <v>1.5595893859863291E-2</v>
      </c>
      <c r="AJ75" s="53"/>
      <c r="AK75" s="71" cm="1">
        <f t="array" aca="1" ref="AK75" ca="1">_xll.BDP(AL$68&amp;" "&amp;$C75&amp;" 10DP VOL LME Comdty","PX_LAST")/100</f>
        <v>0.32379631042480467</v>
      </c>
      <c r="AL75" s="61" cm="1">
        <f t="array" aca="1" ref="AL75" ca="1">_xll.BDP(AL$68&amp;" "&amp;$C75&amp;" 25DP VOL LME Comdty","PX_LAST")/100</f>
        <v>0.31539747238159177</v>
      </c>
      <c r="AM75" s="48" cm="1">
        <f t="array" aca="1" ref="AM75" ca="1">_xll.BDP(AL$68&amp;" "&amp;$C75&amp;" 50D VOL LME Comdty","PX_LAST")/100</f>
        <v>0.30839986801147462</v>
      </c>
      <c r="AN75" s="61" cm="1">
        <f t="array" aca="1" ref="AN75" ca="1">_xll.BDP(AL$68&amp;" "&amp;$C75&amp;" 25DC VOL LME Comdty","PX_LAST")/100</f>
        <v>0.31729448318481446</v>
      </c>
      <c r="AO75" s="61" cm="1">
        <f t="array" aca="1" ref="AO75" ca="1">_xll.BDP(AL$68&amp;" "&amp;$C75&amp;" 10DC VOL LME Comdty","PX_LAST")/100</f>
        <v>0.32609477996826169</v>
      </c>
      <c r="AP75" s="52">
        <f t="shared" ca="1" si="24"/>
        <v>0.31839986801147463</v>
      </c>
      <c r="AQ75" s="53">
        <f t="shared" ca="1" si="25"/>
        <v>1.8970108032226873E-3</v>
      </c>
      <c r="AR75" s="53">
        <f t="shared" ca="1" si="26"/>
        <v>2.2984695434570268E-3</v>
      </c>
      <c r="AS75" s="53">
        <f t="shared" ca="1" si="27"/>
        <v>7.9461097717284934E-3</v>
      </c>
      <c r="AT75" s="72">
        <f t="shared" ca="1" si="28"/>
        <v>1.654567718505856E-2</v>
      </c>
    </row>
    <row r="76" spans="1:46" x14ac:dyDescent="0.25">
      <c r="B76" s="1" cm="1">
        <f t="array" aca="1" ref="B76" ca="1">_xll.QDates_SpecificWeekday(EDATE(B75,1),"Wednesday",1)</f>
        <v>44167</v>
      </c>
      <c r="C76" t="str">
        <f t="shared" ca="1" si="29"/>
        <v>DEC20</v>
      </c>
      <c r="D76" s="71" cm="1">
        <f t="array" aca="1" ref="D76" ca="1">_xll.BDP(E$68&amp;" "&amp;$C76&amp;" 10DP VOL LME Comdty","PX_LAST")/100</f>
        <v>0.20479188919067381</v>
      </c>
      <c r="E76" s="61" cm="1">
        <f t="array" aca="1" ref="E76" ca="1">_xll.BDP(E$68&amp;" "&amp;$C76&amp;" 25DP VOL LME Comdty","PX_LAST")/100</f>
        <v>0.18489301681518555</v>
      </c>
      <c r="F76" s="48" cm="1">
        <f t="array" aca="1" ref="F76" ca="1">_xll.BDP(E$68&amp;" "&amp;$C76&amp;" 50D VOL LME Comdty","PX_LAST")/100</f>
        <v>0.16640054702758789</v>
      </c>
      <c r="G76" s="61" cm="1">
        <f t="array" aca="1" ref="G76" ca="1">_xll.BDP(E$68&amp;" "&amp;$C76&amp;" 25DC VOL LME Comdty","PX_LAST")/100</f>
        <v>0.1647990608215332</v>
      </c>
      <c r="H76" s="61" cm="1">
        <f t="array" aca="1" ref="H76" ca="1">_xll.BDP(E$68&amp;" "&amp;$C76&amp;" 10DC VOL LME Comdty","PX_LAST")/100</f>
        <v>0.16669839859008789</v>
      </c>
      <c r="I76" s="52">
        <f t="shared" ca="1" si="9"/>
        <v>0.1764005470275879</v>
      </c>
      <c r="J76" s="53">
        <f t="shared" ca="1" si="10"/>
        <v>-2.0093955993652352E-2</v>
      </c>
      <c r="K76" s="53">
        <f t="shared" ca="1" si="11"/>
        <v>-3.8093490600585922E-2</v>
      </c>
      <c r="L76" s="53">
        <f t="shared" ca="1" si="12"/>
        <v>8.4454917907714755E-3</v>
      </c>
      <c r="M76" s="72">
        <f t="shared" ca="1" si="13"/>
        <v>1.9344596862792968E-2</v>
      </c>
      <c r="N76" s="53"/>
      <c r="O76" s="71" cm="1">
        <f t="array" aca="1" ref="O76" ca="1">_xll.BDP(P$68&amp;" "&amp;$C76&amp;" 10DP VOL LME Comdty","PX_LAST")/100</f>
        <v>0.26259107589721681</v>
      </c>
      <c r="P76" s="61" cm="1">
        <f t="array" aca="1" ref="P76" ca="1">_xll.BDP(P$68&amp;" "&amp;$C76&amp;" 25DP VOL LME Comdty","PX_LAST")/100</f>
        <v>0.24069257736206054</v>
      </c>
      <c r="Q76" s="48" cm="1">
        <f t="array" aca="1" ref="Q76" ca="1">_xll.BDP(P$68&amp;" "&amp;$C76&amp;" 50D VOL LME Comdty","PX_LAST")/100</f>
        <v>0.21700109481811525</v>
      </c>
      <c r="R76" s="61" cm="1">
        <f t="array" aca="1" ref="R76" ca="1">_xll.BDP(P$68&amp;" "&amp;$C76&amp;" 25DC VOL LME Comdty","PX_LAST")/100</f>
        <v>0.21279939651489257</v>
      </c>
      <c r="S76" s="61" cm="1">
        <f t="array" aca="1" ref="S76" ca="1">_xll.BDP(P$68&amp;" "&amp;$C76&amp;" 10DC VOL LME Comdty","PX_LAST")/100</f>
        <v>0.21479833602905274</v>
      </c>
      <c r="T76" s="52">
        <f t="shared" ca="1" si="14"/>
        <v>0.22700109481811526</v>
      </c>
      <c r="U76" s="53">
        <f t="shared" ca="1" si="15"/>
        <v>-2.7893180847167964E-2</v>
      </c>
      <c r="V76" s="53">
        <f t="shared" ca="1" si="16"/>
        <v>-4.7792739868164069E-2</v>
      </c>
      <c r="W76" s="53">
        <f t="shared" ca="1" si="17"/>
        <v>9.7448921203613093E-3</v>
      </c>
      <c r="X76" s="72">
        <f t="shared" ca="1" si="18"/>
        <v>2.1693611145019526E-2</v>
      </c>
      <c r="Y76" s="53"/>
      <c r="Z76" s="71" cm="1">
        <f t="array" aca="1" ref="Z76" ca="1">_xll.BDP(AA$68&amp;" "&amp;$C76&amp;" 10DP VOL LME Comdty","PX_LAST")/100</f>
        <v>0.2550936698913574</v>
      </c>
      <c r="AA76" s="61" cm="1">
        <f t="array" aca="1" ref="AA76" ca="1">_xll.BDP(AA$68&amp;" "&amp;$C76&amp;" 25DP VOL LME Comdty","PX_LAST")/100</f>
        <v>0.24009487152099609</v>
      </c>
      <c r="AB76" s="48" cm="1">
        <f t="array" aca="1" ref="AB76" ca="1">_xll.BDP(AA$68&amp;" "&amp;$C76&amp;" 50D VOL LME Comdty","PX_LAST")/100</f>
        <v>0.22370061874389649</v>
      </c>
      <c r="AC76" s="61" cm="1">
        <f t="array" aca="1" ref="AC76" ca="1">_xll.BDP(AA$68&amp;" "&amp;$C76&amp;" 25DC VOL LME Comdty","PX_LAST")/100</f>
        <v>0.22289936065673829</v>
      </c>
      <c r="AD76" s="61" cm="1">
        <f t="array" aca="1" ref="AD76" ca="1">_xll.BDP(AA$68&amp;" "&amp;$C76&amp;" 10DC VOL LME Comdty","PX_LAST")/100</f>
        <v>0.22399944305419922</v>
      </c>
      <c r="AE76" s="52">
        <f t="shared" ca="1" si="19"/>
        <v>0.2337006187438965</v>
      </c>
      <c r="AF76" s="53">
        <f t="shared" ca="1" si="20"/>
        <v>-1.7195510864257801E-2</v>
      </c>
      <c r="AG76" s="53">
        <f t="shared" ca="1" si="21"/>
        <v>-3.1094226837158179E-2</v>
      </c>
      <c r="AH76" s="53">
        <f t="shared" ca="1" si="22"/>
        <v>7.7964973449707042E-3</v>
      </c>
      <c r="AI76" s="72">
        <f t="shared" ca="1" si="23"/>
        <v>1.584593772888182E-2</v>
      </c>
      <c r="AJ76" s="53"/>
      <c r="AK76" s="71" cm="1">
        <f t="array" aca="1" ref="AK76" ca="1">_xll.BDP(AL$68&amp;" "&amp;$C76&amp;" 10DP VOL LME Comdty","PX_LAST")/100</f>
        <v>0.3215965270996094</v>
      </c>
      <c r="AL76" s="61" cm="1">
        <f t="array" aca="1" ref="AL76" ca="1">_xll.BDP(AL$68&amp;" "&amp;$C76&amp;" 25DP VOL LME Comdty","PX_LAST")/100</f>
        <v>0.31389781951904294</v>
      </c>
      <c r="AM76" s="48" cm="1">
        <f t="array" aca="1" ref="AM76" ca="1">_xll.BDP(AL$68&amp;" "&amp;$C76&amp;" 50D VOL LME Comdty","PX_LAST")/100</f>
        <v>0.30779979705810545</v>
      </c>
      <c r="AN76" s="61" cm="1">
        <f t="array" aca="1" ref="AN76" ca="1">_xll.BDP(AL$68&amp;" "&amp;$C76&amp;" 25DC VOL LME Comdty","PX_LAST")/100</f>
        <v>0.31719430923461917</v>
      </c>
      <c r="AO76" s="61" cm="1">
        <f t="array" aca="1" ref="AO76" ca="1">_xll.BDP(AL$68&amp;" "&amp;$C76&amp;" 10DC VOL LME Comdty","PX_LAST")/100</f>
        <v>0.32609489440917971</v>
      </c>
      <c r="AP76" s="52">
        <f t="shared" ca="1" si="24"/>
        <v>0.31779979705810546</v>
      </c>
      <c r="AQ76" s="53">
        <f t="shared" ca="1" si="25"/>
        <v>3.2964897155762229E-3</v>
      </c>
      <c r="AR76" s="53">
        <f t="shared" ca="1" si="26"/>
        <v>4.4983673095703169E-3</v>
      </c>
      <c r="AS76" s="53">
        <f t="shared" ca="1" si="27"/>
        <v>7.7462673187256303E-3</v>
      </c>
      <c r="AT76" s="72">
        <f t="shared" ca="1" si="28"/>
        <v>1.6045913696289105E-2</v>
      </c>
    </row>
    <row r="77" spans="1:46" x14ac:dyDescent="0.25">
      <c r="B77" s="1" cm="1">
        <f t="array" aca="1" ref="B77" ca="1">_xll.QDates_SpecificWeekday(EDATE(B76,1),"Wednesday",1)</f>
        <v>44202</v>
      </c>
      <c r="C77" t="str">
        <f t="shared" ca="1" si="29"/>
        <v>JAN21</v>
      </c>
      <c r="D77" s="71" cm="1">
        <f t="array" aca="1" ref="D77" ca="1">_xll.BDP(E$68&amp;" "&amp;$C77&amp;" 10DP VOL LME Comdty","PX_LAST")/100</f>
        <v>0.20179241180419921</v>
      </c>
      <c r="E77" s="61" cm="1">
        <f t="array" aca="1" ref="E77" ca="1">_xll.BDP(E$68&amp;" "&amp;$C77&amp;" 25DP VOL LME Comdty","PX_LAST")/100</f>
        <v>0.18439376831054688</v>
      </c>
      <c r="F77" s="48" cm="1">
        <f t="array" aca="1" ref="F77" ca="1">_xll.BDP(E$68&amp;" "&amp;$C77&amp;" 50D VOL LME Comdty","PX_LAST")/100</f>
        <v>0.16710054397583007</v>
      </c>
      <c r="G77" s="61" cm="1">
        <f t="array" aca="1" ref="G77" ca="1">_xll.BDP(E$68&amp;" "&amp;$C77&amp;" 25DC VOL LME Comdty","PX_LAST")/100</f>
        <v>0.16639865875244142</v>
      </c>
      <c r="H77" s="61" cm="1">
        <f t="array" aca="1" ref="H77" ca="1">_xll.BDP(E$68&amp;" "&amp;$C77&amp;" 10DC VOL LME Comdty","PX_LAST")/100</f>
        <v>0.16939811706542968</v>
      </c>
      <c r="I77" s="52">
        <f t="shared" ca="1" si="9"/>
        <v>0.17710054397583008</v>
      </c>
      <c r="J77" s="53">
        <f t="shared" ca="1" si="10"/>
        <v>-1.799510955810546E-2</v>
      </c>
      <c r="K77" s="53">
        <f t="shared" ca="1" si="11"/>
        <v>-3.2394294738769536E-2</v>
      </c>
      <c r="L77" s="53">
        <f t="shared" ca="1" si="12"/>
        <v>8.2956695556640758E-3</v>
      </c>
      <c r="M77" s="72">
        <f t="shared" ca="1" si="13"/>
        <v>1.8494720458984371E-2</v>
      </c>
      <c r="N77" s="53"/>
      <c r="O77" s="71" cm="1">
        <f t="array" aca="1" ref="O77" ca="1">_xll.BDP(P$68&amp;" "&amp;$C77&amp;" 10DP VOL LME Comdty","PX_LAST")/100</f>
        <v>0.26029121398925781</v>
      </c>
      <c r="P77" s="61" cm="1">
        <f t="array" aca="1" ref="P77" ca="1">_xll.BDP(P$68&amp;" "&amp;$C77&amp;" 25DP VOL LME Comdty","PX_LAST")/100</f>
        <v>0.23889301300048829</v>
      </c>
      <c r="Q77" s="48" cm="1">
        <f t="array" aca="1" ref="Q77" ca="1">_xll.BDP(P$68&amp;" "&amp;$C77&amp;" 50D VOL LME Comdty","PX_LAST")/100</f>
        <v>0.21640110015869141</v>
      </c>
      <c r="R77" s="61" cm="1">
        <f t="array" aca="1" ref="R77" ca="1">_xll.BDP(P$68&amp;" "&amp;$C77&amp;" 25DC VOL LME Comdty","PX_LAST")/100</f>
        <v>0.21259933471679687</v>
      </c>
      <c r="S77" s="61" cm="1">
        <f t="array" aca="1" ref="S77" ca="1">_xll.BDP(P$68&amp;" "&amp;$C77&amp;" 10DC VOL LME Comdty","PX_LAST")/100</f>
        <v>0.21459840774536132</v>
      </c>
      <c r="T77" s="52">
        <f t="shared" ca="1" si="14"/>
        <v>0.22640110015869142</v>
      </c>
      <c r="U77" s="53">
        <f t="shared" ca="1" si="15"/>
        <v>-2.6293678283691418E-2</v>
      </c>
      <c r="V77" s="53">
        <f t="shared" ca="1" si="16"/>
        <v>-4.5692806243896489E-2</v>
      </c>
      <c r="W77" s="53">
        <f t="shared" ca="1" si="17"/>
        <v>9.3450736999511896E-3</v>
      </c>
      <c r="X77" s="72">
        <f t="shared" ca="1" si="18"/>
        <v>2.1043710708618157E-2</v>
      </c>
      <c r="Y77" s="53"/>
      <c r="Z77" s="71" cm="1">
        <f t="array" aca="1" ref="Z77" ca="1">_xll.BDP(AA$68&amp;" "&amp;$C77&amp;" 10DP VOL LME Comdty","PX_LAST")/100</f>
        <v>0.25439348220825198</v>
      </c>
      <c r="AA77" s="61" cm="1">
        <f t="array" aca="1" ref="AA77" ca="1">_xll.BDP(AA$68&amp;" "&amp;$C77&amp;" 25DP VOL LME Comdty","PX_LAST")/100</f>
        <v>0.23919494628906249</v>
      </c>
      <c r="AB77" s="48" cm="1">
        <f t="array" aca="1" ref="AB77" ca="1">_xll.BDP(AA$68&amp;" "&amp;$C77&amp;" 50D VOL LME Comdty","PX_LAST")/100</f>
        <v>0.22300067901611328</v>
      </c>
      <c r="AC77" s="61" cm="1">
        <f t="array" aca="1" ref="AC77" ca="1">_xll.BDP(AA$68&amp;" "&amp;$C77&amp;" 25DC VOL LME Comdty","PX_LAST")/100</f>
        <v>0.22179994583129883</v>
      </c>
      <c r="AD77" s="61" cm="1">
        <f t="array" aca="1" ref="AD77" ca="1">_xll.BDP(AA$68&amp;" "&amp;$C77&amp;" 10DC VOL LME Comdty","PX_LAST")/100</f>
        <v>0.22060003280639648</v>
      </c>
      <c r="AE77" s="52">
        <f t="shared" ca="1" si="19"/>
        <v>0.23300067901611329</v>
      </c>
      <c r="AF77" s="53">
        <f t="shared" ca="1" si="20"/>
        <v>-1.7395000457763654E-2</v>
      </c>
      <c r="AG77" s="53">
        <f t="shared" ca="1" si="21"/>
        <v>-3.3793449401855497E-2</v>
      </c>
      <c r="AH77" s="53">
        <f t="shared" ca="1" si="22"/>
        <v>7.4967670440673762E-3</v>
      </c>
      <c r="AI77" s="72">
        <f t="shared" ca="1" si="23"/>
        <v>1.4496078491210956E-2</v>
      </c>
      <c r="AJ77" s="53"/>
      <c r="AK77" s="71" cm="1">
        <f t="array" aca="1" ref="AK77" ca="1">_xll.BDP(AL$68&amp;" "&amp;$C77&amp;" 10DP VOL LME Comdty","PX_LAST")/100</f>
        <v>0.31399688720703123</v>
      </c>
      <c r="AL77" s="61" cm="1">
        <f t="array" aca="1" ref="AL77" ca="1">_xll.BDP(AL$68&amp;" "&amp;$C77&amp;" 25DP VOL LME Comdty","PX_LAST")/100</f>
        <v>0.30799816131591795</v>
      </c>
      <c r="AM77" s="48" cm="1">
        <f t="array" aca="1" ref="AM77" ca="1">_xll.BDP(AL$68&amp;" "&amp;$C77&amp;" 50D VOL LME Comdty","PX_LAST")/100</f>
        <v>0.30309970855712892</v>
      </c>
      <c r="AN77" s="61" cm="1">
        <f t="array" aca="1" ref="AN77" ca="1">_xll.BDP(AL$68&amp;" "&amp;$C77&amp;" 25DC VOL LME Comdty","PX_LAST")/100</f>
        <v>0.31199462890625002</v>
      </c>
      <c r="AO77" s="61" cm="1">
        <f t="array" aca="1" ref="AO77" ca="1">_xll.BDP(AL$68&amp;" "&amp;$C77&amp;" 10DC VOL LME Comdty","PX_LAST")/100</f>
        <v>0.31959508895874023</v>
      </c>
      <c r="AP77" s="52">
        <f t="shared" ca="1" si="24"/>
        <v>0.31309970855712893</v>
      </c>
      <c r="AQ77" s="53">
        <f t="shared" ca="1" si="25"/>
        <v>3.9964675903320646E-3</v>
      </c>
      <c r="AR77" s="53">
        <f t="shared" ca="1" si="26"/>
        <v>5.5982017517089977E-3</v>
      </c>
      <c r="AS77" s="53">
        <f t="shared" ca="1" si="27"/>
        <v>6.8966865539550892E-3</v>
      </c>
      <c r="AT77" s="72">
        <f t="shared" ca="1" si="28"/>
        <v>1.3696279525756805E-2</v>
      </c>
    </row>
    <row r="78" spans="1:46" x14ac:dyDescent="0.25">
      <c r="B78" s="1" cm="1">
        <f t="array" aca="1" ref="B78" ca="1">_xll.QDates_SpecificWeekday(EDATE(B77,1),"Wednesday",1)</f>
        <v>44230</v>
      </c>
      <c r="C78" t="str">
        <f t="shared" ca="1" si="29"/>
        <v>FEB21</v>
      </c>
      <c r="D78" s="71" cm="1">
        <f t="array" aca="1" ref="D78" ca="1">_xll.BDP(E$68&amp;" "&amp;$C78&amp;" 10DP VOL LME Comdty","PX_LAST")/100</f>
        <v>0.19979301452636719</v>
      </c>
      <c r="E78" s="61" cm="1">
        <f t="array" aca="1" ref="E78" ca="1">_xll.BDP(E$68&amp;" "&amp;$C78&amp;" 25DP VOL LME Comdty","PX_LAST")/100</f>
        <v>0.18349424362182618</v>
      </c>
      <c r="F78" s="48" cm="1">
        <f t="array" aca="1" ref="F78" ca="1">_xll.BDP(E$68&amp;" "&amp;$C78&amp;" 50D VOL LME Comdty","PX_LAST")/100</f>
        <v>0.1667005729675293</v>
      </c>
      <c r="G78" s="61" cm="1">
        <f t="array" aca="1" ref="G78" ca="1">_xll.BDP(E$68&amp;" "&amp;$C78&amp;" 25DC VOL LME Comdty","PX_LAST")/100</f>
        <v>0.16619853973388671</v>
      </c>
      <c r="H78" s="61" cm="1">
        <f t="array" aca="1" ref="H78" ca="1">_xll.BDP(E$68&amp;" "&amp;$C78&amp;" 10DC VOL LME Comdty","PX_LAST")/100</f>
        <v>0.16939788818359375</v>
      </c>
      <c r="I78" s="52">
        <f t="shared" ca="1" si="9"/>
        <v>0.17670057296752931</v>
      </c>
      <c r="J78" s="53">
        <f t="shared" ca="1" si="10"/>
        <v>-1.7295703887939468E-2</v>
      </c>
      <c r="K78" s="53">
        <f t="shared" ca="1" si="11"/>
        <v>-3.0395126342773443E-2</v>
      </c>
      <c r="L78" s="53">
        <f t="shared" ca="1" si="12"/>
        <v>8.1458187103271296E-3</v>
      </c>
      <c r="M78" s="72">
        <f t="shared" ca="1" si="13"/>
        <v>1.7894878387451157E-2</v>
      </c>
      <c r="N78" s="53"/>
      <c r="O78" s="71" cm="1">
        <f t="array" aca="1" ref="O78" ca="1">_xll.BDP(P$68&amp;" "&amp;$C78&amp;" 10DP VOL LME Comdty","PX_LAST")/100</f>
        <v>0.25919143676757811</v>
      </c>
      <c r="P78" s="61" cm="1">
        <f t="array" aca="1" ref="P78" ca="1">_xll.BDP(P$68&amp;" "&amp;$C78&amp;" 25DP VOL LME Comdty","PX_LAST")/100</f>
        <v>0.23819332122802733</v>
      </c>
      <c r="Q78" s="48" cm="1">
        <f t="array" aca="1" ref="Q78" ca="1">_xll.BDP(P$68&amp;" "&amp;$C78&amp;" 50D VOL LME Comdty","PX_LAST")/100</f>
        <v>0.21620113372802735</v>
      </c>
      <c r="R78" s="61" cm="1">
        <f t="array" aca="1" ref="R78" ca="1">_xll.BDP(P$68&amp;" "&amp;$C78&amp;" 25DC VOL LME Comdty","PX_LAST")/100</f>
        <v>0.21269929885864258</v>
      </c>
      <c r="S78" s="61" cm="1">
        <f t="array" aca="1" ref="S78" ca="1">_xll.BDP(P$68&amp;" "&amp;$C78&amp;" 10DC VOL LME Comdty","PX_LAST")/100</f>
        <v>0.21479843139648438</v>
      </c>
      <c r="T78" s="52">
        <f t="shared" ca="1" si="14"/>
        <v>0.22620113372802736</v>
      </c>
      <c r="U78" s="53">
        <f t="shared" ca="1" si="15"/>
        <v>-2.549402236938475E-2</v>
      </c>
      <c r="V78" s="53">
        <f t="shared" ca="1" si="16"/>
        <v>-4.4393005371093724E-2</v>
      </c>
      <c r="W78" s="53">
        <f t="shared" ca="1" si="17"/>
        <v>9.2451763153076072E-3</v>
      </c>
      <c r="X78" s="72">
        <f t="shared" ca="1" si="18"/>
        <v>2.0793800354003911E-2</v>
      </c>
      <c r="Y78" s="53"/>
      <c r="Z78" s="71" cm="1">
        <f t="array" aca="1" ref="Z78" ca="1">_xll.BDP(AA$68&amp;" "&amp;$C78&amp;" 10DP VOL LME Comdty","PX_LAST")/100</f>
        <v>0.25449331283569337</v>
      </c>
      <c r="AA78" s="61" cm="1">
        <f t="array" aca="1" ref="AA78" ca="1">_xll.BDP(AA$68&amp;" "&amp;$C78&amp;" 25DP VOL LME Comdty","PX_LAST")/100</f>
        <v>0.23899494171142577</v>
      </c>
      <c r="AB78" s="48" cm="1">
        <f t="array" aca="1" ref="AB78" ca="1">_xll.BDP(AA$68&amp;" "&amp;$C78&amp;" 50D VOL LME Comdty","PX_LAST")/100</f>
        <v>0.22250072479248048</v>
      </c>
      <c r="AC78" s="61" cm="1">
        <f t="array" aca="1" ref="AC78" ca="1">_xll.BDP(AA$68&amp;" "&amp;$C78&amp;" 25DC VOL LME Comdty","PX_LAST")/100</f>
        <v>0.22120014190673828</v>
      </c>
      <c r="AD78" s="61" cm="1">
        <f t="array" aca="1" ref="AD78" ca="1">_xll.BDP(AA$68&amp;" "&amp;$C78&amp;" 10DC VOL LME Comdty","PX_LAST")/100</f>
        <v>0.22000015258789063</v>
      </c>
      <c r="AE78" s="52">
        <f t="shared" ca="1" si="19"/>
        <v>0.23250072479248049</v>
      </c>
      <c r="AF78" s="53">
        <f t="shared" ca="1" si="20"/>
        <v>-1.7794799804687483E-2</v>
      </c>
      <c r="AG78" s="53">
        <f t="shared" ca="1" si="21"/>
        <v>-3.4493160247802745E-2</v>
      </c>
      <c r="AH78" s="53">
        <f t="shared" ca="1" si="22"/>
        <v>7.5968170166015592E-3</v>
      </c>
      <c r="AI78" s="72">
        <f t="shared" ca="1" si="23"/>
        <v>1.4746007919311521E-2</v>
      </c>
      <c r="AJ78" s="53"/>
      <c r="AK78" s="71" cm="1">
        <f t="array" aca="1" ref="AK78" ca="1">_xll.BDP(AL$68&amp;" "&amp;$C78&amp;" 10DP VOL LME Comdty","PX_LAST")/100</f>
        <v>0.31269697189331053</v>
      </c>
      <c r="AL78" s="61" cm="1">
        <f t="array" aca="1" ref="AL78" ca="1">_xll.BDP(AL$68&amp;" "&amp;$C78&amp;" 25DP VOL LME Comdty","PX_LAST")/100</f>
        <v>0.30629829406738279</v>
      </c>
      <c r="AM78" s="48" cm="1">
        <f t="array" aca="1" ref="AM78" ca="1">_xll.BDP(AL$68&amp;" "&amp;$C78&amp;" 50D VOL LME Comdty","PX_LAST")/100</f>
        <v>0.30199970245361329</v>
      </c>
      <c r="AN78" s="61" cm="1">
        <f t="array" aca="1" ref="AN78" ca="1">_xll.BDP(AL$68&amp;" "&amp;$C78&amp;" 25DC VOL LME Comdty","PX_LAST")/100</f>
        <v>0.31069446563720704</v>
      </c>
      <c r="AO78" s="61" cm="1">
        <f t="array" aca="1" ref="AO78" ca="1">_xll.BDP(AL$68&amp;" "&amp;$C78&amp;" 10DC VOL LME Comdty","PX_LAST")/100</f>
        <v>0.31859493255615234</v>
      </c>
      <c r="AP78" s="52">
        <f t="shared" ca="1" si="24"/>
        <v>0.3119997024536133</v>
      </c>
      <c r="AQ78" s="53">
        <f t="shared" ca="1" si="25"/>
        <v>4.3961715698242476E-3</v>
      </c>
      <c r="AR78" s="53">
        <f t="shared" ca="1" si="26"/>
        <v>5.8979606628418169E-3</v>
      </c>
      <c r="AS78" s="53">
        <f t="shared" ca="1" si="27"/>
        <v>6.4966773986816495E-3</v>
      </c>
      <c r="AT78" s="72">
        <f t="shared" ca="1" si="28"/>
        <v>1.3646249771118169E-2</v>
      </c>
    </row>
    <row r="79" spans="1:46" x14ac:dyDescent="0.25">
      <c r="B79" s="1" cm="1">
        <f t="array" aca="1" ref="B79" ca="1">_xll.QDates_SpecificWeekday(EDATE(B78,1),"Wednesday",1)</f>
        <v>44258</v>
      </c>
      <c r="C79" t="str">
        <f t="shared" ca="1" si="29"/>
        <v>MAR21</v>
      </c>
      <c r="D79" s="71" cm="1">
        <f t="array" aca="1" ref="D79" ca="1">_xll.BDP(E$68&amp;" "&amp;$C79&amp;" 10DP VOL LME Comdty","PX_LAST")/100</f>
        <v>0.19699350357055664</v>
      </c>
      <c r="E79" s="61" cm="1">
        <f t="array" aca="1" ref="E79" ca="1">_xll.BDP(E$68&amp;" "&amp;$C79&amp;" 25DP VOL LME Comdty","PX_LAST")/100</f>
        <v>0.18199466705322265</v>
      </c>
      <c r="F79" s="48" cm="1">
        <f t="array" aca="1" ref="F79" ca="1">_xll.BDP(E$68&amp;" "&amp;$C79&amp;" 50D VOL LME Comdty","PX_LAST")/100</f>
        <v>0.16600057601928711</v>
      </c>
      <c r="G79" s="61" cm="1">
        <f t="array" aca="1" ref="G79" ca="1">_xll.BDP(E$68&amp;" "&amp;$C79&amp;" 25DC VOL LME Comdty","PX_LAST")/100</f>
        <v>0.16569837570190429</v>
      </c>
      <c r="H79" s="61" cm="1">
        <f t="array" aca="1" ref="H79" ca="1">_xll.BDP(E$68&amp;" "&amp;$C79&amp;" 10DC VOL LME Comdty","PX_LAST")/100</f>
        <v>0.16919769287109376</v>
      </c>
      <c r="I79" s="52">
        <f t="shared" ca="1" si="9"/>
        <v>0.17600057601928712</v>
      </c>
      <c r="J79" s="53">
        <f t="shared" ca="1" si="10"/>
        <v>-1.6296291351318354E-2</v>
      </c>
      <c r="K79" s="53">
        <f t="shared" ca="1" si="11"/>
        <v>-2.7795810699462881E-2</v>
      </c>
      <c r="L79" s="53">
        <f t="shared" ca="1" si="12"/>
        <v>7.8459453582763461E-3</v>
      </c>
      <c r="M79" s="72">
        <f t="shared" ca="1" si="13"/>
        <v>1.7095022201538107E-2</v>
      </c>
      <c r="N79" s="53"/>
      <c r="O79" s="71" cm="1">
        <f t="array" aca="1" ref="O79" ca="1">_xll.BDP(P$68&amp;" "&amp;$C79&amp;" 10DP VOL LME Comdty","PX_LAST")/100</f>
        <v>0.25769168853759766</v>
      </c>
      <c r="P79" s="61" cm="1">
        <f t="array" aca="1" ref="P79" ca="1">_xll.BDP(P$68&amp;" "&amp;$C79&amp;" 25DP VOL LME Comdty","PX_LAST")/100</f>
        <v>0.23719358444213867</v>
      </c>
      <c r="Q79" s="48" cm="1">
        <f t="array" aca="1" ref="Q79" ca="1">_xll.BDP(P$68&amp;" "&amp;$C79&amp;" 50D VOL LME Comdty","PX_LAST")/100</f>
        <v>0.21550115585327148</v>
      </c>
      <c r="R79" s="61" cm="1">
        <f t="array" aca="1" ref="R79" ca="1">_xll.BDP(P$68&amp;" "&amp;$C79&amp;" 25DC VOL LME Comdty","PX_LAST")/100</f>
        <v>0.21219924926757813</v>
      </c>
      <c r="S79" s="61" cm="1">
        <f t="array" aca="1" ref="S79" ca="1">_xll.BDP(P$68&amp;" "&amp;$C79&amp;" 10DC VOL LME Comdty","PX_LAST")/100</f>
        <v>0.21419843673706054</v>
      </c>
      <c r="T79" s="52">
        <f t="shared" ca="1" si="14"/>
        <v>0.22550115585327149</v>
      </c>
      <c r="U79" s="53">
        <f t="shared" ca="1" si="15"/>
        <v>-2.4994335174560539E-2</v>
      </c>
      <c r="V79" s="53">
        <f t="shared" ca="1" si="16"/>
        <v>-4.3493251800537119E-2</v>
      </c>
      <c r="W79" s="53">
        <f t="shared" ca="1" si="17"/>
        <v>9.1952610015869352E-3</v>
      </c>
      <c r="X79" s="72">
        <f t="shared" ca="1" si="18"/>
        <v>2.0443906784057636E-2</v>
      </c>
      <c r="Y79" s="53"/>
      <c r="Z79" s="71" cm="1">
        <f t="array" aca="1" ref="Z79" ca="1">_xll.BDP(AA$68&amp;" "&amp;$C79&amp;" 10DP VOL LME Comdty","PX_LAST")/100</f>
        <v>0.25669311523437499</v>
      </c>
      <c r="AA79" s="61" cm="1">
        <f t="array" aca="1" ref="AA79" ca="1">_xll.BDP(AA$68&amp;" "&amp;$C79&amp;" 25DP VOL LME Comdty","PX_LAST")/100</f>
        <v>0.24039482116699218</v>
      </c>
      <c r="AB79" s="48" cm="1">
        <f t="array" aca="1" ref="AB79" ca="1">_xll.BDP(AA$68&amp;" "&amp;$C79&amp;" 50D VOL LME Comdty","PX_LAST")/100</f>
        <v>0.2227008056640625</v>
      </c>
      <c r="AC79" s="61" cm="1">
        <f t="array" aca="1" ref="AC79" ca="1">_xll.BDP(AA$68&amp;" "&amp;$C79&amp;" 25DC VOL LME Comdty","PX_LAST")/100</f>
        <v>0.22150014877319335</v>
      </c>
      <c r="AD79" s="61" cm="1">
        <f t="array" aca="1" ref="AD79" ca="1">_xll.BDP(AA$68&amp;" "&amp;$C79&amp;" 10DC VOL LME Comdty","PX_LAST")/100</f>
        <v>0.2203001594543457</v>
      </c>
      <c r="AE79" s="52">
        <f t="shared" ca="1" si="19"/>
        <v>0.23270080566406251</v>
      </c>
      <c r="AF79" s="53">
        <f t="shared" ca="1" si="20"/>
        <v>-1.8894672393798828E-2</v>
      </c>
      <c r="AG79" s="53">
        <f t="shared" ca="1" si="21"/>
        <v>-3.6392955780029296E-2</v>
      </c>
      <c r="AH79" s="53">
        <f t="shared" ca="1" si="22"/>
        <v>8.2466793060302634E-3</v>
      </c>
      <c r="AI79" s="72">
        <f t="shared" ca="1" si="23"/>
        <v>1.5795831680297828E-2</v>
      </c>
      <c r="AJ79" s="53"/>
      <c r="AK79" s="71" cm="1">
        <f t="array" aca="1" ref="AK79" ca="1">_xll.BDP(AL$68&amp;" "&amp;$C79&amp;" 10DP VOL LME Comdty","PX_LAST")/100</f>
        <v>0.31259689331054685</v>
      </c>
      <c r="AL79" s="61" cm="1">
        <f t="array" aca="1" ref="AL79" ca="1">_xll.BDP(AL$68&amp;" "&amp;$C79&amp;" 25DP VOL LME Comdty","PX_LAST")/100</f>
        <v>0.30519819259643555</v>
      </c>
      <c r="AM79" s="48" cm="1">
        <f t="array" aca="1" ref="AM79" ca="1">_xll.BDP(AL$68&amp;" "&amp;$C79&amp;" 50D VOL LME Comdty","PX_LAST")/100</f>
        <v>0.30049966812133788</v>
      </c>
      <c r="AN79" s="61" cm="1">
        <f t="array" aca="1" ref="AN79" ca="1">_xll.BDP(AL$68&amp;" "&amp;$C79&amp;" 25DC VOL LME Comdty","PX_LAST")/100</f>
        <v>0.3097938346862793</v>
      </c>
      <c r="AO79" s="61" cm="1">
        <f t="array" aca="1" ref="AO79" ca="1">_xll.BDP(AL$68&amp;" "&amp;$C79&amp;" 10DC VOL LME Comdty","PX_LAST")/100</f>
        <v>0.31949453353881835</v>
      </c>
      <c r="AP79" s="52">
        <f t="shared" ca="1" si="24"/>
        <v>0.31049966812133789</v>
      </c>
      <c r="AQ79" s="53">
        <f t="shared" ca="1" si="25"/>
        <v>4.5956420898437544E-3</v>
      </c>
      <c r="AR79" s="53">
        <f t="shared" ca="1" si="26"/>
        <v>6.8976402282714955E-3</v>
      </c>
      <c r="AS79" s="53">
        <f t="shared" ca="1" si="27"/>
        <v>6.9963455200195424E-3</v>
      </c>
      <c r="AT79" s="72">
        <f t="shared" ca="1" si="28"/>
        <v>1.5546045303344691E-2</v>
      </c>
    </row>
    <row r="80" spans="1:46" x14ac:dyDescent="0.25">
      <c r="B80" s="1" cm="1">
        <f t="array" aca="1" ref="B80" ca="1">_xll.QDates_SpecificWeekday(EDATE(B79,1),"Wednesday",1)</f>
        <v>44293</v>
      </c>
      <c r="C80" t="str">
        <f t="shared" ca="1" si="29"/>
        <v>APR21</v>
      </c>
      <c r="D80" s="71" cm="1">
        <f t="array" aca="1" ref="D80" ca="1">_xll.BDP(E$68&amp;" "&amp;$C80&amp;" 10DP VOL LME Comdty","PX_LAST")/100</f>
        <v>0.19499393463134765</v>
      </c>
      <c r="E80" s="61" cm="1">
        <f t="array" aca="1" ref="E80" ca="1">_xll.BDP(E$68&amp;" "&amp;$C80&amp;" 25DP VOL LME Comdty","PX_LAST")/100</f>
        <v>0.18089506149291992</v>
      </c>
      <c r="F80" s="48" cm="1">
        <f t="array" aca="1" ref="F80" ca="1">_xll.BDP(E$68&amp;" "&amp;$C80&amp;" 50D VOL LME Comdty","PX_LAST")/100</f>
        <v>0.16570056915283204</v>
      </c>
      <c r="G80" s="61" cm="1">
        <f t="array" aca="1" ref="G80" ca="1">_xll.BDP(E$68&amp;" "&amp;$C80&amp;" 25DC VOL LME Comdty","PX_LAST")/100</f>
        <v>0.16559820175170897</v>
      </c>
      <c r="H80" s="61" cm="1">
        <f t="array" aca="1" ref="H80" ca="1">_xll.BDP(E$68&amp;" "&amp;$C80&amp;" 10DC VOL LME Comdty","PX_LAST")/100</f>
        <v>0.16949748992919922</v>
      </c>
      <c r="I80" s="52">
        <f t="shared" ca="1" si="9"/>
        <v>0.17570056915283205</v>
      </c>
      <c r="J80" s="53">
        <f t="shared" ca="1" si="10"/>
        <v>-1.529685974121095E-2</v>
      </c>
      <c r="K80" s="53">
        <f t="shared" ca="1" si="11"/>
        <v>-2.549644470214843E-2</v>
      </c>
      <c r="L80" s="53">
        <f t="shared" ca="1" si="12"/>
        <v>7.5460624694824174E-3</v>
      </c>
      <c r="M80" s="72">
        <f t="shared" ca="1" si="13"/>
        <v>1.6545143127441375E-2</v>
      </c>
      <c r="N80" s="53"/>
      <c r="O80" s="71" cm="1">
        <f t="array" aca="1" ref="O80" ca="1">_xll.BDP(P$68&amp;" "&amp;$C80&amp;" 10DP VOL LME Comdty","PX_LAST")/100</f>
        <v>0.25389204025268552</v>
      </c>
      <c r="P80" s="61" cm="1">
        <f t="array" aca="1" ref="P80" ca="1">_xll.BDP(P$68&amp;" "&amp;$C80&amp;" 25DP VOL LME Comdty","PX_LAST")/100</f>
        <v>0.23449396133422851</v>
      </c>
      <c r="Q80" s="48" cm="1">
        <f t="array" aca="1" ref="Q80" ca="1">_xll.BDP(P$68&amp;" "&amp;$C80&amp;" 50D VOL LME Comdty","PX_LAST")/100</f>
        <v>0.21340116500854492</v>
      </c>
      <c r="R80" s="61" cm="1">
        <f t="array" aca="1" ref="R80" ca="1">_xll.BDP(P$68&amp;" "&amp;$C80&amp;" 25DC VOL LME Comdty","PX_LAST")/100</f>
        <v>0.21029924392700194</v>
      </c>
      <c r="S80" s="61" cm="1">
        <f t="array" aca="1" ref="S80" ca="1">_xll.BDP(P$68&amp;" "&amp;$C80&amp;" 10DC VOL LME Comdty","PX_LAST")/100</f>
        <v>0.21229850769042968</v>
      </c>
      <c r="T80" s="52">
        <f t="shared" ca="1" si="14"/>
        <v>0.22340116500854493</v>
      </c>
      <c r="U80" s="53">
        <f t="shared" ca="1" si="15"/>
        <v>-2.4194717407226563E-2</v>
      </c>
      <c r="V80" s="53">
        <f t="shared" ca="1" si="16"/>
        <v>-4.1593532562255842E-2</v>
      </c>
      <c r="W80" s="53">
        <f t="shared" ca="1" si="17"/>
        <v>8.9954376220703069E-3</v>
      </c>
      <c r="X80" s="72">
        <f t="shared" ca="1" si="18"/>
        <v>1.9694108963012685E-2</v>
      </c>
      <c r="Y80" s="53"/>
      <c r="Z80" s="71" cm="1">
        <f t="array" aca="1" ref="Z80" ca="1">_xll.BDP(AA$68&amp;" "&amp;$C80&amp;" 10DP VOL LME Comdty","PX_LAST")/100</f>
        <v>0.25769287109375</v>
      </c>
      <c r="AA80" s="61" cm="1">
        <f t="array" aca="1" ref="AA80" ca="1">_xll.BDP(AA$68&amp;" "&amp;$C80&amp;" 25DP VOL LME Comdty","PX_LAST")/100</f>
        <v>0.2402947425842285</v>
      </c>
      <c r="AB80" s="48" cm="1">
        <f t="array" aca="1" ref="AB80" ca="1">_xll.BDP(AA$68&amp;" "&amp;$C80&amp;" 50D VOL LME Comdty","PX_LAST")/100</f>
        <v>0.2222008514404297</v>
      </c>
      <c r="AC80" s="61" cm="1">
        <f t="array" aca="1" ref="AC80" ca="1">_xll.BDP(AA$68&amp;" "&amp;$C80&amp;" 25DC VOL LME Comdty","PX_LAST")/100</f>
        <v>0.22090009689331055</v>
      </c>
      <c r="AD80" s="61" cm="1">
        <f t="array" aca="1" ref="AD80" ca="1">_xll.BDP(AA$68&amp;" "&amp;$C80&amp;" 10DC VOL LME Comdty","PX_LAST")/100</f>
        <v>0.21990013122558594</v>
      </c>
      <c r="AE80" s="52">
        <f t="shared" ca="1" si="19"/>
        <v>0.23220085144042971</v>
      </c>
      <c r="AF80" s="53">
        <f t="shared" ca="1" si="20"/>
        <v>-1.939464569091795E-2</v>
      </c>
      <c r="AG80" s="53">
        <f t="shared" ca="1" si="21"/>
        <v>-3.779273986816406E-2</v>
      </c>
      <c r="AH80" s="53">
        <f t="shared" ca="1" si="22"/>
        <v>8.3965682983398182E-3</v>
      </c>
      <c r="AI80" s="72">
        <f t="shared" ca="1" si="23"/>
        <v>1.659564971923827E-2</v>
      </c>
      <c r="AJ80" s="53"/>
      <c r="AK80" s="71" cm="1">
        <f t="array" aca="1" ref="AK80" ca="1">_xll.BDP(AL$68&amp;" "&amp;$C80&amp;" 10DP VOL LME Comdty","PX_LAST")/100</f>
        <v>0.31149688720703123</v>
      </c>
      <c r="AL80" s="61" cm="1">
        <f t="array" aca="1" ref="AL80" ca="1">_xll.BDP(AL$68&amp;" "&amp;$C80&amp;" 25DP VOL LME Comdty","PX_LAST")/100</f>
        <v>0.30419830322265623</v>
      </c>
      <c r="AM80" s="48" cm="1">
        <f t="array" aca="1" ref="AM80" ca="1">_xll.BDP(AL$68&amp;" "&amp;$C80&amp;" 50D VOL LME Comdty","PX_LAST")/100</f>
        <v>0.299699649810791</v>
      </c>
      <c r="AN80" s="61" cm="1">
        <f t="array" aca="1" ref="AN80" ca="1">_xll.BDP(AL$68&amp;" "&amp;$C80&amp;" 25DC VOL LME Comdty","PX_LAST")/100</f>
        <v>0.30899358749389649</v>
      </c>
      <c r="AO80" s="61" cm="1">
        <f t="array" aca="1" ref="AO80" ca="1">_xll.BDP(AL$68&amp;" "&amp;$C80&amp;" 10DC VOL LME Comdty","PX_LAST")/100</f>
        <v>0.31879419326782227</v>
      </c>
      <c r="AP80" s="52">
        <f t="shared" ca="1" si="24"/>
        <v>0.30969964981079101</v>
      </c>
      <c r="AQ80" s="53">
        <f t="shared" ca="1" si="25"/>
        <v>4.7952842712402632E-3</v>
      </c>
      <c r="AR80" s="53">
        <f t="shared" ca="1" si="26"/>
        <v>7.2973060607910423E-3</v>
      </c>
      <c r="AS80" s="53">
        <f t="shared" ca="1" si="27"/>
        <v>6.8962955474853871E-3</v>
      </c>
      <c r="AT80" s="72">
        <f t="shared" ca="1" si="28"/>
        <v>1.5445890426635744E-2</v>
      </c>
    </row>
    <row r="81" spans="2:46" x14ac:dyDescent="0.25">
      <c r="B81" s="1" cm="1">
        <f t="array" aca="1" ref="B81" ca="1">_xll.QDates_SpecificWeekday(EDATE(B80,1),"Wednesday",1)</f>
        <v>44321</v>
      </c>
      <c r="C81" t="str">
        <f t="shared" ca="1" si="29"/>
        <v>MAY21</v>
      </c>
      <c r="D81" s="71" cm="1">
        <f t="array" aca="1" ref="D81" ca="1">_xll.BDP(E$68&amp;" "&amp;$C81&amp;" 10DP VOL LME Comdty","PX_LAST")/100</f>
        <v>0.19229412078857422</v>
      </c>
      <c r="E81" s="61" cm="1">
        <f t="array" aca="1" ref="E81" ca="1">_xll.BDP(E$68&amp;" "&amp;$C81&amp;" 25DP VOL LME Comdty","PX_LAST")/100</f>
        <v>0.17849536895751952</v>
      </c>
      <c r="F81" s="48" cm="1">
        <f t="array" aca="1" ref="F81" ca="1">_xll.BDP(E$68&amp;" "&amp;$C81&amp;" 50D VOL LME Comdty","PX_LAST")/100</f>
        <v>0.16460052490234375</v>
      </c>
      <c r="G81" s="61" cm="1">
        <f t="array" aca="1" ref="G81" ca="1">_xll.BDP(E$68&amp;" "&amp;$C81&amp;" 25DC VOL LME Comdty","PX_LAST")/100</f>
        <v>0.16489809036254882</v>
      </c>
      <c r="H81" s="61" cm="1">
        <f t="array" aca="1" ref="H81" ca="1">_xll.BDP(E$68&amp;" "&amp;$C81&amp;" 10DC VOL LME Comdty","PX_LAST")/100</f>
        <v>0.16899747848510743</v>
      </c>
      <c r="I81" s="52">
        <f t="shared" ca="1" si="9"/>
        <v>0.17460052490234376</v>
      </c>
      <c r="J81" s="53">
        <f t="shared" ca="1" si="10"/>
        <v>-1.3597278594970702E-2</v>
      </c>
      <c r="K81" s="53">
        <f t="shared" ca="1" si="11"/>
        <v>-2.3296642303466786E-2</v>
      </c>
      <c r="L81" s="53">
        <f t="shared" ca="1" si="12"/>
        <v>7.096204757690433E-3</v>
      </c>
      <c r="M81" s="72">
        <f t="shared" ca="1" si="13"/>
        <v>1.6045274734497073E-2</v>
      </c>
      <c r="N81" s="53"/>
      <c r="O81" s="71" cm="1">
        <f t="array" aca="1" ref="O81" ca="1">_xll.BDP(P$68&amp;" "&amp;$C81&amp;" 10DP VOL LME Comdty","PX_LAST")/100</f>
        <v>0.25149225234985351</v>
      </c>
      <c r="P81" s="61" cm="1">
        <f t="array" aca="1" ref="P81" ca="1">_xll.BDP(P$68&amp;" "&amp;$C81&amp;" 25DP VOL LME Comdty","PX_LAST")/100</f>
        <v>0.23259416580200196</v>
      </c>
      <c r="Q81" s="48" cm="1">
        <f t="array" aca="1" ref="Q81" ca="1">_xll.BDP(P$68&amp;" "&amp;$C81&amp;" 50D VOL LME Comdty","PX_LAST")/100</f>
        <v>0.21180118560791017</v>
      </c>
      <c r="R81" s="61" cm="1">
        <f t="array" aca="1" ref="R81" ca="1">_xll.BDP(P$68&amp;" "&amp;$C81&amp;" 25DC VOL LME Comdty","PX_LAST")/100</f>
        <v>0.20879922866821288</v>
      </c>
      <c r="S81" s="61" cm="1">
        <f t="array" aca="1" ref="S81" ca="1">_xll.BDP(P$68&amp;" "&amp;$C81&amp;" 10DC VOL LME Comdty","PX_LAST")/100</f>
        <v>0.2107985496520996</v>
      </c>
      <c r="T81" s="52">
        <f t="shared" ca="1" si="14"/>
        <v>0.22180118560791018</v>
      </c>
      <c r="U81" s="53">
        <f t="shared" ca="1" si="15"/>
        <v>-2.3794937133789079E-2</v>
      </c>
      <c r="V81" s="53">
        <f t="shared" ca="1" si="16"/>
        <v>-4.0693702697753908E-2</v>
      </c>
      <c r="W81" s="53">
        <f t="shared" ca="1" si="17"/>
        <v>8.8955116271972612E-3</v>
      </c>
      <c r="X81" s="72">
        <f t="shared" ca="1" si="18"/>
        <v>1.9344215393066383E-2</v>
      </c>
      <c r="Y81" s="53"/>
      <c r="Z81" s="71" cm="1">
        <f t="array" aca="1" ref="Z81" ca="1">_xll.BDP(AA$68&amp;" "&amp;$C81&amp;" 10DP VOL LME Comdty","PX_LAST")/100</f>
        <v>0.25809270858764649</v>
      </c>
      <c r="AA81" s="61" cm="1">
        <f t="array" aca="1" ref="AA81" ca="1">_xll.BDP(AA$68&amp;" "&amp;$C81&amp;" 25DP VOL LME Comdty","PX_LAST")/100</f>
        <v>0.24039472579956056</v>
      </c>
      <c r="AB81" s="48" cm="1">
        <f t="array" aca="1" ref="AB81" ca="1">_xll.BDP(AA$68&amp;" "&amp;$C81&amp;" 50D VOL LME Comdty","PX_LAST")/100</f>
        <v>0.22210090637207031</v>
      </c>
      <c r="AC81" s="61" cm="1">
        <f t="array" aca="1" ref="AC81" ca="1">_xll.BDP(AA$68&amp;" "&amp;$C81&amp;" 25DC VOL LME Comdty","PX_LAST")/100</f>
        <v>0.22070005416870117</v>
      </c>
      <c r="AD81" s="61" cm="1">
        <f t="array" aca="1" ref="AD81" ca="1">_xll.BDP(AA$68&amp;" "&amp;$C81&amp;" 10DC VOL LME Comdty","PX_LAST")/100</f>
        <v>0.21990009307861327</v>
      </c>
      <c r="AE81" s="52">
        <f t="shared" ca="1" si="19"/>
        <v>0.23210090637207031</v>
      </c>
      <c r="AF81" s="53">
        <f t="shared" ca="1" si="20"/>
        <v>-1.9694671630859389E-2</v>
      </c>
      <c r="AG81" s="53">
        <f t="shared" ca="1" si="21"/>
        <v>-3.8192615509033218E-2</v>
      </c>
      <c r="AH81" s="53">
        <f t="shared" ca="1" si="22"/>
        <v>8.4464836120605735E-3</v>
      </c>
      <c r="AI81" s="72">
        <f t="shared" ca="1" si="23"/>
        <v>1.689549446105959E-2</v>
      </c>
      <c r="AJ81" s="53"/>
      <c r="AK81" s="71" cm="1">
        <f t="array" aca="1" ref="AK81" ca="1">_xll.BDP(AL$68&amp;" "&amp;$C81&amp;" 10DP VOL LME Comdty","PX_LAST")/100</f>
        <v>0.31019697189331052</v>
      </c>
      <c r="AL81" s="61" cm="1">
        <f t="array" aca="1" ref="AL81" ca="1">_xll.BDP(AL$68&amp;" "&amp;$C81&amp;" 25DP VOL LME Comdty","PX_LAST")/100</f>
        <v>0.30299837112426758</v>
      </c>
      <c r="AM81" s="48" cm="1">
        <f t="array" aca="1" ref="AM81" ca="1">_xll.BDP(AL$68&amp;" "&amp;$C81&amp;" 50D VOL LME Comdty","PX_LAST")/100</f>
        <v>0.29859964370727538</v>
      </c>
      <c r="AN81" s="61" cm="1">
        <f t="array" aca="1" ref="AN81" ca="1">_xll.BDP(AL$68&amp;" "&amp;$C81&amp;" 25DC VOL LME Comdty","PX_LAST")/100</f>
        <v>0.30789339065551757</v>
      </c>
      <c r="AO81" s="61" cm="1">
        <f t="array" aca="1" ref="AO81" ca="1">_xll.BDP(AL$68&amp;" "&amp;$C81&amp;" 10DC VOL LME Comdty","PX_LAST")/100</f>
        <v>0.31779403686523439</v>
      </c>
      <c r="AP81" s="52">
        <f t="shared" ca="1" si="24"/>
        <v>0.30859964370727538</v>
      </c>
      <c r="AQ81" s="53">
        <f t="shared" ca="1" si="25"/>
        <v>4.8950195312499889E-3</v>
      </c>
      <c r="AR81" s="53">
        <f t="shared" ca="1" si="26"/>
        <v>7.5970649719238614E-3</v>
      </c>
      <c r="AS81" s="53">
        <f t="shared" ca="1" si="27"/>
        <v>6.8462371826171764E-3</v>
      </c>
      <c r="AT81" s="72">
        <f t="shared" ca="1" si="28"/>
        <v>1.5395860671997108E-2</v>
      </c>
    </row>
    <row r="82" spans="2:46" x14ac:dyDescent="0.25">
      <c r="B82" s="1" cm="1">
        <f t="array" aca="1" ref="B82" ca="1">_xll.QDates_SpecificWeekday(EDATE(B81,1),"Wednesday",1)</f>
        <v>44349</v>
      </c>
      <c r="C82" t="str">
        <f t="shared" ca="1" si="29"/>
        <v>JUN21</v>
      </c>
      <c r="D82" s="71" cm="1">
        <f t="array" aca="1" ref="D82" ca="1">_xll.BDP(E$68&amp;" "&amp;$C82&amp;" 10DP VOL LME Comdty","PX_LAST")/100</f>
        <v>0.19079429626464844</v>
      </c>
      <c r="E82" s="61" cm="1">
        <f t="array" aca="1" ref="E82" ca="1">_xll.BDP(E$68&amp;" "&amp;$C82&amp;" 25DP VOL LME Comdty","PX_LAST")/100</f>
        <v>0.17759559631347657</v>
      </c>
      <c r="F82" s="48" cm="1">
        <f t="array" aca="1" ref="F82" ca="1">_xll.BDP(E$68&amp;" "&amp;$C82&amp;" 50D VOL LME Comdty","PX_LAST")/100</f>
        <v>0.16420051574707031</v>
      </c>
      <c r="G82" s="61" cm="1">
        <f t="array" aca="1" ref="G82" ca="1">_xll.BDP(E$68&amp;" "&amp;$C82&amp;" 25DC VOL LME Comdty","PX_LAST")/100</f>
        <v>0.16479799270629883</v>
      </c>
      <c r="H82" s="61" cm="1">
        <f t="array" aca="1" ref="H82" ca="1">_xll.BDP(E$68&amp;" "&amp;$C82&amp;" 10DC VOL LME Comdty","PX_LAST")/100</f>
        <v>0.16899749755859375</v>
      </c>
      <c r="I82" s="52">
        <f t="shared" ca="1" si="9"/>
        <v>0.17420051574707032</v>
      </c>
      <c r="J82" s="53">
        <f t="shared" ca="1" si="10"/>
        <v>-1.2797603607177743E-2</v>
      </c>
      <c r="K82" s="53">
        <f t="shared" ca="1" si="11"/>
        <v>-2.1796798706054693E-2</v>
      </c>
      <c r="L82" s="53">
        <f t="shared" ca="1" si="12"/>
        <v>6.9962787628173873E-3</v>
      </c>
      <c r="M82" s="72">
        <f t="shared" ca="1" si="13"/>
        <v>1.5695381164550798E-2</v>
      </c>
      <c r="N82" s="53"/>
      <c r="O82" s="71" cm="1">
        <f t="array" aca="1" ref="O82" ca="1">_xll.BDP(P$68&amp;" "&amp;$C82&amp;" 10DP VOL LME Comdty","PX_LAST")/100</f>
        <v>0.24979238510131835</v>
      </c>
      <c r="P82" s="61" cm="1">
        <f t="array" aca="1" ref="P82" ca="1">_xll.BDP(P$68&amp;" "&amp;$C82&amp;" 25DP VOL LME Comdty","PX_LAST")/100</f>
        <v>0.23089427947998048</v>
      </c>
      <c r="Q82" s="48" cm="1">
        <f t="array" aca="1" ref="Q82" ca="1">_xll.BDP(P$68&amp;" "&amp;$C82&amp;" 50D VOL LME Comdty","PX_LAST")/100</f>
        <v>0.21030122756958008</v>
      </c>
      <c r="R82" s="61" cm="1">
        <f t="array" aca="1" ref="R82" ca="1">_xll.BDP(P$68&amp;" "&amp;$C82&amp;" 25DC VOL LME Comdty","PX_LAST")/100</f>
        <v>0.20739927291870117</v>
      </c>
      <c r="S82" s="61" cm="1">
        <f t="array" aca="1" ref="S82" ca="1">_xll.BDP(P$68&amp;" "&amp;$C82&amp;" 10DC VOL LME Comdty","PX_LAST")/100</f>
        <v>0.20919862747192383</v>
      </c>
      <c r="T82" s="52">
        <f t="shared" ca="1" si="14"/>
        <v>0.22030122756958009</v>
      </c>
      <c r="U82" s="53">
        <f t="shared" ca="1" si="15"/>
        <v>-2.3495006561279314E-2</v>
      </c>
      <c r="V82" s="53">
        <f t="shared" ca="1" si="16"/>
        <v>-4.0593757629394517E-2</v>
      </c>
      <c r="W82" s="53">
        <f t="shared" ca="1" si="17"/>
        <v>8.8455486297607244E-3</v>
      </c>
      <c r="X82" s="72">
        <f t="shared" ca="1" si="18"/>
        <v>1.9194278717040991E-2</v>
      </c>
      <c r="Y82" s="53"/>
      <c r="Z82" s="71" cm="1">
        <f t="array" aca="1" ref="Z82" ca="1">_xll.BDP(AA$68&amp;" "&amp;$C82&amp;" 10DP VOL LME Comdty","PX_LAST")/100</f>
        <v>0.25859264373779295</v>
      </c>
      <c r="AA82" s="61" cm="1">
        <f t="array" aca="1" ref="AA82" ca="1">_xll.BDP(AA$68&amp;" "&amp;$C82&amp;" 25DP VOL LME Comdty","PX_LAST")/100</f>
        <v>0.24069473266601563</v>
      </c>
      <c r="AB82" s="48" cm="1">
        <f t="array" aca="1" ref="AB82" ca="1">_xll.BDP(AA$68&amp;" "&amp;$C82&amp;" 50D VOL LME Comdty","PX_LAST")/100</f>
        <v>0.22200098037719726</v>
      </c>
      <c r="AC82" s="61" cm="1">
        <f t="array" aca="1" ref="AC82" ca="1">_xll.BDP(AA$68&amp;" "&amp;$C82&amp;" 25DC VOL LME Comdty","PX_LAST")/100</f>
        <v>0.22050004959106445</v>
      </c>
      <c r="AD82" s="61" cm="1">
        <f t="array" aca="1" ref="AD82" ca="1">_xll.BDP(AA$68&amp;" "&amp;$C82&amp;" 10DC VOL LME Comdty","PX_LAST")/100</f>
        <v>0.21980009078979493</v>
      </c>
      <c r="AE82" s="52">
        <f t="shared" ca="1" si="19"/>
        <v>0.23200098037719727</v>
      </c>
      <c r="AF82" s="53">
        <f t="shared" ca="1" si="20"/>
        <v>-2.0194683074951175E-2</v>
      </c>
      <c r="AG82" s="53">
        <f t="shared" ca="1" si="21"/>
        <v>-3.8792552947998021E-2</v>
      </c>
      <c r="AH82" s="53">
        <f t="shared" ca="1" si="22"/>
        <v>8.5964107513427923E-3</v>
      </c>
      <c r="AI82" s="72">
        <f t="shared" ca="1" si="23"/>
        <v>1.7195386886596692E-2</v>
      </c>
      <c r="AJ82" s="53"/>
      <c r="AK82" s="71" cm="1">
        <f t="array" aca="1" ref="AK82" ca="1">_xll.BDP(AL$68&amp;" "&amp;$C82&amp;" 10DP VOL LME Comdty","PX_LAST")/100</f>
        <v>0.30939708709716796</v>
      </c>
      <c r="AL82" s="61" cm="1">
        <f t="array" aca="1" ref="AL82" ca="1">_xll.BDP(AL$68&amp;" "&amp;$C82&amp;" 25DP VOL LME Comdty","PX_LAST")/100</f>
        <v>0.30259843826293947</v>
      </c>
      <c r="AM82" s="48" cm="1">
        <f t="array" aca="1" ref="AM82" ca="1">_xll.BDP(AL$68&amp;" "&amp;$C82&amp;" 50D VOL LME Comdty","PX_LAST")/100</f>
        <v>0.29789966583251953</v>
      </c>
      <c r="AN82" s="61" cm="1">
        <f t="array" aca="1" ref="AN82" ca="1">_xll.BDP(AL$68&amp;" "&amp;$C82&amp;" 25DC VOL LME Comdty","PX_LAST")/100</f>
        <v>0.30749319076538084</v>
      </c>
      <c r="AO82" s="61" cm="1">
        <f t="array" aca="1" ref="AO82" ca="1">_xll.BDP(AL$68&amp;" "&amp;$C82&amp;" 10DC VOL LME Comdty","PX_LAST")/100</f>
        <v>0.31759391784667967</v>
      </c>
      <c r="AP82" s="52">
        <f t="shared" ca="1" si="24"/>
        <v>0.30789966583251954</v>
      </c>
      <c r="AQ82" s="53">
        <f t="shared" ca="1" si="25"/>
        <v>4.8947525024413685E-3</v>
      </c>
      <c r="AR82" s="53">
        <f t="shared" ca="1" si="26"/>
        <v>8.1968307495117188E-3</v>
      </c>
      <c r="AS82" s="53">
        <f t="shared" ca="1" si="27"/>
        <v>7.1461486816405961E-3</v>
      </c>
      <c r="AT82" s="72">
        <f t="shared" ca="1" si="28"/>
        <v>1.5595836639404281E-2</v>
      </c>
    </row>
    <row r="83" spans="2:46" x14ac:dyDescent="0.25">
      <c r="B83" s="1" cm="1">
        <f t="array" aca="1" ref="B83" ca="1">_xll.QDates_SpecificWeekday(EDATE(B82,1),"Wednesday",1)</f>
        <v>44384</v>
      </c>
      <c r="C83" t="str">
        <f t="shared" ca="1" si="29"/>
        <v>JUL21</v>
      </c>
      <c r="D83" s="71" cm="1">
        <f t="array" aca="1" ref="D83" ca="1">_xll.BDP(E$68&amp;" "&amp;$C83&amp;" 10DP VOL LME Comdty","PX_LAST")/100</f>
        <v>0.19019462585449218</v>
      </c>
      <c r="E83" s="61" cm="1">
        <f t="array" aca="1" ref="E83" ca="1">_xll.BDP(E$68&amp;" "&amp;$C83&amp;" 25DP VOL LME Comdty","PX_LAST")/100</f>
        <v>0.17729570388793944</v>
      </c>
      <c r="F83" s="48" cm="1">
        <f t="array" aca="1" ref="F83" ca="1">_xll.BDP(E$68&amp;" "&amp;$C83&amp;" 50D VOL LME Comdty","PX_LAST")/100</f>
        <v>0.16340055465698242</v>
      </c>
      <c r="G83" s="61" cm="1">
        <f t="array" aca="1" ref="G83" ca="1">_xll.BDP(E$68&amp;" "&amp;$C83&amp;" 25DC VOL LME Comdty","PX_LAST")/100</f>
        <v>0.16409803390502931</v>
      </c>
      <c r="H83" s="61" cm="1">
        <f t="array" aca="1" ref="H83" ca="1">_xll.BDP(E$68&amp;" "&amp;$C83&amp;" 10DC VOL LME Comdty","PX_LAST")/100</f>
        <v>0.16769746780395509</v>
      </c>
      <c r="I83" s="52">
        <f t="shared" ca="1" si="9"/>
        <v>0.17340055465698243</v>
      </c>
      <c r="J83" s="53">
        <f t="shared" ca="1" si="10"/>
        <v>-1.3197669982910137E-2</v>
      </c>
      <c r="K83" s="53">
        <f t="shared" ca="1" si="11"/>
        <v>-2.2497158050537092E-2</v>
      </c>
      <c r="L83" s="53">
        <f t="shared" ca="1" si="12"/>
        <v>7.296314239501972E-3</v>
      </c>
      <c r="M83" s="72">
        <f t="shared" ca="1" si="13"/>
        <v>1.5545492172241215E-2</v>
      </c>
      <c r="N83" s="53"/>
      <c r="O83" s="71" cm="1">
        <f t="array" aca="1" ref="O83" ca="1">_xll.BDP(P$68&amp;" "&amp;$C83&amp;" 10DP VOL LME Comdty","PX_LAST")/100</f>
        <v>0.24989257812499999</v>
      </c>
      <c r="P83" s="61" cm="1">
        <f t="array" aca="1" ref="P83" ca="1">_xll.BDP(P$68&amp;" "&amp;$C83&amp;" 25DP VOL LME Comdty","PX_LAST")/100</f>
        <v>0.23079431533813477</v>
      </c>
      <c r="Q83" s="48" cm="1">
        <f t="array" aca="1" ref="Q83" ca="1">_xll.BDP(P$68&amp;" "&amp;$C83&amp;" 50D VOL LME Comdty","PX_LAST")/100</f>
        <v>0.2092013168334961</v>
      </c>
      <c r="R83" s="61" cm="1">
        <f t="array" aca="1" ref="R83" ca="1">_xll.BDP(P$68&amp;" "&amp;$C83&amp;" 25DC VOL LME Comdty","PX_LAST")/100</f>
        <v>0.20619924545288085</v>
      </c>
      <c r="S83" s="61" cm="1">
        <f t="array" aca="1" ref="S83" ca="1">_xll.BDP(P$68&amp;" "&amp;$C83&amp;" 10DC VOL LME Comdty","PX_LAST")/100</f>
        <v>0.20799854278564453</v>
      </c>
      <c r="T83" s="52">
        <f t="shared" ca="1" si="14"/>
        <v>0.21920131683349611</v>
      </c>
      <c r="U83" s="53">
        <f t="shared" ca="1" si="15"/>
        <v>-2.4595069885253923E-2</v>
      </c>
      <c r="V83" s="53">
        <f t="shared" ca="1" si="16"/>
        <v>-4.1894035339355457E-2</v>
      </c>
      <c r="W83" s="53">
        <f t="shared" ca="1" si="17"/>
        <v>9.295463562011691E-3</v>
      </c>
      <c r="X83" s="72">
        <f t="shared" ca="1" si="18"/>
        <v>1.9744243621826169E-2</v>
      </c>
      <c r="Y83" s="53"/>
      <c r="Z83" s="71" cm="1">
        <f t="array" aca="1" ref="Z83" ca="1">_xll.BDP(AA$68&amp;" "&amp;$C83&amp;" 10DP VOL LME Comdty","PX_LAST")/100</f>
        <v>0.26089262008666991</v>
      </c>
      <c r="AA83" s="61" cm="1">
        <f t="array" aca="1" ref="AA83" ca="1">_xll.BDP(AA$68&amp;" "&amp;$C83&amp;" 25DP VOL LME Comdty","PX_LAST")/100</f>
        <v>0.24259469985961915</v>
      </c>
      <c r="AB83" s="48" cm="1">
        <f t="array" aca="1" ref="AB83" ca="1">_xll.BDP(AA$68&amp;" "&amp;$C83&amp;" 50D VOL LME Comdty","PX_LAST")/100</f>
        <v>0.22230106353759765</v>
      </c>
      <c r="AC83" s="61" cm="1">
        <f t="array" aca="1" ref="AC83" ca="1">_xll.BDP(AA$68&amp;" "&amp;$C83&amp;" 25DC VOL LME Comdty","PX_LAST")/100</f>
        <v>0.22129997253417968</v>
      </c>
      <c r="AD83" s="61" cm="1">
        <f t="array" aca="1" ref="AD83" ca="1">_xll.BDP(AA$68&amp;" "&amp;$C83&amp;" 10DC VOL LME Comdty","PX_LAST")/100</f>
        <v>0.22030002593994141</v>
      </c>
      <c r="AE83" s="52">
        <f t="shared" ca="1" si="19"/>
        <v>0.23230106353759766</v>
      </c>
      <c r="AF83" s="53">
        <f t="shared" ca="1" si="20"/>
        <v>-2.1294727325439466E-2</v>
      </c>
      <c r="AG83" s="53">
        <f t="shared" ca="1" si="21"/>
        <v>-4.05925941467285E-2</v>
      </c>
      <c r="AH83" s="53">
        <f t="shared" ca="1" si="22"/>
        <v>9.6462726593017634E-3</v>
      </c>
      <c r="AI83" s="72">
        <f t="shared" ca="1" si="23"/>
        <v>1.8295259475708009E-2</v>
      </c>
      <c r="AJ83" s="53"/>
      <c r="AK83" s="71" cm="1">
        <f t="array" aca="1" ref="AK83" ca="1">_xll.BDP(AL$68&amp;" "&amp;$C83&amp;" 10DP VOL LME Comdty","PX_LAST")/100</f>
        <v>0.30889724731445312</v>
      </c>
      <c r="AL83" s="61" cm="1">
        <f t="array" aca="1" ref="AL83" ca="1">_xll.BDP(AL$68&amp;" "&amp;$C83&amp;" 25DP VOL LME Comdty","PX_LAST")/100</f>
        <v>0.30259851455688475</v>
      </c>
      <c r="AM83" s="48" cm="1">
        <f t="array" aca="1" ref="AM83" ca="1">_xll.BDP(AL$68&amp;" "&amp;$C83&amp;" 50D VOL LME Comdty","PX_LAST")/100</f>
        <v>0.29759963989257815</v>
      </c>
      <c r="AN83" s="61" cm="1">
        <f t="array" aca="1" ref="AN83" ca="1">_xll.BDP(AL$68&amp;" "&amp;$C83&amp;" 25DC VOL LME Comdty","PX_LAST")/100</f>
        <v>0.30749288558959958</v>
      </c>
      <c r="AO83" s="61" cm="1">
        <f t="array" aca="1" ref="AO83" ca="1">_xll.BDP(AL$68&amp;" "&amp;$C83&amp;" 10DC VOL LME Comdty","PX_LAST")/100</f>
        <v>0.31769376754760742</v>
      </c>
      <c r="AP83" s="52">
        <f t="shared" ca="1" si="24"/>
        <v>0.30759963989257816</v>
      </c>
      <c r="AQ83" s="53">
        <f t="shared" ca="1" si="25"/>
        <v>4.8943710327148393E-3</v>
      </c>
      <c r="AR83" s="53">
        <f t="shared" ca="1" si="26"/>
        <v>8.7965202331543035E-3</v>
      </c>
      <c r="AS83" s="53">
        <f t="shared" ca="1" si="27"/>
        <v>7.4460601806640159E-3</v>
      </c>
      <c r="AT83" s="72">
        <f t="shared" ca="1" si="28"/>
        <v>1.5695867538452146E-2</v>
      </c>
    </row>
    <row r="84" spans="2:46" x14ac:dyDescent="0.25">
      <c r="B84" s="1" cm="1">
        <f t="array" aca="1" ref="B84" ca="1">_xll.QDates_SpecificWeekday(EDATE(B83,1),"Wednesday",1)</f>
        <v>44412</v>
      </c>
      <c r="C84" t="str">
        <f t="shared" ca="1" si="29"/>
        <v>AUG21</v>
      </c>
      <c r="D84" s="71" cm="1">
        <f t="array" aca="1" ref="D84" ca="1">_xll.BDP(E$68&amp;" "&amp;$C84&amp;" 10DP VOL LME Comdty","PX_LAST")/100</f>
        <v>0.18919473648071289</v>
      </c>
      <c r="E84" s="61" cm="1">
        <f t="array" aca="1" ref="E84" ca="1">_xll.BDP(E$68&amp;" "&amp;$C84&amp;" 25DP VOL LME Comdty","PX_LAST")/100</f>
        <v>0.17669582366943359</v>
      </c>
      <c r="F84" s="48" cm="1">
        <f t="array" aca="1" ref="F84" ca="1">_xll.BDP(E$68&amp;" "&amp;$C84&amp;" 50D VOL LME Comdty","PX_LAST")/100</f>
        <v>0.16310054779052735</v>
      </c>
      <c r="G84" s="61" cm="1">
        <f t="array" aca="1" ref="G84" ca="1">_xll.BDP(E$68&amp;" "&amp;$C84&amp;" 25DC VOL LME Comdty","PX_LAST")/100</f>
        <v>0.1638979721069336</v>
      </c>
      <c r="H84" s="61" cm="1">
        <f t="array" aca="1" ref="H84" ca="1">_xll.BDP(E$68&amp;" "&amp;$C84&amp;" 10DC VOL LME Comdty","PX_LAST")/100</f>
        <v>0.16779747009277343</v>
      </c>
      <c r="I84" s="52">
        <f t="shared" ca="1" si="9"/>
        <v>0.17310054779052736</v>
      </c>
      <c r="J84" s="53">
        <f t="shared" ca="1" si="10"/>
        <v>-1.279785156249999E-2</v>
      </c>
      <c r="K84" s="53">
        <f t="shared" ca="1" si="11"/>
        <v>-2.1397266387939456E-2</v>
      </c>
      <c r="L84" s="53">
        <f t="shared" ca="1" si="12"/>
        <v>7.1963500976562345E-3</v>
      </c>
      <c r="M84" s="72">
        <f t="shared" ca="1" si="13"/>
        <v>1.5395555496215796E-2</v>
      </c>
      <c r="N84" s="53"/>
      <c r="O84" s="71" cm="1">
        <f t="array" aca="1" ref="O84" ca="1">_xll.BDP(P$68&amp;" "&amp;$C84&amp;" 10DP VOL LME Comdty","PX_LAST")/100</f>
        <v>0.24929256439208985</v>
      </c>
      <c r="P84" s="61" cm="1">
        <f t="array" aca="1" ref="P84" ca="1">_xll.BDP(P$68&amp;" "&amp;$C84&amp;" 25DP VOL LME Comdty","PX_LAST")/100</f>
        <v>0.23019439697265626</v>
      </c>
      <c r="Q84" s="48" cm="1">
        <f t="array" aca="1" ref="Q84" ca="1">_xll.BDP(P$68&amp;" "&amp;$C84&amp;" 50D VOL LME Comdty","PX_LAST")/100</f>
        <v>0.20870134353637695</v>
      </c>
      <c r="R84" s="61" cm="1">
        <f t="array" aca="1" ref="R84" ca="1">_xll.BDP(P$68&amp;" "&amp;$C84&amp;" 25DC VOL LME Comdty","PX_LAST")/100</f>
        <v>0.20589923858642578</v>
      </c>
      <c r="S84" s="61" cm="1">
        <f t="array" aca="1" ref="S84" ca="1">_xll.BDP(P$68&amp;" "&amp;$C84&amp;" 10DC VOL LME Comdty","PX_LAST")/100</f>
        <v>0.20759859085083007</v>
      </c>
      <c r="T84" s="52">
        <f t="shared" ca="1" si="14"/>
        <v>0.21870134353637696</v>
      </c>
      <c r="U84" s="53">
        <f t="shared" ca="1" si="15"/>
        <v>-2.4295158386230475E-2</v>
      </c>
      <c r="V84" s="53">
        <f t="shared" ca="1" si="16"/>
        <v>-4.1693973541259782E-2</v>
      </c>
      <c r="W84" s="53">
        <f t="shared" ca="1" si="17"/>
        <v>9.3454742431640647E-3</v>
      </c>
      <c r="X84" s="72">
        <f t="shared" ca="1" si="18"/>
        <v>1.9744234085082996E-2</v>
      </c>
      <c r="Y84" s="53"/>
      <c r="Z84" s="71" cm="1">
        <f t="array" aca="1" ref="Z84" ca="1">_xll.BDP(AA$68&amp;" "&amp;$C84&amp;" 10DP VOL LME Comdty","PX_LAST")/100</f>
        <v>0.26089258193969728</v>
      </c>
      <c r="AA84" s="61" cm="1">
        <f t="array" aca="1" ref="AA84" ca="1">_xll.BDP(AA$68&amp;" "&amp;$C84&amp;" 25DP VOL LME Comdty","PX_LAST")/100</f>
        <v>0.24259473800659179</v>
      </c>
      <c r="AB84" s="48" cm="1">
        <f t="array" aca="1" ref="AB84" ca="1">_xll.BDP(AA$68&amp;" "&amp;$C84&amp;" 50D VOL LME Comdty","PX_LAST")/100</f>
        <v>0.22210113525390626</v>
      </c>
      <c r="AC84" s="61" cm="1">
        <f t="array" aca="1" ref="AC84" ca="1">_xll.BDP(AA$68&amp;" "&amp;$C84&amp;" 25DC VOL LME Comdty","PX_LAST")/100</f>
        <v>0.22109994888305665</v>
      </c>
      <c r="AD84" s="61" cm="1">
        <f t="array" aca="1" ref="AD84" ca="1">_xll.BDP(AA$68&amp;" "&amp;$C84&amp;" 10DC VOL LME Comdty","PX_LAST")/100</f>
        <v>0.22010000228881835</v>
      </c>
      <c r="AE84" s="52">
        <f t="shared" ca="1" si="19"/>
        <v>0.23210113525390627</v>
      </c>
      <c r="AF84" s="53">
        <f t="shared" ca="1" si="20"/>
        <v>-2.1494789123535141E-2</v>
      </c>
      <c r="AG84" s="53">
        <f t="shared" ca="1" si="21"/>
        <v>-4.079257965087893E-2</v>
      </c>
      <c r="AH84" s="53">
        <f t="shared" ca="1" si="22"/>
        <v>9.7462081909179543E-3</v>
      </c>
      <c r="AI84" s="72">
        <f t="shared" ca="1" si="23"/>
        <v>1.8395156860351564E-2</v>
      </c>
      <c r="AJ84" s="53"/>
      <c r="AK84" s="71" cm="1">
        <f t="array" aca="1" ref="AK84" ca="1">_xll.BDP(AL$68&amp;" "&amp;$C84&amp;" 10DP VOL LME Comdty","PX_LAST")/100</f>
        <v>0.3087973213195801</v>
      </c>
      <c r="AL84" s="61" cm="1">
        <f t="array" aca="1" ref="AL84" ca="1">_xll.BDP(AL$68&amp;" "&amp;$C84&amp;" 25DP VOL LME Comdty","PX_LAST")/100</f>
        <v>0.30249856948852538</v>
      </c>
      <c r="AM84" s="48" cm="1">
        <f t="array" aca="1" ref="AM84" ca="1">_xll.BDP(AL$68&amp;" "&amp;$C84&amp;" 50D VOL LME Comdty","PX_LAST")/100</f>
        <v>0.29749963760375975</v>
      </c>
      <c r="AN84" s="61" cm="1">
        <f t="array" aca="1" ref="AN84" ca="1">_xll.BDP(AL$68&amp;" "&amp;$C84&amp;" 25DC VOL LME Comdty","PX_LAST")/100</f>
        <v>0.30749273300170898</v>
      </c>
      <c r="AO84" s="61" cm="1">
        <f t="array" aca="1" ref="AO84" ca="1">_xll.BDP(AL$68&amp;" "&amp;$C84&amp;" 10DC VOL LME Comdty","PX_LAST")/100</f>
        <v>0.31779369354248049</v>
      </c>
      <c r="AP84" s="52">
        <f t="shared" ca="1" si="24"/>
        <v>0.30749963760375976</v>
      </c>
      <c r="AQ84" s="53">
        <f t="shared" ca="1" si="25"/>
        <v>4.9941635131836026E-3</v>
      </c>
      <c r="AR84" s="53">
        <f t="shared" ca="1" si="26"/>
        <v>8.9963722229003951E-3</v>
      </c>
      <c r="AS84" s="53">
        <f t="shared" ca="1" si="27"/>
        <v>7.4960136413574352E-3</v>
      </c>
      <c r="AT84" s="72">
        <f t="shared" ca="1" si="28"/>
        <v>1.5795869827270548E-2</v>
      </c>
    </row>
    <row r="85" spans="2:46" x14ac:dyDescent="0.25">
      <c r="B85" s="1" cm="1">
        <f t="array" aca="1" ref="B85" ca="1">_xll.QDates_SpecificWeekday(EDATE(B84,1),"Wednesday",1)</f>
        <v>44440</v>
      </c>
      <c r="C85" t="str">
        <f t="shared" ca="1" si="29"/>
        <v>SEP21</v>
      </c>
      <c r="D85" s="71" cm="1">
        <f t="array" aca="1" ref="D85" ca="1">_xll.BDP(E$68&amp;" "&amp;$C85&amp;" 10DP VOL LME Comdty","PX_LAST")/100</f>
        <v>0.18779485702514648</v>
      </c>
      <c r="E85" s="61" cm="1">
        <f t="array" aca="1" ref="E85" ca="1">_xll.BDP(E$68&amp;" "&amp;$C85&amp;" 25DP VOL LME Comdty","PX_LAST")/100</f>
        <v>0.17569595336914062</v>
      </c>
      <c r="F85" s="48" cm="1">
        <f t="array" aca="1" ref="F85" ca="1">_xll.BDP(E$68&amp;" "&amp;$C85&amp;" 50D VOL LME Comdty","PX_LAST")/100</f>
        <v>0.16240055084228516</v>
      </c>
      <c r="G85" s="61" cm="1">
        <f t="array" aca="1" ref="G85" ca="1">_xll.BDP(E$68&amp;" "&amp;$C85&amp;" 25DC VOL LME Comdty","PX_LAST")/100</f>
        <v>0.16349790573120118</v>
      </c>
      <c r="H85" s="61" cm="1">
        <f t="array" aca="1" ref="H85" ca="1">_xll.BDP(E$68&amp;" "&amp;$C85&amp;" 10DC VOL LME Comdty","PX_LAST")/100</f>
        <v>0.16739746093749999</v>
      </c>
      <c r="I85" s="52">
        <f t="shared" ca="1" si="9"/>
        <v>0.17240055084228517</v>
      </c>
      <c r="J85" s="53">
        <f t="shared" ca="1" si="10"/>
        <v>-1.2198047637939441E-2</v>
      </c>
      <c r="K85" s="53">
        <f t="shared" ca="1" si="11"/>
        <v>-2.0397396087646485E-2</v>
      </c>
      <c r="L85" s="53">
        <f t="shared" ca="1" si="12"/>
        <v>7.1963787078857533E-3</v>
      </c>
      <c r="M85" s="72">
        <f t="shared" ca="1" si="13"/>
        <v>1.5195608139038086E-2</v>
      </c>
      <c r="N85" s="53"/>
      <c r="O85" s="71" cm="1">
        <f t="array" aca="1" ref="O85" ca="1">_xll.BDP(P$68&amp;" "&amp;$C85&amp;" 10DP VOL LME Comdty","PX_LAST")/100</f>
        <v>0.24849262237548828</v>
      </c>
      <c r="P85" s="61" cm="1">
        <f t="array" aca="1" ref="P85" ca="1">_xll.BDP(P$68&amp;" "&amp;$C85&amp;" 25DP VOL LME Comdty","PX_LAST")/100</f>
        <v>0.22949449539184572</v>
      </c>
      <c r="Q85" s="48" cm="1">
        <f t="array" aca="1" ref="Q85" ca="1">_xll.BDP(P$68&amp;" "&amp;$C85&amp;" 50D VOL LME Comdty","PX_LAST")/100</f>
        <v>0.20820135116577149</v>
      </c>
      <c r="R85" s="61" cm="1">
        <f t="array" aca="1" ref="R85" ca="1">_xll.BDP(P$68&amp;" "&amp;$C85&amp;" 25DC VOL LME Comdty","PX_LAST")/100</f>
        <v>0.20539920806884765</v>
      </c>
      <c r="S85" s="61" cm="1">
        <f t="array" aca="1" ref="S85" ca="1">_xll.BDP(P$68&amp;" "&amp;$C85&amp;" 10DC VOL LME Comdty","PX_LAST")/100</f>
        <v>0.2071986198425293</v>
      </c>
      <c r="T85" s="52">
        <f t="shared" ca="1" si="14"/>
        <v>0.2182013511657715</v>
      </c>
      <c r="U85" s="53">
        <f t="shared" ca="1" si="15"/>
        <v>-2.4095287322998066E-2</v>
      </c>
      <c r="V85" s="53">
        <f t="shared" ca="1" si="16"/>
        <v>-4.1294002532958979E-2</v>
      </c>
      <c r="W85" s="53">
        <f t="shared" ca="1" si="17"/>
        <v>9.245500564575182E-3</v>
      </c>
      <c r="X85" s="72">
        <f t="shared" ca="1" si="18"/>
        <v>1.9644269943237314E-2</v>
      </c>
      <c r="Y85" s="53"/>
      <c r="Z85" s="71" cm="1">
        <f t="array" aca="1" ref="Z85" ca="1">_xll.BDP(AA$68&amp;" "&amp;$C85&amp;" 10DP VOL LME Comdty","PX_LAST")/100</f>
        <v>0.26109264373779295</v>
      </c>
      <c r="AA85" s="61" cm="1">
        <f t="array" aca="1" ref="AA85" ca="1">_xll.BDP(AA$68&amp;" "&amp;$C85&amp;" 25DP VOL LME Comdty","PX_LAST")/100</f>
        <v>0.24269483566284181</v>
      </c>
      <c r="AB85" s="48" cm="1">
        <f t="array" aca="1" ref="AB85" ca="1">_xll.BDP(AA$68&amp;" "&amp;$C85&amp;" 50D VOL LME Comdty","PX_LAST")/100</f>
        <v>0.22200119018554687</v>
      </c>
      <c r="AC85" s="61" cm="1">
        <f t="array" aca="1" ref="AC85" ca="1">_xll.BDP(AA$68&amp;" "&amp;$C85&amp;" 25DC VOL LME Comdty","PX_LAST")/100</f>
        <v>0.22099994659423827</v>
      </c>
      <c r="AD85" s="61" cm="1">
        <f t="array" aca="1" ref="AD85" ca="1">_xll.BDP(AA$68&amp;" "&amp;$C85&amp;" 10DC VOL LME Comdty","PX_LAST")/100</f>
        <v>0.22</v>
      </c>
      <c r="AE85" s="52">
        <f t="shared" ca="1" si="19"/>
        <v>0.23200119018554688</v>
      </c>
      <c r="AF85" s="53">
        <f t="shared" ca="1" si="20"/>
        <v>-2.1694889068603534E-2</v>
      </c>
      <c r="AG85" s="53">
        <f t="shared" ca="1" si="21"/>
        <v>-4.109264373779295E-2</v>
      </c>
      <c r="AH85" s="53">
        <f t="shared" ca="1" si="22"/>
        <v>9.8462009429931552E-3</v>
      </c>
      <c r="AI85" s="72">
        <f t="shared" ca="1" si="23"/>
        <v>1.8545131683349592E-2</v>
      </c>
      <c r="AJ85" s="53"/>
      <c r="AK85" s="71" cm="1">
        <f t="array" aca="1" ref="AK85" ca="1">_xll.BDP(AL$68&amp;" "&amp;$C85&amp;" 10DP VOL LME Comdty","PX_LAST")/100</f>
        <v>0.30879739761352537</v>
      </c>
      <c r="AL85" s="61" cm="1">
        <f t="array" aca="1" ref="AL85" ca="1">_xll.BDP(AL$68&amp;" "&amp;$C85&amp;" 25DP VOL LME Comdty","PX_LAST")/100</f>
        <v>0.30249860763549807</v>
      </c>
      <c r="AM85" s="48" cm="1">
        <f t="array" aca="1" ref="AM85" ca="1">_xll.BDP(AL$68&amp;" "&amp;$C85&amp;" 50D VOL LME Comdty","PX_LAST")/100</f>
        <v>0.29749963760375975</v>
      </c>
      <c r="AN85" s="61" cm="1">
        <f t="array" aca="1" ref="AN85" ca="1">_xll.BDP(AL$68&amp;" "&amp;$C85&amp;" 25DC VOL LME Comdty","PX_LAST")/100</f>
        <v>0.30749258041381838</v>
      </c>
      <c r="AO85" s="61" cm="1">
        <f t="array" aca="1" ref="AO85" ca="1">_xll.BDP(AL$68&amp;" "&amp;$C85&amp;" 10DC VOL LME Comdty","PX_LAST")/100</f>
        <v>0.31789360046386717</v>
      </c>
      <c r="AP85" s="52">
        <f t="shared" ca="1" si="24"/>
        <v>0.30749963760375976</v>
      </c>
      <c r="AQ85" s="53">
        <f t="shared" ca="1" si="25"/>
        <v>4.9939727783203103E-3</v>
      </c>
      <c r="AR85" s="53">
        <f t="shared" ca="1" si="26"/>
        <v>9.0962028503417947E-3</v>
      </c>
      <c r="AS85" s="53">
        <f t="shared" ca="1" si="27"/>
        <v>7.4959564208985086E-3</v>
      </c>
      <c r="AT85" s="72">
        <f t="shared" ca="1" si="28"/>
        <v>1.5845861434936492E-2</v>
      </c>
    </row>
    <row r="86" spans="2:46" x14ac:dyDescent="0.25">
      <c r="B86" s="1" cm="1">
        <f t="array" aca="1" ref="B86" ca="1">_xll.QDates_SpecificWeekday(EDATE(B85,1),"Wednesday",1)</f>
        <v>44475</v>
      </c>
      <c r="C86" t="str">
        <f t="shared" ca="1" si="29"/>
        <v>OCT21</v>
      </c>
      <c r="D86" s="71" cm="1">
        <f t="array" aca="1" ref="D86" ca="1">_xll.BDP(E$68&amp;" "&amp;$C86&amp;" 10DP VOL LME Comdty","PX_LAST")/100</f>
        <v>0.18619499206542969</v>
      </c>
      <c r="E86" s="61" cm="1">
        <f t="array" aca="1" ref="E86" ca="1">_xll.BDP(E$68&amp;" "&amp;$C86&amp;" 25DP VOL LME Comdty","PX_LAST")/100</f>
        <v>0.17419609069824218</v>
      </c>
      <c r="F86" s="48" cm="1">
        <f t="array" aca="1" ref="F86" ca="1">_xll.BDP(E$68&amp;" "&amp;$C86&amp;" 50D VOL LME Comdty","PX_LAST")/100</f>
        <v>0.16120054244995116</v>
      </c>
      <c r="G86" s="61" cm="1">
        <f t="array" aca="1" ref="G86" ca="1">_xll.BDP(E$68&amp;" "&amp;$C86&amp;" 25DC VOL LME Comdty","PX_LAST")/100</f>
        <v>0.16249780654907225</v>
      </c>
      <c r="H86" s="61" cm="1">
        <f t="array" aca="1" ref="H86" ca="1">_xll.BDP(E$68&amp;" "&amp;$C86&amp;" 10DC VOL LME Comdty","PX_LAST")/100</f>
        <v>0.16659740447998048</v>
      </c>
      <c r="I86" s="52">
        <f t="shared" ca="1" si="9"/>
        <v>0.17120054244995117</v>
      </c>
      <c r="J86" s="53">
        <f t="shared" ca="1" si="10"/>
        <v>-1.169828414916993E-2</v>
      </c>
      <c r="K86" s="53">
        <f t="shared" ca="1" si="11"/>
        <v>-1.9597587585449217E-2</v>
      </c>
      <c r="L86" s="53">
        <f t="shared" ca="1" si="12"/>
        <v>7.1464061737060713E-3</v>
      </c>
      <c r="M86" s="72">
        <f t="shared" ca="1" si="13"/>
        <v>1.5195655822753923E-2</v>
      </c>
      <c r="N86" s="53"/>
      <c r="O86" s="71" cm="1">
        <f t="array" aca="1" ref="O86" ca="1">_xll.BDP(P$68&amp;" "&amp;$C86&amp;" 10DP VOL LME Comdty","PX_LAST")/100</f>
        <v>0.24779273986816405</v>
      </c>
      <c r="P86" s="61" cm="1">
        <f t="array" aca="1" ref="P86" ca="1">_xll.BDP(P$68&amp;" "&amp;$C86&amp;" 25DP VOL LME Comdty","PX_LAST")/100</f>
        <v>0.22889463424682618</v>
      </c>
      <c r="Q86" s="48" cm="1">
        <f t="array" aca="1" ref="Q86" ca="1">_xll.BDP(P$68&amp;" "&amp;$C86&amp;" 50D VOL LME Comdty","PX_LAST")/100</f>
        <v>0.20770137786865234</v>
      </c>
      <c r="R86" s="61" cm="1">
        <f t="array" aca="1" ref="R86" ca="1">_xll.BDP(P$68&amp;" "&amp;$C86&amp;" 25DC VOL LME Comdty","PX_LAST")/100</f>
        <v>0.20519916534423829</v>
      </c>
      <c r="S86" s="61" cm="1">
        <f t="array" aca="1" ref="S86" ca="1">_xll.BDP(P$68&amp;" "&amp;$C86&amp;" 10DC VOL LME Comdty","PX_LAST")/100</f>
        <v>0.20699867248535156</v>
      </c>
      <c r="T86" s="52">
        <f t="shared" ca="1" si="14"/>
        <v>0.21770137786865235</v>
      </c>
      <c r="U86" s="53">
        <f t="shared" ca="1" si="15"/>
        <v>-2.3695468902587891E-2</v>
      </c>
      <c r="V86" s="53">
        <f t="shared" ca="1" si="16"/>
        <v>-4.0794067382812493E-2</v>
      </c>
      <c r="W86" s="53">
        <f t="shared" ca="1" si="17"/>
        <v>9.3455219268799017E-3</v>
      </c>
      <c r="X86" s="72">
        <f t="shared" ca="1" si="18"/>
        <v>1.9694328308105469E-2</v>
      </c>
      <c r="Y86" s="53"/>
      <c r="Z86" s="71" cm="1">
        <f t="array" aca="1" ref="Z86" ca="1">_xll.BDP(AA$68&amp;" "&amp;$C86&amp;" 10DP VOL LME Comdty","PX_LAST")/100</f>
        <v>0.26119272232055663</v>
      </c>
      <c r="AA86" s="61" cm="1">
        <f t="array" aca="1" ref="AA86" ca="1">_xll.BDP(AA$68&amp;" "&amp;$C86&amp;" 25DP VOL LME Comdty","PX_LAST")/100</f>
        <v>0.24269493103027343</v>
      </c>
      <c r="AB86" s="48" cm="1">
        <f t="array" aca="1" ref="AB86" ca="1">_xll.BDP(AA$68&amp;" "&amp;$C86&amp;" 50D VOL LME Comdty","PX_LAST")/100</f>
        <v>0.22190124511718751</v>
      </c>
      <c r="AC86" s="61" cm="1">
        <f t="array" aca="1" ref="AC86" ca="1">_xll.BDP(AA$68&amp;" "&amp;$C86&amp;" 25DC VOL LME Comdty","PX_LAST")/100</f>
        <v>0.22079994201660155</v>
      </c>
      <c r="AD86" s="61" cm="1">
        <f t="array" aca="1" ref="AD86" ca="1">_xll.BDP(AA$68&amp;" "&amp;$C86&amp;" 10DC VOL LME Comdty","PX_LAST")/100</f>
        <v>0.21979999542236328</v>
      </c>
      <c r="AE86" s="52">
        <f t="shared" ca="1" si="19"/>
        <v>0.23190124511718752</v>
      </c>
      <c r="AF86" s="53">
        <f t="shared" ca="1" si="20"/>
        <v>-2.1894989013671873E-2</v>
      </c>
      <c r="AG86" s="53">
        <f t="shared" ca="1" si="21"/>
        <v>-4.1392726898193344E-2</v>
      </c>
      <c r="AH86" s="53">
        <f t="shared" ca="1" si="22"/>
        <v>9.8461914062499822E-3</v>
      </c>
      <c r="AI86" s="72">
        <f t="shared" ca="1" si="23"/>
        <v>1.8595113754272447E-2</v>
      </c>
      <c r="AJ86" s="53"/>
      <c r="AK86" s="71" cm="1">
        <f t="array" aca="1" ref="AK86" ca="1">_xll.BDP(AL$68&amp;" "&amp;$C86&amp;" 10DP VOL LME Comdty","PX_LAST")/100</f>
        <v>0.30859741210937502</v>
      </c>
      <c r="AL86" s="61" cm="1">
        <f t="array" aca="1" ref="AL86" ca="1">_xll.BDP(AL$68&amp;" "&amp;$C86&amp;" 25DP VOL LME Comdty","PX_LAST")/100</f>
        <v>0.30229866027832031</v>
      </c>
      <c r="AM86" s="48" cm="1">
        <f t="array" aca="1" ref="AM86" ca="1">_xll.BDP(AL$68&amp;" "&amp;$C86&amp;" 50D VOL LME Comdty","PX_LAST")/100</f>
        <v>0.29729961395263671</v>
      </c>
      <c r="AN86" s="61" cm="1">
        <f t="array" aca="1" ref="AN86" ca="1">_xll.BDP(AL$68&amp;" "&amp;$C86&amp;" 25DC VOL LME Comdty","PX_LAST")/100</f>
        <v>0.30739240646362304</v>
      </c>
      <c r="AO86" s="61" cm="1">
        <f t="array" aca="1" ref="AO86" ca="1">_xll.BDP(AL$68&amp;" "&amp;$C86&amp;" 10DC VOL LME Comdty","PX_LAST")/100</f>
        <v>0.31789350509643555</v>
      </c>
      <c r="AP86" s="52">
        <f t="shared" ca="1" si="24"/>
        <v>0.30729961395263672</v>
      </c>
      <c r="AQ86" s="53">
        <f t="shared" ca="1" si="25"/>
        <v>5.0937461853027277E-3</v>
      </c>
      <c r="AR86" s="53">
        <f t="shared" ca="1" si="26"/>
        <v>9.2960929870605225E-3</v>
      </c>
      <c r="AS86" s="53">
        <f t="shared" ca="1" si="27"/>
        <v>7.5459194183349343E-3</v>
      </c>
      <c r="AT86" s="72">
        <f t="shared" ca="1" si="28"/>
        <v>1.5945844650268604E-2</v>
      </c>
    </row>
    <row r="87" spans="2:46" x14ac:dyDescent="0.25">
      <c r="B87" s="1" cm="1">
        <f t="array" aca="1" ref="B87" ca="1">_xll.QDates_SpecificWeekday(EDATE(B86,1),"Wednesday",1)</f>
        <v>44503</v>
      </c>
      <c r="C87" t="str">
        <f t="shared" ca="1" si="29"/>
        <v>NOV21</v>
      </c>
      <c r="D87" s="71" cm="1">
        <f t="array" aca="1" ref="D87" ca="1">_xll.BDP(E$68&amp;" "&amp;$C87&amp;" 10DP VOL LME Comdty","PX_LAST")/100</f>
        <v>0.18499513626098632</v>
      </c>
      <c r="E87" s="61" cm="1">
        <f t="array" aca="1" ref="E87" ca="1">_xll.BDP(E$68&amp;" "&amp;$C87&amp;" 25DP VOL LME Comdty","PX_LAST")/100</f>
        <v>0.17319618225097655</v>
      </c>
      <c r="F87" s="48" cm="1">
        <f t="array" aca="1" ref="F87" ca="1">_xll.BDP(E$68&amp;" "&amp;$C87&amp;" 50D VOL LME Comdty","PX_LAST")/100</f>
        <v>0.16040054321289063</v>
      </c>
      <c r="G87" s="61" cm="1">
        <f t="array" aca="1" ref="G87" ca="1">_xll.BDP(E$68&amp;" "&amp;$C87&amp;" 25DC VOL LME Comdty","PX_LAST")/100</f>
        <v>0.16189773559570311</v>
      </c>
      <c r="H87" s="61" cm="1">
        <f t="array" aca="1" ref="H87" ca="1">_xll.BDP(E$68&amp;" "&amp;$C87&amp;" 10DC VOL LME Comdty","PX_LAST")/100</f>
        <v>0.16609735488891603</v>
      </c>
      <c r="I87" s="52">
        <f t="shared" ca="1" si="9"/>
        <v>0.17040054321289064</v>
      </c>
      <c r="J87" s="53">
        <f t="shared" ca="1" si="10"/>
        <v>-1.1298446655273436E-2</v>
      </c>
      <c r="K87" s="53">
        <f t="shared" ca="1" si="11"/>
        <v>-1.8897781372070294E-2</v>
      </c>
      <c r="L87" s="53">
        <f t="shared" ca="1" si="12"/>
        <v>7.1464157104491888E-3</v>
      </c>
      <c r="M87" s="72">
        <f t="shared" ca="1" si="13"/>
        <v>1.5145702362060559E-2</v>
      </c>
      <c r="N87" s="53"/>
      <c r="O87" s="71" cm="1">
        <f t="array" aca="1" ref="O87" ca="1">_xll.BDP(P$68&amp;" "&amp;$C87&amp;" 10DP VOL LME Comdty","PX_LAST")/100</f>
        <v>0.24709287643432618</v>
      </c>
      <c r="P87" s="61" cm="1">
        <f t="array" aca="1" ref="P87" ca="1">_xll.BDP(P$68&amp;" "&amp;$C87&amp;" 25DP VOL LME Comdty","PX_LAST")/100</f>
        <v>0.22839475631713868</v>
      </c>
      <c r="Q87" s="48" cm="1">
        <f t="array" aca="1" ref="Q87" ca="1">_xll.BDP(P$68&amp;" "&amp;$C87&amp;" 50D VOL LME Comdty","PX_LAST")/100</f>
        <v>0.20730138778686524</v>
      </c>
      <c r="R87" s="61" cm="1">
        <f t="array" aca="1" ref="R87" ca="1">_xll.BDP(P$68&amp;" "&amp;$C87&amp;" 25DC VOL LME Comdty","PX_LAST")/100</f>
        <v>0.20499912261962891</v>
      </c>
      <c r="S87" s="61" cm="1">
        <f t="array" aca="1" ref="S87" ca="1">_xll.BDP(P$68&amp;" "&amp;$C87&amp;" 10DC VOL LME Comdty","PX_LAST")/100</f>
        <v>0.20679868698120119</v>
      </c>
      <c r="T87" s="52">
        <f t="shared" ca="1" si="14"/>
        <v>0.21730138778686525</v>
      </c>
      <c r="U87" s="53">
        <f t="shared" ca="1" si="15"/>
        <v>-2.3395633697509771E-2</v>
      </c>
      <c r="V87" s="53">
        <f t="shared" ca="1" si="16"/>
        <v>-4.029418945312499E-2</v>
      </c>
      <c r="W87" s="53">
        <f t="shared" ca="1" si="17"/>
        <v>9.3955516815185658E-3</v>
      </c>
      <c r="X87" s="72">
        <f t="shared" ca="1" si="18"/>
        <v>1.9644393920898451E-2</v>
      </c>
      <c r="Y87" s="53"/>
      <c r="Z87" s="71" cm="1">
        <f t="array" aca="1" ref="Z87" ca="1">_xll.BDP(AA$68&amp;" "&amp;$C87&amp;" 10DP VOL LME Comdty","PX_LAST")/100</f>
        <v>0.2611928176879883</v>
      </c>
      <c r="AA87" s="61" cm="1">
        <f t="array" aca="1" ref="AA87" ca="1">_xll.BDP(AA$68&amp;" "&amp;$C87&amp;" 25DP VOL LME Comdty","PX_LAST")/100</f>
        <v>0.24269500732421875</v>
      </c>
      <c r="AB87" s="48" cm="1">
        <f t="array" aca="1" ref="AB87" ca="1">_xll.BDP(AA$68&amp;" "&amp;$C87&amp;" 50D VOL LME Comdty","PX_LAST")/100</f>
        <v>0.22180130004882812</v>
      </c>
      <c r="AC87" s="61" cm="1">
        <f t="array" aca="1" ref="AC87" ca="1">_xll.BDP(AA$68&amp;" "&amp;$C87&amp;" 25DC VOL LME Comdty","PX_LAST")/100</f>
        <v>0.22069990158081054</v>
      </c>
      <c r="AD87" s="61" cm="1">
        <f t="array" aca="1" ref="AD87" ca="1">_xll.BDP(AA$68&amp;" "&amp;$C87&amp;" 10DC VOL LME Comdty","PX_LAST")/100</f>
        <v>0.21969997406005859</v>
      </c>
      <c r="AE87" s="52">
        <f t="shared" ca="1" si="19"/>
        <v>0.23180130004882812</v>
      </c>
      <c r="AF87" s="53">
        <f t="shared" ca="1" si="20"/>
        <v>-2.1995105743408211E-2</v>
      </c>
      <c r="AG87" s="53">
        <f t="shared" ca="1" si="21"/>
        <v>-4.149284362792971E-2</v>
      </c>
      <c r="AH87" s="53">
        <f t="shared" ca="1" si="22"/>
        <v>9.8961544036865468E-3</v>
      </c>
      <c r="AI87" s="72">
        <f t="shared" ca="1" si="23"/>
        <v>1.8645095825195329E-2</v>
      </c>
      <c r="AJ87" s="53"/>
      <c r="AK87" s="71" cm="1">
        <f t="array" aca="1" ref="AK87" ca="1">_xll.BDP(AL$68&amp;" "&amp;$C87&amp;" 10DP VOL LME Comdty","PX_LAST")/100</f>
        <v>0.30819744110107422</v>
      </c>
      <c r="AL87" s="61" cm="1">
        <f t="array" aca="1" ref="AL87" ca="1">_xll.BDP(AL$68&amp;" "&amp;$C87&amp;" 25DP VOL LME Comdty","PX_LAST")/100</f>
        <v>0.30169868469238281</v>
      </c>
      <c r="AM87" s="48" cm="1">
        <f t="array" aca="1" ref="AM87" ca="1">_xll.BDP(AL$68&amp;" "&amp;$C87&amp;" 50D VOL LME Comdty","PX_LAST")/100</f>
        <v>0.29669960021972658</v>
      </c>
      <c r="AN87" s="61" cm="1">
        <f t="array" aca="1" ref="AN87" ca="1">_xll.BDP(AL$68&amp;" "&amp;$C87&amp;" 25DC VOL LME Comdty","PX_LAST")/100</f>
        <v>0.30689224243164065</v>
      </c>
      <c r="AO87" s="61" cm="1">
        <f t="array" aca="1" ref="AO87" ca="1">_xll.BDP(AL$68&amp;" "&amp;$C87&amp;" 10DC VOL LME Comdty","PX_LAST")/100</f>
        <v>0.31749343872070313</v>
      </c>
      <c r="AP87" s="52">
        <f t="shared" ca="1" si="24"/>
        <v>0.30669960021972659</v>
      </c>
      <c r="AQ87" s="53">
        <f t="shared" ca="1" si="25"/>
        <v>5.1935577392578369E-3</v>
      </c>
      <c r="AR87" s="53">
        <f t="shared" ca="1" si="26"/>
        <v>9.295997619628904E-3</v>
      </c>
      <c r="AS87" s="53">
        <f t="shared" ca="1" si="27"/>
        <v>7.5958633422851807E-3</v>
      </c>
      <c r="AT87" s="72">
        <f t="shared" ca="1" si="28"/>
        <v>1.6145839691162067E-2</v>
      </c>
    </row>
    <row r="88" spans="2:46" x14ac:dyDescent="0.25">
      <c r="B88" s="1" cm="1">
        <f t="array" aca="1" ref="B88" ca="1">_xll.QDates_SpecificWeekday(EDATE(B87,1),"Wednesday",1)</f>
        <v>44531</v>
      </c>
      <c r="C88" t="str">
        <f t="shared" ca="1" si="29"/>
        <v>DEC21</v>
      </c>
      <c r="D88" s="71" cm="1">
        <f t="array" aca="1" ref="D88" ca="1">_xll.BDP(E$68&amp;" "&amp;$C88&amp;" 10DP VOL LME Comdty","PX_LAST")/100</f>
        <v>0.18379526138305663</v>
      </c>
      <c r="E88" s="61" cm="1">
        <f t="array" aca="1" ref="E88" ca="1">_xll.BDP(E$68&amp;" "&amp;$C88&amp;" 25DP VOL LME Comdty","PX_LAST")/100</f>
        <v>0.17229627609252929</v>
      </c>
      <c r="F88" s="48" cm="1">
        <f t="array" aca="1" ref="F88" ca="1">_xll.BDP(E$68&amp;" "&amp;$C88&amp;" 50D VOL LME Comdty","PX_LAST")/100</f>
        <v>0.15960052490234375</v>
      </c>
      <c r="G88" s="61" cm="1">
        <f t="array" aca="1" ref="G88" ca="1">_xll.BDP(E$68&amp;" "&amp;$C88&amp;" 25DC VOL LME Comdty","PX_LAST")/100</f>
        <v>0.16139764785766603</v>
      </c>
      <c r="H88" s="61" cm="1">
        <f t="array" aca="1" ref="H88" ca="1">_xll.BDP(E$68&amp;" "&amp;$C88&amp;" 10DC VOL LME Comdty","PX_LAST")/100</f>
        <v>0.16559736251831056</v>
      </c>
      <c r="I88" s="52">
        <f t="shared" ca="1" si="9"/>
        <v>0.16960052490234376</v>
      </c>
      <c r="J88" s="53">
        <f t="shared" ca="1" si="10"/>
        <v>-1.0898628234863261E-2</v>
      </c>
      <c r="K88" s="53">
        <f t="shared" ca="1" si="11"/>
        <v>-1.819789886474607E-2</v>
      </c>
      <c r="L88" s="53">
        <f t="shared" ca="1" si="12"/>
        <v>7.2464370727539085E-3</v>
      </c>
      <c r="M88" s="72">
        <f t="shared" ca="1" si="13"/>
        <v>1.5095787048339832E-2</v>
      </c>
      <c r="N88" s="53"/>
      <c r="O88" s="71" cm="1">
        <f t="array" aca="1" ref="O88" ca="1">_xll.BDP(P$68&amp;" "&amp;$C88&amp;" 10DP VOL LME Comdty","PX_LAST")/100</f>
        <v>0.24639312744140626</v>
      </c>
      <c r="P88" s="61" cm="1">
        <f t="array" aca="1" ref="P88" ca="1">_xll.BDP(P$68&amp;" "&amp;$C88&amp;" 25DP VOL LME Comdty","PX_LAST")/100</f>
        <v>0.2278948974609375</v>
      </c>
      <c r="Q88" s="48" cm="1">
        <f t="array" aca="1" ref="Q88" ca="1">_xll.BDP(P$68&amp;" "&amp;$C88&amp;" 50D VOL LME Comdty","PX_LAST")/100</f>
        <v>0.2069013786315918</v>
      </c>
      <c r="R88" s="61" cm="1">
        <f t="array" aca="1" ref="R88" ca="1">_xll.BDP(P$68&amp;" "&amp;$C88&amp;" 25DC VOL LME Comdty","PX_LAST")/100</f>
        <v>0.20469907760620118</v>
      </c>
      <c r="S88" s="61" cm="1">
        <f t="array" aca="1" ref="S88" ca="1">_xll.BDP(P$68&amp;" "&amp;$C88&amp;" 10DC VOL LME Comdty","PX_LAST")/100</f>
        <v>0.20659873962402345</v>
      </c>
      <c r="T88" s="52">
        <f t="shared" ca="1" si="14"/>
        <v>0.21690137863159181</v>
      </c>
      <c r="U88" s="53">
        <f t="shared" ca="1" si="15"/>
        <v>-2.3195819854736316E-2</v>
      </c>
      <c r="V88" s="53">
        <f t="shared" ca="1" si="16"/>
        <v>-3.9794387817382815E-2</v>
      </c>
      <c r="W88" s="53">
        <f t="shared" ca="1" si="17"/>
        <v>9.3956089019775479E-3</v>
      </c>
      <c r="X88" s="72">
        <f t="shared" ca="1" si="18"/>
        <v>1.9594554901123051E-2</v>
      </c>
      <c r="Y88" s="53"/>
      <c r="Z88" s="71" cm="1">
        <f t="array" aca="1" ref="Z88" ca="1">_xll.BDP(AA$68&amp;" "&amp;$C88&amp;" 10DP VOL LME Comdty","PX_LAST")/100</f>
        <v>0.26139293670654296</v>
      </c>
      <c r="AA88" s="61" cm="1">
        <f t="array" aca="1" ref="AA88" ca="1">_xll.BDP(AA$68&amp;" "&amp;$C88&amp;" 25DP VOL LME Comdty","PX_LAST")/100</f>
        <v>0.24289506912231446</v>
      </c>
      <c r="AB88" s="48" cm="1">
        <f t="array" aca="1" ref="AB88" ca="1">_xll.BDP(AA$68&amp;" "&amp;$C88&amp;" 50D VOL LME Comdty","PX_LAST")/100</f>
        <v>0.22180131912231446</v>
      </c>
      <c r="AC88" s="61" cm="1">
        <f t="array" aca="1" ref="AC88" ca="1">_xll.BDP(AA$68&amp;" "&amp;$C88&amp;" 25DC VOL LME Comdty","PX_LAST")/100</f>
        <v>0.2206998062133789</v>
      </c>
      <c r="AD88" s="61" cm="1">
        <f t="array" aca="1" ref="AD88" ca="1">_xll.BDP(AA$68&amp;" "&amp;$C88&amp;" 10DC VOL LME Comdty","PX_LAST")/100</f>
        <v>0.21969993591308593</v>
      </c>
      <c r="AE88" s="52">
        <f t="shared" ca="1" si="19"/>
        <v>0.23180131912231447</v>
      </c>
      <c r="AF88" s="53">
        <f t="shared" ca="1" si="20"/>
        <v>-2.2195262908935559E-2</v>
      </c>
      <c r="AG88" s="53">
        <f t="shared" ca="1" si="21"/>
        <v>-4.169300079345703E-2</v>
      </c>
      <c r="AH88" s="53">
        <f t="shared" ca="1" si="22"/>
        <v>9.996118545532201E-3</v>
      </c>
      <c r="AI88" s="72">
        <f t="shared" ca="1" si="23"/>
        <v>1.8745117187499966E-2</v>
      </c>
      <c r="AJ88" s="53"/>
      <c r="AK88" s="71" cm="1">
        <f t="array" aca="1" ref="AK88" ca="1">_xll.BDP(AL$68&amp;" "&amp;$C88&amp;" 10DP VOL LME Comdty","PX_LAST")/100</f>
        <v>0.30869745254516601</v>
      </c>
      <c r="AL88" s="61" cm="1">
        <f t="array" aca="1" ref="AL88" ca="1">_xll.BDP(AL$68&amp;" "&amp;$C88&amp;" 25DP VOL LME Comdty","PX_LAST")/100</f>
        <v>0.3020987129211426</v>
      </c>
      <c r="AM88" s="48" cm="1">
        <f t="array" aca="1" ref="AM88" ca="1">_xll.BDP(AL$68&amp;" "&amp;$C88&amp;" 50D VOL LME Comdty","PX_LAST")/100</f>
        <v>0.29709959030151367</v>
      </c>
      <c r="AN88" s="61" cm="1">
        <f t="array" aca="1" ref="AN88" ca="1">_xll.BDP(AL$68&amp;" "&amp;$C88&amp;" 25DC VOL LME Comdty","PX_LAST")/100</f>
        <v>0.30729209899902343</v>
      </c>
      <c r="AO88" s="61" cm="1">
        <f t="array" aca="1" ref="AO88" ca="1">_xll.BDP(AL$68&amp;" "&amp;$C88&amp;" 10DC VOL LME Comdty","PX_LAST")/100</f>
        <v>0.31809333801269529</v>
      </c>
      <c r="AP88" s="52">
        <f t="shared" ca="1" si="24"/>
        <v>0.30709959030151368</v>
      </c>
      <c r="AQ88" s="53">
        <f t="shared" ca="1" si="25"/>
        <v>5.193386077880835E-3</v>
      </c>
      <c r="AR88" s="53">
        <f t="shared" ca="1" si="26"/>
        <v>9.3958854675292858E-3</v>
      </c>
      <c r="AS88" s="53">
        <f t="shared" ca="1" si="27"/>
        <v>7.5958156585693715E-3</v>
      </c>
      <c r="AT88" s="72">
        <f t="shared" ca="1" si="28"/>
        <v>1.6295804977417006E-2</v>
      </c>
    </row>
    <row r="89" spans="2:46" x14ac:dyDescent="0.25">
      <c r="B89" s="1" cm="1">
        <f t="array" aca="1" ref="B89" ca="1">_xll.QDates_SpecificWeekday(EDATE(B88,1),"Wednesday",1)</f>
        <v>44566</v>
      </c>
      <c r="C89" t="str">
        <f t="shared" ca="1" si="29"/>
        <v>JAN22</v>
      </c>
      <c r="D89" s="71" cm="1">
        <f t="array" aca="1" ref="D89" ca="1">_xll.BDP(E$68&amp;" "&amp;$C89&amp;" 10DP VOL LME Comdty","PX_LAST")/100</f>
        <v>0.18179536819458009</v>
      </c>
      <c r="E89" s="61" cm="1">
        <f t="array" aca="1" ref="E89" ca="1">_xll.BDP(E$68&amp;" "&amp;$C89&amp;" 25DP VOL LME Comdty","PX_LAST")/100</f>
        <v>0.17089641571044922</v>
      </c>
      <c r="F89" s="48" cm="1">
        <f t="array" aca="1" ref="F89" ca="1">_xll.BDP(E$68&amp;" "&amp;$C89&amp;" 50D VOL LME Comdty","PX_LAST")/100</f>
        <v>0.158600492477417</v>
      </c>
      <c r="G89" s="61" cm="1">
        <f t="array" aca="1" ref="G89" ca="1">_xll.BDP(E$68&amp;" "&amp;$C89&amp;" 25DC VOL LME Comdty","PX_LAST")/100</f>
        <v>0.16069763183593749</v>
      </c>
      <c r="H89" s="61" cm="1">
        <f t="array" aca="1" ref="H89" ca="1">_xll.BDP(E$68&amp;" "&amp;$C89&amp;" 10DC VOL LME Comdty","PX_LAST")/100</f>
        <v>0.16469743728637695</v>
      </c>
      <c r="I89" s="52">
        <f t="shared" ca="1" si="9"/>
        <v>0.16860049247741701</v>
      </c>
      <c r="J89" s="53">
        <f t="shared" ca="1" si="10"/>
        <v>-1.019878387451173E-2</v>
      </c>
      <c r="K89" s="53">
        <f t="shared" ca="1" si="11"/>
        <v>-1.7097930908203135E-2</v>
      </c>
      <c r="L89" s="53">
        <f t="shared" ca="1" si="12"/>
        <v>7.1965312957763539E-3</v>
      </c>
      <c r="M89" s="72">
        <f t="shared" ca="1" si="13"/>
        <v>1.4645910263061529E-2</v>
      </c>
      <c r="N89" s="53"/>
      <c r="O89" s="71" cm="1">
        <f t="array" aca="1" ref="O89" ca="1">_xll.BDP(P$68&amp;" "&amp;$C89&amp;" 10DP VOL LME Comdty","PX_LAST")/100</f>
        <v>0.24439325332641601</v>
      </c>
      <c r="P89" s="61" cm="1">
        <f t="array" aca="1" ref="P89" ca="1">_xll.BDP(P$68&amp;" "&amp;$C89&amp;" 25DP VOL LME Comdty","PX_LAST")/100</f>
        <v>0.22659509658813476</v>
      </c>
      <c r="Q89" s="48" cm="1">
        <f t="array" aca="1" ref="Q89" ca="1">_xll.BDP(P$68&amp;" "&amp;$C89&amp;" 50D VOL LME Comdty","PX_LAST")/100</f>
        <v>0.20650129318237304</v>
      </c>
      <c r="R89" s="61" cm="1">
        <f t="array" aca="1" ref="R89" ca="1">_xll.BDP(P$68&amp;" "&amp;$C89&amp;" 25DC VOL LME Comdty","PX_LAST")/100</f>
        <v>0.20529907226562499</v>
      </c>
      <c r="S89" s="61" cm="1">
        <f t="array" aca="1" ref="S89" ca="1">_xll.BDP(P$68&amp;" "&amp;$C89&amp;" 10DC VOL LME Comdty","PX_LAST")/100</f>
        <v>0.20649902343750001</v>
      </c>
      <c r="T89" s="52">
        <f t="shared" ca="1" si="14"/>
        <v>0.21650129318237304</v>
      </c>
      <c r="U89" s="53">
        <f t="shared" ca="1" si="15"/>
        <v>-2.1296024322509766E-2</v>
      </c>
      <c r="V89" s="53">
        <f t="shared" ca="1" si="16"/>
        <v>-3.7894229888915998E-2</v>
      </c>
      <c r="W89" s="53">
        <f t="shared" ca="1" si="17"/>
        <v>9.4457912445068404E-3</v>
      </c>
      <c r="X89" s="72">
        <f t="shared" ca="1" si="18"/>
        <v>1.8944845199584975E-2</v>
      </c>
      <c r="Y89" s="53"/>
      <c r="Z89" s="71" cm="1">
        <f t="array" aca="1" ref="Z89" ca="1">_xll.BDP(AA$68&amp;" "&amp;$C89&amp;" 10DP VOL LME Comdty","PX_LAST")/100</f>
        <v>0.26029308319091798</v>
      </c>
      <c r="AA89" s="61" cm="1">
        <f t="array" aca="1" ref="AA89" ca="1">_xll.BDP(AA$68&amp;" "&amp;$C89&amp;" 25DP VOL LME Comdty","PX_LAST")/100</f>
        <v>0.24189510345458984</v>
      </c>
      <c r="AB89" s="48" cm="1">
        <f t="array" aca="1" ref="AB89" ca="1">_xll.BDP(AA$68&amp;" "&amp;$C89&amp;" 50D VOL LME Comdty","PX_LAST")/100</f>
        <v>0.22030130386352539</v>
      </c>
      <c r="AC89" s="61" cm="1">
        <f t="array" aca="1" ref="AC89" ca="1">_xll.BDP(AA$68&amp;" "&amp;$C89&amp;" 25DC VOL LME Comdty","PX_LAST")/100</f>
        <v>0.22039953231811524</v>
      </c>
      <c r="AD89" s="61" cm="1">
        <f t="array" aca="1" ref="AD89" ca="1">_xll.BDP(AA$68&amp;" "&amp;$C89&amp;" 10DC VOL LME Comdty","PX_LAST")/100</f>
        <v>0.22009986877441406</v>
      </c>
      <c r="AE89" s="52">
        <f t="shared" ca="1" si="19"/>
        <v>0.2303013038635254</v>
      </c>
      <c r="AF89" s="53">
        <f t="shared" ca="1" si="20"/>
        <v>-2.14955711364746E-2</v>
      </c>
      <c r="AG89" s="53">
        <f t="shared" ca="1" si="21"/>
        <v>-4.019321441650392E-2</v>
      </c>
      <c r="AH89" s="53">
        <f t="shared" ca="1" si="22"/>
        <v>1.0846014022827144E-2</v>
      </c>
      <c r="AI89" s="72">
        <f t="shared" ca="1" si="23"/>
        <v>1.9895172119140631E-2</v>
      </c>
      <c r="AJ89" s="53"/>
      <c r="AK89" s="71" cm="1">
        <f t="array" aca="1" ref="AK89" ca="1">_xll.BDP(AL$68&amp;" "&amp;$C89&amp;" 10DP VOL LME Comdty","PX_LAST")/100</f>
        <v>0.30709753036499021</v>
      </c>
      <c r="AL89" s="61" cm="1">
        <f t="array" aca="1" ref="AL89" ca="1">_xll.BDP(AL$68&amp;" "&amp;$C89&amp;" 25DP VOL LME Comdty","PX_LAST")/100</f>
        <v>0.30049875259399417</v>
      </c>
      <c r="AM89" s="48" cm="1">
        <f t="array" aca="1" ref="AM89" ca="1">_xll.BDP(AL$68&amp;" "&amp;$C89&amp;" 50D VOL LME Comdty","PX_LAST")/100</f>
        <v>0.2954996109008789</v>
      </c>
      <c r="AN89" s="61" cm="1">
        <f t="array" aca="1" ref="AN89" ca="1">_xll.BDP(AL$68&amp;" "&amp;$C89&amp;" 25DC VOL LME Comdty","PX_LAST")/100</f>
        <v>0.30569200515747069</v>
      </c>
      <c r="AO89" s="61" cm="1">
        <f t="array" aca="1" ref="AO89" ca="1">_xll.BDP(AL$68&amp;" "&amp;$C89&amp;" 10DC VOL LME Comdty","PX_LAST")/100</f>
        <v>0.31679334640502932</v>
      </c>
      <c r="AP89" s="52">
        <f t="shared" ca="1" si="24"/>
        <v>0.3054996109008789</v>
      </c>
      <c r="AQ89" s="53">
        <f t="shared" ca="1" si="25"/>
        <v>5.1932525634765248E-3</v>
      </c>
      <c r="AR89" s="53">
        <f t="shared" ca="1" si="26"/>
        <v>9.6958160400391069E-3</v>
      </c>
      <c r="AS89" s="53">
        <f t="shared" ca="1" si="27"/>
        <v>7.5957679748535623E-3</v>
      </c>
      <c r="AT89" s="72">
        <f t="shared" ca="1" si="28"/>
        <v>1.644582748413087E-2</v>
      </c>
    </row>
    <row r="90" spans="2:46" x14ac:dyDescent="0.25">
      <c r="B90" s="1" cm="1">
        <f t="array" aca="1" ref="B90" ca="1">_xll.QDates_SpecificWeekday(EDATE(B89,1),"Wednesday",1)</f>
        <v>44594</v>
      </c>
      <c r="C90" t="str">
        <f t="shared" ca="1" si="29"/>
        <v>FEB22</v>
      </c>
      <c r="D90" s="71" cm="1">
        <f t="array" aca="1" ref="D90" ca="1">_xll.BDP(E$68&amp;" "&amp;$C90&amp;" 10DP VOL LME Comdty","PX_LAST")/100</f>
        <v>0.18129541397094726</v>
      </c>
      <c r="E90" s="61" cm="1">
        <f t="array" aca="1" ref="E90" ca="1">_xll.BDP(E$68&amp;" "&amp;$C90&amp;" 25DP VOL LME Comdty","PX_LAST")/100</f>
        <v>0.17049646377563477</v>
      </c>
      <c r="F90" s="48" cm="1">
        <f t="array" aca="1" ref="F90" ca="1">_xll.BDP(E$68&amp;" "&amp;$C90&amp;" 50D VOL LME Comdty","PX_LAST")/100</f>
        <v>0.15820048332214356</v>
      </c>
      <c r="G90" s="61" cm="1">
        <f t="array" aca="1" ref="G90" ca="1">_xll.BDP(E$68&amp;" "&amp;$C90&amp;" 25DC VOL LME Comdty","PX_LAST")/100</f>
        <v>0.16039766311645509</v>
      </c>
      <c r="H90" s="61" cm="1">
        <f t="array" aca="1" ref="H90" ca="1">_xll.BDP(E$68&amp;" "&amp;$C90&amp;" 10DC VOL LME Comdty","PX_LAST")/100</f>
        <v>0.16429752349853516</v>
      </c>
      <c r="I90" s="52">
        <f t="shared" ca="1" si="9"/>
        <v>0.16820048332214357</v>
      </c>
      <c r="J90" s="53">
        <f t="shared" ca="1" si="10"/>
        <v>-1.0098800659179674E-2</v>
      </c>
      <c r="K90" s="53">
        <f t="shared" ca="1" si="11"/>
        <v>-1.6997890472412097E-2</v>
      </c>
      <c r="L90" s="53">
        <f t="shared" ca="1" si="12"/>
        <v>7.2465801239013639E-3</v>
      </c>
      <c r="M90" s="72">
        <f t="shared" ca="1" si="13"/>
        <v>1.4595985412597628E-2</v>
      </c>
      <c r="N90" s="53"/>
      <c r="O90" s="71" cm="1">
        <f t="array" aca="1" ref="O90" ca="1">_xll.BDP(P$68&amp;" "&amp;$C90&amp;" 10DP VOL LME Comdty","PX_LAST")/100</f>
        <v>0.24399343490600586</v>
      </c>
      <c r="P90" s="61" cm="1">
        <f t="array" aca="1" ref="P90" ca="1">_xll.BDP(P$68&amp;" "&amp;$C90&amp;" 25DP VOL LME Comdty","PX_LAST")/100</f>
        <v>0.22619520187377928</v>
      </c>
      <c r="Q90" s="48" cm="1">
        <f t="array" aca="1" ref="Q90" ca="1">_xll.BDP(P$68&amp;" "&amp;$C90&amp;" 50D VOL LME Comdty","PX_LAST")/100</f>
        <v>0.20620128631591797</v>
      </c>
      <c r="R90" s="61" cm="1">
        <f t="array" aca="1" ref="R90" ca="1">_xll.BDP(P$68&amp;" "&amp;$C90&amp;" 25DC VOL LME Comdty","PX_LAST")/100</f>
        <v>0.20519903182983398</v>
      </c>
      <c r="S90" s="61" cm="1">
        <f t="array" aca="1" ref="S90" ca="1">_xll.BDP(P$68&amp;" "&amp;$C90&amp;" 10DC VOL LME Comdty","PX_LAST")/100</f>
        <v>0.20649909973144531</v>
      </c>
      <c r="T90" s="52">
        <f t="shared" ca="1" si="14"/>
        <v>0.21620128631591798</v>
      </c>
      <c r="U90" s="53">
        <f t="shared" ca="1" si="15"/>
        <v>-2.09961700439453E-2</v>
      </c>
      <c r="V90" s="53">
        <f t="shared" ca="1" si="16"/>
        <v>-3.749433517456055E-2</v>
      </c>
      <c r="W90" s="53">
        <f t="shared" ca="1" si="17"/>
        <v>9.4958305358886774E-3</v>
      </c>
      <c r="X90" s="72">
        <f t="shared" ca="1" si="18"/>
        <v>1.9044981002807632E-2</v>
      </c>
      <c r="Y90" s="53"/>
      <c r="Z90" s="71" cm="1">
        <f t="array" aca="1" ref="Z90" ca="1">_xll.BDP(AA$68&amp;" "&amp;$C90&amp;" 10DP VOL LME Comdty","PX_LAST")/100</f>
        <v>0.26019321441650389</v>
      </c>
      <c r="AA90" s="61" cm="1">
        <f t="array" aca="1" ref="AA90" ca="1">_xll.BDP(AA$68&amp;" "&amp;$C90&amp;" 25DP VOL LME Comdty","PX_LAST")/100</f>
        <v>0.24189516067504882</v>
      </c>
      <c r="AB90" s="48" cm="1">
        <f t="array" aca="1" ref="AB90" ca="1">_xll.BDP(AA$68&amp;" "&amp;$C90&amp;" 50D VOL LME Comdty","PX_LAST")/100</f>
        <v>0.22020132064819337</v>
      </c>
      <c r="AC90" s="61" cm="1">
        <f t="array" aca="1" ref="AC90" ca="1">_xll.BDP(AA$68&amp;" "&amp;$C90&amp;" 25DC VOL LME Comdty","PX_LAST")/100</f>
        <v>0.2202994155883789</v>
      </c>
      <c r="AD90" s="61" cm="1">
        <f t="array" aca="1" ref="AD90" ca="1">_xll.BDP(AA$68&amp;" "&amp;$C90&amp;" 10DC VOL LME Comdty","PX_LAST")/100</f>
        <v>0.21999982833862305</v>
      </c>
      <c r="AE90" s="52">
        <f t="shared" ca="1" si="19"/>
        <v>0.23020132064819337</v>
      </c>
      <c r="AF90" s="53">
        <f t="shared" ca="1" si="20"/>
        <v>-2.1595745086669921E-2</v>
      </c>
      <c r="AG90" s="53">
        <f t="shared" ca="1" si="21"/>
        <v>-4.0193386077880838E-2</v>
      </c>
      <c r="AH90" s="53">
        <f t="shared" ca="1" si="22"/>
        <v>1.0895967483520508E-2</v>
      </c>
      <c r="AI90" s="72">
        <f t="shared" ca="1" si="23"/>
        <v>1.9895200729370122E-2</v>
      </c>
      <c r="AJ90" s="53"/>
      <c r="AK90" s="71" cm="1">
        <f t="array" aca="1" ref="AK90" ca="1">_xll.BDP(AL$68&amp;" "&amp;$C90&amp;" 10DP VOL LME Comdty","PX_LAST")/100</f>
        <v>0.30589773178100588</v>
      </c>
      <c r="AL90" s="61" cm="1">
        <f t="array" aca="1" ref="AL90" ca="1">_xll.BDP(AL$68&amp;" "&amp;$C90&amp;" 25DP VOL LME Comdty","PX_LAST")/100</f>
        <v>0.300098819732666</v>
      </c>
      <c r="AM90" s="48" cm="1">
        <f t="array" aca="1" ref="AM90" ca="1">_xll.BDP(AL$68&amp;" "&amp;$C90&amp;" 50D VOL LME Comdty","PX_LAST")/100</f>
        <v>0.29429971694946289</v>
      </c>
      <c r="AN90" s="61" cm="1">
        <f t="array" aca="1" ref="AN90" ca="1">_xll.BDP(AL$68&amp;" "&amp;$C90&amp;" 25DC VOL LME Comdty","PX_LAST")/100</f>
        <v>0.30409215927124023</v>
      </c>
      <c r="AO90" s="61" cm="1">
        <f t="array" aca="1" ref="AO90" ca="1">_xll.BDP(AL$68&amp;" "&amp;$C90&amp;" 10DC VOL LME Comdty","PX_LAST")/100</f>
        <v>0.3143933868408203</v>
      </c>
      <c r="AP90" s="52">
        <f t="shared" ca="1" si="24"/>
        <v>0.3042997169494629</v>
      </c>
      <c r="AQ90" s="53">
        <f t="shared" ca="1" si="25"/>
        <v>3.9933395385742254E-3</v>
      </c>
      <c r="AR90" s="53">
        <f t="shared" ca="1" si="26"/>
        <v>8.495655059814422E-3</v>
      </c>
      <c r="AS90" s="53">
        <f t="shared" ca="1" si="27"/>
        <v>7.7957725524901988E-3</v>
      </c>
      <c r="AT90" s="72">
        <f t="shared" ca="1" si="28"/>
        <v>1.5845842361450202E-2</v>
      </c>
    </row>
    <row r="91" spans="2:46" x14ac:dyDescent="0.25">
      <c r="B91" s="1" cm="1">
        <f t="array" aca="1" ref="B91" ca="1">_xll.QDates_SpecificWeekday(EDATE(B90,1),"Wednesday",1)</f>
        <v>44622</v>
      </c>
      <c r="C91" t="str">
        <f t="shared" ca="1" si="29"/>
        <v>MAR22</v>
      </c>
      <c r="D91" s="71" cm="1">
        <f t="array" aca="1" ref="D91" ca="1">_xll.BDP(E$68&amp;" "&amp;$C91&amp;" 10DP VOL LME Comdty","PX_LAST")/100</f>
        <v>0.18099540710449219</v>
      </c>
      <c r="E91" s="61" cm="1">
        <f t="array" aca="1" ref="E91" ca="1">_xll.BDP(E$68&amp;" "&amp;$C91&amp;" 25DP VOL LME Comdty","PX_LAST")/100</f>
        <v>0.17009647369384764</v>
      </c>
      <c r="F91" s="48" cm="1">
        <f t="array" aca="1" ref="F91" ca="1">_xll.BDP(E$68&amp;" "&amp;$C91&amp;" 50D VOL LME Comdty","PX_LAST")/100</f>
        <v>0.15790050506591796</v>
      </c>
      <c r="G91" s="61" cm="1">
        <f t="array" aca="1" ref="G91" ca="1">_xll.BDP(E$68&amp;" "&amp;$C91&amp;" 25DC VOL LME Comdty","PX_LAST")/100</f>
        <v>0.16019771575927735</v>
      </c>
      <c r="H91" s="61" cm="1">
        <f t="array" aca="1" ref="H91" ca="1">_xll.BDP(E$68&amp;" "&amp;$C91&amp;" 10DC VOL LME Comdty","PX_LAST")/100</f>
        <v>0.16409767150878907</v>
      </c>
      <c r="I91" s="52">
        <f t="shared" ca="1" si="9"/>
        <v>0.16790050506591797</v>
      </c>
      <c r="J91" s="53">
        <f t="shared" ca="1" si="10"/>
        <v>-9.8987579345702903E-3</v>
      </c>
      <c r="K91" s="53">
        <f t="shared" ca="1" si="11"/>
        <v>-1.6897735595703123E-2</v>
      </c>
      <c r="L91" s="53">
        <f t="shared" ca="1" si="12"/>
        <v>7.2465896606445368E-3</v>
      </c>
      <c r="M91" s="72">
        <f t="shared" ca="1" si="13"/>
        <v>1.4646034240722666E-2</v>
      </c>
      <c r="N91" s="53"/>
      <c r="O91" s="71" cm="1">
        <f t="array" aca="1" ref="O91" ca="1">_xll.BDP(P$68&amp;" "&amp;$C91&amp;" 10DP VOL LME Comdty","PX_LAST")/100</f>
        <v>0.24319355010986329</v>
      </c>
      <c r="P91" s="61" cm="1">
        <f t="array" aca="1" ref="P91" ca="1">_xll.BDP(P$68&amp;" "&amp;$C91&amp;" 25DP VOL LME Comdty","PX_LAST")/100</f>
        <v>0.22569528579711914</v>
      </c>
      <c r="Q91" s="48" cm="1">
        <f t="array" aca="1" ref="Q91" ca="1">_xll.BDP(P$68&amp;" "&amp;$C91&amp;" 50D VOL LME Comdty","PX_LAST")/100</f>
        <v>0.20570127487182618</v>
      </c>
      <c r="R91" s="61" cm="1">
        <f t="array" aca="1" ref="R91" ca="1">_xll.BDP(P$68&amp;" "&amp;$C91&amp;" 25DC VOL LME Comdty","PX_LAST")/100</f>
        <v>0.20489896774291994</v>
      </c>
      <c r="S91" s="61" cm="1">
        <f t="array" aca="1" ref="S91" ca="1">_xll.BDP(P$68&amp;" "&amp;$C91&amp;" 10DC VOL LME Comdty","PX_LAST")/100</f>
        <v>0.20629911422729491</v>
      </c>
      <c r="T91" s="52">
        <f t="shared" ca="1" si="14"/>
        <v>0.21570127487182619</v>
      </c>
      <c r="U91" s="53">
        <f t="shared" ca="1" si="15"/>
        <v>-2.0796318054199209E-2</v>
      </c>
      <c r="V91" s="53">
        <f t="shared" ca="1" si="16"/>
        <v>-3.6894435882568383E-2</v>
      </c>
      <c r="W91" s="53">
        <f t="shared" ca="1" si="17"/>
        <v>9.5958518981933694E-3</v>
      </c>
      <c r="X91" s="72">
        <f t="shared" ca="1" si="18"/>
        <v>1.9045057296752904E-2</v>
      </c>
      <c r="Y91" s="53"/>
      <c r="Z91" s="71" cm="1">
        <f t="array" aca="1" ref="Z91" ca="1">_xll.BDP(AA$68&amp;" "&amp;$C91&amp;" 10DP VOL LME Comdty","PX_LAST")/100</f>
        <v>0.26019336700439455</v>
      </c>
      <c r="AA91" s="61" cm="1">
        <f t="array" aca="1" ref="AA91" ca="1">_xll.BDP(AA$68&amp;" "&amp;$C91&amp;" 25DP VOL LME Comdty","PX_LAST")/100</f>
        <v>0.24199525833129884</v>
      </c>
      <c r="AB91" s="48" cm="1">
        <f t="array" aca="1" ref="AB91" ca="1">_xll.BDP(AA$68&amp;" "&amp;$C91&amp;" 50D VOL LME Comdty","PX_LAST")/100</f>
        <v>0.220201358795166</v>
      </c>
      <c r="AC91" s="61" cm="1">
        <f t="array" aca="1" ref="AC91" ca="1">_xll.BDP(AA$68&amp;" "&amp;$C91&amp;" 25DC VOL LME Comdty","PX_LAST")/100</f>
        <v>0.22029935836791992</v>
      </c>
      <c r="AD91" s="61" cm="1">
        <f t="array" aca="1" ref="AD91" ca="1">_xll.BDP(AA$68&amp;" "&amp;$C91&amp;" 10DC VOL LME Comdty","PX_LAST")/100</f>
        <v>0.22009981155395508</v>
      </c>
      <c r="AE91" s="52">
        <f t="shared" ca="1" si="19"/>
        <v>0.23020135879516601</v>
      </c>
      <c r="AF91" s="53">
        <f t="shared" ca="1" si="20"/>
        <v>-2.1695899963378923E-2</v>
      </c>
      <c r="AG91" s="53">
        <f t="shared" ca="1" si="21"/>
        <v>-4.0093555450439466E-2</v>
      </c>
      <c r="AH91" s="53">
        <f t="shared" ca="1" si="22"/>
        <v>1.094594955444339E-2</v>
      </c>
      <c r="AI91" s="72">
        <f t="shared" ca="1" si="23"/>
        <v>1.9945230484008813E-2</v>
      </c>
      <c r="AJ91" s="53"/>
      <c r="AK91" s="71" cm="1">
        <f t="array" aca="1" ref="AK91" ca="1">_xll.BDP(AL$68&amp;" "&amp;$C91&amp;" 10DP VOL LME Comdty","PX_LAST")/100</f>
        <v>0.30509778976440427</v>
      </c>
      <c r="AL91" s="61" cm="1">
        <f t="array" aca="1" ref="AL91" ca="1">_xll.BDP(AL$68&amp;" "&amp;$C91&amp;" 25DP VOL LME Comdty","PX_LAST")/100</f>
        <v>0.29919883728027341</v>
      </c>
      <c r="AM91" s="48" cm="1">
        <f t="array" aca="1" ref="AM91" ca="1">_xll.BDP(AL$68&amp;" "&amp;$C91&amp;" 50D VOL LME Comdty","PX_LAST")/100</f>
        <v>0.2933997344970703</v>
      </c>
      <c r="AN91" s="61" cm="1">
        <f t="array" aca="1" ref="AN91" ca="1">_xll.BDP(AL$68&amp;" "&amp;$C91&amp;" 25DC VOL LME Comdty","PX_LAST")/100</f>
        <v>0.30329216003417969</v>
      </c>
      <c r="AO91" s="61" cm="1">
        <f t="array" aca="1" ref="AO91" ca="1">_xll.BDP(AL$68&amp;" "&amp;$C91&amp;" 10DC VOL LME Comdty","PX_LAST")/100</f>
        <v>0.3134934425354004</v>
      </c>
      <c r="AP91" s="52">
        <f t="shared" ca="1" si="24"/>
        <v>0.30339973449707031</v>
      </c>
      <c r="AQ91" s="53">
        <f t="shared" ca="1" si="25"/>
        <v>4.0933227539062811E-3</v>
      </c>
      <c r="AR91" s="53">
        <f t="shared" ca="1" si="26"/>
        <v>8.3956527709961315E-3</v>
      </c>
      <c r="AS91" s="53">
        <f t="shared" ca="1" si="27"/>
        <v>7.8457641601562544E-3</v>
      </c>
      <c r="AT91" s="72">
        <f t="shared" ca="1" si="28"/>
        <v>1.5895881652832011E-2</v>
      </c>
    </row>
    <row r="92" spans="2:46" x14ac:dyDescent="0.25">
      <c r="B92" s="1" cm="1">
        <f t="array" aca="1" ref="B92" ca="1">_xll.QDates_SpecificWeekday(EDATE(B91,1),"Wednesday",1)</f>
        <v>44657</v>
      </c>
      <c r="C92" t="str">
        <f t="shared" ca="1" si="29"/>
        <v>APR22</v>
      </c>
      <c r="D92" s="71" cm="1">
        <f t="array" aca="1" ref="D92" ca="1">_xll.BDP(E$68&amp;" "&amp;$C92&amp;" 10DP VOL LME Comdty","PX_LAST")/100</f>
        <v>0.1822954559326172</v>
      </c>
      <c r="E92" s="61" cm="1">
        <f t="array" aca="1" ref="E92" ca="1">_xll.BDP(E$68&amp;" "&amp;$C92&amp;" 25DP VOL LME Comdty","PX_LAST")/100</f>
        <v>0.17079641342163085</v>
      </c>
      <c r="F92" s="48" cm="1">
        <f t="array" aca="1" ref="F92" ca="1">_xll.BDP(E$68&amp;" "&amp;$C92&amp;" 50D VOL LME Comdty","PX_LAST")/100</f>
        <v>0.15780056953430177</v>
      </c>
      <c r="G92" s="61" cm="1">
        <f t="array" aca="1" ref="G92" ca="1">_xll.BDP(E$68&amp;" "&amp;$C92&amp;" 25DC VOL LME Comdty","PX_LAST")/100</f>
        <v>0.1592979335784912</v>
      </c>
      <c r="H92" s="61" cm="1">
        <f t="array" aca="1" ref="H92" ca="1">_xll.BDP(E$68&amp;" "&amp;$C92&amp;" 10DC VOL LME Comdty","PX_LAST")/100</f>
        <v>0.16249778747558594</v>
      </c>
      <c r="I92" s="52">
        <f t="shared" ca="1" si="9"/>
        <v>0.16780056953430178</v>
      </c>
      <c r="J92" s="53">
        <f t="shared" ca="1" si="10"/>
        <v>-1.1498479843139647E-2</v>
      </c>
      <c r="K92" s="53">
        <f t="shared" ca="1" si="11"/>
        <v>-1.9797668457031264E-2</v>
      </c>
      <c r="L92" s="53">
        <f t="shared" ca="1" si="12"/>
        <v>7.2466039657592685E-3</v>
      </c>
      <c r="M92" s="72">
        <f t="shared" ca="1" si="13"/>
        <v>1.4596052169799811E-2</v>
      </c>
      <c r="N92" s="53"/>
      <c r="O92" s="71" cm="1">
        <f t="array" aca="1" ref="O92" ca="1">_xll.BDP(P$68&amp;" "&amp;$C92&amp;" 10DP VOL LME Comdty","PX_LAST")/100</f>
        <v>0.24269369125366211</v>
      </c>
      <c r="P92" s="61" cm="1">
        <f t="array" aca="1" ref="P92" ca="1">_xll.BDP(P$68&amp;" "&amp;$C92&amp;" 25DP VOL LME Comdty","PX_LAST")/100</f>
        <v>0.22509538650512695</v>
      </c>
      <c r="Q92" s="48" cm="1">
        <f t="array" aca="1" ref="Q92" ca="1">_xll.BDP(P$68&amp;" "&amp;$C92&amp;" 50D VOL LME Comdty","PX_LAST")/100</f>
        <v>0.20520128250122072</v>
      </c>
      <c r="R92" s="61" cm="1">
        <f t="array" aca="1" ref="R92" ca="1">_xll.BDP(P$68&amp;" "&amp;$C92&amp;" 25DC VOL LME Comdty","PX_LAST")/100</f>
        <v>0.20459890365600586</v>
      </c>
      <c r="S92" s="61" cm="1">
        <f t="array" aca="1" ref="S92" ca="1">_xll.BDP(P$68&amp;" "&amp;$C92&amp;" 10DC VOL LME Comdty","PX_LAST")/100</f>
        <v>0.20599912643432616</v>
      </c>
      <c r="T92" s="52">
        <f t="shared" ca="1" si="14"/>
        <v>0.21520128250122073</v>
      </c>
      <c r="U92" s="53">
        <f t="shared" ca="1" si="15"/>
        <v>-2.0496482849121089E-2</v>
      </c>
      <c r="V92" s="53">
        <f t="shared" ca="1" si="16"/>
        <v>-3.6694564819335945E-2</v>
      </c>
      <c r="W92" s="53">
        <f t="shared" ca="1" si="17"/>
        <v>9.6458625793456876E-3</v>
      </c>
      <c r="X92" s="72">
        <f t="shared" ca="1" si="18"/>
        <v>1.9145126342773433E-2</v>
      </c>
      <c r="Y92" s="53"/>
      <c r="Z92" s="71" cm="1">
        <f t="array" aca="1" ref="Z92" ca="1">_xll.BDP(AA$68&amp;" "&amp;$C92&amp;" 10DP VOL LME Comdty","PX_LAST")/100</f>
        <v>0.26009353637695315</v>
      </c>
      <c r="AA92" s="61" cm="1">
        <f t="array" aca="1" ref="AA92" ca="1">_xll.BDP(AA$68&amp;" "&amp;$C92&amp;" 25DP VOL LME Comdty","PX_LAST")/100</f>
        <v>0.24199535369873046</v>
      </c>
      <c r="AB92" s="48" cm="1">
        <f t="array" aca="1" ref="AB92" ca="1">_xll.BDP(AA$68&amp;" "&amp;$C92&amp;" 50D VOL LME Comdty","PX_LAST")/100</f>
        <v>0.22010139465332032</v>
      </c>
      <c r="AC92" s="61" cm="1">
        <f t="array" aca="1" ref="AC92" ca="1">_xll.BDP(AA$68&amp;" "&amp;$C92&amp;" 25DC VOL LME Comdty","PX_LAST")/100</f>
        <v>0.22019935607910157</v>
      </c>
      <c r="AD92" s="61" cm="1">
        <f t="array" aca="1" ref="AD92" ca="1">_xll.BDP(AA$68&amp;" "&amp;$C92&amp;" 10DC VOL LME Comdty","PX_LAST")/100</f>
        <v>0.21989980697631836</v>
      </c>
      <c r="AE92" s="52">
        <f t="shared" ca="1" si="19"/>
        <v>0.23010139465332033</v>
      </c>
      <c r="AF92" s="53">
        <f t="shared" ca="1" si="20"/>
        <v>-2.1795997619628887E-2</v>
      </c>
      <c r="AG92" s="53">
        <f t="shared" ca="1" si="21"/>
        <v>-4.0193729400634787E-2</v>
      </c>
      <c r="AH92" s="53">
        <f t="shared" ca="1" si="22"/>
        <v>1.0995960235595709E-2</v>
      </c>
      <c r="AI92" s="72">
        <f t="shared" ca="1" si="23"/>
        <v>1.9895277023315422E-2</v>
      </c>
      <c r="AJ92" s="53"/>
      <c r="AK92" s="71" cm="1">
        <f t="array" aca="1" ref="AK92" ca="1">_xll.BDP(AL$68&amp;" "&amp;$C92&amp;" 10DP VOL LME Comdty","PX_LAST")/100</f>
        <v>0.30419776916503904</v>
      </c>
      <c r="AL92" s="61" cm="1">
        <f t="array" aca="1" ref="AL92" ca="1">_xll.BDP(AL$68&amp;" "&amp;$C92&amp;" 25DP VOL LME Comdty","PX_LAST")/100</f>
        <v>0.29819887161254882</v>
      </c>
      <c r="AM92" s="48" cm="1">
        <f t="array" aca="1" ref="AM92" ca="1">_xll.BDP(AL$68&amp;" "&amp;$C92&amp;" 50D VOL LME Comdty","PX_LAST")/100</f>
        <v>0.29249973297119142</v>
      </c>
      <c r="AN92" s="61" cm="1">
        <f t="array" aca="1" ref="AN92" ca="1">_xll.BDP(AL$68&amp;" "&amp;$C92&amp;" 25DC VOL LME Comdty","PX_LAST")/100</f>
        <v>0.30229207992553708</v>
      </c>
      <c r="AO92" s="61" cm="1">
        <f t="array" aca="1" ref="AO92" ca="1">_xll.BDP(AL$68&amp;" "&amp;$C92&amp;" 10DC VOL LME Comdty","PX_LAST")/100</f>
        <v>0.31259338378906248</v>
      </c>
      <c r="AP92" s="52">
        <f t="shared" ca="1" si="24"/>
        <v>0.30249973297119143</v>
      </c>
      <c r="AQ92" s="53">
        <f t="shared" ca="1" si="25"/>
        <v>4.0932083129882613E-3</v>
      </c>
      <c r="AR92" s="53">
        <f t="shared" ca="1" si="26"/>
        <v>8.3956146240234397E-3</v>
      </c>
      <c r="AS92" s="53">
        <f t="shared" ca="1" si="27"/>
        <v>7.745742797851507E-3</v>
      </c>
      <c r="AT92" s="72">
        <f t="shared" ca="1" si="28"/>
        <v>1.5895843505859319E-2</v>
      </c>
    </row>
    <row r="93" spans="2:46" x14ac:dyDescent="0.25">
      <c r="B93" s="1" cm="1">
        <f t="array" aca="1" ref="B93" ca="1">_xll.QDates_SpecificWeekday(EDATE(B92,1),"Wednesday",1)</f>
        <v>44685</v>
      </c>
      <c r="C93" t="str">
        <f t="shared" ca="1" si="29"/>
        <v>MAY22</v>
      </c>
      <c r="D93" s="71" cm="1">
        <f t="array" aca="1" ref="D93" ca="1">_xll.BDP(E$68&amp;" "&amp;$C93&amp;" 10DP VOL LME Comdty","PX_LAST")/100</f>
        <v>0.18219541549682616</v>
      </c>
      <c r="E93" s="61" cm="1">
        <f t="array" aca="1" ref="E93" ca="1">_xll.BDP(E$68&amp;" "&amp;$C93&amp;" 25DP VOL LME Comdty","PX_LAST")/100</f>
        <v>0.1706964111328125</v>
      </c>
      <c r="F93" s="48" cm="1">
        <f t="array" aca="1" ref="F93" ca="1">_xll.BDP(E$68&amp;" "&amp;$C93&amp;" 50D VOL LME Comdty","PX_LAST")/100</f>
        <v>0.15770058631896972</v>
      </c>
      <c r="G93" s="61" cm="1">
        <f t="array" aca="1" ref="G93" ca="1">_xll.BDP(E$68&amp;" "&amp;$C93&amp;" 25DC VOL LME Comdty","PX_LAST")/100</f>
        <v>0.15929803848266602</v>
      </c>
      <c r="H93" s="61" cm="1">
        <f t="array" aca="1" ref="H93" ca="1">_xll.BDP(E$68&amp;" "&amp;$C93&amp;" 10DC VOL LME Comdty","PX_LAST")/100</f>
        <v>0.16229795455932616</v>
      </c>
      <c r="I93" s="52">
        <f t="shared" ca="1" si="9"/>
        <v>0.16770058631896972</v>
      </c>
      <c r="J93" s="53">
        <f t="shared" ca="1" si="10"/>
        <v>-1.1398372650146482E-2</v>
      </c>
      <c r="K93" s="53">
        <f t="shared" ca="1" si="11"/>
        <v>-1.98974609375E-2</v>
      </c>
      <c r="L93" s="53">
        <f t="shared" ca="1" si="12"/>
        <v>7.2966384887695468E-3</v>
      </c>
      <c r="M93" s="72">
        <f t="shared" ca="1" si="13"/>
        <v>1.4546098709106448E-2</v>
      </c>
      <c r="N93" s="53"/>
      <c r="O93" s="71" cm="1">
        <f t="array" aca="1" ref="O93" ca="1">_xll.BDP(P$68&amp;" "&amp;$C93&amp;" 10DP VOL LME Comdty","PX_LAST")/100</f>
        <v>0.2421937370300293</v>
      </c>
      <c r="P93" s="61" cm="1">
        <f t="array" aca="1" ref="P93" ca="1">_xll.BDP(P$68&amp;" "&amp;$C93&amp;" 25DP VOL LME Comdty","PX_LAST")/100</f>
        <v>0.22469543457031249</v>
      </c>
      <c r="Q93" s="48" cm="1">
        <f t="array" aca="1" ref="Q93" ca="1">_xll.BDP(P$68&amp;" "&amp;$C93&amp;" 50D VOL LME Comdty","PX_LAST")/100</f>
        <v>0.20480129241943359</v>
      </c>
      <c r="R93" s="61" cm="1">
        <f t="array" aca="1" ref="R93" ca="1">_xll.BDP(P$68&amp;" "&amp;$C93&amp;" 25DC VOL LME Comdty","PX_LAST")/100</f>
        <v>0.20429885864257813</v>
      </c>
      <c r="S93" s="61" cm="1">
        <f t="array" aca="1" ref="S93" ca="1">_xll.BDP(P$68&amp;" "&amp;$C93&amp;" 10DC VOL LME Comdty","PX_LAST")/100</f>
        <v>0.20579908370971681</v>
      </c>
      <c r="T93" s="52">
        <f t="shared" ca="1" si="14"/>
        <v>0.2148012924194336</v>
      </c>
      <c r="U93" s="53">
        <f t="shared" ca="1" si="15"/>
        <v>-2.0396575927734362E-2</v>
      </c>
      <c r="V93" s="53">
        <f t="shared" ca="1" si="16"/>
        <v>-3.6394653320312498E-2</v>
      </c>
      <c r="W93" s="53">
        <f t="shared" ca="1" si="17"/>
        <v>9.6958541870117154E-3</v>
      </c>
      <c r="X93" s="72">
        <f t="shared" ca="1" si="18"/>
        <v>1.9195117950439461E-2</v>
      </c>
      <c r="Y93" s="53"/>
      <c r="Z93" s="71" cm="1">
        <f t="array" aca="1" ref="Z93" ca="1">_xll.BDP(AA$68&amp;" "&amp;$C93&amp;" 10DP VOL LME Comdty","PX_LAST")/100</f>
        <v>0.25999366760253906</v>
      </c>
      <c r="AA93" s="61" cm="1">
        <f t="array" aca="1" ref="AA93" ca="1">_xll.BDP(AA$68&amp;" "&amp;$C93&amp;" 25DP VOL LME Comdty","PX_LAST")/100</f>
        <v>0.2419954490661621</v>
      </c>
      <c r="AB93" s="48" cm="1">
        <f t="array" aca="1" ref="AB93" ca="1">_xll.BDP(AA$68&amp;" "&amp;$C93&amp;" 50D VOL LME Comdty","PX_LAST")/100</f>
        <v>0.22010143280029296</v>
      </c>
      <c r="AC93" s="61" cm="1">
        <f t="array" aca="1" ref="AC93" ca="1">_xll.BDP(AA$68&amp;" "&amp;$C93&amp;" 25DC VOL LME Comdty","PX_LAST")/100</f>
        <v>0.2202993392944336</v>
      </c>
      <c r="AD93" s="61" cm="1">
        <f t="array" aca="1" ref="AD93" ca="1">_xll.BDP(AA$68&amp;" "&amp;$C93&amp;" 10DC VOL LME Comdty","PX_LAST")/100</f>
        <v>0.21999980926513671</v>
      </c>
      <c r="AE93" s="52">
        <f t="shared" ca="1" si="19"/>
        <v>0.23010143280029297</v>
      </c>
      <c r="AF93" s="53">
        <f t="shared" ca="1" si="20"/>
        <v>-2.1696109771728506E-2</v>
      </c>
      <c r="AG93" s="53">
        <f t="shared" ca="1" si="21"/>
        <v>-3.9993858337402349E-2</v>
      </c>
      <c r="AH93" s="53">
        <f t="shared" ca="1" si="22"/>
        <v>1.1045961380004882E-2</v>
      </c>
      <c r="AI93" s="72">
        <f t="shared" ca="1" si="23"/>
        <v>1.9895305633544941E-2</v>
      </c>
      <c r="AJ93" s="53"/>
      <c r="AK93" s="71" cm="1">
        <f t="array" aca="1" ref="AK93" ca="1">_xll.BDP(AL$68&amp;" "&amp;$C93&amp;" 10DP VOL LME Comdty","PX_LAST")/100</f>
        <v>0.30379776000976561</v>
      </c>
      <c r="AL93" s="61" cm="1">
        <f t="array" aca="1" ref="AL93" ca="1">_xll.BDP(AL$68&amp;" "&amp;$C93&amp;" 25DP VOL LME Comdty","PX_LAST")/100</f>
        <v>0.29779890060424807</v>
      </c>
      <c r="AM93" s="48" cm="1">
        <f t="array" aca="1" ref="AM93" ca="1">_xll.BDP(AL$68&amp;" "&amp;$C93&amp;" 50D VOL LME Comdty","PX_LAST")/100</f>
        <v>0.29189975738525392</v>
      </c>
      <c r="AN93" s="61" cm="1">
        <f t="array" aca="1" ref="AN93" ca="1">_xll.BDP(AL$68&amp;" "&amp;$C93&amp;" 25DC VOL LME Comdty","PX_LAST")/100</f>
        <v>0.30159193038940429</v>
      </c>
      <c r="AO93" s="61" cm="1">
        <f t="array" aca="1" ref="AO93" ca="1">_xll.BDP(AL$68&amp;" "&amp;$C93&amp;" 10DC VOL LME Comdty","PX_LAST")/100</f>
        <v>0.31209325790405273</v>
      </c>
      <c r="AP93" s="52">
        <f t="shared" ca="1" si="24"/>
        <v>0.30189975738525393</v>
      </c>
      <c r="AQ93" s="53">
        <f t="shared" ca="1" si="25"/>
        <v>3.7930297851562211E-3</v>
      </c>
      <c r="AR93" s="53">
        <f t="shared" ca="1" si="26"/>
        <v>8.2954978942871294E-3</v>
      </c>
      <c r="AS93" s="53">
        <f t="shared" ca="1" si="27"/>
        <v>7.79565811157229E-3</v>
      </c>
      <c r="AT93" s="72">
        <f t="shared" ca="1" si="28"/>
        <v>1.6045751571655276E-2</v>
      </c>
    </row>
    <row r="94" spans="2:46" x14ac:dyDescent="0.25">
      <c r="B94" s="1" cm="1">
        <f t="array" aca="1" ref="B94" ca="1">_xll.QDates_SpecificWeekday(EDATE(B93,1),"Wednesday",1)</f>
        <v>44713</v>
      </c>
      <c r="C94" t="str">
        <f t="shared" ca="1" si="29"/>
        <v>JUN22</v>
      </c>
      <c r="D94" s="71" cm="1">
        <f t="array" aca="1" ref="D94" ca="1">_xll.BDP(E$68&amp;" "&amp;$C94&amp;" 10DP VOL LME Comdty","PX_LAST")/100</f>
        <v>0.18209535598754883</v>
      </c>
      <c r="E94" s="61" cm="1">
        <f t="array" aca="1" ref="E94" ca="1">_xll.BDP(E$68&amp;" "&amp;$C94&amp;" 25DP VOL LME Comdty","PX_LAST")/100</f>
        <v>0.17059642791748048</v>
      </c>
      <c r="F94" s="48" cm="1">
        <f t="array" aca="1" ref="F94" ca="1">_xll.BDP(E$68&amp;" "&amp;$C94&amp;" 50D VOL LME Comdty","PX_LAST")/100</f>
        <v>0.15760058403015137</v>
      </c>
      <c r="G94" s="61" cm="1">
        <f t="array" aca="1" ref="G94" ca="1">_xll.BDP(E$68&amp;" "&amp;$C94&amp;" 25DC VOL LME Comdty","PX_LAST")/100</f>
        <v>0.15929807662963869</v>
      </c>
      <c r="H94" s="61" cm="1">
        <f t="array" aca="1" ref="H94" ca="1">_xll.BDP(E$68&amp;" "&amp;$C94&amp;" 10DC VOL LME Comdty","PX_LAST")/100</f>
        <v>0.16229806900024413</v>
      </c>
      <c r="I94" s="52">
        <f t="shared" ca="1" si="9"/>
        <v>0.16760058403015138</v>
      </c>
      <c r="J94" s="53">
        <f t="shared" ca="1" si="10"/>
        <v>-1.129835128784179E-2</v>
      </c>
      <c r="K94" s="53">
        <f t="shared" ca="1" si="11"/>
        <v>-1.9797286987304707E-2</v>
      </c>
      <c r="L94" s="53">
        <f t="shared" ca="1" si="12"/>
        <v>7.3466682434082109E-3</v>
      </c>
      <c r="M94" s="72">
        <f t="shared" ca="1" si="13"/>
        <v>1.4596128463745112E-2</v>
      </c>
      <c r="N94" s="53"/>
      <c r="O94" s="71" cm="1">
        <f t="array" aca="1" ref="O94" ca="1">_xll.BDP(P$68&amp;" "&amp;$C94&amp;" 10DP VOL LME Comdty","PX_LAST")/100</f>
        <v>0.24159379959106445</v>
      </c>
      <c r="P94" s="61" cm="1">
        <f t="array" aca="1" ref="P94" ca="1">_xll.BDP(P$68&amp;" "&amp;$C94&amp;" 25DP VOL LME Comdty","PX_LAST")/100</f>
        <v>0.22419553756713867</v>
      </c>
      <c r="Q94" s="48" cm="1">
        <f t="array" aca="1" ref="Q94" ca="1">_xll.BDP(P$68&amp;" "&amp;$C94&amp;" 50D VOL LME Comdty","PX_LAST")/100</f>
        <v>0.20440130233764647</v>
      </c>
      <c r="R94" s="61" cm="1">
        <f t="array" aca="1" ref="R94" ca="1">_xll.BDP(P$68&amp;" "&amp;$C94&amp;" 25DC VOL LME Comdty","PX_LAST")/100</f>
        <v>0.20409879684448243</v>
      </c>
      <c r="S94" s="61" cm="1">
        <f t="array" aca="1" ref="S94" ca="1">_xll.BDP(P$68&amp;" "&amp;$C94&amp;" 10DC VOL LME Comdty","PX_LAST")/100</f>
        <v>0.20559904098510742</v>
      </c>
      <c r="T94" s="52">
        <f t="shared" ca="1" si="14"/>
        <v>0.21440130233764648</v>
      </c>
      <c r="U94" s="53">
        <f t="shared" ca="1" si="15"/>
        <v>-2.0096740722656242E-2</v>
      </c>
      <c r="V94" s="53">
        <f t="shared" ca="1" si="16"/>
        <v>-3.5994758605957022E-2</v>
      </c>
      <c r="W94" s="53">
        <f t="shared" ca="1" si="17"/>
        <v>9.7458648681640891E-3</v>
      </c>
      <c r="X94" s="72">
        <f t="shared" ca="1" si="18"/>
        <v>1.9195117950439461E-2</v>
      </c>
      <c r="Y94" s="53"/>
      <c r="Z94" s="71" cm="1">
        <f t="array" aca="1" ref="Z94" ca="1">_xll.BDP(AA$68&amp;" "&amp;$C94&amp;" 10DP VOL LME Comdty","PX_LAST")/100</f>
        <v>0.25979387283325195</v>
      </c>
      <c r="AA94" s="61" cm="1">
        <f t="array" aca="1" ref="AA94" ca="1">_xll.BDP(AA$68&amp;" "&amp;$C94&amp;" 25DP VOL LME Comdty","PX_LAST")/100</f>
        <v>0.24189556121826172</v>
      </c>
      <c r="AB94" s="48" cm="1">
        <f t="array" aca="1" ref="AB94" ca="1">_xll.BDP(AA$68&amp;" "&amp;$C94&amp;" 50D VOL LME Comdty","PX_LAST")/100</f>
        <v>0.2199014663696289</v>
      </c>
      <c r="AC94" s="61" cm="1">
        <f t="array" aca="1" ref="AC94" ca="1">_xll.BDP(AA$68&amp;" "&amp;$C94&amp;" 25DC VOL LME Comdty","PX_LAST")/100</f>
        <v>0.21999933242797851</v>
      </c>
      <c r="AD94" s="61" cm="1">
        <f t="array" aca="1" ref="AD94" ca="1">_xll.BDP(AA$68&amp;" "&amp;$C94&amp;" 10DC VOL LME Comdty","PX_LAST")/100</f>
        <v>0.21979978561401367</v>
      </c>
      <c r="AE94" s="52">
        <f t="shared" ca="1" si="19"/>
        <v>0.22990146636962891</v>
      </c>
      <c r="AF94" s="53">
        <f t="shared" ca="1" si="20"/>
        <v>-2.1896228790283218E-2</v>
      </c>
      <c r="AG94" s="53">
        <f t="shared" ca="1" si="21"/>
        <v>-3.9994087219238278E-2</v>
      </c>
      <c r="AH94" s="53">
        <f t="shared" ca="1" si="22"/>
        <v>1.1045980453491228E-2</v>
      </c>
      <c r="AI94" s="72">
        <f t="shared" ca="1" si="23"/>
        <v>1.9895362854003923E-2</v>
      </c>
      <c r="AJ94" s="53"/>
      <c r="AK94" s="71" cm="1">
        <f t="array" aca="1" ref="AK94" ca="1">_xll.BDP(AL$68&amp;" "&amp;$C94&amp;" 10DP VOL LME Comdty","PX_LAST")/100</f>
        <v>0.30349769592285158</v>
      </c>
      <c r="AL94" s="61" cm="1">
        <f t="array" aca="1" ref="AL94" ca="1">_xll.BDP(AL$68&amp;" "&amp;$C94&amp;" 25DP VOL LME Comdty","PX_LAST")/100</f>
        <v>0.29679887771606445</v>
      </c>
      <c r="AM94" s="48" cm="1">
        <f t="array" aca="1" ref="AM94" ca="1">_xll.BDP(AL$68&amp;" "&amp;$C94&amp;" 50D VOL LME Comdty","PX_LAST")/100</f>
        <v>0.29089979171752928</v>
      </c>
      <c r="AN94" s="61" cm="1">
        <f t="array" aca="1" ref="AN94" ca="1">_xll.BDP(AL$68&amp;" "&amp;$C94&amp;" 25DC VOL LME Comdty","PX_LAST")/100</f>
        <v>0.30049171447753908</v>
      </c>
      <c r="AO94" s="61" cm="1">
        <f t="array" aca="1" ref="AO94" ca="1">_xll.BDP(AL$68&amp;" "&amp;$C94&amp;" 10DC VOL LME Comdty","PX_LAST")/100</f>
        <v>0.31169309616088869</v>
      </c>
      <c r="AP94" s="52">
        <f t="shared" ca="1" si="24"/>
        <v>0.30089979171752929</v>
      </c>
      <c r="AQ94" s="53">
        <f t="shared" ca="1" si="25"/>
        <v>3.6928367614746382E-3</v>
      </c>
      <c r="AR94" s="53">
        <f t="shared" ca="1" si="26"/>
        <v>8.1954002380371094E-3</v>
      </c>
      <c r="AS94" s="53">
        <f t="shared" ca="1" si="27"/>
        <v>7.7455043792725164E-3</v>
      </c>
      <c r="AT94" s="72">
        <f t="shared" ca="1" si="28"/>
        <v>1.6695604324340863E-2</v>
      </c>
    </row>
    <row r="95" spans="2:46" x14ac:dyDescent="0.25">
      <c r="B95" s="1" cm="1">
        <f t="array" aca="1" ref="B95" ca="1">_xll.QDates_SpecificWeekday(EDATE(B94,1),"Wednesday",1)</f>
        <v>44748</v>
      </c>
      <c r="C95" t="str">
        <f t="shared" ca="1" si="29"/>
        <v>JUL22</v>
      </c>
      <c r="D95" s="71" cm="1">
        <f t="array" aca="1" ref="D95" ca="1">_xll.BDP(E$68&amp;" "&amp;$C95&amp;" 10DP VOL LME Comdty","PX_LAST")/100</f>
        <v>0.18229532241821289</v>
      </c>
      <c r="E95" s="61" cm="1">
        <f t="array" aca="1" ref="E95" ca="1">_xll.BDP(E$68&amp;" "&amp;$C95&amp;" 25DP VOL LME Comdty","PX_LAST")/100</f>
        <v>0.17069644927978517</v>
      </c>
      <c r="F95" s="48" cm="1">
        <f t="array" aca="1" ref="F95" ca="1">_xll.BDP(E$68&amp;" "&amp;$C95&amp;" 50D VOL LME Comdty","PX_LAST")/100</f>
        <v>0.15770057678222657</v>
      </c>
      <c r="G95" s="61" cm="1">
        <f t="array" aca="1" ref="G95" ca="1">_xll.BDP(E$68&amp;" "&amp;$C95&amp;" 25DC VOL LME Comdty","PX_LAST")/100</f>
        <v>0.15949811935424804</v>
      </c>
      <c r="H95" s="61" cm="1">
        <f t="array" aca="1" ref="H95" ca="1">_xll.BDP(E$68&amp;" "&amp;$C95&amp;" 10DC VOL LME Comdty","PX_LAST")/100</f>
        <v>0.16229816436767577</v>
      </c>
      <c r="I95" s="52">
        <f t="shared" ca="1" si="9"/>
        <v>0.16770057678222658</v>
      </c>
      <c r="J95" s="53">
        <f t="shared" ca="1" si="10"/>
        <v>-1.1198329925537126E-2</v>
      </c>
      <c r="K95" s="53">
        <f t="shared" ca="1" si="11"/>
        <v>-1.9997158050537117E-2</v>
      </c>
      <c r="L95" s="53">
        <f t="shared" ca="1" si="12"/>
        <v>7.3967075347900202E-3</v>
      </c>
      <c r="M95" s="72">
        <f t="shared" ca="1" si="13"/>
        <v>1.4596166610717748E-2</v>
      </c>
      <c r="N95" s="53"/>
      <c r="O95" s="71" cm="1">
        <f t="array" aca="1" ref="O95" ca="1">_xll.BDP(P$68&amp;" "&amp;$C95&amp;" 10DP VOL LME Comdty","PX_LAST")/100</f>
        <v>0.24099382400512695</v>
      </c>
      <c r="P95" s="61" cm="1">
        <f t="array" aca="1" ref="P95" ca="1">_xll.BDP(P$68&amp;" "&amp;$C95&amp;" 25DP VOL LME Comdty","PX_LAST")/100</f>
        <v>0.22359561920166016</v>
      </c>
      <c r="Q95" s="48" cm="1">
        <f t="array" aca="1" ref="Q95" ca="1">_xll.BDP(P$68&amp;" "&amp;$C95&amp;" 50D VOL LME Comdty","PX_LAST")/100</f>
        <v>0.20390129089355469</v>
      </c>
      <c r="R95" s="61" cm="1">
        <f t="array" aca="1" ref="R95" ca="1">_xll.BDP(P$68&amp;" "&amp;$C95&amp;" 25DC VOL LME Comdty","PX_LAST")/100</f>
        <v>0.20379869461059572</v>
      </c>
      <c r="S95" s="61" cm="1">
        <f t="array" aca="1" ref="S95" ca="1">_xll.BDP(P$68&amp;" "&amp;$C95&amp;" 10DC VOL LME Comdty","PX_LAST")/100</f>
        <v>0.20549892425537108</v>
      </c>
      <c r="T95" s="52">
        <f t="shared" ca="1" si="14"/>
        <v>0.2139012908935547</v>
      </c>
      <c r="U95" s="53">
        <f t="shared" ca="1" si="15"/>
        <v>-1.9796924591064441E-2</v>
      </c>
      <c r="V95" s="53">
        <f t="shared" ca="1" si="16"/>
        <v>-3.5494899749755865E-2</v>
      </c>
      <c r="W95" s="53">
        <f t="shared" ca="1" si="17"/>
        <v>9.7958660125732622E-3</v>
      </c>
      <c r="X95" s="72">
        <f t="shared" ca="1" si="18"/>
        <v>1.9345083236694316E-2</v>
      </c>
      <c r="Y95" s="53"/>
      <c r="Z95" s="71" cm="1">
        <f t="array" aca="1" ref="Z95" ca="1">_xll.BDP(AA$68&amp;" "&amp;$C95&amp;" 10DP VOL LME Comdty","PX_LAST")/100</f>
        <v>0.25879407882690431</v>
      </c>
      <c r="AA95" s="61" cm="1">
        <f t="array" aca="1" ref="AA95" ca="1">_xll.BDP(AA$68&amp;" "&amp;$C95&amp;" 25DP VOL LME Comdty","PX_LAST")/100</f>
        <v>0.24189573287963867</v>
      </c>
      <c r="AB95" s="48" cm="1">
        <f t="array" aca="1" ref="AB95" ca="1">_xll.BDP(AA$68&amp;" "&amp;$C95&amp;" 50D VOL LME Comdty","PX_LAST")/100</f>
        <v>0.21990148544311525</v>
      </c>
      <c r="AC95" s="61" cm="1">
        <f t="array" aca="1" ref="AC95" ca="1">_xll.BDP(AA$68&amp;" "&amp;$C95&amp;" 25DC VOL LME Comdty","PX_LAST")/100</f>
        <v>0.22009933471679688</v>
      </c>
      <c r="AD95" s="61" cm="1">
        <f t="array" aca="1" ref="AD95" ca="1">_xll.BDP(AA$68&amp;" "&amp;$C95&amp;" 10DC VOL LME Comdty","PX_LAST")/100</f>
        <v>0.21979980468749999</v>
      </c>
      <c r="AE95" s="52">
        <f t="shared" ca="1" si="19"/>
        <v>0.22990148544311526</v>
      </c>
      <c r="AF95" s="53">
        <f t="shared" ca="1" si="20"/>
        <v>-2.179639816284179E-2</v>
      </c>
      <c r="AG95" s="53">
        <f t="shared" ca="1" si="21"/>
        <v>-3.8994274139404317E-2</v>
      </c>
      <c r="AH95" s="53">
        <f t="shared" ca="1" si="22"/>
        <v>1.1096048355102528E-2</v>
      </c>
      <c r="AI95" s="72">
        <f t="shared" ca="1" si="23"/>
        <v>1.9395456314086901E-2</v>
      </c>
      <c r="AJ95" s="53"/>
      <c r="AK95" s="71" cm="1">
        <f t="array" aca="1" ref="AK95" ca="1">_xll.BDP(AL$68&amp;" "&amp;$C95&amp;" 10DP VOL LME Comdty","PX_LAST")/100</f>
        <v>0.30249763488769532</v>
      </c>
      <c r="AL95" s="61" cm="1">
        <f t="array" aca="1" ref="AL95" ca="1">_xll.BDP(AL$68&amp;" "&amp;$C95&amp;" 25DP VOL LME Comdty","PX_LAST")/100</f>
        <v>0.2958989143371582</v>
      </c>
      <c r="AM95" s="48" cm="1">
        <f t="array" aca="1" ref="AM95" ca="1">_xll.BDP(AL$68&amp;" "&amp;$C95&amp;" 50D VOL LME Comdty","PX_LAST")/100</f>
        <v>0.28999980926513674</v>
      </c>
      <c r="AN95" s="61" cm="1">
        <f t="array" aca="1" ref="AN95" ca="1">_xll.BDP(AL$68&amp;" "&amp;$C95&amp;" 25DC VOL LME Comdty","PX_LAST")/100</f>
        <v>0.29939159393310549</v>
      </c>
      <c r="AO95" s="61" cm="1">
        <f t="array" aca="1" ref="AO95" ca="1">_xll.BDP(AL$68&amp;" "&amp;$C95&amp;" 10DC VOL LME Comdty","PX_LAST")/100</f>
        <v>0.31069297790527345</v>
      </c>
      <c r="AP95" s="52">
        <f t="shared" ca="1" si="24"/>
        <v>0.29999980926513675</v>
      </c>
      <c r="AQ95" s="53">
        <f t="shared" ca="1" si="25"/>
        <v>3.49267959594729E-3</v>
      </c>
      <c r="AR95" s="53">
        <f t="shared" ca="1" si="26"/>
        <v>8.1953430175781272E-3</v>
      </c>
      <c r="AS95" s="53">
        <f t="shared" ca="1" si="27"/>
        <v>7.6454448699951327E-3</v>
      </c>
      <c r="AT95" s="72">
        <f t="shared" ca="1" si="28"/>
        <v>1.6595497131347614E-2</v>
      </c>
    </row>
    <row r="96" spans="2:46" x14ac:dyDescent="0.25">
      <c r="B96" s="1" cm="1">
        <f t="array" aca="1" ref="B96" ca="1">_xll.QDates_SpecificWeekday(EDATE(B95,1),"Wednesday",1)</f>
        <v>44776</v>
      </c>
      <c r="C96" t="str">
        <f t="shared" ca="1" si="29"/>
        <v>AUG22</v>
      </c>
      <c r="D96" s="71" cm="1">
        <f t="array" aca="1" ref="D96" ca="1">_xll.BDP(E$68&amp;" "&amp;$C96&amp;" 10DP VOL LME Comdty","PX_LAST")/100</f>
        <v>0.18219532012939454</v>
      </c>
      <c r="E96" s="61" cm="1">
        <f t="array" aca="1" ref="E96" ca="1">_xll.BDP(E$68&amp;" "&amp;$C96&amp;" 25DP VOL LME Comdty","PX_LAST")/100</f>
        <v>0.17049648284912108</v>
      </c>
      <c r="F96" s="48" cm="1">
        <f t="array" aca="1" ref="F96" ca="1">_xll.BDP(E$68&amp;" "&amp;$C96&amp;" 50D VOL LME Comdty","PX_LAST")/100</f>
        <v>0.1576005744934082</v>
      </c>
      <c r="G96" s="61" cm="1">
        <f t="array" aca="1" ref="G96" ca="1">_xll.BDP(E$68&amp;" "&amp;$C96&amp;" 25DC VOL LME Comdty","PX_LAST")/100</f>
        <v>0.15939814567565919</v>
      </c>
      <c r="H96" s="61" cm="1">
        <f t="array" aca="1" ref="H96" ca="1">_xll.BDP(E$68&amp;" "&amp;$C96&amp;" 10DC VOL LME Comdty","PX_LAST")/100</f>
        <v>0.16209821701049804</v>
      </c>
      <c r="I96" s="52">
        <f t="shared" ca="1" si="9"/>
        <v>0.16760057449340821</v>
      </c>
      <c r="J96" s="53">
        <f t="shared" ca="1" si="10"/>
        <v>-1.1098337173461897E-2</v>
      </c>
      <c r="K96" s="53">
        <f t="shared" ca="1" si="11"/>
        <v>-2.0097103118896509E-2</v>
      </c>
      <c r="L96" s="53">
        <f t="shared" ca="1" si="12"/>
        <v>7.3467397689819247E-3</v>
      </c>
      <c r="M96" s="72">
        <f t="shared" ca="1" si="13"/>
        <v>1.4546194076538094E-2</v>
      </c>
      <c r="N96" s="53"/>
      <c r="O96" s="71" cm="1">
        <f t="array" aca="1" ref="O96" ca="1">_xll.BDP(P$68&amp;" "&amp;$C96&amp;" 10DP VOL LME Comdty","PX_LAST")/100</f>
        <v>0.24059385299682617</v>
      </c>
      <c r="P96" s="61" cm="1">
        <f t="array" aca="1" ref="P96" ca="1">_xll.BDP(P$68&amp;" "&amp;$C96&amp;" 25DP VOL LME Comdty","PX_LAST")/100</f>
        <v>0.22309572219848633</v>
      </c>
      <c r="Q96" s="48" cm="1">
        <f t="array" aca="1" ref="Q96" ca="1">_xll.BDP(P$68&amp;" "&amp;$C96&amp;" 50D VOL LME Comdty","PX_LAST")/100</f>
        <v>0.20370130538940429</v>
      </c>
      <c r="R96" s="61" cm="1">
        <f t="array" aca="1" ref="R96" ca="1">_xll.BDP(P$68&amp;" "&amp;$C96&amp;" 25DC VOL LME Comdty","PX_LAST")/100</f>
        <v>0.20369863510131836</v>
      </c>
      <c r="S96" s="61" cm="1">
        <f t="array" aca="1" ref="S96" ca="1">_xll.BDP(P$68&amp;" "&amp;$C96&amp;" 10DC VOL LME Comdty","PX_LAST")/100</f>
        <v>0.20539884567260741</v>
      </c>
      <c r="T96" s="52">
        <f t="shared" ca="1" si="14"/>
        <v>0.21370130538940429</v>
      </c>
      <c r="U96" s="53">
        <f t="shared" ca="1" si="15"/>
        <v>-1.9397087097167975E-2</v>
      </c>
      <c r="V96" s="53">
        <f t="shared" ca="1" si="16"/>
        <v>-3.5195007324218763E-2</v>
      </c>
      <c r="W96" s="53">
        <f t="shared" ca="1" si="17"/>
        <v>9.6958732604980613E-3</v>
      </c>
      <c r="X96" s="72">
        <f t="shared" ca="1" si="18"/>
        <v>1.9295043945312507E-2</v>
      </c>
      <c r="Y96" s="53"/>
      <c r="Z96" s="71" cm="1">
        <f t="array" aca="1" ref="Z96" ca="1">_xll.BDP(AA$68&amp;" "&amp;$C96&amp;" 10DP VOL LME Comdty","PX_LAST")/100</f>
        <v>0.25869424819946291</v>
      </c>
      <c r="AA96" s="61" cm="1">
        <f t="array" aca="1" ref="AA96" ca="1">_xll.BDP(AA$68&amp;" "&amp;$C96&amp;" 25DP VOL LME Comdty","PX_LAST")/100</f>
        <v>0.24189582824707032</v>
      </c>
      <c r="AB96" s="48" cm="1">
        <f t="array" aca="1" ref="AB96" ca="1">_xll.BDP(AA$68&amp;" "&amp;$C96&amp;" 50D VOL LME Comdty","PX_LAST")/100</f>
        <v>0.21980152130126954</v>
      </c>
      <c r="AC96" s="61" cm="1">
        <f t="array" aca="1" ref="AC96" ca="1">_xll.BDP(AA$68&amp;" "&amp;$C96&amp;" 25DC VOL LME Comdty","PX_LAST")/100</f>
        <v>0.21999933242797851</v>
      </c>
      <c r="AD96" s="61" cm="1">
        <f t="array" aca="1" ref="AD96" ca="1">_xll.BDP(AA$68&amp;" "&amp;$C96&amp;" 10DC VOL LME Comdty","PX_LAST")/100</f>
        <v>0.21969980239868164</v>
      </c>
      <c r="AE96" s="52">
        <f t="shared" ca="1" si="19"/>
        <v>0.22980152130126955</v>
      </c>
      <c r="AF96" s="53">
        <f t="shared" ca="1" si="20"/>
        <v>-2.189649581909181E-2</v>
      </c>
      <c r="AG96" s="53">
        <f t="shared" ca="1" si="21"/>
        <v>-3.8994445800781263E-2</v>
      </c>
      <c r="AH96" s="53">
        <f t="shared" ca="1" si="22"/>
        <v>1.1146059036254874E-2</v>
      </c>
      <c r="AI96" s="72">
        <f t="shared" ca="1" si="23"/>
        <v>1.9395503997802738E-2</v>
      </c>
      <c r="AJ96" s="53"/>
      <c r="AK96" s="71" cm="1">
        <f t="array" aca="1" ref="AK96" ca="1">_xll.BDP(AL$68&amp;" "&amp;$C96&amp;" 10DP VOL LME Comdty","PX_LAST")/100</f>
        <v>0.30189762115478513</v>
      </c>
      <c r="AL96" s="61" cm="1">
        <f t="array" aca="1" ref="AL96" ca="1">_xll.BDP(AL$68&amp;" "&amp;$C96&amp;" 25DP VOL LME Comdty","PX_LAST")/100</f>
        <v>0.29519893646240236</v>
      </c>
      <c r="AM96" s="48" cm="1">
        <f t="array" aca="1" ref="AM96" ca="1">_xll.BDP(AL$68&amp;" "&amp;$C96&amp;" 50D VOL LME Comdty","PX_LAST")/100</f>
        <v>0.28929981231689456</v>
      </c>
      <c r="AN96" s="61" cm="1">
        <f t="array" aca="1" ref="AN96" ca="1">_xll.BDP(AL$68&amp;" "&amp;$C96&amp;" 25DC VOL LME Comdty","PX_LAST")/100</f>
        <v>0.29859153747558592</v>
      </c>
      <c r="AO96" s="61" cm="1">
        <f t="array" aca="1" ref="AO96" ca="1">_xll.BDP(AL$68&amp;" "&amp;$C96&amp;" 10DC VOL LME Comdty","PX_LAST")/100</f>
        <v>0.30989294052124022</v>
      </c>
      <c r="AP96" s="52">
        <f t="shared" ca="1" si="24"/>
        <v>0.29929981231689456</v>
      </c>
      <c r="AQ96" s="53">
        <f t="shared" ca="1" si="25"/>
        <v>3.3926010131835604E-3</v>
      </c>
      <c r="AR96" s="53">
        <f t="shared" ca="1" si="26"/>
        <v>7.9953193664550892E-3</v>
      </c>
      <c r="AS96" s="53">
        <f t="shared" ca="1" si="27"/>
        <v>7.5954246520995583E-3</v>
      </c>
      <c r="AT96" s="72">
        <f t="shared" ca="1" si="28"/>
        <v>1.6595468521118095E-2</v>
      </c>
    </row>
    <row r="97" spans="2:46" x14ac:dyDescent="0.25">
      <c r="B97" s="1" cm="1">
        <f t="array" aca="1" ref="B97" ca="1">_xll.QDates_SpecificWeekday(EDATE(B96,1),"Wednesday",1)</f>
        <v>44811</v>
      </c>
      <c r="C97" t="str">
        <f t="shared" ca="1" si="29"/>
        <v>SEP22</v>
      </c>
      <c r="D97" s="71" cm="1">
        <f t="array" aca="1" ref="D97" ca="1">_xll.BDP(E$68&amp;" "&amp;$C97&amp;" 10DP VOL LME Comdty","PX_LAST")/100</f>
        <v>0.18219532012939454</v>
      </c>
      <c r="E97" s="61" cm="1">
        <f t="array" aca="1" ref="E97" ca="1">_xll.BDP(E$68&amp;" "&amp;$C97&amp;" 25DP VOL LME Comdty","PX_LAST")/100</f>
        <v>0.17049652099609375</v>
      </c>
      <c r="F97" s="48" cm="1">
        <f t="array" aca="1" ref="F97" ca="1">_xll.BDP(E$68&amp;" "&amp;$C97&amp;" 50D VOL LME Comdty","PX_LAST")/100</f>
        <v>0.15760056495666505</v>
      </c>
      <c r="G97" s="61" cm="1">
        <f t="array" aca="1" ref="G97" ca="1">_xll.BDP(E$68&amp;" "&amp;$C97&amp;" 25DC VOL LME Comdty","PX_LAST")/100</f>
        <v>0.15949816703796388</v>
      </c>
      <c r="H97" s="61" cm="1">
        <f t="array" aca="1" ref="H97" ca="1">_xll.BDP(E$68&amp;" "&amp;$C97&amp;" 10DC VOL LME Comdty","PX_LAST")/100</f>
        <v>0.16209831237792968</v>
      </c>
      <c r="I97" s="52">
        <f t="shared" ca="1" si="9"/>
        <v>0.16760056495666506</v>
      </c>
      <c r="J97" s="53">
        <f t="shared" ca="1" si="10"/>
        <v>-1.0998353958129869E-2</v>
      </c>
      <c r="K97" s="53">
        <f t="shared" ca="1" si="11"/>
        <v>-2.0097007751464863E-2</v>
      </c>
      <c r="L97" s="53">
        <f t="shared" ca="1" si="12"/>
        <v>7.3967790603637618E-3</v>
      </c>
      <c r="M97" s="72">
        <f t="shared" ca="1" si="13"/>
        <v>1.4546251296997076E-2</v>
      </c>
      <c r="N97" s="53"/>
      <c r="O97" s="71" cm="1">
        <f t="array" aca="1" ref="O97" ca="1">_xll.BDP(P$68&amp;" "&amp;$C97&amp;" 10DP VOL LME Comdty","PX_LAST")/100</f>
        <v>0.23929386138916015</v>
      </c>
      <c r="P97" s="61" cm="1">
        <f t="array" aca="1" ref="P97" ca="1">_xll.BDP(P$68&amp;" "&amp;$C97&amp;" 25DP VOL LME Comdty","PX_LAST")/100</f>
        <v>0.22219587326049806</v>
      </c>
      <c r="Q97" s="48" cm="1">
        <f t="array" aca="1" ref="Q97" ca="1">_xll.BDP(P$68&amp;" "&amp;$C97&amp;" 50D VOL LME Comdty","PX_LAST")/100</f>
        <v>0.20320127487182618</v>
      </c>
      <c r="R97" s="61" cm="1">
        <f t="array" aca="1" ref="R97" ca="1">_xll.BDP(P$68&amp;" "&amp;$C97&amp;" 25DC VOL LME Comdty","PX_LAST")/100</f>
        <v>0.20339853286743165</v>
      </c>
      <c r="S97" s="61" cm="1">
        <f t="array" aca="1" ref="S97" ca="1">_xll.BDP(P$68&amp;" "&amp;$C97&amp;" 10DC VOL LME Comdty","PX_LAST")/100</f>
        <v>0.20529869079589844</v>
      </c>
      <c r="T97" s="52">
        <f t="shared" ca="1" si="14"/>
        <v>0.21320127487182619</v>
      </c>
      <c r="U97" s="53">
        <f t="shared" ca="1" si="15"/>
        <v>-1.8797340393066408E-2</v>
      </c>
      <c r="V97" s="53">
        <f t="shared" ca="1" si="16"/>
        <v>-3.3995170593261709E-2</v>
      </c>
      <c r="W97" s="53">
        <f t="shared" ca="1" si="17"/>
        <v>9.5959281921386697E-3</v>
      </c>
      <c r="X97" s="72">
        <f t="shared" ca="1" si="18"/>
        <v>1.9095001220703095E-2</v>
      </c>
      <c r="Y97" s="53"/>
      <c r="Z97" s="71"/>
      <c r="AA97" s="61"/>
      <c r="AB97" s="48"/>
      <c r="AC97" s="61"/>
      <c r="AD97" s="61"/>
      <c r="AE97" s="52"/>
      <c r="AF97" s="53"/>
      <c r="AG97" s="53"/>
      <c r="AH97" s="53"/>
      <c r="AI97" s="72"/>
      <c r="AJ97" s="53"/>
      <c r="AK97" s="71"/>
      <c r="AL97" s="61"/>
      <c r="AM97" s="48"/>
      <c r="AN97" s="61"/>
      <c r="AO97" s="61"/>
      <c r="AP97" s="52"/>
      <c r="AQ97" s="53"/>
      <c r="AR97" s="53"/>
      <c r="AS97" s="53"/>
      <c r="AT97" s="72"/>
    </row>
    <row r="98" spans="2:46" x14ac:dyDescent="0.25">
      <c r="B98" s="1" cm="1">
        <f t="array" aca="1" ref="B98" ca="1">_xll.QDates_SpecificWeekday(EDATE(B97,1),"Wednesday",1)</f>
        <v>44839</v>
      </c>
      <c r="C98" t="str">
        <f t="shared" ca="1" si="29"/>
        <v>OCT22</v>
      </c>
      <c r="D98" s="71" cm="1">
        <f t="array" aca="1" ref="D98" ca="1">_xll.BDP(E$68&amp;" "&amp;$C98&amp;" 10DP VOL LME Comdty","PX_LAST")/100</f>
        <v>0.18199531555175782</v>
      </c>
      <c r="E98" s="61" cm="1">
        <f t="array" aca="1" ref="E98" ca="1">_xll.BDP(E$68&amp;" "&amp;$C98&amp;" 25DP VOL LME Comdty","PX_LAST")/100</f>
        <v>0.17029653549194335</v>
      </c>
      <c r="F98" s="48" cm="1">
        <f t="array" aca="1" ref="F98" ca="1">_xll.BDP(E$68&amp;" "&amp;$C98&amp;" 50D VOL LME Comdty","PX_LAST")/100</f>
        <v>0.15740055084228516</v>
      </c>
      <c r="G98" s="61" cm="1">
        <f t="array" aca="1" ref="G98" ca="1">_xll.BDP(E$68&amp;" "&amp;$C98&amp;" 25DC VOL LME Comdty","PX_LAST")/100</f>
        <v>0.15939818382263182</v>
      </c>
      <c r="H98" s="61" cm="1">
        <f t="array" aca="1" ref="H98" ca="1">_xll.BDP(E$68&amp;" "&amp;$C98&amp;" 10DC VOL LME Comdty","PX_LAST")/100</f>
        <v>0.16189840316772461</v>
      </c>
      <c r="I98" s="52">
        <f t="shared" ca="1" si="9"/>
        <v>0.16740055084228517</v>
      </c>
      <c r="J98" s="53">
        <f t="shared" ca="1" si="10"/>
        <v>-1.0898351669311523E-2</v>
      </c>
      <c r="K98" s="53">
        <f t="shared" ca="1" si="11"/>
        <v>-2.0096912384033216E-2</v>
      </c>
      <c r="L98" s="53">
        <f t="shared" ca="1" si="12"/>
        <v>7.4468088150024259E-3</v>
      </c>
      <c r="M98" s="72">
        <f t="shared" ca="1" si="13"/>
        <v>1.4546308517456058E-2</v>
      </c>
      <c r="N98" s="53"/>
      <c r="O98" s="71" cm="1">
        <f t="array" aca="1" ref="O98" ca="1">_xll.BDP(P$68&amp;" "&amp;$C98&amp;" 10DP VOL LME Comdty","PX_LAST")/100</f>
        <v>0.23869388580322265</v>
      </c>
      <c r="P98" s="61" cm="1">
        <f t="array" aca="1" ref="P98" ca="1">_xll.BDP(P$68&amp;" "&amp;$C98&amp;" 25DP VOL LME Comdty","PX_LAST")/100</f>
        <v>0.22179597854614258</v>
      </c>
      <c r="Q98" s="48" cm="1">
        <f t="array" aca="1" ref="Q98" ca="1">_xll.BDP(P$68&amp;" "&amp;$C98&amp;" 50D VOL LME Comdty","PX_LAST")/100</f>
        <v>0.20280128479003906</v>
      </c>
      <c r="R98" s="61" cm="1">
        <f t="array" aca="1" ref="R98" ca="1">_xll.BDP(P$68&amp;" "&amp;$C98&amp;" 25DC VOL LME Comdty","PX_LAST")/100</f>
        <v>0.20309846878051757</v>
      </c>
      <c r="S98" s="61" cm="1">
        <f t="array" aca="1" ref="S98" ca="1">_xll.BDP(P$68&amp;" "&amp;$C98&amp;" 10DC VOL LME Comdty","PX_LAST")/100</f>
        <v>0.20509859085083007</v>
      </c>
      <c r="T98" s="52">
        <f t="shared" ca="1" si="14"/>
        <v>0.21280128479003907</v>
      </c>
      <c r="U98" s="53">
        <f t="shared" ca="1" si="15"/>
        <v>-1.8697509765625009E-2</v>
      </c>
      <c r="V98" s="53">
        <f t="shared" ca="1" si="16"/>
        <v>-3.3595294952392579E-2</v>
      </c>
      <c r="W98" s="53">
        <f t="shared" ca="1" si="17"/>
        <v>9.6459388732910156E-3</v>
      </c>
      <c r="X98" s="72">
        <f t="shared" ca="1" si="18"/>
        <v>1.9094953536987314E-2</v>
      </c>
      <c r="Y98" s="53"/>
      <c r="Z98" s="71"/>
      <c r="AA98" s="61"/>
      <c r="AB98" s="48"/>
      <c r="AC98" s="61"/>
      <c r="AD98" s="61"/>
      <c r="AE98" s="52"/>
      <c r="AF98" s="53"/>
      <c r="AG98" s="53"/>
      <c r="AH98" s="53"/>
      <c r="AI98" s="72"/>
      <c r="AJ98" s="53"/>
      <c r="AK98" s="71"/>
      <c r="AL98" s="61"/>
      <c r="AM98" s="48"/>
      <c r="AN98" s="61"/>
      <c r="AO98" s="61"/>
      <c r="AP98" s="52"/>
      <c r="AQ98" s="53"/>
      <c r="AR98" s="53"/>
      <c r="AS98" s="53"/>
      <c r="AT98" s="72"/>
    </row>
    <row r="99" spans="2:46" x14ac:dyDescent="0.25">
      <c r="B99" s="1" cm="1">
        <f t="array" aca="1" ref="B99" ca="1">_xll.QDates_SpecificWeekday(EDATE(B98,1),"Wednesday",1)</f>
        <v>44867</v>
      </c>
      <c r="C99" t="str">
        <f t="shared" ca="1" si="29"/>
        <v>NOV22</v>
      </c>
      <c r="D99" s="71" cm="1">
        <f t="array" aca="1" ref="D99" ca="1">_xll.BDP(E$68&amp;" "&amp;$C99&amp;" 10DP VOL LME Comdty","PX_LAST")/100</f>
        <v>0.18179533004760742</v>
      </c>
      <c r="E99" s="61" cm="1">
        <f t="array" aca="1" ref="E99" ca="1">_xll.BDP(E$68&amp;" "&amp;$C99&amp;" 25DP VOL LME Comdty","PX_LAST")/100</f>
        <v>0.16999656677246094</v>
      </c>
      <c r="F99" s="48" cm="1">
        <f t="array" aca="1" ref="F99" ca="1">_xll.BDP(E$68&amp;" "&amp;$C99&amp;" 50D VOL LME Comdty","PX_LAST")/100</f>
        <v>0.15720053672790527</v>
      </c>
      <c r="G99" s="61" cm="1">
        <f t="array" aca="1" ref="G99" ca="1">_xll.BDP(E$68&amp;" "&amp;$C99&amp;" 25DC VOL LME Comdty","PX_LAST")/100</f>
        <v>0.15959822654724121</v>
      </c>
      <c r="H99" s="61" cm="1">
        <f t="array" aca="1" ref="H99" ca="1">_xll.BDP(E$68&amp;" "&amp;$C99&amp;" 10DC VOL LME Comdty","PX_LAST")/100</f>
        <v>0.1616985321044922</v>
      </c>
      <c r="I99" s="52">
        <f t="shared" ca="1" si="9"/>
        <v>0.16720053672790527</v>
      </c>
      <c r="J99" s="53">
        <f t="shared" ca="1" si="10"/>
        <v>-1.0398340225219738E-2</v>
      </c>
      <c r="K99" s="53">
        <f t="shared" ca="1" si="11"/>
        <v>-2.0096797943115224E-2</v>
      </c>
      <c r="L99" s="53">
        <f t="shared" ca="1" si="12"/>
        <v>7.5968599319458097E-3</v>
      </c>
      <c r="M99" s="72">
        <f t="shared" ca="1" si="13"/>
        <v>1.4546394348144559E-2</v>
      </c>
      <c r="N99" s="53"/>
      <c r="O99" s="71" cm="1">
        <f t="array" aca="1" ref="O99" ca="1">_xll.BDP(P$68&amp;" "&amp;$C99&amp;" 10DP VOL LME Comdty","PX_LAST")/100</f>
        <v>0.23829385757446289</v>
      </c>
      <c r="P99" s="61" cm="1">
        <f t="array" aca="1" ref="P99" ca="1">_xll.BDP(P$68&amp;" "&amp;$C99&amp;" 25DP VOL LME Comdty","PX_LAST")/100</f>
        <v>0.22139604568481444</v>
      </c>
      <c r="Q99" s="48" cm="1">
        <f t="array" aca="1" ref="Q99" ca="1">_xll.BDP(P$68&amp;" "&amp;$C99&amp;" 50D VOL LME Comdty","PX_LAST")/100</f>
        <v>0.20250129699707031</v>
      </c>
      <c r="R99" s="61" cm="1">
        <f t="array" aca="1" ref="R99" ca="1">_xll.BDP(P$68&amp;" "&amp;$C99&amp;" 25DC VOL LME Comdty","PX_LAST")/100</f>
        <v>0.20289838790893555</v>
      </c>
      <c r="S99" s="61" cm="1">
        <f t="array" aca="1" ref="S99" ca="1">_xll.BDP(P$68&amp;" "&amp;$C99&amp;" 10DC VOL LME Comdty","PX_LAST")/100</f>
        <v>0.20499849319458008</v>
      </c>
      <c r="T99" s="52">
        <f t="shared" ca="1" si="14"/>
        <v>0.21250129699707032</v>
      </c>
      <c r="U99" s="53">
        <f t="shared" ca="1" si="15"/>
        <v>-1.849765777587889E-2</v>
      </c>
      <c r="V99" s="53">
        <f t="shared" ca="1" si="16"/>
        <v>-3.3295364379882814E-2</v>
      </c>
      <c r="W99" s="53">
        <f t="shared" ca="1" si="17"/>
        <v>9.6459197998046697E-3</v>
      </c>
      <c r="X99" s="72">
        <f t="shared" ca="1" si="18"/>
        <v>1.9144878387451159E-2</v>
      </c>
      <c r="Y99" s="53"/>
      <c r="Z99" s="71"/>
      <c r="AA99" s="61"/>
      <c r="AB99" s="48"/>
      <c r="AC99" s="61"/>
      <c r="AD99" s="61"/>
      <c r="AE99" s="52"/>
      <c r="AF99" s="53"/>
      <c r="AG99" s="53"/>
      <c r="AH99" s="53"/>
      <c r="AI99" s="72"/>
      <c r="AJ99" s="53"/>
      <c r="AK99" s="71"/>
      <c r="AL99" s="61"/>
      <c r="AM99" s="48"/>
      <c r="AN99" s="61"/>
      <c r="AO99" s="61"/>
      <c r="AP99" s="52"/>
      <c r="AQ99" s="53"/>
      <c r="AR99" s="53"/>
      <c r="AS99" s="53"/>
      <c r="AT99" s="72"/>
    </row>
    <row r="100" spans="2:46" x14ac:dyDescent="0.25">
      <c r="B100" s="1" cm="1">
        <f t="array" aca="1" ref="B100" ca="1">_xll.QDates_SpecificWeekday(EDATE(B99,1),"Wednesday",1)</f>
        <v>44902</v>
      </c>
      <c r="C100" t="str">
        <f t="shared" ca="1" si="29"/>
        <v>DEC22</v>
      </c>
      <c r="D100" s="71" cm="1">
        <f t="array" aca="1" ref="D100" ca="1">_xll.BDP(E$68&amp;" "&amp;$C100&amp;" 10DP VOL LME Comdty","PX_LAST")/100</f>
        <v>0.18149536132812499</v>
      </c>
      <c r="E100" s="61" cm="1">
        <f t="array" aca="1" ref="E100" ca="1">_xll.BDP(E$68&amp;" "&amp;$C100&amp;" 25DP VOL LME Comdty","PX_LAST")/100</f>
        <v>0.16969659805297851</v>
      </c>
      <c r="F100" s="48" cm="1">
        <f t="array" aca="1" ref="F100" ca="1">_xll.BDP(E$68&amp;" "&amp;$C100&amp;" 50D VOL LME Comdty","PX_LAST")/100</f>
        <v>0.15690051078796385</v>
      </c>
      <c r="G100" s="61" cm="1">
        <f t="array" aca="1" ref="G100" ca="1">_xll.BDP(E$68&amp;" "&amp;$C100&amp;" 25DC VOL LME Comdty","PX_LAST")/100</f>
        <v>0.15939826011657715</v>
      </c>
      <c r="H100" s="61" cm="1">
        <f t="array" aca="1" ref="H100" ca="1">_xll.BDP(E$68&amp;" "&amp;$C100&amp;" 10DC VOL LME Comdty","PX_LAST")/100</f>
        <v>0.16129863739013672</v>
      </c>
      <c r="I100" s="52">
        <f t="shared" ca="1" si="9"/>
        <v>0.16690051078796386</v>
      </c>
      <c r="J100" s="53">
        <f t="shared" ca="1" si="10"/>
        <v>-1.0298337936401364E-2</v>
      </c>
      <c r="K100" s="53">
        <f t="shared" ca="1" si="11"/>
        <v>-2.019672393798827E-2</v>
      </c>
      <c r="L100" s="53">
        <f t="shared" ca="1" si="12"/>
        <v>7.6469182968139648E-3</v>
      </c>
      <c r="M100" s="72">
        <f t="shared" ca="1" si="13"/>
        <v>1.4496488571167004E-2</v>
      </c>
      <c r="N100" s="53"/>
      <c r="O100" s="71" cm="1">
        <f t="array" aca="1" ref="O100" ca="1">_xll.BDP(P$68&amp;" "&amp;$C100&amp;" 10DP VOL LME Comdty","PX_LAST")/100</f>
        <v>0.23769376754760743</v>
      </c>
      <c r="P100" s="61" cm="1">
        <f t="array" aca="1" ref="P100" ca="1">_xll.BDP(P$68&amp;" "&amp;$C100&amp;" 25DP VOL LME Comdty","PX_LAST")/100</f>
        <v>0.22079608917236329</v>
      </c>
      <c r="Q100" s="48" cm="1">
        <f t="array" aca="1" ref="Q100" ca="1">_xll.BDP(P$68&amp;" "&amp;$C100&amp;" 50D VOL LME Comdty","PX_LAST")/100</f>
        <v>0.20200130462646484</v>
      </c>
      <c r="R100" s="61" cm="1">
        <f t="array" aca="1" ref="R100" ca="1">_xll.BDP(P$68&amp;" "&amp;$C100&amp;" 25DC VOL LME Comdty","PX_LAST")/100</f>
        <v>0.20259830474853516</v>
      </c>
      <c r="S100" s="61" cm="1">
        <f t="array" aca="1" ref="S100" ca="1">_xll.BDP(P$68&amp;" "&amp;$C100&amp;" 10DC VOL LME Comdty","PX_LAST")/100</f>
        <v>0.20489852905273437</v>
      </c>
      <c r="T100" s="52">
        <f t="shared" ca="1" si="14"/>
        <v>0.21200130462646485</v>
      </c>
      <c r="U100" s="53">
        <f t="shared" ca="1" si="15"/>
        <v>-1.8197784423828134E-2</v>
      </c>
      <c r="V100" s="53">
        <f t="shared" ca="1" si="16"/>
        <v>-3.2795238494873064E-2</v>
      </c>
      <c r="W100" s="53">
        <f t="shared" ca="1" si="17"/>
        <v>9.6958923339843794E-3</v>
      </c>
      <c r="X100" s="72">
        <f t="shared" ca="1" si="18"/>
        <v>1.9294843673706069E-2</v>
      </c>
      <c r="Y100" s="53"/>
      <c r="Z100" s="71"/>
      <c r="AA100" s="61"/>
      <c r="AB100" s="48"/>
      <c r="AC100" s="61"/>
      <c r="AD100" s="61"/>
      <c r="AE100" s="52"/>
      <c r="AF100" s="53"/>
      <c r="AG100" s="53"/>
      <c r="AH100" s="53"/>
      <c r="AI100" s="72"/>
      <c r="AJ100" s="53"/>
      <c r="AK100" s="71"/>
      <c r="AL100" s="61"/>
      <c r="AM100" s="48"/>
      <c r="AN100" s="61"/>
      <c r="AO100" s="61"/>
      <c r="AP100" s="52"/>
      <c r="AQ100" s="53"/>
      <c r="AR100" s="53"/>
      <c r="AS100" s="53"/>
      <c r="AT100" s="72"/>
    </row>
    <row r="101" spans="2:46" x14ac:dyDescent="0.25">
      <c r="B101" s="1" cm="1">
        <f t="array" aca="1" ref="B101" ca="1">_xll.QDates_SpecificWeekday(EDATE(B100,1),"Wednesday",1)</f>
        <v>44930</v>
      </c>
      <c r="C101" t="str">
        <f t="shared" ca="1" si="29"/>
        <v>JAN23</v>
      </c>
      <c r="D101" s="71" cm="1">
        <f t="array" aca="1" ref="D101" ca="1">_xll.BDP(E$68&amp;" "&amp;$C101&amp;" 10DP VOL LME Comdty","PX_LAST")/100</f>
        <v>0.18129539489746094</v>
      </c>
      <c r="E101" s="61" cm="1">
        <f t="array" aca="1" ref="E101" ca="1">_xll.BDP(E$68&amp;" "&amp;$C101&amp;" 25DP VOL LME Comdty","PX_LAST")/100</f>
        <v>0.1695966339111328</v>
      </c>
      <c r="F101" s="48" cm="1">
        <f t="array" aca="1" ref="F101" ca="1">_xll.BDP(E$68&amp;" "&amp;$C101&amp;" 50D VOL LME Comdty","PX_LAST")/100</f>
        <v>0.15690051078796385</v>
      </c>
      <c r="G101" s="61" cm="1">
        <f t="array" aca="1" ref="G101" ca="1">_xll.BDP(E$68&amp;" "&amp;$C101&amp;" 25DC VOL LME Comdty","PX_LAST")/100</f>
        <v>0.15939827919006347</v>
      </c>
      <c r="H101" s="61" cm="1">
        <f t="array" aca="1" ref="H101" ca="1">_xll.BDP(E$68&amp;" "&amp;$C101&amp;" 10DC VOL LME Comdty","PX_LAST")/100</f>
        <v>0.16129869461059571</v>
      </c>
      <c r="I101" s="52">
        <f t="shared" ca="1" si="9"/>
        <v>0.16690051078796386</v>
      </c>
      <c r="J101" s="53">
        <f t="shared" ca="1" si="10"/>
        <v>-1.0198354721069336E-2</v>
      </c>
      <c r="K101" s="53">
        <f t="shared" ca="1" si="11"/>
        <v>-1.9996700286865232E-2</v>
      </c>
      <c r="L101" s="53">
        <f t="shared" ca="1" si="12"/>
        <v>7.5969457626342829E-3</v>
      </c>
      <c r="M101" s="72">
        <f t="shared" ca="1" si="13"/>
        <v>1.4396533966064468E-2</v>
      </c>
      <c r="N101" s="53"/>
      <c r="O101" s="71" cm="1">
        <f t="array" aca="1" ref="O101" ca="1">_xll.BDP(P$68&amp;" "&amp;$C101&amp;" 10DP VOL LME Comdty","PX_LAST")/100</f>
        <v>0.24049371719360352</v>
      </c>
      <c r="P101" s="61" cm="1">
        <f t="array" aca="1" ref="P101" ca="1">_xll.BDP(P$68&amp;" "&amp;$C101&amp;" 25DP VOL LME Comdty","PX_LAST")/100</f>
        <v>0.22229604721069335</v>
      </c>
      <c r="Q101" s="48" cm="1">
        <f t="array" aca="1" ref="Q101" ca="1">_xll.BDP(P$68&amp;" "&amp;$C101&amp;" 50D VOL LME Comdty","PX_LAST")/100</f>
        <v>0.20270137786865233</v>
      </c>
      <c r="R101" s="61" cm="1">
        <f t="array" aca="1" ref="R101" ca="1">_xll.BDP(P$68&amp;" "&amp;$C101&amp;" 25DC VOL LME Comdty","PX_LAST")/100</f>
        <v>0.2034981918334961</v>
      </c>
      <c r="S101" s="61" cm="1">
        <f t="array" aca="1" ref="S101" ca="1">_xll.BDP(P$68&amp;" "&amp;$C101&amp;" 10DC VOL LME Comdty","PX_LAST")/100</f>
        <v>0.20539827346801759</v>
      </c>
      <c r="T101" s="52">
        <f t="shared" ca="1" si="14"/>
        <v>0.21270137786865234</v>
      </c>
      <c r="U101" s="53">
        <f t="shared" ca="1" si="15"/>
        <v>-1.8797855377197248E-2</v>
      </c>
      <c r="V101" s="53">
        <f t="shared" ca="1" si="16"/>
        <v>-3.5095443725585929E-2</v>
      </c>
      <c r="W101" s="53">
        <f t="shared" ca="1" si="17"/>
        <v>1.0195741653442392E-2</v>
      </c>
      <c r="X101" s="72">
        <f t="shared" ca="1" si="18"/>
        <v>2.0244617462158221E-2</v>
      </c>
      <c r="Y101" s="53"/>
      <c r="Z101" s="71"/>
      <c r="AA101" s="61"/>
      <c r="AB101" s="48"/>
      <c r="AC101" s="61"/>
      <c r="AD101" s="61"/>
      <c r="AE101" s="52"/>
      <c r="AF101" s="53"/>
      <c r="AG101" s="53"/>
      <c r="AH101" s="53"/>
      <c r="AI101" s="72"/>
      <c r="AJ101" s="53"/>
      <c r="AK101" s="71"/>
      <c r="AL101" s="61"/>
      <c r="AM101" s="48"/>
      <c r="AN101" s="61"/>
      <c r="AO101" s="61"/>
      <c r="AP101" s="52"/>
      <c r="AQ101" s="53"/>
      <c r="AR101" s="53"/>
      <c r="AS101" s="53"/>
      <c r="AT101" s="72"/>
    </row>
    <row r="102" spans="2:46" x14ac:dyDescent="0.25">
      <c r="B102" s="1" cm="1">
        <f t="array" aca="1" ref="B102" ca="1">_xll.QDates_SpecificWeekday(EDATE(B101,1),"Wednesday",1)</f>
        <v>44958</v>
      </c>
      <c r="C102" t="str">
        <f t="shared" ca="1" si="29"/>
        <v>FEB23</v>
      </c>
      <c r="D102" s="71" cm="1">
        <f t="array" aca="1" ref="D102" ca="1">_xll.BDP(E$68&amp;" "&amp;$C102&amp;" 10DP VOL LME Comdty","PX_LAST")/100</f>
        <v>0.18109542846679688</v>
      </c>
      <c r="E102" s="61" cm="1">
        <f t="array" aca="1" ref="E102" ca="1">_xll.BDP(E$68&amp;" "&amp;$C102&amp;" 25DP VOL LME Comdty","PX_LAST")/100</f>
        <v>0.16939668655395507</v>
      </c>
      <c r="F102" s="48" cm="1">
        <f t="array" aca="1" ref="F102" ca="1">_xll.BDP(E$68&amp;" "&amp;$C102&amp;" 50D VOL LME Comdty","PX_LAST")/100</f>
        <v>0.15680050849914551</v>
      </c>
      <c r="G102" s="61" cm="1">
        <f t="array" aca="1" ref="G102" ca="1">_xll.BDP(E$68&amp;" "&amp;$C102&amp;" 25DC VOL LME Comdty","PX_LAST")/100</f>
        <v>0.15939828872680664</v>
      </c>
      <c r="H102" s="61" cm="1">
        <f t="array" aca="1" ref="H102" ca="1">_xll.BDP(E$68&amp;" "&amp;$C102&amp;" 10DC VOL LME Comdty","PX_LAST")/100</f>
        <v>0.16129873275756837</v>
      </c>
      <c r="I102" s="52">
        <f t="shared" ca="1" si="9"/>
        <v>0.16680050849914552</v>
      </c>
      <c r="J102" s="53">
        <f t="shared" ca="1" si="10"/>
        <v>-9.9983978271484253E-3</v>
      </c>
      <c r="K102" s="53">
        <f t="shared" ca="1" si="11"/>
        <v>-1.9796695709228512E-2</v>
      </c>
      <c r="L102" s="53">
        <f t="shared" ca="1" si="12"/>
        <v>7.5969791412353604E-3</v>
      </c>
      <c r="M102" s="72">
        <f t="shared" ca="1" si="13"/>
        <v>1.4396572113037132E-2</v>
      </c>
      <c r="N102" s="53"/>
      <c r="O102" s="71" cm="1">
        <f t="array" aca="1" ref="O102" ca="1">_xll.BDP(P$68&amp;" "&amp;$C102&amp;" 10DP VOL LME Comdty","PX_LAST")/100</f>
        <v>0.24029365539550782</v>
      </c>
      <c r="P102" s="61" cm="1">
        <f t="array" aca="1" ref="P102" ca="1">_xll.BDP(P$68&amp;" "&amp;$C102&amp;" 25DP VOL LME Comdty","PX_LAST")/100</f>
        <v>0.22219608306884767</v>
      </c>
      <c r="Q102" s="48" cm="1">
        <f t="array" aca="1" ref="Q102" ca="1">_xll.BDP(P$68&amp;" "&amp;$C102&amp;" 50D VOL LME Comdty","PX_LAST")/100</f>
        <v>0.20250139236450196</v>
      </c>
      <c r="R102" s="61" cm="1">
        <f t="array" aca="1" ref="R102" ca="1">_xll.BDP(P$68&amp;" "&amp;$C102&amp;" 25DC VOL LME Comdty","PX_LAST")/100</f>
        <v>0.20349802017211915</v>
      </c>
      <c r="S102" s="61" cm="1">
        <f t="array" aca="1" ref="S102" ca="1">_xll.BDP(P$68&amp;" "&amp;$C102&amp;" 10DC VOL LME Comdty","PX_LAST")/100</f>
        <v>0.20579811096191405</v>
      </c>
      <c r="T102" s="52">
        <f t="shared" ca="1" si="14"/>
        <v>0.21250139236450197</v>
      </c>
      <c r="U102" s="53">
        <f t="shared" ca="1" si="15"/>
        <v>-1.8698062896728512E-2</v>
      </c>
      <c r="V102" s="53">
        <f t="shared" ca="1" si="16"/>
        <v>-3.4495544433593761E-2</v>
      </c>
      <c r="W102" s="53">
        <f t="shared" ca="1" si="17"/>
        <v>1.0345659255981438E-2</v>
      </c>
      <c r="X102" s="72">
        <f t="shared" ca="1" si="18"/>
        <v>2.0544490814208977E-2</v>
      </c>
      <c r="Y102" s="53"/>
      <c r="Z102" s="71"/>
      <c r="AA102" s="61"/>
      <c r="AB102" s="48"/>
      <c r="AC102" s="61"/>
      <c r="AD102" s="61"/>
      <c r="AE102" s="52"/>
      <c r="AF102" s="53"/>
      <c r="AG102" s="53"/>
      <c r="AH102" s="53"/>
      <c r="AI102" s="72"/>
      <c r="AJ102" s="53"/>
      <c r="AK102" s="71"/>
      <c r="AL102" s="61"/>
      <c r="AM102" s="48"/>
      <c r="AN102" s="61"/>
      <c r="AO102" s="61"/>
      <c r="AP102" s="52"/>
      <c r="AQ102" s="53"/>
      <c r="AR102" s="53"/>
      <c r="AS102" s="53"/>
      <c r="AT102" s="72"/>
    </row>
    <row r="103" spans="2:46" x14ac:dyDescent="0.25">
      <c r="B103" s="1" cm="1">
        <f t="array" aca="1" ref="B103" ca="1">_xll.QDates_SpecificWeekday(EDATE(B102,1),"Wednesday",1)</f>
        <v>44986</v>
      </c>
      <c r="C103" t="str">
        <f t="shared" ca="1" si="29"/>
        <v>MAR23</v>
      </c>
      <c r="D103" s="71" cm="1">
        <f t="array" aca="1" ref="D103" ca="1">_xll.BDP(E$68&amp;" "&amp;$C103&amp;" 10DP VOL LME Comdty","PX_LAST")/100</f>
        <v>0.18089546203613283</v>
      </c>
      <c r="E103" s="61" cm="1">
        <f t="array" aca="1" ref="E103" ca="1">_xll.BDP(E$68&amp;" "&amp;$C103&amp;" 25DP VOL LME Comdty","PX_LAST")/100</f>
        <v>0.1692967414855957</v>
      </c>
      <c r="F103" s="48" cm="1">
        <f t="array" aca="1" ref="F103" ca="1">_xll.BDP(E$68&amp;" "&amp;$C103&amp;" 50D VOL LME Comdty","PX_LAST")/100</f>
        <v>0.15680049896240233</v>
      </c>
      <c r="G103" s="61" cm="1">
        <f t="array" aca="1" ref="G103" ca="1">_xll.BDP(E$68&amp;" "&amp;$C103&amp;" 25DC VOL LME Comdty","PX_LAST")/100</f>
        <v>0.15939828872680664</v>
      </c>
      <c r="H103" s="61" cm="1">
        <f t="array" aca="1" ref="H103" ca="1">_xll.BDP(E$68&amp;" "&amp;$C103&amp;" 10DC VOL LME Comdty","PX_LAST")/100</f>
        <v>0.16129875183105469</v>
      </c>
      <c r="I103" s="52">
        <f t="shared" ca="1" si="9"/>
        <v>0.16680049896240234</v>
      </c>
      <c r="J103" s="53">
        <f t="shared" ca="1" si="10"/>
        <v>-9.8984527587890614E-3</v>
      </c>
      <c r="K103" s="53">
        <f t="shared" ca="1" si="11"/>
        <v>-1.9596710205078138E-2</v>
      </c>
      <c r="L103" s="53">
        <f t="shared" ca="1" si="12"/>
        <v>7.5470161437988237E-3</v>
      </c>
      <c r="M103" s="72">
        <f t="shared" ca="1" si="13"/>
        <v>1.4296607971191422E-2</v>
      </c>
      <c r="N103" s="53"/>
      <c r="O103" s="71" cm="1">
        <f t="array" aca="1" ref="O103" ca="1">_xll.BDP(P$68&amp;" "&amp;$C103&amp;" 10DP VOL LME Comdty","PX_LAST")/100</f>
        <v>0.24039367675781251</v>
      </c>
      <c r="P103" s="61" cm="1">
        <f t="array" aca="1" ref="P103" ca="1">_xll.BDP(P$68&amp;" "&amp;$C103&amp;" 25DP VOL LME Comdty","PX_LAST")/100</f>
        <v>0.22229612350463868</v>
      </c>
      <c r="Q103" s="48" cm="1">
        <f t="array" aca="1" ref="Q103" ca="1">_xll.BDP(P$68&amp;" "&amp;$C103&amp;" 50D VOL LME Comdty","PX_LAST")/100</f>
        <v>0.20250141143798828</v>
      </c>
      <c r="R103" s="61" cm="1">
        <f t="array" aca="1" ref="R103" ca="1">_xll.BDP(P$68&amp;" "&amp;$C103&amp;" 25DC VOL LME Comdty","PX_LAST")/100</f>
        <v>0.20359781265258789</v>
      </c>
      <c r="S103" s="61" cm="1">
        <f t="array" aca="1" ref="S103" ca="1">_xll.BDP(P$68&amp;" "&amp;$C103&amp;" 10DC VOL LME Comdty","PX_LAST")/100</f>
        <v>0.20629791259765626</v>
      </c>
      <c r="T103" s="52">
        <f t="shared" ca="1" si="14"/>
        <v>0.21250141143798829</v>
      </c>
      <c r="U103" s="53">
        <f t="shared" ca="1" si="15"/>
        <v>-1.8698310852050787E-2</v>
      </c>
      <c r="V103" s="53">
        <f t="shared" ca="1" si="16"/>
        <v>-3.409576416015625E-2</v>
      </c>
      <c r="W103" s="53">
        <f t="shared" ca="1" si="17"/>
        <v>1.044555664062502E-2</v>
      </c>
      <c r="X103" s="72">
        <f t="shared" ca="1" si="18"/>
        <v>2.0844383239746106E-2</v>
      </c>
      <c r="Y103" s="53"/>
      <c r="Z103" s="71"/>
      <c r="AA103" s="61"/>
      <c r="AB103" s="48"/>
      <c r="AC103" s="61"/>
      <c r="AD103" s="61"/>
      <c r="AE103" s="52"/>
      <c r="AF103" s="53"/>
      <c r="AG103" s="53"/>
      <c r="AH103" s="53"/>
      <c r="AI103" s="72"/>
      <c r="AJ103" s="53"/>
      <c r="AK103" s="71"/>
      <c r="AL103" s="61"/>
      <c r="AM103" s="48"/>
      <c r="AN103" s="61"/>
      <c r="AO103" s="61"/>
      <c r="AP103" s="52"/>
      <c r="AQ103" s="53"/>
      <c r="AR103" s="53"/>
      <c r="AS103" s="53"/>
      <c r="AT103" s="72"/>
    </row>
    <row r="104" spans="2:46" x14ac:dyDescent="0.25">
      <c r="B104" s="1" cm="1">
        <f t="array" aca="1" ref="B104" ca="1">_xll.QDates_SpecificWeekday(EDATE(B103,1),"Wednesday",1)</f>
        <v>45021</v>
      </c>
      <c r="C104" t="str">
        <f t="shared" ca="1" si="29"/>
        <v>APR23</v>
      </c>
      <c r="D104" s="71" cm="1">
        <f t="array" aca="1" ref="D104" ca="1">_xll.BDP(E$68&amp;" "&amp;$C104&amp;" 10DP VOL LME Comdty","PX_LAST")/100</f>
        <v>0.18069553375244141</v>
      </c>
      <c r="E104" s="61" cm="1">
        <f t="array" aca="1" ref="E104" ca="1">_xll.BDP(E$68&amp;" "&amp;$C104&amp;" 25DP VOL LME Comdty","PX_LAST")/100</f>
        <v>0.16919679641723634</v>
      </c>
      <c r="F104" s="48" cm="1">
        <f t="array" aca="1" ref="F104" ca="1">_xll.BDP(E$68&amp;" "&amp;$C104&amp;" 50D VOL LME Comdty","PX_LAST")/100</f>
        <v>0.15680049896240233</v>
      </c>
      <c r="G104" s="61" cm="1">
        <f t="array" aca="1" ref="G104" ca="1">_xll.BDP(E$68&amp;" "&amp;$C104&amp;" 25DC VOL LME Comdty","PX_LAST")/100</f>
        <v>0.15939829826354981</v>
      </c>
      <c r="H104" s="61" cm="1">
        <f t="array" aca="1" ref="H104" ca="1">_xll.BDP(E$68&amp;" "&amp;$C104&amp;" 10DC VOL LME Comdty","PX_LAST")/100</f>
        <v>0.16119876861572266</v>
      </c>
      <c r="I104" s="52">
        <f t="shared" ca="1" si="9"/>
        <v>0.16680049896240234</v>
      </c>
      <c r="J104" s="53">
        <f t="shared" ca="1" si="10"/>
        <v>-9.7984981536865245E-3</v>
      </c>
      <c r="K104" s="53">
        <f t="shared" ca="1" si="11"/>
        <v>-1.9496765136718747E-2</v>
      </c>
      <c r="L104" s="53">
        <f t="shared" ca="1" si="12"/>
        <v>7.497048377990756E-3</v>
      </c>
      <c r="M104" s="72">
        <f t="shared" ca="1" si="13"/>
        <v>1.4146652221679712E-2</v>
      </c>
      <c r="N104" s="53"/>
      <c r="O104" s="71" cm="1">
        <f t="array" aca="1" ref="O104" ca="1">_xll.BDP(P$68&amp;" "&amp;$C104&amp;" 10DP VOL LME Comdty","PX_LAST")/100</f>
        <v>0.24029376983642578</v>
      </c>
      <c r="P104" s="61" cm="1">
        <f t="array" aca="1" ref="P104" ca="1">_xll.BDP(P$68&amp;" "&amp;$C104&amp;" 25DP VOL LME Comdty","PX_LAST")/100</f>
        <v>0.22239620208740235</v>
      </c>
      <c r="Q104" s="48" cm="1">
        <f t="array" aca="1" ref="Q104" ca="1">_xll.BDP(P$68&amp;" "&amp;$C104&amp;" 50D VOL LME Comdty","PX_LAST")/100</f>
        <v>0.20240142822265625</v>
      </c>
      <c r="R104" s="61" cm="1">
        <f t="array" aca="1" ref="R104" ca="1">_xll.BDP(P$68&amp;" "&amp;$C104&amp;" 25DC VOL LME Comdty","PX_LAST")/100</f>
        <v>0.20369752883911132</v>
      </c>
      <c r="S104" s="61" cm="1">
        <f t="array" aca="1" ref="S104" ca="1">_xll.BDP(P$68&amp;" "&amp;$C104&amp;" 10DC VOL LME Comdty","PX_LAST")/100</f>
        <v>0.20679765701293945</v>
      </c>
      <c r="T104" s="52">
        <f t="shared" ca="1" si="14"/>
        <v>0.21240142822265626</v>
      </c>
      <c r="U104" s="53">
        <f t="shared" ca="1" si="15"/>
        <v>-1.8698673248291026E-2</v>
      </c>
      <c r="V104" s="53">
        <f t="shared" ca="1" si="16"/>
        <v>-3.3496112823486329E-2</v>
      </c>
      <c r="W104" s="53">
        <f t="shared" ca="1" si="17"/>
        <v>1.0645437240600603E-2</v>
      </c>
      <c r="X104" s="72">
        <f t="shared" ca="1" si="18"/>
        <v>2.1144285202026353E-2</v>
      </c>
      <c r="Y104" s="53"/>
      <c r="Z104" s="71"/>
      <c r="AA104" s="61"/>
      <c r="AB104" s="48"/>
      <c r="AC104" s="61"/>
      <c r="AD104" s="61"/>
      <c r="AE104" s="52"/>
      <c r="AF104" s="53"/>
      <c r="AG104" s="53"/>
      <c r="AH104" s="53"/>
      <c r="AI104" s="72"/>
      <c r="AJ104" s="53"/>
      <c r="AK104" s="71"/>
      <c r="AL104" s="61"/>
      <c r="AM104" s="48"/>
      <c r="AN104" s="61"/>
      <c r="AO104" s="61"/>
      <c r="AP104" s="52"/>
      <c r="AQ104" s="53"/>
      <c r="AR104" s="53"/>
      <c r="AS104" s="53"/>
      <c r="AT104" s="72"/>
    </row>
    <row r="105" spans="2:46" x14ac:dyDescent="0.25">
      <c r="B105" s="1" cm="1">
        <f t="array" aca="1" ref="B105" ca="1">_xll.QDates_SpecificWeekday(EDATE(B104,1),"Wednesday",1)</f>
        <v>45049</v>
      </c>
      <c r="C105" t="str">
        <f t="shared" ca="1" si="29"/>
        <v>MAY23</v>
      </c>
      <c r="D105" s="71" cm="1">
        <f t="array" aca="1" ref="D105" ca="1">_xll.BDP(E$68&amp;" "&amp;$C105&amp;" 10DP VOL LME Comdty","PX_LAST")/100</f>
        <v>0.1805955696105957</v>
      </c>
      <c r="E105" s="61" cm="1">
        <f t="array" aca="1" ref="E105" ca="1">_xll.BDP(E$68&amp;" "&amp;$C105&amp;" 25DP VOL LME Comdty","PX_LAST")/100</f>
        <v>0.16909685134887695</v>
      </c>
      <c r="F105" s="48" cm="1">
        <f t="array" aca="1" ref="F105" ca="1">_xll.BDP(E$68&amp;" "&amp;$C105&amp;" 50D VOL LME Comdty","PX_LAST")/100</f>
        <v>0.15680049896240233</v>
      </c>
      <c r="G105" s="61" cm="1">
        <f t="array" aca="1" ref="G105" ca="1">_xll.BDP(E$68&amp;" "&amp;$C105&amp;" 25DC VOL LME Comdty","PX_LAST")/100</f>
        <v>0.15939829826354981</v>
      </c>
      <c r="H105" s="61" cm="1">
        <f t="array" aca="1" ref="H105" ca="1">_xll.BDP(E$68&amp;" "&amp;$C105&amp;" 10DC VOL LME Comdty","PX_LAST")/100</f>
        <v>0.16129878997802735</v>
      </c>
      <c r="I105" s="52">
        <f t="shared" ca="1" si="9"/>
        <v>0.16680049896240234</v>
      </c>
      <c r="J105" s="53">
        <f t="shared" ca="1" si="10"/>
        <v>-9.6985530853271329E-3</v>
      </c>
      <c r="K105" s="53">
        <f t="shared" ca="1" si="11"/>
        <v>-1.9296779632568345E-2</v>
      </c>
      <c r="L105" s="53">
        <f t="shared" ca="1" si="12"/>
        <v>7.4470758438110463E-3</v>
      </c>
      <c r="M105" s="72">
        <f t="shared" ca="1" si="13"/>
        <v>1.4146680831909175E-2</v>
      </c>
      <c r="N105" s="53"/>
      <c r="O105" s="71" cm="1">
        <f t="array" aca="1" ref="O105" ca="1">_xll.BDP(P$68&amp;" "&amp;$C105&amp;" 10DP VOL LME Comdty","PX_LAST")/100</f>
        <v>0.2402937889099121</v>
      </c>
      <c r="P105" s="61" cm="1">
        <f t="array" aca="1" ref="P105" ca="1">_xll.BDP(P$68&amp;" "&amp;$C105&amp;" 25DP VOL LME Comdty","PX_LAST")/100</f>
        <v>0.22249626159667968</v>
      </c>
      <c r="Q105" s="48" cm="1">
        <f t="array" aca="1" ref="Q105" ca="1">_xll.BDP(P$68&amp;" "&amp;$C105&amp;" 50D VOL LME Comdty","PX_LAST")/100</f>
        <v>0.20240142822265625</v>
      </c>
      <c r="R105" s="61" cm="1">
        <f t="array" aca="1" ref="R105" ca="1">_xll.BDP(P$68&amp;" "&amp;$C105&amp;" 25DC VOL LME Comdty","PX_LAST")/100</f>
        <v>0.20379734039306641</v>
      </c>
      <c r="S105" s="61" cm="1">
        <f t="array" aca="1" ref="S105" ca="1">_xll.BDP(P$68&amp;" "&amp;$C105&amp;" 10DC VOL LME Comdty","PX_LAST")/100</f>
        <v>0.20739757537841796</v>
      </c>
      <c r="T105" s="52">
        <f t="shared" ca="1" si="14"/>
        <v>0.21240142822265626</v>
      </c>
      <c r="U105" s="53">
        <f t="shared" ca="1" si="15"/>
        <v>-1.8698921203613272E-2</v>
      </c>
      <c r="V105" s="53">
        <f t="shared" ca="1" si="16"/>
        <v>-3.2896213531494134E-2</v>
      </c>
      <c r="W105" s="53">
        <f t="shared" ca="1" si="17"/>
        <v>1.0745372772216794E-2</v>
      </c>
      <c r="X105" s="72">
        <f t="shared" ca="1" si="18"/>
        <v>2.1444253921508782E-2</v>
      </c>
      <c r="Y105" s="53"/>
      <c r="Z105" s="71"/>
      <c r="AA105" s="61"/>
      <c r="AB105" s="48"/>
      <c r="AC105" s="61"/>
      <c r="AD105" s="61"/>
      <c r="AE105" s="52"/>
      <c r="AF105" s="53"/>
      <c r="AG105" s="53"/>
      <c r="AH105" s="53"/>
      <c r="AI105" s="72"/>
      <c r="AJ105" s="53"/>
      <c r="AK105" s="71"/>
      <c r="AL105" s="61"/>
      <c r="AM105" s="48"/>
      <c r="AN105" s="61"/>
      <c r="AO105" s="61"/>
      <c r="AP105" s="52"/>
      <c r="AQ105" s="53"/>
      <c r="AR105" s="53"/>
      <c r="AS105" s="53"/>
      <c r="AT105" s="72"/>
    </row>
    <row r="106" spans="2:46" x14ac:dyDescent="0.25">
      <c r="B106" s="1" cm="1">
        <f t="array" aca="1" ref="B106" ca="1">_xll.QDates_SpecificWeekday(EDATE(B105,1),"Wednesday",1)</f>
        <v>45084</v>
      </c>
      <c r="C106" t="str">
        <f t="shared" ca="1" si="29"/>
        <v>JUN23</v>
      </c>
      <c r="D106" s="71" cm="1">
        <f t="array" aca="1" ref="D106" ca="1">_xll.BDP(E$68&amp;" "&amp;$C106&amp;" 10DP VOL LME Comdty","PX_LAST")/100</f>
        <v>0.18029560089111329</v>
      </c>
      <c r="E106" s="61" cm="1">
        <f t="array" aca="1" ref="E106" ca="1">_xll.BDP(E$68&amp;" "&amp;$C106&amp;" 25DP VOL LME Comdty","PX_LAST")/100</f>
        <v>0.16899690628051758</v>
      </c>
      <c r="F106" s="48" cm="1">
        <f t="array" aca="1" ref="F106" ca="1">_xll.BDP(E$68&amp;" "&amp;$C106&amp;" 50D VOL LME Comdty","PX_LAST")/100</f>
        <v>0.15680050849914551</v>
      </c>
      <c r="G106" s="61" cm="1">
        <f t="array" aca="1" ref="G106" ca="1">_xll.BDP(E$68&amp;" "&amp;$C106&amp;" 25DC VOL LME Comdty","PX_LAST")/100</f>
        <v>0.15939830780029296</v>
      </c>
      <c r="H106" s="61" cm="1">
        <f t="array" aca="1" ref="H106" ca="1">_xll.BDP(E$68&amp;" "&amp;$C106&amp;" 10DC VOL LME Comdty","PX_LAST")/100</f>
        <v>0.16119880676269532</v>
      </c>
      <c r="I106" s="52">
        <f t="shared" ca="1" si="9"/>
        <v>0.16680050849914552</v>
      </c>
      <c r="J106" s="53">
        <f t="shared" ca="1" si="10"/>
        <v>-9.5985984802246238E-3</v>
      </c>
      <c r="K106" s="53">
        <f t="shared" ca="1" si="11"/>
        <v>-1.9096794128417971E-2</v>
      </c>
      <c r="L106" s="53">
        <f t="shared" ca="1" si="12"/>
        <v>7.3970985412597501E-3</v>
      </c>
      <c r="M106" s="72">
        <f t="shared" ca="1" si="13"/>
        <v>1.3946695327758801E-2</v>
      </c>
      <c r="N106" s="53"/>
      <c r="O106" s="71" cm="1">
        <f t="array" aca="1" ref="O106" ca="1">_xll.BDP(P$68&amp;" "&amp;$C106&amp;" 10DP VOL LME Comdty","PX_LAST")/100</f>
        <v>0.24019371032714842</v>
      </c>
      <c r="P106" s="61" cm="1">
        <f t="array" aca="1" ref="P106" ca="1">_xll.BDP(P$68&amp;" "&amp;$C106&amp;" 25DP VOL LME Comdty","PX_LAST")/100</f>
        <v>0.22249629974365234</v>
      </c>
      <c r="Q106" s="48" cm="1">
        <f t="array" aca="1" ref="Q106" ca="1">_xll.BDP(P$68&amp;" "&amp;$C106&amp;" 50D VOL LME Comdty","PX_LAST")/100</f>
        <v>0.20230140686035156</v>
      </c>
      <c r="R106" s="61" cm="1">
        <f t="array" aca="1" ref="R106" ca="1">_xll.BDP(P$68&amp;" "&amp;$C106&amp;" 25DC VOL LME Comdty","PX_LAST")/100</f>
        <v>0.20389711380004882</v>
      </c>
      <c r="S106" s="61" cm="1">
        <f t="array" aca="1" ref="S106" ca="1">_xll.BDP(P$68&amp;" "&amp;$C106&amp;" 10DC VOL LME Comdty","PX_LAST")/100</f>
        <v>0.20809791564941407</v>
      </c>
      <c r="T106" s="52">
        <f t="shared" ca="1" si="14"/>
        <v>0.21230140686035157</v>
      </c>
      <c r="U106" s="53">
        <f t="shared" ca="1" si="15"/>
        <v>-1.8599185943603519E-2</v>
      </c>
      <c r="V106" s="53">
        <f t="shared" ca="1" si="16"/>
        <v>-3.2095794677734352E-2</v>
      </c>
      <c r="W106" s="53">
        <f t="shared" ca="1" si="17"/>
        <v>1.089529991149904E-2</v>
      </c>
      <c r="X106" s="72">
        <f t="shared" ca="1" si="18"/>
        <v>2.1844406127929678E-2</v>
      </c>
      <c r="Y106" s="53"/>
      <c r="Z106" s="71"/>
      <c r="AA106" s="61"/>
      <c r="AB106" s="48"/>
      <c r="AC106" s="61"/>
      <c r="AD106" s="61"/>
      <c r="AE106" s="52"/>
      <c r="AF106" s="53"/>
      <c r="AG106" s="53"/>
      <c r="AH106" s="53"/>
      <c r="AI106" s="72"/>
      <c r="AJ106" s="53"/>
      <c r="AK106" s="71"/>
      <c r="AL106" s="61"/>
      <c r="AM106" s="48"/>
      <c r="AN106" s="61"/>
      <c r="AO106" s="61"/>
      <c r="AP106" s="52"/>
      <c r="AQ106" s="53"/>
      <c r="AR106" s="53"/>
      <c r="AS106" s="53"/>
      <c r="AT106" s="72"/>
    </row>
    <row r="107" spans="2:46" x14ac:dyDescent="0.25">
      <c r="B107" s="1" cm="1">
        <f t="array" aca="1" ref="B107" ca="1">_xll.QDates_SpecificWeekday(EDATE(B106,1),"Wednesday",1)</f>
        <v>45112</v>
      </c>
      <c r="C107" t="str">
        <f t="shared" ca="1" si="29"/>
        <v>JUL23</v>
      </c>
      <c r="D107" s="71" cm="1">
        <f t="array" aca="1" ref="D107" ca="1">_xll.BDP(E$68&amp;" "&amp;$C107&amp;" 10DP VOL LME Comdty","PX_LAST")/100</f>
        <v>0.18019563674926758</v>
      </c>
      <c r="E107" s="61" cm="1">
        <f t="array" aca="1" ref="E107" ca="1">_xll.BDP(E$68&amp;" "&amp;$C107&amp;" 25DP VOL LME Comdty","PX_LAST")/100</f>
        <v>0.16889694213867187</v>
      </c>
      <c r="F107" s="48" cm="1">
        <f t="array" aca="1" ref="F107" ca="1">_xll.BDP(E$68&amp;" "&amp;$C107&amp;" 50D VOL LME Comdty","PX_LAST")/100</f>
        <v>0.15670050621032716</v>
      </c>
      <c r="G107" s="61" cm="1">
        <f t="array" aca="1" ref="G107" ca="1">_xll.BDP(E$68&amp;" "&amp;$C107&amp;" 25DC VOL LME Comdty","PX_LAST")/100</f>
        <v>0.15929829597473144</v>
      </c>
      <c r="H107" s="61" cm="1">
        <f t="array" aca="1" ref="H107" ca="1">_xll.BDP(E$68&amp;" "&amp;$C107&amp;" 10DC VOL LME Comdty","PX_LAST")/100</f>
        <v>0.16109878540039063</v>
      </c>
      <c r="I107" s="52">
        <f t="shared" ca="1" si="9"/>
        <v>0.16670050621032717</v>
      </c>
      <c r="J107" s="53">
        <f t="shared" ca="1" si="10"/>
        <v>-9.598646163940433E-3</v>
      </c>
      <c r="K107" s="53">
        <f t="shared" ca="1" si="11"/>
        <v>-1.9096851348876953E-2</v>
      </c>
      <c r="L107" s="53">
        <f t="shared" ca="1" si="12"/>
        <v>7.3971128463745095E-3</v>
      </c>
      <c r="M107" s="72">
        <f t="shared" ca="1" si="13"/>
        <v>1.3946704864501946E-2</v>
      </c>
      <c r="N107" s="53"/>
      <c r="O107" s="71" cm="1">
        <f t="array" aca="1" ref="O107" ca="1">_xll.BDP(P$68&amp;" "&amp;$C107&amp;" 10DP VOL LME Comdty","PX_LAST")/100</f>
        <v>0.24019367218017579</v>
      </c>
      <c r="P107" s="61" cm="1">
        <f t="array" aca="1" ref="P107" ca="1">_xll.BDP(P$68&amp;" "&amp;$C107&amp;" 25DP VOL LME Comdty","PX_LAST")/100</f>
        <v>0.22249631881713866</v>
      </c>
      <c r="Q107" s="48" cm="1">
        <f t="array" aca="1" ref="Q107" ca="1">_xll.BDP(P$68&amp;" "&amp;$C107&amp;" 50D VOL LME Comdty","PX_LAST")/100</f>
        <v>0.20230148315429688</v>
      </c>
      <c r="R107" s="61" cm="1">
        <f t="array" aca="1" ref="R107" ca="1">_xll.BDP(P$68&amp;" "&amp;$C107&amp;" 25DC VOL LME Comdty","PX_LAST")/100</f>
        <v>0.20409715652465821</v>
      </c>
      <c r="S107" s="61" cm="1">
        <f t="array" aca="1" ref="S107" ca="1">_xll.BDP(P$68&amp;" "&amp;$C107&amp;" 10DC VOL LME Comdty","PX_LAST")/100</f>
        <v>0.20839874267578126</v>
      </c>
      <c r="T107" s="52">
        <f t="shared" ca="1" si="14"/>
        <v>0.21230148315429689</v>
      </c>
      <c r="U107" s="53">
        <f t="shared" ca="1" si="15"/>
        <v>-1.8399162292480453E-2</v>
      </c>
      <c r="V107" s="53">
        <f t="shared" ca="1" si="16"/>
        <v>-3.1794929504394526E-2</v>
      </c>
      <c r="W107" s="53">
        <f t="shared" ca="1" si="17"/>
        <v>1.0995254516601549E-2</v>
      </c>
      <c r="X107" s="72">
        <f t="shared" ca="1" si="18"/>
        <v>2.1994724273681626E-2</v>
      </c>
      <c r="Y107" s="53"/>
      <c r="Z107" s="71"/>
      <c r="AA107" s="61"/>
      <c r="AB107" s="48"/>
      <c r="AC107" s="61"/>
      <c r="AD107" s="61"/>
      <c r="AE107" s="52"/>
      <c r="AF107" s="53"/>
      <c r="AG107" s="53"/>
      <c r="AH107" s="53"/>
      <c r="AI107" s="72"/>
      <c r="AJ107" s="53"/>
      <c r="AK107" s="71"/>
      <c r="AL107" s="61"/>
      <c r="AM107" s="48"/>
      <c r="AN107" s="61"/>
      <c r="AO107" s="61"/>
      <c r="AP107" s="52"/>
      <c r="AQ107" s="53"/>
      <c r="AR107" s="53"/>
      <c r="AS107" s="53"/>
      <c r="AT107" s="72"/>
    </row>
    <row r="108" spans="2:46" x14ac:dyDescent="0.25">
      <c r="B108" s="1" cm="1">
        <f t="array" aca="1" ref="B108" ca="1">_xll.QDates_SpecificWeekday(EDATE(B107,1),"Wednesday",1)</f>
        <v>45140</v>
      </c>
      <c r="C108" t="str">
        <f t="shared" ca="1" si="29"/>
        <v>AUG23</v>
      </c>
      <c r="D108" s="71" cm="1">
        <f t="array" aca="1" ref="D108" ca="1">_xll.BDP(E$68&amp;" "&amp;$C108&amp;" 10DP VOL LME Comdty","PX_LAST")/100</f>
        <v>0.18029563903808593</v>
      </c>
      <c r="E108" s="61" cm="1">
        <f t="array" aca="1" ref="E108" ca="1">_xll.BDP(E$68&amp;" "&amp;$C108&amp;" 25DP VOL LME Comdty","PX_LAST")/100</f>
        <v>0.16889698028564454</v>
      </c>
      <c r="F108" s="48" cm="1">
        <f t="array" aca="1" ref="F108" ca="1">_xll.BDP(E$68&amp;" "&amp;$C108&amp;" 50D VOL LME Comdty","PX_LAST")/100</f>
        <v>0.15670050621032716</v>
      </c>
      <c r="G108" s="61" cm="1">
        <f t="array" aca="1" ref="G108" ca="1">_xll.BDP(E$68&amp;" "&amp;$C108&amp;" 25DC VOL LME Comdty","PX_LAST")/100</f>
        <v>0.15939827919006347</v>
      </c>
      <c r="H108" s="61" cm="1">
        <f t="array" aca="1" ref="H108" ca="1">_xll.BDP(E$68&amp;" "&amp;$C108&amp;" 10DC VOL LME Comdty","PX_LAST")/100</f>
        <v>0.16119876861572266</v>
      </c>
      <c r="I108" s="52">
        <f t="shared" ca="1" si="9"/>
        <v>0.16670050621032717</v>
      </c>
      <c r="J108" s="53">
        <f t="shared" ca="1" si="10"/>
        <v>-9.4987010955810691E-3</v>
      </c>
      <c r="K108" s="53">
        <f t="shared" ca="1" si="11"/>
        <v>-1.9096870422363271E-2</v>
      </c>
      <c r="L108" s="53">
        <f t="shared" ca="1" si="12"/>
        <v>7.4471235275268555E-3</v>
      </c>
      <c r="M108" s="72">
        <f t="shared" ca="1" si="13"/>
        <v>1.404669761657712E-2</v>
      </c>
      <c r="N108" s="53"/>
      <c r="O108" s="71" cm="1">
        <f t="array" aca="1" ref="O108" ca="1">_xll.BDP(P$68&amp;" "&amp;$C108&amp;" 10DP VOL LME Comdty","PX_LAST")/100</f>
        <v>0.24539407730102539</v>
      </c>
      <c r="P108" s="61" cm="1">
        <f t="array" aca="1" ref="P108" ca="1">_xll.BDP(P$68&amp;" "&amp;$C108&amp;" 25DP VOL LME Comdty","PX_LAST")/100</f>
        <v>0.22649633407592773</v>
      </c>
      <c r="Q108" s="48" cm="1">
        <f t="array" aca="1" ref="Q108" ca="1">_xll.BDP(P$68&amp;" "&amp;$C108&amp;" 50D VOL LME Comdty","PX_LAST")/100</f>
        <v>0.20470191955566405</v>
      </c>
      <c r="R108" s="61" cm="1">
        <f t="array" aca="1" ref="R108" ca="1">_xll.BDP(P$68&amp;" "&amp;$C108&amp;" 25DC VOL LME Comdty","PX_LAST")/100</f>
        <v>0.20259960174560546</v>
      </c>
      <c r="S108" s="61" cm="1">
        <f t="array" aca="1" ref="S108" ca="1">_xll.BDP(P$68&amp;" "&amp;$C108&amp;" 10DC VOL LME Comdty","PX_LAST")/100</f>
        <v>0.2018996810913086</v>
      </c>
      <c r="T108" s="52">
        <f t="shared" ca="1" si="14"/>
        <v>0.21470191955566406</v>
      </c>
      <c r="U108" s="53">
        <f t="shared" ca="1" si="15"/>
        <v>-2.3896732330322273E-2</v>
      </c>
      <c r="V108" s="53">
        <f t="shared" ca="1" si="16"/>
        <v>-4.349439620971679E-2</v>
      </c>
      <c r="W108" s="53">
        <f t="shared" ca="1" si="17"/>
        <v>9.8460483551025269E-3</v>
      </c>
      <c r="X108" s="72">
        <f t="shared" ca="1" si="18"/>
        <v>1.894495964050294E-2</v>
      </c>
      <c r="Y108" s="53"/>
      <c r="Z108" s="71"/>
      <c r="AA108" s="61"/>
      <c r="AB108" s="48"/>
      <c r="AC108" s="61"/>
      <c r="AD108" s="61"/>
      <c r="AE108" s="52"/>
      <c r="AF108" s="53"/>
      <c r="AG108" s="53"/>
      <c r="AH108" s="53"/>
      <c r="AI108" s="72"/>
      <c r="AJ108" s="53"/>
      <c r="AK108" s="71"/>
      <c r="AL108" s="61"/>
      <c r="AM108" s="48"/>
      <c r="AN108" s="61"/>
      <c r="AO108" s="61"/>
      <c r="AP108" s="52"/>
      <c r="AQ108" s="53"/>
      <c r="AR108" s="53"/>
      <c r="AS108" s="53"/>
      <c r="AT108" s="72"/>
    </row>
    <row r="109" spans="2:46" x14ac:dyDescent="0.25">
      <c r="B109" s="1" cm="1">
        <f t="array" aca="1" ref="B109" ca="1">_xll.QDates_SpecificWeekday(EDATE(B108,1),"Wednesday",1)</f>
        <v>45175</v>
      </c>
      <c r="C109" t="str">
        <f t="shared" ca="1" si="29"/>
        <v>SEP23</v>
      </c>
      <c r="D109" s="71" cm="1">
        <f t="array" aca="1" ref="D109" ca="1">_xll.BDP(E$68&amp;" "&amp;$C109&amp;" 10DP VOL LME Comdty","PX_LAST")/100</f>
        <v>0.1801956558227539</v>
      </c>
      <c r="E109" s="61" cm="1">
        <f t="array" aca="1" ref="E109" ca="1">_xll.BDP(E$68&amp;" "&amp;$C109&amp;" 25DP VOL LME Comdty","PX_LAST")/100</f>
        <v>0.16879699707031251</v>
      </c>
      <c r="F109" s="48" cm="1">
        <f t="array" aca="1" ref="F109" ca="1">_xll.BDP(E$68&amp;" "&amp;$C109&amp;" 50D VOL LME Comdty","PX_LAST")/100</f>
        <v>0.15660052299499511</v>
      </c>
      <c r="G109" s="61" cm="1">
        <f t="array" aca="1" ref="G109" ca="1">_xll.BDP(E$68&amp;" "&amp;$C109&amp;" 25DC VOL LME Comdty","PX_LAST")/100</f>
        <v>0.15919825553894043</v>
      </c>
      <c r="H109" s="61" cm="1">
        <f t="array" aca="1" ref="H109" ca="1">_xll.BDP(E$68&amp;" "&amp;$C109&amp;" 10DC VOL LME Comdty","PX_LAST")/100</f>
        <v>0.16109874725341797</v>
      </c>
      <c r="I109" s="52">
        <f t="shared" ca="1" si="9"/>
        <v>0.16660052299499511</v>
      </c>
      <c r="J109" s="53">
        <f t="shared" ca="1" si="10"/>
        <v>-9.5987415313720792E-3</v>
      </c>
      <c r="K109" s="53">
        <f t="shared" ca="1" si="11"/>
        <v>-1.9096908569335935E-2</v>
      </c>
      <c r="L109" s="53">
        <f t="shared" ca="1" si="12"/>
        <v>7.3971033096313643E-3</v>
      </c>
      <c r="M109" s="72">
        <f t="shared" ca="1" si="13"/>
        <v>1.4046678543090829E-2</v>
      </c>
      <c r="N109" s="53"/>
      <c r="O109" s="71" cm="1">
        <f t="array" aca="1" ref="O109" ca="1">_xll.BDP(P$68&amp;" "&amp;$C109&amp;" 10DP VOL LME Comdty","PX_LAST")/100</f>
        <v>0.24529401779174806</v>
      </c>
      <c r="P109" s="61" cm="1">
        <f t="array" aca="1" ref="P109" ca="1">_xll.BDP(P$68&amp;" "&amp;$C109&amp;" 25DP VOL LME Comdty","PX_LAST")/100</f>
        <v>0.226396427154541</v>
      </c>
      <c r="Q109" s="48" cm="1">
        <f t="array" aca="1" ref="Q109" ca="1">_xll.BDP(P$68&amp;" "&amp;$C109&amp;" 50D VOL LME Comdty","PX_LAST")/100</f>
        <v>0.20460199356079101</v>
      </c>
      <c r="R109" s="61" cm="1">
        <f t="array" aca="1" ref="R109" ca="1">_xll.BDP(P$68&amp;" "&amp;$C109&amp;" 25DC VOL LME Comdty","PX_LAST")/100</f>
        <v>0.2024998664855957</v>
      </c>
      <c r="S109" s="61" cm="1">
        <f t="array" aca="1" ref="S109" ca="1">_xll.BDP(P$68&amp;" "&amp;$C109&amp;" 10DC VOL LME Comdty","PX_LAST")/100</f>
        <v>0.20179990768432618</v>
      </c>
      <c r="T109" s="52">
        <f t="shared" ca="1" si="14"/>
        <v>0.21460199356079102</v>
      </c>
      <c r="U109" s="53">
        <f t="shared" ca="1" si="15"/>
        <v>-2.3896560668945299E-2</v>
      </c>
      <c r="V109" s="53">
        <f t="shared" ca="1" si="16"/>
        <v>-4.3494110107421879E-2</v>
      </c>
      <c r="W109" s="53">
        <f t="shared" ca="1" si="17"/>
        <v>9.846153259277346E-3</v>
      </c>
      <c r="X109" s="72">
        <f t="shared" ca="1" si="18"/>
        <v>1.8944969177246113E-2</v>
      </c>
      <c r="Y109" s="53"/>
      <c r="Z109" s="71"/>
      <c r="AA109" s="61"/>
      <c r="AB109" s="48"/>
      <c r="AC109" s="61"/>
      <c r="AD109" s="61"/>
      <c r="AE109" s="52"/>
      <c r="AF109" s="53"/>
      <c r="AG109" s="53"/>
      <c r="AH109" s="53"/>
      <c r="AI109" s="72"/>
      <c r="AJ109" s="53"/>
      <c r="AK109" s="71"/>
      <c r="AL109" s="61"/>
      <c r="AM109" s="48"/>
      <c r="AN109" s="61"/>
      <c r="AO109" s="61"/>
      <c r="AP109" s="52"/>
      <c r="AQ109" s="53"/>
      <c r="AR109" s="53"/>
      <c r="AS109" s="53"/>
      <c r="AT109" s="72"/>
    </row>
    <row r="110" spans="2:46" x14ac:dyDescent="0.25">
      <c r="B110" s="1" cm="1">
        <f t="array" aca="1" ref="B110" ca="1">_xll.QDates_SpecificWeekday(EDATE(B109,1),"Wednesday",1)</f>
        <v>45203</v>
      </c>
      <c r="C110" t="str">
        <f t="shared" ca="1" si="29"/>
        <v>OCT23</v>
      </c>
      <c r="D110" s="71" cm="1">
        <f t="array" aca="1" ref="D110" ca="1">_xll.BDP(E$68&amp;" "&amp;$C110&amp;" 10DP VOL LME Comdty","PX_LAST")/100</f>
        <v>0.18009567260742188</v>
      </c>
      <c r="E110" s="61" cm="1">
        <f t="array" aca="1" ref="E110" ca="1">_xll.BDP(E$68&amp;" "&amp;$C110&amp;" 25DP VOL LME Comdty","PX_LAST")/100</f>
        <v>0.1686970329284668</v>
      </c>
      <c r="F110" s="48" cm="1">
        <f t="array" aca="1" ref="F110" ca="1">_xll.BDP(E$68&amp;" "&amp;$C110&amp;" 50D VOL LME Comdty","PX_LAST")/100</f>
        <v>0.15650053024291993</v>
      </c>
      <c r="G110" s="61" cm="1">
        <f t="array" aca="1" ref="G110" ca="1">_xll.BDP(E$68&amp;" "&amp;$C110&amp;" 25DC VOL LME Comdty","PX_LAST")/100</f>
        <v>0.15909824371337891</v>
      </c>
      <c r="H110" s="61" cm="1">
        <f t="array" aca="1" ref="H110" ca="1">_xll.BDP(E$68&amp;" "&amp;$C110&amp;" 10DC VOL LME Comdty","PX_LAST")/100</f>
        <v>0.16099872589111328</v>
      </c>
      <c r="I110" s="52">
        <f t="shared" ca="1" si="9"/>
        <v>0.16650053024291994</v>
      </c>
      <c r="J110" s="53">
        <f t="shared" ca="1" si="10"/>
        <v>-9.5987892150878884E-3</v>
      </c>
      <c r="K110" s="53">
        <f t="shared" ca="1" si="11"/>
        <v>-1.9096946716308599E-2</v>
      </c>
      <c r="L110" s="53">
        <f t="shared" ca="1" si="12"/>
        <v>7.397108078002923E-3</v>
      </c>
      <c r="M110" s="72">
        <f t="shared" ca="1" si="13"/>
        <v>1.4046669006347656E-2</v>
      </c>
      <c r="N110" s="53"/>
      <c r="O110" s="71" cm="1">
        <f t="array" aca="1" ref="O110" ca="1">_xll.BDP(P$68&amp;" "&amp;$C110&amp;" 10DP VOL LME Comdty","PX_LAST")/100</f>
        <v>0.24529388427734375</v>
      </c>
      <c r="P110" s="61" cm="1">
        <f t="array" aca="1" ref="P110" ca="1">_xll.BDP(P$68&amp;" "&amp;$C110&amp;" 25DP VOL LME Comdty","PX_LAST")/100</f>
        <v>0.22639648437500001</v>
      </c>
      <c r="Q110" s="48" cm="1">
        <f t="array" aca="1" ref="Q110" ca="1">_xll.BDP(P$68&amp;" "&amp;$C110&amp;" 50D VOL LME Comdty","PX_LAST")/100</f>
        <v>0.20460201263427735</v>
      </c>
      <c r="R110" s="61" cm="1">
        <f t="array" aca="1" ref="R110" ca="1">_xll.BDP(P$68&amp;" "&amp;$C110&amp;" 25DC VOL LME Comdty","PX_LAST")/100</f>
        <v>0.20250001907348633</v>
      </c>
      <c r="S110" s="61" cm="1">
        <f t="array" aca="1" ref="S110" ca="1">_xll.BDP(P$68&amp;" "&amp;$C110&amp;" 10DC VOL LME Comdty","PX_LAST")/100</f>
        <v>0.20179998397827148</v>
      </c>
      <c r="T110" s="52">
        <f t="shared" ca="1" si="14"/>
        <v>0.21460201263427736</v>
      </c>
      <c r="U110" s="53">
        <f t="shared" ca="1" si="15"/>
        <v>-2.3896465301513681E-2</v>
      </c>
      <c r="V110" s="53">
        <f t="shared" ca="1" si="16"/>
        <v>-4.3493900299072269E-2</v>
      </c>
      <c r="W110" s="53">
        <f t="shared" ca="1" si="17"/>
        <v>9.8462390899658192E-3</v>
      </c>
      <c r="X110" s="72">
        <f t="shared" ca="1" si="18"/>
        <v>1.8944921493530276E-2</v>
      </c>
      <c r="Y110" s="53"/>
      <c r="Z110" s="71"/>
      <c r="AA110" s="61"/>
      <c r="AB110" s="48"/>
      <c r="AC110" s="61"/>
      <c r="AD110" s="61"/>
      <c r="AE110" s="52"/>
      <c r="AF110" s="53"/>
      <c r="AG110" s="53"/>
      <c r="AH110" s="53"/>
      <c r="AI110" s="72"/>
      <c r="AJ110" s="53"/>
      <c r="AK110" s="71"/>
      <c r="AL110" s="61"/>
      <c r="AM110" s="48"/>
      <c r="AN110" s="61"/>
      <c r="AO110" s="61"/>
      <c r="AP110" s="52"/>
      <c r="AQ110" s="53"/>
      <c r="AR110" s="53"/>
      <c r="AS110" s="53"/>
      <c r="AT110" s="72"/>
    </row>
    <row r="111" spans="2:46" x14ac:dyDescent="0.25">
      <c r="B111" s="1" cm="1">
        <f t="array" aca="1" ref="B111" ca="1">_xll.QDates_SpecificWeekday(EDATE(B110,1),"Wednesday",1)</f>
        <v>45231</v>
      </c>
      <c r="C111" t="str">
        <f t="shared" ca="1" si="29"/>
        <v>NOV23</v>
      </c>
      <c r="D111" s="71" cm="1">
        <f t="array" aca="1" ref="D111" ca="1">_xll.BDP(E$68&amp;" "&amp;$C111&amp;" 10DP VOL LME Comdty","PX_LAST")/100</f>
        <v>0.17999568939208985</v>
      </c>
      <c r="E111" s="61" cm="1">
        <f t="array" aca="1" ref="E111" ca="1">_xll.BDP(E$68&amp;" "&amp;$C111&amp;" 25DP VOL LME Comdty","PX_LAST")/100</f>
        <v>0.16869707107543946</v>
      </c>
      <c r="F111" s="48" cm="1">
        <f t="array" aca="1" ref="F111" ca="1">_xll.BDP(E$68&amp;" "&amp;$C111&amp;" 50D VOL LME Comdty","PX_LAST")/100</f>
        <v>0.15650053024291993</v>
      </c>
      <c r="G111" s="61" cm="1">
        <f t="array" aca="1" ref="G111" ca="1">_xll.BDP(E$68&amp;" "&amp;$C111&amp;" 25DC VOL LME Comdty","PX_LAST")/100</f>
        <v>0.15909823417663574</v>
      </c>
      <c r="H111" s="61" cm="1">
        <f t="array" aca="1" ref="H111" ca="1">_xll.BDP(E$68&amp;" "&amp;$C111&amp;" 10DC VOL LME Comdty","PX_LAST")/100</f>
        <v>0.16099870681762696</v>
      </c>
      <c r="I111" s="52">
        <f t="shared" ca="1" si="9"/>
        <v>0.16650053024291994</v>
      </c>
      <c r="J111" s="53">
        <f t="shared" ca="1" si="10"/>
        <v>-9.5988368988037254E-3</v>
      </c>
      <c r="K111" s="53">
        <f t="shared" ca="1" si="11"/>
        <v>-1.899698257446289E-2</v>
      </c>
      <c r="L111" s="53">
        <f t="shared" ca="1" si="12"/>
        <v>7.3971223831176824E-3</v>
      </c>
      <c r="M111" s="72">
        <f t="shared" ca="1" si="13"/>
        <v>1.3996667861938483E-2</v>
      </c>
      <c r="N111" s="53"/>
      <c r="O111" s="71" cm="1">
        <f t="array" aca="1" ref="O111" ca="1">_xll.BDP(P$68&amp;" "&amp;$C111&amp;" 10DP VOL LME Comdty","PX_LAST")/100</f>
        <v>0.24519386291503906</v>
      </c>
      <c r="P111" s="61" cm="1">
        <f t="array" aca="1" ref="P111" ca="1">_xll.BDP(P$68&amp;" "&amp;$C111&amp;" 25DP VOL LME Comdty","PX_LAST")/100</f>
        <v>0.22639656066894531</v>
      </c>
      <c r="Q111" s="48" cm="1">
        <f t="array" aca="1" ref="Q111" ca="1">_xll.BDP(P$68&amp;" "&amp;$C111&amp;" 50D VOL LME Comdty","PX_LAST")/100</f>
        <v>0.20450202941894532</v>
      </c>
      <c r="R111" s="61" cm="1">
        <f t="array" aca="1" ref="R111" ca="1">_xll.BDP(P$68&amp;" "&amp;$C111&amp;" 25DC VOL LME Comdty","PX_LAST")/100</f>
        <v>0.20240007400512694</v>
      </c>
      <c r="S111" s="61" cm="1">
        <f t="array" aca="1" ref="S111" ca="1">_xll.BDP(P$68&amp;" "&amp;$C111&amp;" 10DC VOL LME Comdty","PX_LAST")/100</f>
        <v>0.20170001983642577</v>
      </c>
      <c r="T111" s="52">
        <f t="shared" ca="1" si="14"/>
        <v>0.21450202941894533</v>
      </c>
      <c r="U111" s="53">
        <f t="shared" ca="1" si="15"/>
        <v>-2.3996486663818373E-2</v>
      </c>
      <c r="V111" s="53">
        <f t="shared" ca="1" si="16"/>
        <v>-4.3493843078613287E-2</v>
      </c>
      <c r="W111" s="53">
        <f t="shared" ca="1" si="17"/>
        <v>9.8962879180908014E-3</v>
      </c>
      <c r="X111" s="72">
        <f t="shared" ca="1" si="18"/>
        <v>1.8944911956787075E-2</v>
      </c>
      <c r="Y111" s="53"/>
      <c r="Z111" s="71"/>
      <c r="AA111" s="61"/>
      <c r="AB111" s="48"/>
      <c r="AC111" s="61"/>
      <c r="AD111" s="61"/>
      <c r="AE111" s="52"/>
      <c r="AF111" s="53"/>
      <c r="AG111" s="53"/>
      <c r="AH111" s="53"/>
      <c r="AI111" s="72"/>
      <c r="AJ111" s="53"/>
      <c r="AK111" s="71"/>
      <c r="AL111" s="61"/>
      <c r="AM111" s="48"/>
      <c r="AN111" s="61"/>
      <c r="AO111" s="61"/>
      <c r="AP111" s="52"/>
      <c r="AQ111" s="53"/>
      <c r="AR111" s="53"/>
      <c r="AS111" s="53"/>
      <c r="AT111" s="72"/>
    </row>
    <row r="112" spans="2:46" ht="15.75" thickBot="1" x14ac:dyDescent="0.3">
      <c r="B112" s="1" cm="1">
        <f t="array" aca="1" ref="B112" ca="1">_xll.QDates_SpecificWeekday(EDATE(B111,1),"Wednesday",1)</f>
        <v>45266</v>
      </c>
      <c r="C112" t="str">
        <f t="shared" ca="1" si="29"/>
        <v>DEC23</v>
      </c>
      <c r="D112" s="73" cm="1">
        <f t="array" aca="1" ref="D112" ca="1">_xll.BDP(E$68&amp;" "&amp;$C112&amp;" 10DP VOL LME Comdty","PX_LAST")/100</f>
        <v>0.17989572525024414</v>
      </c>
      <c r="E112" s="74" cm="1">
        <f t="array" aca="1" ref="E112" ca="1">_xll.BDP(E$68&amp;" "&amp;$C112&amp;" 25DP VOL LME Comdty","PX_LAST")/100</f>
        <v>0.16859710693359375</v>
      </c>
      <c r="F112" s="75" cm="1">
        <f t="array" aca="1" ref="F112" ca="1">_xll.BDP(E$68&amp;" "&amp;$C112&amp;" 50D VOL LME Comdty","PX_LAST")/100</f>
        <v>0.15640055656433105</v>
      </c>
      <c r="G112" s="74" cm="1">
        <f t="array" aca="1" ref="G112" ca="1">_xll.BDP(E$68&amp;" "&amp;$C112&amp;" 25DC VOL LME Comdty","PX_LAST")/100</f>
        <v>0.15899822235107422</v>
      </c>
      <c r="H112" s="74" cm="1">
        <f t="array" aca="1" ref="H112" ca="1">_xll.BDP(E$68&amp;" "&amp;$C112&amp;" 10DC VOL LME Comdty","PX_LAST")/100</f>
        <v>0.16089870452880858</v>
      </c>
      <c r="I112" s="76">
        <f t="shared" ca="1" si="9"/>
        <v>0.16640055656433106</v>
      </c>
      <c r="J112" s="77">
        <f t="shared" ca="1" si="10"/>
        <v>-9.5988845825195346E-3</v>
      </c>
      <c r="K112" s="77">
        <f t="shared" ca="1" si="11"/>
        <v>-1.8997020721435554E-2</v>
      </c>
      <c r="L112" s="77">
        <f t="shared" ca="1" si="12"/>
        <v>7.397108078002923E-3</v>
      </c>
      <c r="M112" s="78">
        <f t="shared" ca="1" si="13"/>
        <v>1.399665832519531E-2</v>
      </c>
      <c r="N112" s="77"/>
      <c r="O112" s="73" cm="1">
        <f t="array" aca="1" ref="O112" ca="1">_xll.BDP(P$68&amp;" "&amp;$C112&amp;" 10DP VOL LME Comdty","PX_LAST")/100</f>
        <v>0.2451938819885254</v>
      </c>
      <c r="P112" s="74" cm="1">
        <f t="array" aca="1" ref="P112" ca="1">_xll.BDP(P$68&amp;" "&amp;$C112&amp;" 25DP VOL LME Comdty","PX_LAST")/100</f>
        <v>0.22639663696289061</v>
      </c>
      <c r="Q112" s="75" cm="1">
        <f t="array" aca="1" ref="Q112" ca="1">_xll.BDP(P$68&amp;" "&amp;$C112&amp;" 50D VOL LME Comdty","PX_LAST")/100</f>
        <v>0.20450204849243164</v>
      </c>
      <c r="R112" s="74" cm="1">
        <f t="array" aca="1" ref="R112" ca="1">_xll.BDP(P$68&amp;" "&amp;$C112&amp;" 25DC VOL LME Comdty","PX_LAST")/100</f>
        <v>0.202500057220459</v>
      </c>
      <c r="S112" s="74" cm="1">
        <f t="array" aca="1" ref="S112" ca="1">_xll.BDP(P$68&amp;" "&amp;$C112&amp;" 10DC VOL LME Comdty","PX_LAST")/100</f>
        <v>0.20180002212524414</v>
      </c>
      <c r="T112" s="76">
        <f t="shared" ca="1" si="14"/>
        <v>0.21450204849243165</v>
      </c>
      <c r="U112" s="77">
        <f t="shared" ca="1" si="15"/>
        <v>-2.3896579742431617E-2</v>
      </c>
      <c r="V112" s="77">
        <f t="shared" ca="1" si="16"/>
        <v>-4.3393859863281259E-2</v>
      </c>
      <c r="W112" s="77">
        <f t="shared" ca="1" si="17"/>
        <v>9.9462985992431752E-3</v>
      </c>
      <c r="X112" s="78">
        <f t="shared" ca="1" si="18"/>
        <v>1.8994903564453131E-2</v>
      </c>
      <c r="Y112" s="77"/>
      <c r="Z112" s="73"/>
      <c r="AA112" s="74"/>
      <c r="AB112" s="75"/>
      <c r="AC112" s="74"/>
      <c r="AD112" s="74"/>
      <c r="AE112" s="76"/>
      <c r="AF112" s="77"/>
      <c r="AG112" s="77"/>
      <c r="AH112" s="77"/>
      <c r="AI112" s="78"/>
      <c r="AJ112" s="77"/>
      <c r="AK112" s="73"/>
      <c r="AL112" s="74"/>
      <c r="AM112" s="75"/>
      <c r="AN112" s="74"/>
      <c r="AO112" s="74"/>
      <c r="AP112" s="76"/>
      <c r="AQ112" s="77"/>
      <c r="AR112" s="77"/>
      <c r="AS112" s="77"/>
      <c r="AT112" s="78"/>
    </row>
    <row r="113" spans="1:3" x14ac:dyDescent="0.25">
      <c r="B113" s="1"/>
    </row>
    <row r="114" spans="1:3" x14ac:dyDescent="0.25">
      <c r="A114" s="3" t="s">
        <v>122</v>
      </c>
      <c r="B114" s="1"/>
    </row>
    <row r="115" spans="1:3" x14ac:dyDescent="0.25">
      <c r="B115" s="12" t="s">
        <v>123</v>
      </c>
      <c r="C115" s="80">
        <f ca="1">C116-365</f>
        <v>43598</v>
      </c>
    </row>
    <row r="116" spans="1:3" x14ac:dyDescent="0.25">
      <c r="B116" s="12" t="s">
        <v>124</v>
      </c>
      <c r="C116" s="80">
        <f ca="1">valDate</f>
        <v>43963</v>
      </c>
    </row>
    <row r="117" spans="1:3" x14ac:dyDescent="0.25">
      <c r="B117" s="8" t="s">
        <v>105</v>
      </c>
      <c r="C117" t="str" cm="1">
        <f t="array" aca="1" ref="C117" ca="1">_xll.QCurves_CreateFixingDictionary("Fixings."&amp;B117,B117,_xll.BDH("LO"&amp;B117&amp;"DY Comdty","PX_SETTLE",$C$115,$C$116,"Array=true"))</f>
        <v>Fixings.AH¬0</v>
      </c>
    </row>
    <row r="118" spans="1:3" x14ac:dyDescent="0.25">
      <c r="B118" s="8" t="s">
        <v>109</v>
      </c>
      <c r="C118" t="str" cm="1">
        <f t="array" aca="1" ref="C118" ca="1">_xll.QCurves_CreateFixingDictionary("Fixings."&amp;B118,B118,_xll.BDH("LO"&amp;B118&amp;"DY Comdty","PX_SETTLE",$C$115,$C$116,"Array=true"))</f>
        <v>Fixings.CA¬0</v>
      </c>
    </row>
    <row r="119" spans="1:3" x14ac:dyDescent="0.25">
      <c r="B119" s="8" t="s">
        <v>110</v>
      </c>
      <c r="C119" t="str" cm="1">
        <f t="array" aca="1" ref="C119" ca="1">_xll.QCurves_CreateFixingDictionary("Fixings."&amp;B119,B119,_xll.BDH("LO"&amp;B119&amp;"DY Comdty","PX_SETTLE",$C$115,$C$116,"Array=true"))</f>
        <v>Fixings.ZS¬0</v>
      </c>
    </row>
    <row r="120" spans="1:3" x14ac:dyDescent="0.25">
      <c r="B120" s="8" t="s">
        <v>111</v>
      </c>
      <c r="C120" t="str" cm="1">
        <f t="array" aca="1" ref="C120" ca="1">_xll.QCurves_CreateFixingDictionary("Fixings."&amp;B120,B120,_xll.BDH("LO"&amp;B120&amp;"DY Comdty","PX_SETTLE",$C$115,$C$116,"Array=true"))</f>
        <v>Fixings.NI¬0</v>
      </c>
    </row>
    <row r="121" spans="1:3" x14ac:dyDescent="0.25">
      <c r="B121" s="8" t="s">
        <v>112</v>
      </c>
      <c r="C121" t="str" cm="1">
        <f t="array" aca="1" ref="C121" ca="1">_xll.QCurves_CreateFixingDictionary("Fixings."&amp;B121,B121,_xll.BDH("LO"&amp;B121&amp;"DY Comdty","PX_SETTLE",$C$115,$C$116,"Array=true"))</f>
        <v>Fixings.PB¬0</v>
      </c>
    </row>
    <row r="122" spans="1:3" x14ac:dyDescent="0.25">
      <c r="B122" s="8" t="s">
        <v>113</v>
      </c>
      <c r="C122" t="str" cm="1">
        <f t="array" aca="1" ref="C122" ca="1">_xll.QCurves_CreateFixingDictionary("Fixings."&amp;B122,B122,_xll.BDH("LO"&amp;B122&amp;"DY Comdty","PX_SETTLE",$C$115,$C$116,"Array=true"))</f>
        <v>Fixings.SN¬0</v>
      </c>
    </row>
  </sheetData>
  <mergeCells count="14">
    <mergeCell ref="AQ68:AR68"/>
    <mergeCell ref="AS68:AT68"/>
    <mergeCell ref="J68:K68"/>
    <mergeCell ref="L68:M68"/>
    <mergeCell ref="U68:V68"/>
    <mergeCell ref="W68:X68"/>
    <mergeCell ref="AF68:AG68"/>
    <mergeCell ref="AH68:AI68"/>
    <mergeCell ref="Y14:AA14"/>
    <mergeCell ref="E14:G14"/>
    <mergeCell ref="I14:K14"/>
    <mergeCell ref="M14:O14"/>
    <mergeCell ref="Q14:S14"/>
    <mergeCell ref="U14:W1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5D94-5C1B-40CC-9C11-20679389605C}">
  <sheetPr>
    <tabColor theme="4"/>
  </sheetPr>
  <dimension ref="A1:AJ364"/>
  <sheetViews>
    <sheetView workbookViewId="0">
      <selection activeCell="J21" sqref="J21"/>
    </sheetView>
  </sheetViews>
  <sheetFormatPr defaultRowHeight="15" x14ac:dyDescent="0.25"/>
  <cols>
    <col min="1" max="1" width="11.85546875" bestFit="1" customWidth="1"/>
    <col min="2" max="2" width="10.42578125" bestFit="1" customWidth="1"/>
    <col min="3" max="3" width="12.28515625" bestFit="1" customWidth="1"/>
    <col min="4" max="4" width="10.140625" bestFit="1" customWidth="1"/>
    <col min="5" max="5" width="10.7109375" bestFit="1" customWidth="1"/>
    <col min="6" max="6" width="11" bestFit="1" customWidth="1"/>
    <col min="7" max="7" width="14.85546875" customWidth="1"/>
    <col min="8" max="8" width="10.5703125" bestFit="1" customWidth="1"/>
    <col min="9" max="9" width="10.140625" customWidth="1"/>
    <col min="10" max="10" width="11.28515625" bestFit="1" customWidth="1"/>
    <col min="11" max="11" width="10.85546875" bestFit="1" customWidth="1"/>
    <col min="12" max="13" width="10.140625" bestFit="1" customWidth="1"/>
    <col min="14" max="14" width="13.42578125" bestFit="1" customWidth="1"/>
    <col min="15" max="15" width="14" bestFit="1" customWidth="1"/>
    <col min="16" max="16" width="10.5703125" bestFit="1" customWidth="1"/>
    <col min="19" max="19" width="11.42578125" bestFit="1" customWidth="1"/>
    <col min="20" max="21" width="10.140625" bestFit="1" customWidth="1"/>
    <col min="23" max="23" width="15" bestFit="1" customWidth="1"/>
    <col min="24" max="24" width="10.5703125" bestFit="1" customWidth="1"/>
    <col min="30" max="30" width="10.140625" bestFit="1" customWidth="1"/>
  </cols>
  <sheetData>
    <row r="1" spans="1:36" x14ac:dyDescent="0.25">
      <c r="A1" s="3" t="s">
        <v>20</v>
      </c>
      <c r="C1" s="2" t="s">
        <v>132</v>
      </c>
      <c r="D1" s="34" t="s">
        <v>133</v>
      </c>
    </row>
    <row r="3" spans="1:36" x14ac:dyDescent="0.25">
      <c r="D3" s="24" t="s">
        <v>139</v>
      </c>
      <c r="E3" s="24" t="s">
        <v>141</v>
      </c>
      <c r="F3" s="24" t="s">
        <v>142</v>
      </c>
      <c r="G3" s="24" t="s">
        <v>140</v>
      </c>
    </row>
    <row r="4" spans="1:36" x14ac:dyDescent="0.25">
      <c r="C4" s="8" t="s">
        <v>130</v>
      </c>
      <c r="D4">
        <f ca="1">OFFSET($A$11,0,MATCH(C4,$10:$10,0)+2)</f>
        <v>29.914999999999999</v>
      </c>
      <c r="E4" s="34">
        <v>0.25</v>
      </c>
      <c r="F4" s="6">
        <v>0.2</v>
      </c>
      <c r="G4" s="82">
        <v>1</v>
      </c>
    </row>
    <row r="5" spans="1:36" x14ac:dyDescent="0.25">
      <c r="C5" s="8" t="s">
        <v>136</v>
      </c>
      <c r="D5">
        <f ca="1">OFFSET($A$11,0,MATCH(C5,$10:$10,0)+2)</f>
        <v>256.625</v>
      </c>
      <c r="E5" s="34">
        <v>2</v>
      </c>
      <c r="F5" s="6"/>
      <c r="G5" s="82">
        <v>1</v>
      </c>
    </row>
    <row r="6" spans="1:36" x14ac:dyDescent="0.25">
      <c r="C6" s="8" t="s">
        <v>137</v>
      </c>
      <c r="D6">
        <f ca="1">OFFSET($A$11,0,MATCH(C6,$10:$10,0)+2)</f>
        <v>92.855000000000004</v>
      </c>
      <c r="E6" s="34">
        <v>-3</v>
      </c>
      <c r="F6" s="6"/>
      <c r="G6" s="82">
        <v>100</v>
      </c>
      <c r="K6" s="21"/>
    </row>
    <row r="7" spans="1:36" x14ac:dyDescent="0.25">
      <c r="C7" s="8" t="s">
        <v>138</v>
      </c>
      <c r="D7">
        <f ca="1">OFFSET($A$11,0,MATCH(C7,$10:$10,0)+2)</f>
        <v>24.754999999999999</v>
      </c>
      <c r="E7" s="34">
        <v>-0.25</v>
      </c>
      <c r="F7" s="6"/>
      <c r="G7" s="82">
        <v>1</v>
      </c>
    </row>
    <row r="8" spans="1:36" x14ac:dyDescent="0.25">
      <c r="C8" s="8"/>
      <c r="E8" s="34"/>
      <c r="F8" s="6"/>
      <c r="G8" s="82"/>
    </row>
    <row r="9" spans="1:36" x14ac:dyDescent="0.25">
      <c r="A9" s="83" t="s">
        <v>143</v>
      </c>
    </row>
    <row r="10" spans="1:36" x14ac:dyDescent="0.25">
      <c r="B10" s="20" t="s">
        <v>130</v>
      </c>
      <c r="C10" s="24" t="s">
        <v>131</v>
      </c>
      <c r="D10" s="24" t="s">
        <v>106</v>
      </c>
      <c r="E10" s="24" t="s">
        <v>107</v>
      </c>
      <c r="F10" s="24" t="s">
        <v>134</v>
      </c>
      <c r="G10" s="24" t="s">
        <v>135</v>
      </c>
      <c r="H10" s="24" t="s">
        <v>17</v>
      </c>
      <c r="I10" s="24" t="str" cm="1">
        <f t="array" aca="1" ref="I10" ca="1">_xll.QCurves_CreatePriceCurve("fwd_"&amp;B10,B10,valDate,C11:C67,I11:I67,"ICE",B11:B67,"USD",,"0b","ICE")</f>
        <v>fwd_CO¬0</v>
      </c>
      <c r="K10" s="20" t="s">
        <v>136</v>
      </c>
      <c r="L10" s="24" t="s">
        <v>131</v>
      </c>
      <c r="M10" s="24" t="s">
        <v>106</v>
      </c>
      <c r="N10" s="24" t="s">
        <v>107</v>
      </c>
      <c r="O10" s="24" t="s">
        <v>134</v>
      </c>
      <c r="P10" s="24" t="s">
        <v>135</v>
      </c>
      <c r="Q10" s="24" t="s">
        <v>17</v>
      </c>
      <c r="R10" s="24" t="str" cm="1">
        <f t="array" aca="1" ref="R10" ca="1">_xll.QCurves_CreatePriceCurve("fwd_"&amp;K10,K10,valDate,L11:L67,R11:R67,"ICE",K11:K67,"USD","LIBOR.3M","0b","ICE")</f>
        <v>fwd_QS¬0</v>
      </c>
      <c r="T10" s="20" t="s">
        <v>137</v>
      </c>
      <c r="U10" s="24" t="s">
        <v>131</v>
      </c>
      <c r="V10" s="24" t="s">
        <v>106</v>
      </c>
      <c r="W10" s="24" t="s">
        <v>107</v>
      </c>
      <c r="X10" s="24" t="s">
        <v>134</v>
      </c>
      <c r="Y10" s="24" t="s">
        <v>135</v>
      </c>
      <c r="Z10" s="24" t="s">
        <v>17</v>
      </c>
      <c r="AA10" s="24" t="str" cm="1">
        <f t="array" aca="1" ref="AA10" ca="1">_xll.QCurves_CreatePriceCurve("fwd_"&amp;T10,T10,valDate,U11:U54,AA11:AA54,"ICE",T11:T54,"USD",,"0b","ICE")</f>
        <v>fwd_XB¬0</v>
      </c>
      <c r="AC10" s="20" t="s">
        <v>138</v>
      </c>
      <c r="AD10" s="24" t="s">
        <v>131</v>
      </c>
      <c r="AE10" s="24" t="s">
        <v>106</v>
      </c>
      <c r="AF10" s="24" t="s">
        <v>107</v>
      </c>
      <c r="AG10" s="24" t="s">
        <v>134</v>
      </c>
      <c r="AH10" s="24" t="s">
        <v>135</v>
      </c>
      <c r="AI10" s="24" t="s">
        <v>17</v>
      </c>
      <c r="AJ10" s="24" t="str" cm="1">
        <f t="array" aca="1" ref="AJ10" ca="1">_xll.QCurves_CreatePriceCurve("fwd_"&amp;AC10,AC10,valDate,AD11:AD67,AJ11:AJ67,"ICE",AC11:AC67,"USD",,"0b","ICE")</f>
        <v>fwd_CL¬0</v>
      </c>
    </row>
    <row r="11" spans="1:36" x14ac:dyDescent="0.25">
      <c r="B11" s="8" t="str" cm="1">
        <f t="array" aca="1" ref="B11" ca="1">_xll.QDates_FuturesGetFrontMonth(valDate,B10)</f>
        <v>CON0</v>
      </c>
      <c r="C11" s="1" cm="1">
        <f t="array" aca="1" ref="C11" ca="1">_xll.QDates_FuturesExpiryFromCode(B11)</f>
        <v>43980</v>
      </c>
      <c r="D11" cm="1">
        <f t="array" aca="1" ref="D11" ca="1">_xll.BDP(B11&amp;" Comdty","PX_SETTLE")</f>
        <v>29.63</v>
      </c>
      <c r="E11" cm="1">
        <f t="array" aca="1" ref="E11" ca="1">_xll.BDP(B11&amp;" Comdty",BidMidASK)</f>
        <v>29.914999999999999</v>
      </c>
      <c r="F11" s="81">
        <f ca="1">$D$11-D11</f>
        <v>0</v>
      </c>
      <c r="G11" s="81">
        <f ca="1">IF(ISNUMBER(E11),$E$11-E11,"")</f>
        <v>0</v>
      </c>
      <c r="H11" s="81">
        <f t="array" aca="1" ref="H11:H67" ca="1">_xll.QCurves_BendCurve($F$11:$F$67,$G$11:$G$67)</f>
        <v>0</v>
      </c>
      <c r="I11" s="13" cm="1">
        <f t="array" aca="1" ref="I11" ca="1">(E$11-H11+VLOOKUP(B$10,$C$4:$E$7,3,FALSE)+VLOOKUP(B$10,$C$4:$F$7,4,FALSE)*_xll.QDates_YearFraction(valDate,C11,"ACT365F"))/VLOOKUP(B$10,$C$4:$G$7,5,FALSE)</f>
        <v>30.174315068493151</v>
      </c>
      <c r="K11" s="8" t="str" cm="1">
        <f t="array" aca="1" ref="K11" ca="1">_xll.QDates_FuturesGetFrontMonth(valDate,K10)</f>
        <v>QSM0</v>
      </c>
      <c r="L11" s="1" cm="1">
        <f t="array" aca="1" ref="L11" ca="1">_xll.QDates_FuturesExpiryFromCode(K11)</f>
        <v>43993</v>
      </c>
      <c r="M11" cm="1">
        <f t="array" aca="1" ref="M11" ca="1">_xll.BDP(K11&amp;" Comdty","PX_SETTLE")</f>
        <v>258</v>
      </c>
      <c r="N11" cm="1">
        <f t="array" aca="1" ref="N11" ca="1">_xll.BDP(K11&amp;" Comdty",BidMidASK)</f>
        <v>256.625</v>
      </c>
      <c r="O11" s="81">
        <f ca="1">M$11-M11</f>
        <v>0</v>
      </c>
      <c r="P11" s="81">
        <f ca="1">IF(ISNUMBER(N11),N$11-N11,"")</f>
        <v>0</v>
      </c>
      <c r="Q11" s="81">
        <f t="array" aca="1" ref="Q11:Q67" ca="1">_xll.QCurves_BendCurve(O11:O67,P11:P67)</f>
        <v>0</v>
      </c>
      <c r="R11" s="13" cm="1">
        <f t="array" aca="1" ref="R11" ca="1">(N$11-Q11+VLOOKUP(K$10,$C$4:$E$7,3,FALSE)+VLOOKUP(K$10,$C$4:$F$7,4,FALSE)*_xll.QDates_YearFraction(valDate,L11,"ACT365F"))/VLOOKUP(K$10,$C$4:$G$7,5,FALSE)</f>
        <v>258.625</v>
      </c>
      <c r="T11" s="8" t="str" cm="1">
        <f t="array" aca="1" ref="T11" ca="1">_xll.QDates_FuturesGetFrontMonth(valDate,T10)</f>
        <v>XBM0</v>
      </c>
      <c r="U11" s="1" cm="1">
        <f t="array" aca="1" ref="U11" ca="1">_xll.QDates_FuturesExpiryFromCode(T11)</f>
        <v>43980</v>
      </c>
      <c r="V11" cm="1">
        <f t="array" aca="1" ref="V11" ca="1">_xll.BDP(T11&amp;" Comdty","PX_SETTLE")</f>
        <v>92.42</v>
      </c>
      <c r="W11" cm="1">
        <f t="array" aca="1" ref="W11" ca="1">_xll.BDP(T11&amp;" Comdty",BidMidASK)</f>
        <v>92.855000000000004</v>
      </c>
      <c r="X11" s="81">
        <f t="shared" ref="X11:X54" ca="1" si="0">V$11-V11</f>
        <v>0</v>
      </c>
      <c r="Y11" s="81">
        <f ca="1">IF(ISNUMBER(W11),W$11-W11,"")</f>
        <v>0</v>
      </c>
      <c r="Z11" s="81">
        <f t="array" aca="1" ref="Z11:Z54" ca="1">_xll.QCurves_BendCurve(X11:X54,Y11:Y54)</f>
        <v>0</v>
      </c>
      <c r="AA11" s="13" cm="1">
        <f t="array" aca="1" ref="AA11" ca="1">(W$11-Z11+VLOOKUP(T$10,$C$4:$E$7,3,FALSE)+VLOOKUP(T$10,$C$4:$F$7,4,FALSE)*_xll.QDates_YearFraction(valDate,U11,"ACT365F"))/VLOOKUP(T$10,$C$4:$G$7,5,FALSE)</f>
        <v>0.89855000000000007</v>
      </c>
      <c r="AC11" s="8" t="str" cm="1">
        <f t="array" aca="1" ref="AC11" ca="1">_xll.QDates_FuturesGetFrontMonth(valDate,AC10)</f>
        <v>CLM0</v>
      </c>
      <c r="AD11" s="1" cm="1">
        <f t="array" aca="1" ref="AD11" ca="1">_xll.QDates_FuturesExpiryFromCode(AC11)</f>
        <v>43970</v>
      </c>
      <c r="AE11" cm="1">
        <f t="array" aca="1" ref="AE11" ca="1">_xll.BDP(AC11&amp;" Comdty","PX_SETTLE")</f>
        <v>24.14</v>
      </c>
      <c r="AF11" cm="1">
        <f t="array" aca="1" ref="AF11" ca="1">_xll.BDP(AC11&amp;" Comdty",BidMidASK)</f>
        <v>24.754999999999999</v>
      </c>
      <c r="AG11" s="81">
        <f ca="1">AE$11-AE11</f>
        <v>0</v>
      </c>
      <c r="AH11" s="81">
        <f ca="1">IF(ISNUMBER(AF11),AF$11-AF11,"")</f>
        <v>0</v>
      </c>
      <c r="AI11" s="81">
        <f t="array" aca="1" ref="AI11:AI67" ca="1">_xll.QCurves_BendCurve(AG11:AG67,AH11:AH67)</f>
        <v>0</v>
      </c>
      <c r="AJ11" s="13" cm="1">
        <f t="array" aca="1" ref="AJ11" ca="1">(AF$11-AI11+VLOOKUP(AC$10,$C$4:$E$7,3,FALSE)+VLOOKUP(AC$10,$C$4:$F$7,4,FALSE)*_xll.QDates_YearFraction(valDate,AD11,"ACT365F"))/VLOOKUP(AC$10,$C$4:$G$7,5,FALSE)</f>
        <v>24.504999999999999</v>
      </c>
    </row>
    <row r="12" spans="1:36" x14ac:dyDescent="0.25">
      <c r="B12" s="8" t="str" cm="1">
        <f t="array" aca="1" ref="B12" ca="1">_xll.QDates_FuturesNextCode(B11)</f>
        <v>COQ0</v>
      </c>
      <c r="C12" s="1" cm="1">
        <f t="array" aca="1" ref="C12" ca="1">_xll.QDates_FuturesExpiryFromCode(B12)</f>
        <v>44012</v>
      </c>
      <c r="D12" cm="1">
        <f t="array" aca="1" ref="D12" ca="1">_xll.BDP(B12&amp;" Comdty","PX_SETTLE")</f>
        <v>30.650000000000002</v>
      </c>
      <c r="E12" cm="1">
        <f t="array" aca="1" ref="E12" ca="1">_xll.BDP(B12&amp;" Comdty",BidMidASK)</f>
        <v>30.79</v>
      </c>
      <c r="F12" s="81">
        <f t="shared" ref="F12:F67" ca="1" si="1">$D$11-D12</f>
        <v>-1.0200000000000031</v>
      </c>
      <c r="G12" s="81">
        <f t="shared" ref="G12:G67" ca="1" si="2">IF(ISNUMBER(E12),$E$11-E12,"")</f>
        <v>-0.875</v>
      </c>
      <c r="H12" s="81">
        <f ca="1"/>
        <v>-0.875</v>
      </c>
      <c r="I12" s="13" cm="1">
        <f t="array" aca="1" ref="I12" ca="1">(E$11-H12+VLOOKUP(B$10,$C$4:$E$7,3,FALSE)+VLOOKUP(B$10,$C$4:$F$7,4,FALSE)*_xll.QDates_YearFraction(valDate,C12,"ACT365F"))/VLOOKUP(B$10,$C$4:$G$7,5,FALSE)</f>
        <v>31.066849315068492</v>
      </c>
      <c r="K12" s="8" t="str" cm="1">
        <f t="array" aca="1" ref="K12" ca="1">_xll.QDates_FuturesNextCode(K11)</f>
        <v>QSN0</v>
      </c>
      <c r="L12" s="1" cm="1">
        <f t="array" aca="1" ref="L12" ca="1">_xll.QDates_FuturesExpiryFromCode(K12)</f>
        <v>44022</v>
      </c>
      <c r="M12" cm="1">
        <f t="array" aca="1" ref="M12" ca="1">_xll.BDP(K12&amp;" Comdty","PX_SETTLE")</f>
        <v>271.75</v>
      </c>
      <c r="N12" cm="1">
        <f t="array" aca="1" ref="N12" ca="1">_xll.BDP(K12&amp;" Comdty",BidMidASK)</f>
        <v>270.375</v>
      </c>
      <c r="O12" s="81">
        <f t="shared" ref="O12:O67" ca="1" si="3">M$11-M12</f>
        <v>-13.75</v>
      </c>
      <c r="P12" s="81">
        <f t="shared" ref="P12:P67" ca="1" si="4">IF(ISNUMBER(N12),N$11-N12,"")</f>
        <v>-13.75</v>
      </c>
      <c r="Q12" s="81">
        <f ca="1"/>
        <v>-13.75</v>
      </c>
      <c r="R12" s="13" cm="1">
        <f t="array" aca="1" ref="R12" ca="1">(N$11-Q12+VLOOKUP(K$10,$C$4:$E$7,3,FALSE)+VLOOKUP(K$10,$C$4:$F$7,4,FALSE)*_xll.QDates_YearFraction(valDate,L12,"ACT365F"))/VLOOKUP(K$10,$C$4:$G$7,5,FALSE)</f>
        <v>272.375</v>
      </c>
      <c r="T12" s="8" t="str" cm="1">
        <f t="array" aca="1" ref="T12" ca="1">_xll.QDates_FuturesNextCode(T11)</f>
        <v>XBN0</v>
      </c>
      <c r="U12" s="1" cm="1">
        <f t="array" aca="1" ref="U12" ca="1">_xll.QDates_FuturesExpiryFromCode(T12)</f>
        <v>44012</v>
      </c>
      <c r="V12" cm="1">
        <f t="array" aca="1" ref="V12" ca="1">_xll.BDP(T12&amp;" Comdty","PX_SETTLE")</f>
        <v>93.89</v>
      </c>
      <c r="W12" cm="1">
        <f t="array" aca="1" ref="W12" ca="1">_xll.BDP(T12&amp;" Comdty",BidMidASK)</f>
        <v>94.064999999999998</v>
      </c>
      <c r="X12" s="81">
        <f t="shared" ca="1" si="0"/>
        <v>-1.4699999999999989</v>
      </c>
      <c r="Y12" s="81">
        <f t="shared" ref="Y12:Y67" ca="1" si="5">IF(ISNUMBER(W12),W$11-W12,"")</f>
        <v>-1.2099999999999937</v>
      </c>
      <c r="Z12" s="81">
        <f ca="1"/>
        <v>-1.2099999999999937</v>
      </c>
      <c r="AA12" s="13" cm="1">
        <f t="array" aca="1" ref="AA12" ca="1">(W$11-Z12+VLOOKUP(T$10,$C$4:$E$7,3,FALSE)+VLOOKUP(T$10,$C$4:$F$7,4,FALSE)*_xll.QDates_YearFraction(valDate,U12,"ACT365F"))/VLOOKUP(T$10,$C$4:$G$7,5,FALSE)</f>
        <v>0.91064999999999996</v>
      </c>
      <c r="AC12" s="8" t="str" cm="1">
        <f t="array" aca="1" ref="AC12" ca="1">_xll.QDates_FuturesNextCode(AC11)</f>
        <v>CLN0</v>
      </c>
      <c r="AD12" s="1" cm="1">
        <f t="array" aca="1" ref="AD12" ca="1">_xll.QDates_FuturesExpiryFromCode(AC12)</f>
        <v>44004</v>
      </c>
      <c r="AE12" cm="1">
        <f t="array" aca="1" ref="AE12" ca="1">_xll.BDP(AC12&amp;" Comdty","PX_SETTLE")</f>
        <v>25.080000000000002</v>
      </c>
      <c r="AF12" cm="1">
        <f t="array" aca="1" ref="AF12" ca="1">_xll.BDP(AC12&amp;" Comdty",BidMidASK)</f>
        <v>25.650000000000002</v>
      </c>
      <c r="AG12" s="81">
        <f t="shared" ref="AG12:AG67" ca="1" si="6">AE$11-AE12</f>
        <v>-0.94000000000000128</v>
      </c>
      <c r="AH12" s="81">
        <f t="shared" ref="AH12:AH67" ca="1" si="7">IF(ISNUMBER(AF12),AF$11-AF12,"")</f>
        <v>-0.89500000000000313</v>
      </c>
      <c r="AI12" s="81">
        <f ca="1"/>
        <v>-0.89500000000000313</v>
      </c>
      <c r="AJ12" s="13" cm="1">
        <f t="array" aca="1" ref="AJ12" ca="1">(AF$11-AI12+VLOOKUP(AC$10,$C$4:$E$7,3,FALSE)+VLOOKUP(AC$10,$C$4:$F$7,4,FALSE)*_xll.QDates_YearFraction(valDate,AD12,"ACT365F"))/VLOOKUP(AC$10,$C$4:$G$7,5,FALSE)</f>
        <v>25.400000000000002</v>
      </c>
    </row>
    <row r="13" spans="1:36" x14ac:dyDescent="0.25">
      <c r="B13" s="8" t="str" cm="1">
        <f t="array" aca="1" ref="B13" ca="1">_xll.QDates_FuturesNextCode(B12)</f>
        <v>COU0</v>
      </c>
      <c r="C13" s="1" cm="1">
        <f t="array" aca="1" ref="C13" ca="1">_xll.QDates_FuturesExpiryFromCode(B13)</f>
        <v>44043</v>
      </c>
      <c r="D13" cm="1">
        <f t="array" aca="1" ref="D13" ca="1">_xll.BDP(B13&amp;" Comdty","PX_SETTLE")</f>
        <v>31.57</v>
      </c>
      <c r="E13" cm="1">
        <f t="array" aca="1" ref="E13" ca="1">_xll.BDP(B13&amp;" Comdty",BidMidASK)</f>
        <v>31.650000000000002</v>
      </c>
      <c r="F13" s="81">
        <f t="shared" ca="1" si="1"/>
        <v>-1.9400000000000013</v>
      </c>
      <c r="G13" s="81">
        <f t="shared" ca="1" si="2"/>
        <v>-1.735000000000003</v>
      </c>
      <c r="H13" s="81">
        <f ca="1"/>
        <v>-1.735000000000003</v>
      </c>
      <c r="I13" s="13" cm="1">
        <f t="array" aca="1" ref="I13" ca="1">(E$11-H13+VLOOKUP(B$10,$C$4:$E$7,3,FALSE)+VLOOKUP(B$10,$C$4:$F$7,4,FALSE)*_xll.QDates_YearFraction(valDate,C13,"ACT365F"))/VLOOKUP(B$10,$C$4:$G$7,5,FALSE)</f>
        <v>31.94383561643836</v>
      </c>
      <c r="K13" s="8" t="str" cm="1">
        <f t="array" aca="1" ref="K13" ca="1">_xll.QDates_FuturesNextCode(K12)</f>
        <v>QSQ0</v>
      </c>
      <c r="L13" s="1" cm="1">
        <f t="array" aca="1" ref="L13" ca="1">_xll.QDates_FuturesExpiryFromCode(K13)</f>
        <v>44055</v>
      </c>
      <c r="M13" cm="1">
        <f t="array" aca="1" ref="M13" ca="1">_xll.BDP(K13&amp;" Comdty","PX_SETTLE")</f>
        <v>279.75</v>
      </c>
      <c r="N13" cm="1">
        <f t="array" aca="1" ref="N13" ca="1">_xll.BDP(K13&amp;" Comdty",BidMidASK)</f>
        <v>279.125</v>
      </c>
      <c r="O13" s="81">
        <f t="shared" ca="1" si="3"/>
        <v>-21.75</v>
      </c>
      <c r="P13" s="81">
        <f t="shared" ca="1" si="4"/>
        <v>-22.5</v>
      </c>
      <c r="Q13" s="81">
        <f ca="1"/>
        <v>-22.5</v>
      </c>
      <c r="R13" s="13" cm="1">
        <f t="array" aca="1" ref="R13" ca="1">(N$11-Q13+VLOOKUP(K$10,$C$4:$E$7,3,FALSE)+VLOOKUP(K$10,$C$4:$F$7,4,FALSE)*_xll.QDates_YearFraction(valDate,L13,"ACT365F"))/VLOOKUP(K$10,$C$4:$G$7,5,FALSE)</f>
        <v>281.125</v>
      </c>
      <c r="T13" s="8" t="str" cm="1">
        <f t="array" aca="1" ref="T13" ca="1">_xll.QDates_FuturesNextCode(T12)</f>
        <v>XBQ0</v>
      </c>
      <c r="U13" s="1" cm="1">
        <f t="array" aca="1" ref="U13" ca="1">_xll.QDates_FuturesExpiryFromCode(T13)</f>
        <v>44043</v>
      </c>
      <c r="V13" cm="1">
        <f t="array" aca="1" ref="V13" ca="1">_xll.BDP(T13&amp;" Comdty","PX_SETTLE")</f>
        <v>94.52</v>
      </c>
      <c r="W13" cm="1">
        <f t="array" aca="1" ref="W13" ca="1">_xll.BDP(T13&amp;" Comdty",BidMidASK)</f>
        <v>94.695000000000007</v>
      </c>
      <c r="X13" s="81">
        <f t="shared" ca="1" si="0"/>
        <v>-2.0999999999999943</v>
      </c>
      <c r="Y13" s="81">
        <f t="shared" ca="1" si="5"/>
        <v>-1.8400000000000034</v>
      </c>
      <c r="Z13" s="81">
        <f ca="1"/>
        <v>-1.8400000000000034</v>
      </c>
      <c r="AA13" s="13" cm="1">
        <f t="array" aca="1" ref="AA13" ca="1">(W$11-Z13+VLOOKUP(T$10,$C$4:$E$7,3,FALSE)+VLOOKUP(T$10,$C$4:$F$7,4,FALSE)*_xll.QDates_YearFraction(valDate,U13,"ACT365F"))/VLOOKUP(T$10,$C$4:$G$7,5,FALSE)</f>
        <v>0.91695000000000004</v>
      </c>
      <c r="AC13" s="8" t="str" cm="1">
        <f t="array" aca="1" ref="AC13" ca="1">_xll.QDates_FuturesNextCode(AC12)</f>
        <v>CLQ0</v>
      </c>
      <c r="AD13" s="1" cm="1">
        <f t="array" aca="1" ref="AD13" ca="1">_xll.QDates_FuturesExpiryFromCode(AC13)</f>
        <v>44033</v>
      </c>
      <c r="AE13" cm="1">
        <f t="array" aca="1" ref="AE13" ca="1">_xll.BDP(AC13&amp;" Comdty","PX_SETTLE")</f>
        <v>26.76</v>
      </c>
      <c r="AF13" cm="1">
        <f t="array" aca="1" ref="AF13" ca="1">_xll.BDP(AC13&amp;" Comdty",BidMidASK)</f>
        <v>27.05</v>
      </c>
      <c r="AG13" s="81">
        <f t="shared" ca="1" si="6"/>
        <v>-2.620000000000001</v>
      </c>
      <c r="AH13" s="81">
        <f t="shared" ca="1" si="7"/>
        <v>-2.2950000000000017</v>
      </c>
      <c r="AI13" s="81">
        <f ca="1"/>
        <v>-2.2950000000000017</v>
      </c>
      <c r="AJ13" s="13" cm="1">
        <f t="array" aca="1" ref="AJ13" ca="1">(AF$11-AI13+VLOOKUP(AC$10,$C$4:$E$7,3,FALSE)+VLOOKUP(AC$10,$C$4:$F$7,4,FALSE)*_xll.QDates_YearFraction(valDate,AD13,"ACT365F"))/VLOOKUP(AC$10,$C$4:$G$7,5,FALSE)</f>
        <v>26.8</v>
      </c>
    </row>
    <row r="14" spans="1:36" x14ac:dyDescent="0.25">
      <c r="B14" s="8" t="str" cm="1">
        <f t="array" aca="1" ref="B14" ca="1">_xll.QDates_FuturesNextCode(B13)</f>
        <v>COV0</v>
      </c>
      <c r="C14" s="1" cm="1">
        <f t="array" aca="1" ref="C14" ca="1">_xll.QDates_FuturesExpiryFromCode(B14)</f>
        <v>44071</v>
      </c>
      <c r="D14" cm="1">
        <f t="array" aca="1" ref="D14" ca="1">_xll.BDP(B14&amp;" Comdty","PX_SETTLE")</f>
        <v>32.4</v>
      </c>
      <c r="E14" cm="1">
        <f t="array" aca="1" ref="E14" ca="1">_xll.BDP(B14&amp;" Comdty",BidMidASK)</f>
        <v>32.46</v>
      </c>
      <c r="F14" s="81">
        <f t="shared" ca="1" si="1"/>
        <v>-2.7699999999999996</v>
      </c>
      <c r="G14" s="81">
        <f t="shared" ca="1" si="2"/>
        <v>-2.5450000000000017</v>
      </c>
      <c r="H14" s="81">
        <f ca="1"/>
        <v>-2.5450000000000017</v>
      </c>
      <c r="I14" s="13" cm="1">
        <f t="array" aca="1" ref="I14" ca="1">(E$11-H14+VLOOKUP(B$10,$C$4:$E$7,3,FALSE)+VLOOKUP(B$10,$C$4:$F$7,4,FALSE)*_xll.QDates_YearFraction(valDate,C14,"ACT365F"))/VLOOKUP(B$10,$C$4:$G$7,5,FALSE)</f>
        <v>32.769178082191779</v>
      </c>
      <c r="K14" s="8" t="str" cm="1">
        <f t="array" aca="1" ref="K14" ca="1">_xll.QDates_FuturesNextCode(K13)</f>
        <v>QSU0</v>
      </c>
      <c r="L14" s="1" cm="1">
        <f t="array" aca="1" ref="L14" ca="1">_xll.QDates_FuturesExpiryFromCode(K14)</f>
        <v>44084</v>
      </c>
      <c r="M14" cm="1">
        <f t="array" aca="1" ref="M14" ca="1">_xll.BDP(K14&amp;" Comdty","PX_SETTLE")</f>
        <v>286.75</v>
      </c>
      <c r="N14" cm="1">
        <f t="array" aca="1" ref="N14" ca="1">_xll.BDP(K14&amp;" Comdty",BidMidASK)</f>
        <v>286.625</v>
      </c>
      <c r="O14" s="81">
        <f t="shared" ca="1" si="3"/>
        <v>-28.75</v>
      </c>
      <c r="P14" s="81">
        <f t="shared" ca="1" si="4"/>
        <v>-30</v>
      </c>
      <c r="Q14" s="81">
        <f ca="1"/>
        <v>-30</v>
      </c>
      <c r="R14" s="13" cm="1">
        <f t="array" aca="1" ref="R14" ca="1">(N$11-Q14+VLOOKUP(K$10,$C$4:$E$7,3,FALSE)+VLOOKUP(K$10,$C$4:$F$7,4,FALSE)*_xll.QDates_YearFraction(valDate,L14,"ACT365F"))/VLOOKUP(K$10,$C$4:$G$7,5,FALSE)</f>
        <v>288.625</v>
      </c>
      <c r="T14" s="8" t="str" cm="1">
        <f t="array" aca="1" ref="T14" ca="1">_xll.QDates_FuturesNextCode(T13)</f>
        <v>XBU0</v>
      </c>
      <c r="U14" s="1" cm="1">
        <f t="array" aca="1" ref="U14" ca="1">_xll.QDates_FuturesExpiryFromCode(T14)</f>
        <v>44074</v>
      </c>
      <c r="V14" cm="1">
        <f t="array" aca="1" ref="V14" ca="1">_xll.BDP(T14&amp;" Comdty","PX_SETTLE")</f>
        <v>94.41</v>
      </c>
      <c r="W14" cm="1">
        <f t="array" aca="1" ref="W14" ca="1">_xll.BDP(T14&amp;" Comdty",BidMidASK)</f>
        <v>94.585000000000008</v>
      </c>
      <c r="X14" s="81">
        <f t="shared" ca="1" si="0"/>
        <v>-1.9899999999999949</v>
      </c>
      <c r="Y14" s="81">
        <f t="shared" ca="1" si="5"/>
        <v>-1.730000000000004</v>
      </c>
      <c r="Z14" s="81">
        <f ca="1"/>
        <v>-1.730000000000004</v>
      </c>
      <c r="AA14" s="13" cm="1">
        <f t="array" aca="1" ref="AA14" ca="1">(W$11-Z14+VLOOKUP(T$10,$C$4:$E$7,3,FALSE)+VLOOKUP(T$10,$C$4:$F$7,4,FALSE)*_xll.QDates_YearFraction(valDate,U14,"ACT365F"))/VLOOKUP(T$10,$C$4:$G$7,5,FALSE)</f>
        <v>0.91585000000000005</v>
      </c>
      <c r="AC14" s="8" t="str" cm="1">
        <f t="array" aca="1" ref="AC14" ca="1">_xll.QDates_FuturesNextCode(AC13)</f>
        <v>CLU0</v>
      </c>
      <c r="AD14" s="1" cm="1">
        <f t="array" aca="1" ref="AD14" ca="1">_xll.QDates_FuturesExpiryFromCode(AC14)</f>
        <v>44063</v>
      </c>
      <c r="AE14" cm="1">
        <f t="array" aca="1" ref="AE14" ca="1">_xll.BDP(AC14&amp;" Comdty","PX_SETTLE")</f>
        <v>28.1</v>
      </c>
      <c r="AF14" cm="1">
        <f t="array" aca="1" ref="AF14" ca="1">_xll.BDP(AC14&amp;" Comdty",BidMidASK)</f>
        <v>28.2</v>
      </c>
      <c r="AG14" s="81">
        <f t="shared" ca="1" si="6"/>
        <v>-3.9600000000000009</v>
      </c>
      <c r="AH14" s="81">
        <f t="shared" ca="1" si="7"/>
        <v>-3.4450000000000003</v>
      </c>
      <c r="AI14" s="81">
        <f ca="1"/>
        <v>-3.4450000000000003</v>
      </c>
      <c r="AJ14" s="13" cm="1">
        <f t="array" aca="1" ref="AJ14" ca="1">(AF$11-AI14+VLOOKUP(AC$10,$C$4:$E$7,3,FALSE)+VLOOKUP(AC$10,$C$4:$F$7,4,FALSE)*_xll.QDates_YearFraction(valDate,AD14,"ACT365F"))/VLOOKUP(AC$10,$C$4:$G$7,5,FALSE)</f>
        <v>27.95</v>
      </c>
    </row>
    <row r="15" spans="1:36" x14ac:dyDescent="0.25">
      <c r="B15" s="8" t="str" cm="1">
        <f t="array" aca="1" ref="B15" ca="1">_xll.QDates_FuturesNextCode(B14)</f>
        <v>COX0</v>
      </c>
      <c r="C15" s="1" cm="1">
        <f t="array" aca="1" ref="C15" ca="1">_xll.QDates_FuturesExpiryFromCode(B15)</f>
        <v>44104</v>
      </c>
      <c r="D15" cm="1">
        <f t="array" aca="1" ref="D15" ca="1">_xll.BDP(B15&amp;" Comdty","PX_SETTLE")</f>
        <v>33.21</v>
      </c>
      <c r="E15" cm="1">
        <f t="array" aca="1" ref="E15" ca="1">_xll.BDP(B15&amp;" Comdty",BidMidASK)</f>
        <v>33.26</v>
      </c>
      <c r="F15" s="81">
        <f t="shared" ca="1" si="1"/>
        <v>-3.5800000000000018</v>
      </c>
      <c r="G15" s="81">
        <f t="shared" ca="1" si="2"/>
        <v>-3.3449999999999989</v>
      </c>
      <c r="H15" s="81">
        <f ca="1"/>
        <v>-3.3449999999999989</v>
      </c>
      <c r="I15" s="13" cm="1">
        <f t="array" aca="1" ref="I15" ca="1">(E$11-H15+VLOOKUP(B$10,$C$4:$E$7,3,FALSE)+VLOOKUP(B$10,$C$4:$F$7,4,FALSE)*_xll.QDates_YearFraction(valDate,C15,"ACT365F"))/VLOOKUP(B$10,$C$4:$G$7,5,FALSE)</f>
        <v>33.587260273972603</v>
      </c>
      <c r="K15" s="8" t="str" cm="1">
        <f t="array" aca="1" ref="K15" ca="1">_xll.QDates_FuturesNextCode(K14)</f>
        <v>QSV0</v>
      </c>
      <c r="L15" s="1" cm="1">
        <f t="array" aca="1" ref="L15" ca="1">_xll.QDates_FuturesExpiryFromCode(K15)</f>
        <v>44116</v>
      </c>
      <c r="M15" cm="1">
        <f t="array" aca="1" ref="M15" ca="1">_xll.BDP(K15&amp;" Comdty","PX_SETTLE")</f>
        <v>295</v>
      </c>
      <c r="N15" cm="1">
        <f t="array" aca="1" ref="N15" ca="1">_xll.BDP(K15&amp;" Comdty",BidMidASK)</f>
        <v>295</v>
      </c>
      <c r="O15" s="81">
        <f t="shared" ca="1" si="3"/>
        <v>-37</v>
      </c>
      <c r="P15" s="81">
        <f t="shared" ca="1" si="4"/>
        <v>-38.375</v>
      </c>
      <c r="Q15" s="81">
        <f ca="1"/>
        <v>-38.375</v>
      </c>
      <c r="R15" s="13" cm="1">
        <f t="array" aca="1" ref="R15" ca="1">(N$11-Q15+VLOOKUP(K$10,$C$4:$E$7,3,FALSE)+VLOOKUP(K$10,$C$4:$F$7,4,FALSE)*_xll.QDates_YearFraction(valDate,L15,"ACT365F"))/VLOOKUP(K$10,$C$4:$G$7,5,FALSE)</f>
        <v>297</v>
      </c>
      <c r="T15" s="8" t="str" cm="1">
        <f t="array" aca="1" ref="T15" ca="1">_xll.QDates_FuturesNextCode(T14)</f>
        <v>XBV0</v>
      </c>
      <c r="U15" s="1" cm="1">
        <f t="array" aca="1" ref="U15" ca="1">_xll.QDates_FuturesExpiryFromCode(T15)</f>
        <v>44104</v>
      </c>
      <c r="V15" cm="1">
        <f t="array" aca="1" ref="V15" ca="1">_xll.BDP(T15&amp;" Comdty","PX_SETTLE")</f>
        <v>86.3</v>
      </c>
      <c r="W15" cm="1">
        <f t="array" aca="1" ref="W15" ca="1">_xll.BDP(T15&amp;" Comdty",BidMidASK)</f>
        <v>86.435000000000002</v>
      </c>
      <c r="X15" s="81">
        <f t="shared" ca="1" si="0"/>
        <v>6.1200000000000045</v>
      </c>
      <c r="Y15" s="81">
        <f t="shared" ca="1" si="5"/>
        <v>6.4200000000000017</v>
      </c>
      <c r="Z15" s="81">
        <f ca="1"/>
        <v>6.4200000000000017</v>
      </c>
      <c r="AA15" s="13" cm="1">
        <f t="array" aca="1" ref="AA15" ca="1">(W$11-Z15+VLOOKUP(T$10,$C$4:$E$7,3,FALSE)+VLOOKUP(T$10,$C$4:$F$7,4,FALSE)*_xll.QDates_YearFraction(valDate,U15,"ACT365F"))/VLOOKUP(T$10,$C$4:$G$7,5,FALSE)</f>
        <v>0.83435000000000004</v>
      </c>
      <c r="AC15" s="8" t="str" cm="1">
        <f t="array" aca="1" ref="AC15" ca="1">_xll.QDates_FuturesNextCode(AC14)</f>
        <v>CLV0</v>
      </c>
      <c r="AD15" s="1" cm="1">
        <f t="array" aca="1" ref="AD15" ca="1">_xll.QDates_FuturesExpiryFromCode(AC15)</f>
        <v>44096</v>
      </c>
      <c r="AE15" cm="1">
        <f t="array" aca="1" ref="AE15" ca="1">_xll.BDP(AC15&amp;" Comdty","PX_SETTLE")</f>
        <v>29.05</v>
      </c>
      <c r="AF15" cm="1">
        <f t="array" aca="1" ref="AF15" ca="1">_xll.BDP(AC15&amp;" Comdty",BidMidASK)</f>
        <v>29.065000000000001</v>
      </c>
      <c r="AG15" s="81">
        <f t="shared" ca="1" si="6"/>
        <v>-4.91</v>
      </c>
      <c r="AH15" s="81">
        <f t="shared" ca="1" si="7"/>
        <v>-4.3100000000000023</v>
      </c>
      <c r="AI15" s="81">
        <f ca="1"/>
        <v>-4.3100000000000023</v>
      </c>
      <c r="AJ15" s="13" cm="1">
        <f t="array" aca="1" ref="AJ15" ca="1">(AF$11-AI15+VLOOKUP(AC$10,$C$4:$E$7,3,FALSE)+VLOOKUP(AC$10,$C$4:$F$7,4,FALSE)*_xll.QDates_YearFraction(valDate,AD15,"ACT365F"))/VLOOKUP(AC$10,$C$4:$G$7,5,FALSE)</f>
        <v>28.815000000000001</v>
      </c>
    </row>
    <row r="16" spans="1:36" x14ac:dyDescent="0.25">
      <c r="B16" s="8" t="str" cm="1">
        <f t="array" aca="1" ref="B16" ca="1">_xll.QDates_FuturesNextCode(B15)</f>
        <v>COZ0</v>
      </c>
      <c r="C16" s="1" cm="1">
        <f t="array" aca="1" ref="C16" ca="1">_xll.QDates_FuturesExpiryFromCode(B16)</f>
        <v>44134</v>
      </c>
      <c r="D16" cm="1">
        <f t="array" aca="1" ref="D16" ca="1">_xll.BDP(B16&amp;" Comdty","PX_SETTLE")</f>
        <v>33.93</v>
      </c>
      <c r="E16" cm="1">
        <f t="array" aca="1" ref="E16" ca="1">_xll.BDP(B16&amp;" Comdty",BidMidASK)</f>
        <v>33.980000000000004</v>
      </c>
      <c r="F16" s="81">
        <f t="shared" ca="1" si="1"/>
        <v>-4.3000000000000007</v>
      </c>
      <c r="G16" s="81">
        <f t="shared" ca="1" si="2"/>
        <v>-4.0650000000000048</v>
      </c>
      <c r="H16" s="81">
        <f ca="1"/>
        <v>-4.0650000000000048</v>
      </c>
      <c r="I16" s="13" cm="1">
        <f t="array" aca="1" ref="I16" ca="1">(E$11-H16+VLOOKUP(B$10,$C$4:$E$7,3,FALSE)+VLOOKUP(B$10,$C$4:$F$7,4,FALSE)*_xll.QDates_YearFraction(valDate,C16,"ACT365F"))/VLOOKUP(B$10,$C$4:$G$7,5,FALSE)</f>
        <v>34.323698630136988</v>
      </c>
      <c r="K16" s="8" t="str" cm="1">
        <f t="array" aca="1" ref="K16" ca="1">_xll.QDates_FuturesNextCode(K15)</f>
        <v>QSX0</v>
      </c>
      <c r="L16" s="1" cm="1">
        <f t="array" aca="1" ref="L16" ca="1">_xll.QDates_FuturesExpiryFromCode(K16)</f>
        <v>44147</v>
      </c>
      <c r="M16" cm="1">
        <f t="array" aca="1" ref="M16" ca="1">_xll.BDP(K16&amp;" Comdty","PX_SETTLE")</f>
        <v>300.5</v>
      </c>
      <c r="N16" cm="1">
        <f t="array" aca="1" ref="N16" ca="1">_xll.BDP(K16&amp;" Comdty",BidMidASK)</f>
        <v>300.625</v>
      </c>
      <c r="O16" s="81">
        <f t="shared" ca="1" si="3"/>
        <v>-42.5</v>
      </c>
      <c r="P16" s="81">
        <f t="shared" ca="1" si="4"/>
        <v>-44</v>
      </c>
      <c r="Q16" s="81">
        <f ca="1"/>
        <v>-44</v>
      </c>
      <c r="R16" s="13" cm="1">
        <f t="array" aca="1" ref="R16" ca="1">(N$11-Q16+VLOOKUP(K$10,$C$4:$E$7,3,FALSE)+VLOOKUP(K$10,$C$4:$F$7,4,FALSE)*_xll.QDates_YearFraction(valDate,L16,"ACT365F"))/VLOOKUP(K$10,$C$4:$G$7,5,FALSE)</f>
        <v>302.625</v>
      </c>
      <c r="T16" s="8" t="str" cm="1">
        <f t="array" aca="1" ref="T16" ca="1">_xll.QDates_FuturesNextCode(T15)</f>
        <v>XBX0</v>
      </c>
      <c r="U16" s="1" cm="1">
        <f t="array" aca="1" ref="U16" ca="1">_xll.QDates_FuturesExpiryFromCode(T16)</f>
        <v>44134</v>
      </c>
      <c r="V16" cm="1">
        <f t="array" aca="1" ref="V16" ca="1">_xll.BDP(T16&amp;" Comdty","PX_SETTLE")</f>
        <v>85.93</v>
      </c>
      <c r="W16" cm="1">
        <f t="array" aca="1" ref="W16" ca="1">_xll.BDP(T16&amp;" Comdty",BidMidASK)</f>
        <v>86.03</v>
      </c>
      <c r="X16" s="81">
        <f t="shared" ca="1" si="0"/>
        <v>6.4899999999999949</v>
      </c>
      <c r="Y16" s="81">
        <f t="shared" ca="1" si="5"/>
        <v>6.8250000000000028</v>
      </c>
      <c r="Z16" s="81">
        <f ca="1"/>
        <v>6.8250000000000028</v>
      </c>
      <c r="AA16" s="13" cm="1">
        <f t="array" aca="1" ref="AA16" ca="1">(W$11-Z16+VLOOKUP(T$10,$C$4:$E$7,3,FALSE)+VLOOKUP(T$10,$C$4:$F$7,4,FALSE)*_xll.QDates_YearFraction(valDate,U16,"ACT365F"))/VLOOKUP(T$10,$C$4:$G$7,5,FALSE)</f>
        <v>0.83030000000000004</v>
      </c>
      <c r="AC16" s="8" t="str" cm="1">
        <f t="array" aca="1" ref="AC16" ca="1">_xll.QDates_FuturesNextCode(AC15)</f>
        <v>CLX0</v>
      </c>
      <c r="AD16" s="1" cm="1">
        <f t="array" aca="1" ref="AD16" ca="1">_xll.QDates_FuturesExpiryFromCode(AC16)</f>
        <v>44124</v>
      </c>
      <c r="AE16" cm="1">
        <f t="array" aca="1" ref="AE16" ca="1">_xll.BDP(AC16&amp;" Comdty","PX_SETTLE")</f>
        <v>29.87</v>
      </c>
      <c r="AF16" cm="1">
        <f t="array" aca="1" ref="AF16" ca="1">_xll.BDP(AC16&amp;" Comdty",BidMidASK)</f>
        <v>29.84</v>
      </c>
      <c r="AG16" s="81">
        <f t="shared" ca="1" si="6"/>
        <v>-5.73</v>
      </c>
      <c r="AH16" s="81">
        <f t="shared" ca="1" si="7"/>
        <v>-5.0850000000000009</v>
      </c>
      <c r="AI16" s="81">
        <f ca="1"/>
        <v>-5.0850000000000009</v>
      </c>
      <c r="AJ16" s="13" cm="1">
        <f t="array" aca="1" ref="AJ16" ca="1">(AF$11-AI16+VLOOKUP(AC$10,$C$4:$E$7,3,FALSE)+VLOOKUP(AC$10,$C$4:$F$7,4,FALSE)*_xll.QDates_YearFraction(valDate,AD16,"ACT365F"))/VLOOKUP(AC$10,$C$4:$G$7,5,FALSE)</f>
        <v>29.59</v>
      </c>
    </row>
    <row r="17" spans="2:36" x14ac:dyDescent="0.25">
      <c r="B17" s="8" t="str" cm="1">
        <f t="array" aca="1" ref="B17" ca="1">_xll.QDates_FuturesNextCode(B16)</f>
        <v>COF1</v>
      </c>
      <c r="C17" s="1" cm="1">
        <f t="array" aca="1" ref="C17" ca="1">_xll.QDates_FuturesExpiryFromCode(B17)</f>
        <v>44165</v>
      </c>
      <c r="D17" cm="1">
        <f t="array" aca="1" ref="D17" ca="1">_xll.BDP(B17&amp;" Comdty","PX_SETTLE")</f>
        <v>34.51</v>
      </c>
      <c r="E17" cm="1">
        <f t="array" aca="1" ref="E17" ca="1">_xll.BDP(B17&amp;" Comdty",BidMidASK)</f>
        <v>34.56</v>
      </c>
      <c r="F17" s="81">
        <f t="shared" ca="1" si="1"/>
        <v>-4.879999999999999</v>
      </c>
      <c r="G17" s="81">
        <f t="shared" ca="1" si="2"/>
        <v>-4.6450000000000031</v>
      </c>
      <c r="H17" s="81">
        <f ca="1"/>
        <v>-4.6450000000000031</v>
      </c>
      <c r="I17" s="13" cm="1">
        <f t="array" aca="1" ref="I17" ca="1">(E$11-H17+VLOOKUP(B$10,$C$4:$E$7,3,FALSE)+VLOOKUP(B$10,$C$4:$F$7,4,FALSE)*_xll.QDates_YearFraction(valDate,C17,"ACT365F"))/VLOOKUP(B$10,$C$4:$G$7,5,FALSE)</f>
        <v>34.920684931506848</v>
      </c>
      <c r="K17" s="8" t="str" cm="1">
        <f t="array" aca="1" ref="K17" ca="1">_xll.QDates_FuturesNextCode(K16)</f>
        <v>QSZ0</v>
      </c>
      <c r="L17" s="1" cm="1">
        <f t="array" aca="1" ref="L17" ca="1">_xll.QDates_FuturesExpiryFromCode(K17)</f>
        <v>44175</v>
      </c>
      <c r="M17" cm="1">
        <f t="array" aca="1" ref="M17" ca="1">_xll.BDP(K17&amp;" Comdty","PX_SETTLE")</f>
        <v>304.25</v>
      </c>
      <c r="N17" cm="1">
        <f t="array" aca="1" ref="N17" ca="1">_xll.BDP(K17&amp;" Comdty",BidMidASK)</f>
        <v>304.375</v>
      </c>
      <c r="O17" s="81">
        <f t="shared" ca="1" si="3"/>
        <v>-46.25</v>
      </c>
      <c r="P17" s="81">
        <f t="shared" ca="1" si="4"/>
        <v>-47.75</v>
      </c>
      <c r="Q17" s="81">
        <f ca="1"/>
        <v>-47.75</v>
      </c>
      <c r="R17" s="13" cm="1">
        <f t="array" aca="1" ref="R17" ca="1">(N$11-Q17+VLOOKUP(K$10,$C$4:$E$7,3,FALSE)+VLOOKUP(K$10,$C$4:$F$7,4,FALSE)*_xll.QDates_YearFraction(valDate,L17,"ACT365F"))/VLOOKUP(K$10,$C$4:$G$7,5,FALSE)</f>
        <v>306.375</v>
      </c>
      <c r="T17" s="8" t="str" cm="1">
        <f t="array" aca="1" ref="T17" ca="1">_xll.QDates_FuturesNextCode(T16)</f>
        <v>XBZ0</v>
      </c>
      <c r="U17" s="1" cm="1">
        <f t="array" aca="1" ref="U17" ca="1">_xll.QDates_FuturesExpiryFromCode(T17)</f>
        <v>44165</v>
      </c>
      <c r="V17" cm="1">
        <f t="array" aca="1" ref="V17" ca="1">_xll.BDP(T17&amp;" Comdty","PX_SETTLE")</f>
        <v>85.72</v>
      </c>
      <c r="W17" cm="1">
        <f t="array" aca="1" ref="W17" ca="1">_xll.BDP(T17&amp;" Comdty",BidMidASK)</f>
        <v>85.78</v>
      </c>
      <c r="X17" s="81">
        <f t="shared" ca="1" si="0"/>
        <v>6.7000000000000028</v>
      </c>
      <c r="Y17" s="81">
        <f t="shared" ca="1" si="5"/>
        <v>7.0750000000000028</v>
      </c>
      <c r="Z17" s="81">
        <f ca="1"/>
        <v>7.0750000000000028</v>
      </c>
      <c r="AA17" s="13" cm="1">
        <f t="array" aca="1" ref="AA17" ca="1">(W$11-Z17+VLOOKUP(T$10,$C$4:$E$7,3,FALSE)+VLOOKUP(T$10,$C$4:$F$7,4,FALSE)*_xll.QDates_YearFraction(valDate,U17,"ACT365F"))/VLOOKUP(T$10,$C$4:$G$7,5,FALSE)</f>
        <v>0.82779999999999998</v>
      </c>
      <c r="AC17" s="8" t="str" cm="1">
        <f t="array" aca="1" ref="AC17" ca="1">_xll.QDates_FuturesNextCode(AC16)</f>
        <v>CLZ0</v>
      </c>
      <c r="AD17" s="1" cm="1">
        <f t="array" aca="1" ref="AD17" ca="1">_xll.QDates_FuturesExpiryFromCode(AC17)</f>
        <v>44155</v>
      </c>
      <c r="AE17" cm="1">
        <f t="array" aca="1" ref="AE17" ca="1">_xll.BDP(AC17&amp;" Comdty","PX_SETTLE")</f>
        <v>30.57</v>
      </c>
      <c r="AF17" cm="1">
        <f t="array" aca="1" ref="AF17" ca="1">_xll.BDP(AC17&amp;" Comdty",BidMidASK)</f>
        <v>30.525000000000002</v>
      </c>
      <c r="AG17" s="81">
        <f t="shared" ca="1" si="6"/>
        <v>-6.43</v>
      </c>
      <c r="AH17" s="81">
        <f t="shared" ca="1" si="7"/>
        <v>-5.7700000000000031</v>
      </c>
      <c r="AI17" s="81">
        <f ca="1"/>
        <v>-5.7700000000000031</v>
      </c>
      <c r="AJ17" s="13" cm="1">
        <f t="array" aca="1" ref="AJ17" ca="1">(AF$11-AI17+VLOOKUP(AC$10,$C$4:$E$7,3,FALSE)+VLOOKUP(AC$10,$C$4:$F$7,4,FALSE)*_xll.QDates_YearFraction(valDate,AD17,"ACT365F"))/VLOOKUP(AC$10,$C$4:$G$7,5,FALSE)</f>
        <v>30.275000000000002</v>
      </c>
    </row>
    <row r="18" spans="2:36" x14ac:dyDescent="0.25">
      <c r="B18" s="8" t="str" cm="1">
        <f t="array" aca="1" ref="B18" ca="1">_xll.QDates_FuturesNextCode(B17)</f>
        <v>COG1</v>
      </c>
      <c r="C18" s="1" cm="1">
        <f t="array" aca="1" ref="C18" ca="1">_xll.QDates_FuturesExpiryFromCode(B18)</f>
        <v>44196</v>
      </c>
      <c r="D18" cm="1">
        <f t="array" aca="1" ref="D18" ca="1">_xll.BDP(B18&amp;" Comdty","PX_SETTLE")</f>
        <v>35.01</v>
      </c>
      <c r="E18" cm="1">
        <f t="array" aca="1" ref="E18" ca="1">_xll.BDP(B18&amp;" Comdty",BidMidASK)</f>
        <v>35.055</v>
      </c>
      <c r="F18" s="81">
        <f t="shared" ca="1" si="1"/>
        <v>-5.379999999999999</v>
      </c>
      <c r="G18" s="81">
        <f t="shared" ca="1" si="2"/>
        <v>-5.1400000000000006</v>
      </c>
      <c r="H18" s="81">
        <f ca="1"/>
        <v>-5.1400000000000006</v>
      </c>
      <c r="I18" s="13" cm="1">
        <f t="array" aca="1" ref="I18" ca="1">(E$11-H18+VLOOKUP(B$10,$C$4:$E$7,3,FALSE)+VLOOKUP(B$10,$C$4:$F$7,4,FALSE)*_xll.QDates_YearFraction(valDate,C18,"ACT365F"))/VLOOKUP(B$10,$C$4:$G$7,5,FALSE)</f>
        <v>35.432671232876714</v>
      </c>
      <c r="K18" s="8" t="str" cm="1">
        <f t="array" aca="1" ref="K18" ca="1">_xll.QDates_FuturesNextCode(K17)</f>
        <v>QSF1</v>
      </c>
      <c r="L18" s="1" cm="1">
        <f t="array" aca="1" ref="L18" ca="1">_xll.QDates_FuturesExpiryFromCode(K18)</f>
        <v>44208</v>
      </c>
      <c r="M18" cm="1">
        <f t="array" aca="1" ref="M18" ca="1">_xll.BDP(K18&amp;" Comdty","PX_SETTLE")</f>
        <v>309.5</v>
      </c>
      <c r="N18" cm="1">
        <f t="array" aca="1" ref="N18" ca="1">_xll.BDP(K18&amp;" Comdty",BidMidASK)</f>
        <v>309.75</v>
      </c>
      <c r="O18" s="81">
        <f t="shared" ca="1" si="3"/>
        <v>-51.5</v>
      </c>
      <c r="P18" s="81">
        <f t="shared" ca="1" si="4"/>
        <v>-53.125</v>
      </c>
      <c r="Q18" s="81">
        <f ca="1"/>
        <v>-53.125</v>
      </c>
      <c r="R18" s="13" cm="1">
        <f t="array" aca="1" ref="R18" ca="1">(N$11-Q18+VLOOKUP(K$10,$C$4:$E$7,3,FALSE)+VLOOKUP(K$10,$C$4:$F$7,4,FALSE)*_xll.QDates_YearFraction(valDate,L18,"ACT365F"))/VLOOKUP(K$10,$C$4:$G$7,5,FALSE)</f>
        <v>311.75</v>
      </c>
      <c r="T18" s="8" t="str" cm="1">
        <f t="array" aca="1" ref="T18" ca="1">_xll.QDates_FuturesNextCode(T17)</f>
        <v>XBF1</v>
      </c>
      <c r="U18" s="1" cm="1">
        <f t="array" aca="1" ref="U18" ca="1">_xll.QDates_FuturesExpiryFromCode(T18)</f>
        <v>44196</v>
      </c>
      <c r="V18" cm="1">
        <f t="array" aca="1" ref="V18" ca="1">_xll.BDP(T18&amp;" Comdty","PX_SETTLE")</f>
        <v>86.25</v>
      </c>
      <c r="W18" cm="1">
        <f t="array" aca="1" ref="W18" ca="1">_xll.BDP(T18&amp;" Comdty",BidMidASK)</f>
        <v>86.234999999999999</v>
      </c>
      <c r="X18" s="81">
        <f t="shared" ca="1" si="0"/>
        <v>6.1700000000000017</v>
      </c>
      <c r="Y18" s="81">
        <f t="shared" ca="1" si="5"/>
        <v>6.6200000000000045</v>
      </c>
      <c r="Z18" s="81">
        <f ca="1"/>
        <v>6.6200000000000045</v>
      </c>
      <c r="AA18" s="13" cm="1">
        <f t="array" aca="1" ref="AA18" ca="1">(W$11-Z18+VLOOKUP(T$10,$C$4:$E$7,3,FALSE)+VLOOKUP(T$10,$C$4:$F$7,4,FALSE)*_xll.QDates_YearFraction(valDate,U18,"ACT365F"))/VLOOKUP(T$10,$C$4:$G$7,5,FALSE)</f>
        <v>0.83235000000000003</v>
      </c>
      <c r="AC18" s="8" t="str" cm="1">
        <f t="array" aca="1" ref="AC18" ca="1">_xll.QDates_FuturesNextCode(AC17)</f>
        <v>CLF1</v>
      </c>
      <c r="AD18" s="1" cm="1">
        <f t="array" aca="1" ref="AD18" ca="1">_xll.QDates_FuturesExpiryFromCode(AC18)</f>
        <v>44186</v>
      </c>
      <c r="AE18" cm="1">
        <f t="array" aca="1" ref="AE18" ca="1">_xll.BDP(AC18&amp;" Comdty","PX_SETTLE")</f>
        <v>31.150000000000002</v>
      </c>
      <c r="AF18" cm="1">
        <f t="array" aca="1" ref="AF18" ca="1">_xll.BDP(AC18&amp;" Comdty",BidMidASK)</f>
        <v>31.09</v>
      </c>
      <c r="AG18" s="81">
        <f t="shared" ca="1" si="6"/>
        <v>-7.0100000000000016</v>
      </c>
      <c r="AH18" s="81">
        <f t="shared" ca="1" si="7"/>
        <v>-6.3350000000000009</v>
      </c>
      <c r="AI18" s="81">
        <f ca="1"/>
        <v>-6.3350000000000009</v>
      </c>
      <c r="AJ18" s="13" cm="1">
        <f t="array" aca="1" ref="AJ18" ca="1">(AF$11-AI18+VLOOKUP(AC$10,$C$4:$E$7,3,FALSE)+VLOOKUP(AC$10,$C$4:$F$7,4,FALSE)*_xll.QDates_YearFraction(valDate,AD18,"ACT365F"))/VLOOKUP(AC$10,$C$4:$G$7,5,FALSE)</f>
        <v>30.84</v>
      </c>
    </row>
    <row r="19" spans="2:36" x14ac:dyDescent="0.25">
      <c r="B19" s="8" t="str" cm="1">
        <f t="array" aca="1" ref="B19" ca="1">_xll.QDates_FuturesNextCode(B18)</f>
        <v>COH1</v>
      </c>
      <c r="C19" s="1" cm="1">
        <f t="array" aca="1" ref="C19" ca="1">_xll.QDates_FuturesExpiryFromCode(B19)</f>
        <v>44225</v>
      </c>
      <c r="D19" cm="1">
        <f t="array" aca="1" ref="D19" ca="1">_xll.BDP(B19&amp;" Comdty","PX_SETTLE")</f>
        <v>35.51</v>
      </c>
      <c r="E19" cm="1">
        <f t="array" aca="1" ref="E19" ca="1">_xll.BDP(B19&amp;" Comdty",BidMidASK)</f>
        <v>35.545000000000002</v>
      </c>
      <c r="F19" s="81">
        <f t="shared" ca="1" si="1"/>
        <v>-5.879999999999999</v>
      </c>
      <c r="G19" s="81">
        <f t="shared" ca="1" si="2"/>
        <v>-5.6300000000000026</v>
      </c>
      <c r="H19" s="81">
        <f ca="1"/>
        <v>-5.6300000000000026</v>
      </c>
      <c r="I19" s="13" cm="1">
        <f t="array" aca="1" ref="I19" ca="1">(E$11-H19+VLOOKUP(B$10,$C$4:$E$7,3,FALSE)+VLOOKUP(B$10,$C$4:$F$7,4,FALSE)*_xll.QDates_YearFraction(valDate,C19,"ACT365F"))/VLOOKUP(B$10,$C$4:$G$7,5,FALSE)</f>
        <v>35.938561643835619</v>
      </c>
      <c r="K19" s="8" t="str" cm="1">
        <f t="array" aca="1" ref="K19" ca="1">_xll.QDates_FuturesNextCode(K18)</f>
        <v>QSG1</v>
      </c>
      <c r="L19" s="1" cm="1">
        <f t="array" aca="1" ref="L19" ca="1">_xll.QDates_FuturesExpiryFromCode(K19)</f>
        <v>44238</v>
      </c>
      <c r="M19" cm="1">
        <f t="array" aca="1" ref="M19" ca="1">_xll.BDP(K19&amp;" Comdty","PX_SETTLE")</f>
        <v>315</v>
      </c>
      <c r="N19" cm="1">
        <f t="array" aca="1" ref="N19" ca="1">_xll.BDP(K19&amp;" Comdty",BidMidASK)</f>
        <v>315.25</v>
      </c>
      <c r="O19" s="81">
        <f t="shared" ca="1" si="3"/>
        <v>-57</v>
      </c>
      <c r="P19" s="81">
        <f t="shared" ca="1" si="4"/>
        <v>-58.625</v>
      </c>
      <c r="Q19" s="81">
        <f ca="1"/>
        <v>-58.625</v>
      </c>
      <c r="R19" s="13" cm="1">
        <f t="array" aca="1" ref="R19" ca="1">(N$11-Q19+VLOOKUP(K$10,$C$4:$E$7,3,FALSE)+VLOOKUP(K$10,$C$4:$F$7,4,FALSE)*_xll.QDates_YearFraction(valDate,L19,"ACT365F"))/VLOOKUP(K$10,$C$4:$G$7,5,FALSE)</f>
        <v>317.25</v>
      </c>
      <c r="T19" s="8" t="str" cm="1">
        <f t="array" aca="1" ref="T19" ca="1">_xll.QDates_FuturesNextCode(T18)</f>
        <v>XBG1</v>
      </c>
      <c r="U19" s="1" cm="1">
        <f t="array" aca="1" ref="U19" ca="1">_xll.QDates_FuturesExpiryFromCode(T19)</f>
        <v>44225</v>
      </c>
      <c r="V19" cm="1">
        <f t="array" aca="1" ref="V19" ca="1">_xll.BDP(T19&amp;" Comdty","PX_SETTLE")</f>
        <v>87.55</v>
      </c>
      <c r="W19" cm="1">
        <f t="array" aca="1" ref="W19" ca="1">_xll.BDP(T19&amp;" Comdty",BidMidASK)</f>
        <v>87.484999999999999</v>
      </c>
      <c r="X19" s="81">
        <f t="shared" ca="1" si="0"/>
        <v>4.8700000000000045</v>
      </c>
      <c r="Y19" s="81">
        <f t="shared" ca="1" si="5"/>
        <v>5.3700000000000045</v>
      </c>
      <c r="Z19" s="81">
        <f ca="1"/>
        <v>5.3700000000000045</v>
      </c>
      <c r="AA19" s="13" cm="1">
        <f t="array" aca="1" ref="AA19" ca="1">(W$11-Z19+VLOOKUP(T$10,$C$4:$E$7,3,FALSE)+VLOOKUP(T$10,$C$4:$F$7,4,FALSE)*_xll.QDates_YearFraction(valDate,U19,"ACT365F"))/VLOOKUP(T$10,$C$4:$G$7,5,FALSE)</f>
        <v>0.84484999999999999</v>
      </c>
      <c r="AC19" s="8" t="str" cm="1">
        <f t="array" aca="1" ref="AC19" ca="1">_xll.QDates_FuturesNextCode(AC18)</f>
        <v>CLG1</v>
      </c>
      <c r="AD19" s="1" cm="1">
        <f t="array" aca="1" ref="AD19" ca="1">_xll.QDates_FuturesExpiryFromCode(AC19)</f>
        <v>44216</v>
      </c>
      <c r="AE19" cm="1">
        <f t="array" aca="1" ref="AE19" ca="1">_xll.BDP(AC19&amp;" Comdty","PX_SETTLE")</f>
        <v>31.64</v>
      </c>
      <c r="AF19" cm="1">
        <f t="array" aca="1" ref="AF19" ca="1">_xll.BDP(AC19&amp;" Comdty",BidMidASK)</f>
        <v>31.57</v>
      </c>
      <c r="AG19" s="81">
        <f t="shared" ca="1" si="6"/>
        <v>-7.5</v>
      </c>
      <c r="AH19" s="81">
        <f t="shared" ca="1" si="7"/>
        <v>-6.8150000000000013</v>
      </c>
      <c r="AI19" s="81">
        <f ca="1"/>
        <v>-6.8150000000000013</v>
      </c>
      <c r="AJ19" s="13" cm="1">
        <f t="array" aca="1" ref="AJ19" ca="1">(AF$11-AI19+VLOOKUP(AC$10,$C$4:$E$7,3,FALSE)+VLOOKUP(AC$10,$C$4:$F$7,4,FALSE)*_xll.QDates_YearFraction(valDate,AD19,"ACT365F"))/VLOOKUP(AC$10,$C$4:$G$7,5,FALSE)</f>
        <v>31.32</v>
      </c>
    </row>
    <row r="20" spans="2:36" x14ac:dyDescent="0.25">
      <c r="B20" s="8" t="str" cm="1">
        <f t="array" aca="1" ref="B20" ca="1">_xll.QDates_FuturesNextCode(B19)</f>
        <v>COJ1</v>
      </c>
      <c r="C20" s="1" cm="1">
        <f t="array" aca="1" ref="C20" ca="1">_xll.QDates_FuturesExpiryFromCode(B20)</f>
        <v>44253</v>
      </c>
      <c r="D20" cm="1">
        <f t="array" aca="1" ref="D20" ca="1">_xll.BDP(B20&amp;" Comdty","PX_SETTLE")</f>
        <v>35.880000000000003</v>
      </c>
      <c r="E20" cm="1">
        <f t="array" aca="1" ref="E20" ca="1">_xll.BDP(B20&amp;" Comdty",BidMidASK)</f>
        <v>35.880000000000003</v>
      </c>
      <c r="F20" s="81">
        <f t="shared" ca="1" si="1"/>
        <v>-6.2500000000000036</v>
      </c>
      <c r="G20" s="81">
        <f t="shared" ca="1" si="2"/>
        <v>-5.9650000000000034</v>
      </c>
      <c r="H20" s="81">
        <f ca="1"/>
        <v>-5.9650000000000034</v>
      </c>
      <c r="I20" s="13" cm="1">
        <f t="array" aca="1" ref="I20" ca="1">(E$11-H20+VLOOKUP(B$10,$C$4:$E$7,3,FALSE)+VLOOKUP(B$10,$C$4:$F$7,4,FALSE)*_xll.QDates_YearFraction(valDate,C20,"ACT365F"))/VLOOKUP(B$10,$C$4:$G$7,5,FALSE)</f>
        <v>36.288904109589041</v>
      </c>
      <c r="K20" s="8" t="str" cm="1">
        <f t="array" aca="1" ref="K20" ca="1">_xll.QDates_FuturesNextCode(K19)</f>
        <v>QSH1</v>
      </c>
      <c r="L20" s="1" cm="1">
        <f t="array" aca="1" ref="L20" ca="1">_xll.QDates_FuturesExpiryFromCode(K20)</f>
        <v>44266</v>
      </c>
      <c r="M20" cm="1">
        <f t="array" aca="1" ref="M20" ca="1">_xll.BDP(K20&amp;" Comdty","PX_SETTLE")</f>
        <v>320.5</v>
      </c>
      <c r="N20" cm="1">
        <f t="array" aca="1" ref="N20" ca="1">_xll.BDP(K20&amp;" Comdty",BidMidASK)</f>
        <v>320.75</v>
      </c>
      <c r="O20" s="81">
        <f t="shared" ca="1" si="3"/>
        <v>-62.5</v>
      </c>
      <c r="P20" s="81">
        <f t="shared" ca="1" si="4"/>
        <v>-64.125</v>
      </c>
      <c r="Q20" s="81">
        <f ca="1"/>
        <v>-64.125</v>
      </c>
      <c r="R20" s="13" cm="1">
        <f t="array" aca="1" ref="R20" ca="1">(N$11-Q20+VLOOKUP(K$10,$C$4:$E$7,3,FALSE)+VLOOKUP(K$10,$C$4:$F$7,4,FALSE)*_xll.QDates_YearFraction(valDate,L20,"ACT365F"))/VLOOKUP(K$10,$C$4:$G$7,5,FALSE)</f>
        <v>322.75</v>
      </c>
      <c r="T20" s="8" t="str" cm="1">
        <f t="array" aca="1" ref="T20" ca="1">_xll.QDates_FuturesNextCode(T19)</f>
        <v>XBH1</v>
      </c>
      <c r="U20" s="1" cm="1">
        <f t="array" aca="1" ref="U20" ca="1">_xll.QDates_FuturesExpiryFromCode(T20)</f>
        <v>44253</v>
      </c>
      <c r="V20" cm="1">
        <f t="array" aca="1" ref="V20" ca="1">_xll.BDP(T20&amp;" Comdty","PX_SETTLE")</f>
        <v>89.53</v>
      </c>
      <c r="W20" cm="1">
        <f t="array" aca="1" ref="W20" ca="1">_xll.BDP(T20&amp;" Comdty",BidMidASK)</f>
        <v>89.44</v>
      </c>
      <c r="X20" s="81">
        <f t="shared" ca="1" si="0"/>
        <v>2.8900000000000006</v>
      </c>
      <c r="Y20" s="81">
        <f t="shared" ca="1" si="5"/>
        <v>3.4150000000000063</v>
      </c>
      <c r="Z20" s="81">
        <f ca="1"/>
        <v>3.4150000000000063</v>
      </c>
      <c r="AA20" s="13" cm="1">
        <f t="array" aca="1" ref="AA20" ca="1">(W$11-Z20+VLOOKUP(T$10,$C$4:$E$7,3,FALSE)+VLOOKUP(T$10,$C$4:$F$7,4,FALSE)*_xll.QDates_YearFraction(valDate,U20,"ACT365F"))/VLOOKUP(T$10,$C$4:$G$7,5,FALSE)</f>
        <v>0.86439999999999995</v>
      </c>
      <c r="AC20" s="8" t="str" cm="1">
        <f t="array" aca="1" ref="AC20" ca="1">_xll.QDates_FuturesNextCode(AC19)</f>
        <v>CLH1</v>
      </c>
      <c r="AD20" s="1" cm="1">
        <f t="array" aca="1" ref="AD20" ca="1">_xll.QDates_FuturesExpiryFromCode(AC20)</f>
        <v>44249</v>
      </c>
      <c r="AE20" cm="1">
        <f t="array" aca="1" ref="AE20" ca="1">_xll.BDP(AC20&amp;" Comdty","PX_SETTLE")</f>
        <v>32.06</v>
      </c>
      <c r="AF20" cm="1">
        <f t="array" aca="1" ref="AF20" ca="1">_xll.BDP(AC20&amp;" Comdty",BidMidASK)</f>
        <v>31.984999999999999</v>
      </c>
      <c r="AG20" s="81">
        <f t="shared" ca="1" si="6"/>
        <v>-7.9200000000000017</v>
      </c>
      <c r="AH20" s="81">
        <f t="shared" ca="1" si="7"/>
        <v>-7.23</v>
      </c>
      <c r="AI20" s="81">
        <f ca="1"/>
        <v>-7.23</v>
      </c>
      <c r="AJ20" s="13" cm="1">
        <f t="array" aca="1" ref="AJ20" ca="1">(AF$11-AI20+VLOOKUP(AC$10,$C$4:$E$7,3,FALSE)+VLOOKUP(AC$10,$C$4:$F$7,4,FALSE)*_xll.QDates_YearFraction(valDate,AD20,"ACT365F"))/VLOOKUP(AC$10,$C$4:$G$7,5,FALSE)</f>
        <v>31.734999999999999</v>
      </c>
    </row>
    <row r="21" spans="2:36" x14ac:dyDescent="0.25">
      <c r="B21" s="8" t="str" cm="1">
        <f t="array" aca="1" ref="B21" ca="1">_xll.QDates_FuturesNextCode(B20)</f>
        <v>COK1</v>
      </c>
      <c r="C21" s="1" cm="1">
        <f t="array" aca="1" ref="C21" ca="1">_xll.QDates_FuturesExpiryFromCode(B21)</f>
        <v>44286</v>
      </c>
      <c r="D21" cm="1">
        <f t="array" aca="1" ref="D21" ca="1">_xll.BDP(B21&amp;" Comdty","PX_SETTLE")</f>
        <v>36.28</v>
      </c>
      <c r="E21" cm="1">
        <f t="array" aca="1" ref="E21" ca="1">_xll.BDP(B21&amp;" Comdty",BidMidASK)</f>
        <v>36.244999999999997</v>
      </c>
      <c r="F21" s="81">
        <f t="shared" ca="1" si="1"/>
        <v>-6.6500000000000021</v>
      </c>
      <c r="G21" s="81">
        <f t="shared" ca="1" si="2"/>
        <v>-6.3299999999999983</v>
      </c>
      <c r="H21" s="81">
        <f ca="1"/>
        <v>-6.3299999999999983</v>
      </c>
      <c r="I21" s="13" cm="1">
        <f t="array" aca="1" ref="I21" ca="1">(E$11-H21+VLOOKUP(B$10,$C$4:$E$7,3,FALSE)+VLOOKUP(B$10,$C$4:$F$7,4,FALSE)*_xll.QDates_YearFraction(valDate,C21,"ACT365F"))/VLOOKUP(B$10,$C$4:$G$7,5,FALSE)</f>
        <v>36.671986301369863</v>
      </c>
      <c r="K21" s="8" t="str" cm="1">
        <f t="array" aca="1" ref="K21" ca="1">_xll.QDates_FuturesNextCode(K20)</f>
        <v>QSJ1</v>
      </c>
      <c r="L21" s="1" cm="1">
        <f t="array" aca="1" ref="L21" ca="1">_xll.QDates_FuturesExpiryFromCode(K21)</f>
        <v>44298</v>
      </c>
      <c r="M21" cm="1">
        <f t="array" aca="1" ref="M21" ca="1">_xll.BDP(K21&amp;" Comdty","PX_SETTLE")</f>
        <v>325.5</v>
      </c>
      <c r="N21" cm="1">
        <f t="array" aca="1" ref="N21" ca="1">_xll.BDP(K21&amp;" Comdty",BidMidASK)</f>
        <v>325.625</v>
      </c>
      <c r="O21" s="81">
        <f t="shared" ca="1" si="3"/>
        <v>-67.5</v>
      </c>
      <c r="P21" s="81">
        <f t="shared" ca="1" si="4"/>
        <v>-69</v>
      </c>
      <c r="Q21" s="81">
        <f ca="1"/>
        <v>-69</v>
      </c>
      <c r="R21" s="13" cm="1">
        <f t="array" aca="1" ref="R21" ca="1">(N$11-Q21+VLOOKUP(K$10,$C$4:$E$7,3,FALSE)+VLOOKUP(K$10,$C$4:$F$7,4,FALSE)*_xll.QDates_YearFraction(valDate,L21,"ACT365F"))/VLOOKUP(K$10,$C$4:$G$7,5,FALSE)</f>
        <v>327.625</v>
      </c>
      <c r="T21" s="8" t="str" cm="1">
        <f t="array" aca="1" ref="T21" ca="1">_xll.QDates_FuturesNextCode(T20)</f>
        <v>XBJ1</v>
      </c>
      <c r="U21" s="1" cm="1">
        <f t="array" aca="1" ref="U21" ca="1">_xll.QDates_FuturesExpiryFromCode(T21)</f>
        <v>44286</v>
      </c>
      <c r="V21" cm="1">
        <f t="array" aca="1" ref="V21" ca="1">_xll.BDP(T21&amp;" Comdty","PX_SETTLE")</f>
        <v>104.75</v>
      </c>
      <c r="W21" cm="1">
        <f t="array" aca="1" ref="W21" ca="1">_xll.BDP(T21&amp;" Comdty",BidMidASK)</f>
        <v>116.88</v>
      </c>
      <c r="X21" s="81">
        <f t="shared" ca="1" si="0"/>
        <v>-12.329999999999998</v>
      </c>
      <c r="Y21" s="81">
        <f t="shared" ca="1" si="5"/>
        <v>-24.024999999999991</v>
      </c>
      <c r="Z21" s="81">
        <f ca="1"/>
        <v>-24.024999999999991</v>
      </c>
      <c r="AA21" s="13" cm="1">
        <f t="array" aca="1" ref="AA21" ca="1">(W$11-Z21+VLOOKUP(T$10,$C$4:$E$7,3,FALSE)+VLOOKUP(T$10,$C$4:$F$7,4,FALSE)*_xll.QDates_YearFraction(valDate,U21,"ACT365F"))/VLOOKUP(T$10,$C$4:$G$7,5,FALSE)</f>
        <v>1.1388</v>
      </c>
      <c r="AC21" s="8" t="str" cm="1">
        <f t="array" aca="1" ref="AC21" ca="1">_xll.QDates_FuturesNextCode(AC20)</f>
        <v>CLJ1</v>
      </c>
      <c r="AD21" s="1" cm="1">
        <f t="array" aca="1" ref="AD21" ca="1">_xll.QDates_FuturesExpiryFromCode(AC21)</f>
        <v>44277</v>
      </c>
      <c r="AE21" cm="1">
        <f t="array" aca="1" ref="AE21" ca="1">_xll.BDP(AC21&amp;" Comdty","PX_SETTLE")</f>
        <v>32.42</v>
      </c>
      <c r="AF21" cm="1">
        <f t="array" aca="1" ref="AF21" ca="1">_xll.BDP(AC21&amp;" Comdty",BidMidASK)</f>
        <v>32.340000000000003</v>
      </c>
      <c r="AG21" s="81">
        <f t="shared" ca="1" si="6"/>
        <v>-8.2800000000000011</v>
      </c>
      <c r="AH21" s="81">
        <f t="shared" ca="1" si="7"/>
        <v>-7.5850000000000044</v>
      </c>
      <c r="AI21" s="81">
        <f ca="1"/>
        <v>-7.5850000000000044</v>
      </c>
      <c r="AJ21" s="13" cm="1">
        <f t="array" aca="1" ref="AJ21" ca="1">(AF$11-AI21+VLOOKUP(AC$10,$C$4:$E$7,3,FALSE)+VLOOKUP(AC$10,$C$4:$F$7,4,FALSE)*_xll.QDates_YearFraction(valDate,AD21,"ACT365F"))/VLOOKUP(AC$10,$C$4:$G$7,5,FALSE)</f>
        <v>32.090000000000003</v>
      </c>
    </row>
    <row r="22" spans="2:36" x14ac:dyDescent="0.25">
      <c r="B22" s="8" t="str" cm="1">
        <f t="array" aca="1" ref="B22" ca="1">_xll.QDates_FuturesNextCode(B21)</f>
        <v>COM1</v>
      </c>
      <c r="C22" s="1" cm="1">
        <f t="array" aca="1" ref="C22" ca="1">_xll.QDates_FuturesExpiryFromCode(B22)</f>
        <v>44316</v>
      </c>
      <c r="D22" cm="1">
        <f t="array" aca="1" ref="D22" ca="1">_xll.BDP(B22&amp;" Comdty","PX_SETTLE")</f>
        <v>36.65</v>
      </c>
      <c r="E22" cm="1">
        <f t="array" aca="1" ref="E22" ca="1">_xll.BDP(B22&amp;" Comdty",BidMidASK)</f>
        <v>36.660000000000004</v>
      </c>
      <c r="F22" s="81">
        <f t="shared" ca="1" si="1"/>
        <v>-7.02</v>
      </c>
      <c r="G22" s="81">
        <f t="shared" ca="1" si="2"/>
        <v>-6.7450000000000045</v>
      </c>
      <c r="H22" s="81">
        <f ca="1"/>
        <v>-6.7450000000000045</v>
      </c>
      <c r="I22" s="13" cm="1">
        <f t="array" aca="1" ref="I22" ca="1">(E$11-H22+VLOOKUP(B$10,$C$4:$E$7,3,FALSE)+VLOOKUP(B$10,$C$4:$F$7,4,FALSE)*_xll.QDates_YearFraction(valDate,C22,"ACT365F"))/VLOOKUP(B$10,$C$4:$G$7,5,FALSE)</f>
        <v>37.103424657534248</v>
      </c>
      <c r="K22" s="8" t="str" cm="1">
        <f t="array" aca="1" ref="K22" ca="1">_xll.QDates_FuturesNextCode(K21)</f>
        <v>QSK1</v>
      </c>
      <c r="L22" s="1" cm="1">
        <f t="array" aca="1" ref="L22" ca="1">_xll.QDates_FuturesExpiryFromCode(K22)</f>
        <v>44328</v>
      </c>
      <c r="M22" cm="1">
        <f t="array" aca="1" ref="M22" ca="1">_xll.BDP(K22&amp;" Comdty","PX_SETTLE")</f>
        <v>330</v>
      </c>
      <c r="N22" cm="1">
        <f t="array" aca="1" ref="N22" ca="1">_xll.BDP(K22&amp;" Comdty",BidMidASK)</f>
        <v>329.875</v>
      </c>
      <c r="O22" s="81">
        <f t="shared" ca="1" si="3"/>
        <v>-72</v>
      </c>
      <c r="P22" s="81">
        <f t="shared" ca="1" si="4"/>
        <v>-73.25</v>
      </c>
      <c r="Q22" s="81">
        <f ca="1"/>
        <v>-73.25</v>
      </c>
      <c r="R22" s="13" cm="1">
        <f t="array" aca="1" ref="R22" ca="1">(N$11-Q22+VLOOKUP(K$10,$C$4:$E$7,3,FALSE)+VLOOKUP(K$10,$C$4:$F$7,4,FALSE)*_xll.QDates_YearFraction(valDate,L22,"ACT365F"))/VLOOKUP(K$10,$C$4:$G$7,5,FALSE)</f>
        <v>331.875</v>
      </c>
      <c r="T22" s="8" t="str" cm="1">
        <f t="array" aca="1" ref="T22" ca="1">_xll.QDates_FuturesNextCode(T21)</f>
        <v>XBK1</v>
      </c>
      <c r="U22" s="1" cm="1">
        <f t="array" aca="1" ref="U22" ca="1">_xll.QDates_FuturesExpiryFromCode(T22)</f>
        <v>44316</v>
      </c>
      <c r="V22" cm="1">
        <f t="array" aca="1" ref="V22" ca="1">_xll.BDP(T22&amp;" Comdty","PX_SETTLE")</f>
        <v>106.02</v>
      </c>
      <c r="W22" cm="1">
        <f t="array" aca="1" ref="W22" ca="1">_xll.BDP(T22&amp;" Comdty",BidMidASK)</f>
        <v>107.285</v>
      </c>
      <c r="X22" s="81">
        <f t="shared" ca="1" si="0"/>
        <v>-13.599999999999994</v>
      </c>
      <c r="Y22" s="81">
        <f t="shared" ca="1" si="5"/>
        <v>-14.429999999999993</v>
      </c>
      <c r="Z22" s="81">
        <f ca="1"/>
        <v>-14.429999999999993</v>
      </c>
      <c r="AA22" s="13" cm="1">
        <f t="array" aca="1" ref="AA22" ca="1">(W$11-Z22+VLOOKUP(T$10,$C$4:$E$7,3,FALSE)+VLOOKUP(T$10,$C$4:$F$7,4,FALSE)*_xll.QDates_YearFraction(valDate,U22,"ACT365F"))/VLOOKUP(T$10,$C$4:$G$7,5,FALSE)</f>
        <v>1.0428500000000001</v>
      </c>
      <c r="AC22" s="8" t="str" cm="1">
        <f t="array" aca="1" ref="AC22" ca="1">_xll.QDates_FuturesNextCode(AC21)</f>
        <v>CLK1</v>
      </c>
      <c r="AD22" s="1" cm="1">
        <f t="array" aca="1" ref="AD22" ca="1">_xll.QDates_FuturesExpiryFromCode(AC22)</f>
        <v>44306</v>
      </c>
      <c r="AE22" cm="1">
        <f t="array" aca="1" ref="AE22" ca="1">_xll.BDP(AC22&amp;" Comdty","PX_SETTLE")</f>
        <v>32.75</v>
      </c>
      <c r="AF22" cm="1">
        <f t="array" aca="1" ref="AF22" ca="1">_xll.BDP(AC22&amp;" Comdty",BidMidASK)</f>
        <v>32.660000000000004</v>
      </c>
      <c r="AG22" s="81">
        <f t="shared" ca="1" si="6"/>
        <v>-8.61</v>
      </c>
      <c r="AH22" s="81">
        <f t="shared" ca="1" si="7"/>
        <v>-7.9050000000000047</v>
      </c>
      <c r="AI22" s="81">
        <f ca="1"/>
        <v>-7.9050000000000047</v>
      </c>
      <c r="AJ22" s="13" cm="1">
        <f t="array" aca="1" ref="AJ22" ca="1">(AF$11-AI22+VLOOKUP(AC$10,$C$4:$E$7,3,FALSE)+VLOOKUP(AC$10,$C$4:$F$7,4,FALSE)*_xll.QDates_YearFraction(valDate,AD22,"ACT365F"))/VLOOKUP(AC$10,$C$4:$G$7,5,FALSE)</f>
        <v>32.410000000000004</v>
      </c>
    </row>
    <row r="23" spans="2:36" x14ac:dyDescent="0.25">
      <c r="B23" s="8" t="str" cm="1">
        <f t="array" aca="1" ref="B23" ca="1">_xll.QDates_FuturesNextCode(B22)</f>
        <v>CON1</v>
      </c>
      <c r="C23" s="1" cm="1">
        <f t="array" aca="1" ref="C23" ca="1">_xll.QDates_FuturesExpiryFromCode(B23)</f>
        <v>44344</v>
      </c>
      <c r="D23" cm="1">
        <f t="array" aca="1" ref="D23" ca="1">_xll.BDP(B23&amp;" Comdty","PX_SETTLE")</f>
        <v>36.97</v>
      </c>
      <c r="E23" cm="1">
        <f t="array" aca="1" ref="E23" ca="1">_xll.BDP(B23&amp;" Comdty",BidMidASK)</f>
        <v>36.93</v>
      </c>
      <c r="F23" s="81">
        <f t="shared" ca="1" si="1"/>
        <v>-7.34</v>
      </c>
      <c r="G23" s="81">
        <f t="shared" ca="1" si="2"/>
        <v>-7.0150000000000006</v>
      </c>
      <c r="H23" s="81">
        <f ca="1"/>
        <v>-7.0150000000000006</v>
      </c>
      <c r="I23" s="13" cm="1">
        <f t="array" aca="1" ref="I23" ca="1">(E$11-H23+VLOOKUP(B$10,$C$4:$E$7,3,FALSE)+VLOOKUP(B$10,$C$4:$F$7,4,FALSE)*_xll.QDates_YearFraction(valDate,C23,"ACT365F"))/VLOOKUP(B$10,$C$4:$G$7,5,FALSE)</f>
        <v>37.388767123287671</v>
      </c>
      <c r="K23" s="8" t="str" cm="1">
        <f t="array" aca="1" ref="K23" ca="1">_xll.QDates_FuturesNextCode(K22)</f>
        <v>QSM1</v>
      </c>
      <c r="L23" s="1" cm="1">
        <f t="array" aca="1" ref="L23" ca="1">_xll.QDates_FuturesExpiryFromCode(K23)</f>
        <v>44357</v>
      </c>
      <c r="M23" cm="1">
        <f t="array" aca="1" ref="M23" ca="1">_xll.BDP(K23&amp;" Comdty","PX_SETTLE")</f>
        <v>333.25</v>
      </c>
      <c r="N23" cm="1">
        <f t="array" aca="1" ref="N23" ca="1">_xll.BDP(K23&amp;" Comdty",BidMidASK)</f>
        <v>333.25</v>
      </c>
      <c r="O23" s="81">
        <f t="shared" ca="1" si="3"/>
        <v>-75.25</v>
      </c>
      <c r="P23" s="81">
        <f t="shared" ca="1" si="4"/>
        <v>-76.625</v>
      </c>
      <c r="Q23" s="81">
        <f ca="1"/>
        <v>-76.625</v>
      </c>
      <c r="R23" s="13" cm="1">
        <f t="array" aca="1" ref="R23" ca="1">(N$11-Q23+VLOOKUP(K$10,$C$4:$E$7,3,FALSE)+VLOOKUP(K$10,$C$4:$F$7,4,FALSE)*_xll.QDates_YearFraction(valDate,L23,"ACT365F"))/VLOOKUP(K$10,$C$4:$G$7,5,FALSE)</f>
        <v>335.25</v>
      </c>
      <c r="T23" s="8" t="str" cm="1">
        <f t="array" aca="1" ref="T23" ca="1">_xll.QDates_FuturesNextCode(T22)</f>
        <v>XBM1</v>
      </c>
      <c r="U23" s="1" cm="1">
        <f t="array" aca="1" ref="U23" ca="1">_xll.QDates_FuturesExpiryFromCode(T23)</f>
        <v>44344</v>
      </c>
      <c r="V23" cm="1">
        <f t="array" aca="1" ref="V23" ca="1">_xll.BDP(T23&amp;" Comdty","PX_SETTLE")</f>
        <v>106.13</v>
      </c>
      <c r="W23" cm="1">
        <f t="array" aca="1" ref="W23" ca="1">_xll.BDP(T23&amp;" Comdty",BidMidASK)</f>
        <v>106.2</v>
      </c>
      <c r="X23" s="81">
        <f t="shared" ca="1" si="0"/>
        <v>-13.709999999999994</v>
      </c>
      <c r="Y23" s="81">
        <f t="shared" ca="1" si="5"/>
        <v>-13.344999999999999</v>
      </c>
      <c r="Z23" s="81">
        <f ca="1"/>
        <v>-13.344999999999999</v>
      </c>
      <c r="AA23" s="13" cm="1">
        <f t="array" aca="1" ref="AA23" ca="1">(W$11-Z23+VLOOKUP(T$10,$C$4:$E$7,3,FALSE)+VLOOKUP(T$10,$C$4:$F$7,4,FALSE)*_xll.QDates_YearFraction(valDate,U23,"ACT365F"))/VLOOKUP(T$10,$C$4:$G$7,5,FALSE)</f>
        <v>1.032</v>
      </c>
      <c r="AC23" s="8" t="str" cm="1">
        <f t="array" aca="1" ref="AC23" ca="1">_xll.QDates_FuturesNextCode(AC22)</f>
        <v>CLM1</v>
      </c>
      <c r="AD23" s="1" cm="1">
        <f t="array" aca="1" ref="AD23" ca="1">_xll.QDates_FuturesExpiryFromCode(AC23)</f>
        <v>44336</v>
      </c>
      <c r="AE23" cm="1">
        <f t="array" aca="1" ref="AE23" ca="1">_xll.BDP(AC23&amp;" Comdty","PX_SETTLE")</f>
        <v>33.049999999999997</v>
      </c>
      <c r="AF23" cm="1">
        <f t="array" aca="1" ref="AF23" ca="1">_xll.BDP(AC23&amp;" Comdty",BidMidASK)</f>
        <v>32.954999999999998</v>
      </c>
      <c r="AG23" s="81">
        <f t="shared" ca="1" si="6"/>
        <v>-8.9099999999999966</v>
      </c>
      <c r="AH23" s="81">
        <f t="shared" ca="1" si="7"/>
        <v>-8.1999999999999993</v>
      </c>
      <c r="AI23" s="81">
        <f ca="1"/>
        <v>-8.1999999999999993</v>
      </c>
      <c r="AJ23" s="13" cm="1">
        <f t="array" aca="1" ref="AJ23" ca="1">(AF$11-AI23+VLOOKUP(AC$10,$C$4:$E$7,3,FALSE)+VLOOKUP(AC$10,$C$4:$F$7,4,FALSE)*_xll.QDates_YearFraction(valDate,AD23,"ACT365F"))/VLOOKUP(AC$10,$C$4:$G$7,5,FALSE)</f>
        <v>32.704999999999998</v>
      </c>
    </row>
    <row r="24" spans="2:36" x14ac:dyDescent="0.25">
      <c r="B24" s="8" t="str" cm="1">
        <f t="array" aca="1" ref="B24" ca="1">_xll.QDates_FuturesNextCode(B23)</f>
        <v>COQ1</v>
      </c>
      <c r="C24" s="1" cm="1">
        <f t="array" aca="1" ref="C24" ca="1">_xll.QDates_FuturesExpiryFromCode(B24)</f>
        <v>44377</v>
      </c>
      <c r="D24" cm="1">
        <f t="array" aca="1" ref="D24" ca="1">_xll.BDP(B24&amp;" Comdty","PX_SETTLE")</f>
        <v>37.31</v>
      </c>
      <c r="E24" cm="1">
        <f t="array" aca="1" ref="E24" ca="1">_xll.BDP(B24&amp;" Comdty",BidMidASK)</f>
        <v>37.285000000000004</v>
      </c>
      <c r="F24" s="81">
        <f t="shared" ca="1" si="1"/>
        <v>-7.6800000000000033</v>
      </c>
      <c r="G24" s="81">
        <f t="shared" ca="1" si="2"/>
        <v>-7.3700000000000045</v>
      </c>
      <c r="H24" s="81">
        <f ca="1"/>
        <v>-7.3700000000000045</v>
      </c>
      <c r="I24" s="13" cm="1">
        <f t="array" aca="1" ref="I24" ca="1">(E$11-H24+VLOOKUP(B$10,$C$4:$E$7,3,FALSE)+VLOOKUP(B$10,$C$4:$F$7,4,FALSE)*_xll.QDates_YearFraction(valDate,C24,"ACT365F"))/VLOOKUP(B$10,$C$4:$G$7,5,FALSE)</f>
        <v>37.761849315068496</v>
      </c>
      <c r="K24" s="8" t="str" cm="1">
        <f t="array" aca="1" ref="K24" ca="1">_xll.QDates_FuturesNextCode(K23)</f>
        <v>QSN1</v>
      </c>
      <c r="L24" s="1" cm="1">
        <f t="array" aca="1" ref="L24" ca="1">_xll.QDates_FuturesExpiryFromCode(K24)</f>
        <v>44389</v>
      </c>
      <c r="M24" cm="1">
        <f t="array" aca="1" ref="M24" ca="1">_xll.BDP(K24&amp;" Comdty","PX_SETTLE")</f>
        <v>337.75</v>
      </c>
      <c r="N24" cm="1">
        <f t="array" aca="1" ref="N24" ca="1">_xll.BDP(K24&amp;" Comdty",BidMidASK)</f>
        <v>337.875</v>
      </c>
      <c r="O24" s="81">
        <f t="shared" ca="1" si="3"/>
        <v>-79.75</v>
      </c>
      <c r="P24" s="81">
        <f t="shared" ca="1" si="4"/>
        <v>-81.25</v>
      </c>
      <c r="Q24" s="81">
        <f ca="1"/>
        <v>-81.25</v>
      </c>
      <c r="R24" s="13" cm="1">
        <f t="array" aca="1" ref="R24" ca="1">(N$11-Q24+VLOOKUP(K$10,$C$4:$E$7,3,FALSE)+VLOOKUP(K$10,$C$4:$F$7,4,FALSE)*_xll.QDates_YearFraction(valDate,L24,"ACT365F"))/VLOOKUP(K$10,$C$4:$G$7,5,FALSE)</f>
        <v>339.875</v>
      </c>
      <c r="T24" s="8" t="str" cm="1">
        <f t="array" aca="1" ref="T24" ca="1">_xll.QDates_FuturesNextCode(T23)</f>
        <v>XBN1</v>
      </c>
      <c r="U24" s="1" cm="1">
        <f t="array" aca="1" ref="U24" ca="1">_xll.QDates_FuturesExpiryFromCode(T24)</f>
        <v>44377</v>
      </c>
      <c r="V24" cm="1">
        <f t="array" aca="1" ref="V24" ca="1">_xll.BDP(T24&amp;" Comdty","PX_SETTLE")</f>
        <v>105.77</v>
      </c>
      <c r="W24" cm="1">
        <f t="array" aca="1" ref="W24" ca="1">_xll.BDP(T24&amp;" Comdty",BidMidASK)</f>
        <v>104.825</v>
      </c>
      <c r="X24" s="81">
        <f t="shared" ca="1" si="0"/>
        <v>-13.349999999999994</v>
      </c>
      <c r="Y24" s="81">
        <f t="shared" ca="1" si="5"/>
        <v>-11.969999999999999</v>
      </c>
      <c r="Z24" s="81">
        <f ca="1"/>
        <v>-11.969999999999999</v>
      </c>
      <c r="AA24" s="13" cm="1">
        <f t="array" aca="1" ref="AA24" ca="1">(W$11-Z24+VLOOKUP(T$10,$C$4:$E$7,3,FALSE)+VLOOKUP(T$10,$C$4:$F$7,4,FALSE)*_xll.QDates_YearFraction(valDate,U24,"ACT365F"))/VLOOKUP(T$10,$C$4:$G$7,5,FALSE)</f>
        <v>1.0182500000000001</v>
      </c>
      <c r="AC24" s="8" t="str" cm="1">
        <f t="array" aca="1" ref="AC24" ca="1">_xll.QDates_FuturesNextCode(AC23)</f>
        <v>CLN1</v>
      </c>
      <c r="AD24" s="1" cm="1">
        <f t="array" aca="1" ref="AD24" ca="1">_xll.QDates_FuturesExpiryFromCode(AC24)</f>
        <v>44369</v>
      </c>
      <c r="AE24" cm="1">
        <f t="array" aca="1" ref="AE24" ca="1">_xll.BDP(AC24&amp;" Comdty","PX_SETTLE")</f>
        <v>33.32</v>
      </c>
      <c r="AF24" cm="1">
        <f t="array" aca="1" ref="AF24" ca="1">_xll.BDP(AC24&amp;" Comdty",BidMidASK)</f>
        <v>33.28</v>
      </c>
      <c r="AG24" s="81">
        <f t="shared" ca="1" si="6"/>
        <v>-9.18</v>
      </c>
      <c r="AH24" s="81">
        <f t="shared" ca="1" si="7"/>
        <v>-8.5250000000000021</v>
      </c>
      <c r="AI24" s="81">
        <f ca="1"/>
        <v>-8.5250000000000021</v>
      </c>
      <c r="AJ24" s="13" cm="1">
        <f t="array" aca="1" ref="AJ24" ca="1">(AF$11-AI24+VLOOKUP(AC$10,$C$4:$E$7,3,FALSE)+VLOOKUP(AC$10,$C$4:$F$7,4,FALSE)*_xll.QDates_YearFraction(valDate,AD24,"ACT365F"))/VLOOKUP(AC$10,$C$4:$G$7,5,FALSE)</f>
        <v>33.03</v>
      </c>
    </row>
    <row r="25" spans="2:36" x14ac:dyDescent="0.25">
      <c r="B25" s="8" t="str" cm="1">
        <f t="array" aca="1" ref="B25" ca="1">_xll.QDates_FuturesNextCode(B24)</f>
        <v>COU1</v>
      </c>
      <c r="C25" s="1" cm="1">
        <f t="array" aca="1" ref="C25" ca="1">_xll.QDates_FuturesExpiryFromCode(B25)</f>
        <v>44407</v>
      </c>
      <c r="D25" cm="1">
        <f t="array" aca="1" ref="D25" ca="1">_xll.BDP(B25&amp;" Comdty","PX_SETTLE")</f>
        <v>37.64</v>
      </c>
      <c r="E25" cm="1">
        <f t="array" aca="1" ref="E25" ca="1">_xll.BDP(B25&amp;" Comdty",BidMidASK)</f>
        <v>37.685000000000002</v>
      </c>
      <c r="F25" s="81">
        <f t="shared" ca="1" si="1"/>
        <v>-8.0100000000000016</v>
      </c>
      <c r="G25" s="81">
        <f t="shared" ca="1" si="2"/>
        <v>-7.7700000000000031</v>
      </c>
      <c r="H25" s="81">
        <f ca="1"/>
        <v>-7.7700000000000031</v>
      </c>
      <c r="I25" s="13" cm="1">
        <f t="array" aca="1" ref="I25" ca="1">(E$11-H25+VLOOKUP(B$10,$C$4:$E$7,3,FALSE)+VLOOKUP(B$10,$C$4:$F$7,4,FALSE)*_xll.QDates_YearFraction(valDate,C25,"ACT365F"))/VLOOKUP(B$10,$C$4:$G$7,5,FALSE)</f>
        <v>38.17828767123288</v>
      </c>
      <c r="K25" s="8" t="str" cm="1">
        <f t="array" aca="1" ref="K25" ca="1">_xll.QDates_FuturesNextCode(K24)</f>
        <v>QSQ1</v>
      </c>
      <c r="L25" s="1" cm="1">
        <f t="array" aca="1" ref="L25" ca="1">_xll.QDates_FuturesExpiryFromCode(K25)</f>
        <v>44420</v>
      </c>
      <c r="M25" cm="1">
        <f t="array" aca="1" ref="M25" ca="1">_xll.BDP(K25&amp;" Comdty","PX_SETTLE")</f>
        <v>342.25</v>
      </c>
      <c r="N25" cm="1">
        <f t="array" aca="1" ref="N25" ca="1">_xll.BDP(K25&amp;" Comdty",BidMidASK)</f>
        <v>342.25</v>
      </c>
      <c r="O25" s="81">
        <f t="shared" ca="1" si="3"/>
        <v>-84.25</v>
      </c>
      <c r="P25" s="81">
        <f t="shared" ca="1" si="4"/>
        <v>-85.625</v>
      </c>
      <c r="Q25" s="81">
        <f ca="1"/>
        <v>-85.625</v>
      </c>
      <c r="R25" s="13" cm="1">
        <f t="array" aca="1" ref="R25" ca="1">(N$11-Q25+VLOOKUP(K$10,$C$4:$E$7,3,FALSE)+VLOOKUP(K$10,$C$4:$F$7,4,FALSE)*_xll.QDates_YearFraction(valDate,L25,"ACT365F"))/VLOOKUP(K$10,$C$4:$G$7,5,FALSE)</f>
        <v>344.25</v>
      </c>
      <c r="T25" s="8" t="str" cm="1">
        <f t="array" aca="1" ref="T25" ca="1">_xll.QDates_FuturesNextCode(T24)</f>
        <v>XBQ1</v>
      </c>
      <c r="U25" s="1" cm="1">
        <f t="array" aca="1" ref="U25" ca="1">_xll.QDates_FuturesExpiryFromCode(T25)</f>
        <v>44407</v>
      </c>
      <c r="V25" cm="1">
        <f t="array" aca="1" ref="V25" ca="1">_xll.BDP(T25&amp;" Comdty","PX_SETTLE")</f>
        <v>105.24000000000001</v>
      </c>
      <c r="W25" cm="1">
        <f t="array" aca="1" ref="W25" ca="1">_xll.BDP(T25&amp;" Comdty",BidMidASK)</f>
        <v>105.77500000000001</v>
      </c>
      <c r="X25" s="81">
        <f t="shared" ca="1" si="0"/>
        <v>-12.820000000000007</v>
      </c>
      <c r="Y25" s="81">
        <f t="shared" ca="1" si="5"/>
        <v>-12.920000000000002</v>
      </c>
      <c r="Z25" s="81">
        <f ca="1"/>
        <v>-12.920000000000002</v>
      </c>
      <c r="AA25" s="13" cm="1">
        <f t="array" aca="1" ref="AA25" ca="1">(W$11-Z25+VLOOKUP(T$10,$C$4:$E$7,3,FALSE)+VLOOKUP(T$10,$C$4:$F$7,4,FALSE)*_xll.QDates_YearFraction(valDate,U25,"ACT365F"))/VLOOKUP(T$10,$C$4:$G$7,5,FALSE)</f>
        <v>1.0277500000000002</v>
      </c>
      <c r="AC25" s="8" t="str" cm="1">
        <f t="array" aca="1" ref="AC25" ca="1">_xll.QDates_FuturesNextCode(AC24)</f>
        <v>CLQ1</v>
      </c>
      <c r="AD25" s="1" cm="1">
        <f t="array" aca="1" ref="AD25" ca="1">_xll.QDates_FuturesExpiryFromCode(AC25)</f>
        <v>44397</v>
      </c>
      <c r="AE25" cm="1">
        <f t="array" aca="1" ref="AE25" ca="1">_xll.BDP(AC25&amp;" Comdty","PX_SETTLE")</f>
        <v>33.590000000000003</v>
      </c>
      <c r="AF25" cm="1">
        <f t="array" aca="1" ref="AF25" ca="1">_xll.BDP(AC25&amp;" Comdty",BidMidASK)</f>
        <v>33.524999999999999</v>
      </c>
      <c r="AG25" s="81">
        <f t="shared" ca="1" si="6"/>
        <v>-9.4500000000000028</v>
      </c>
      <c r="AH25" s="81">
        <f t="shared" ca="1" si="7"/>
        <v>-8.77</v>
      </c>
      <c r="AI25" s="81">
        <f ca="1"/>
        <v>-8.77</v>
      </c>
      <c r="AJ25" s="13" cm="1">
        <f t="array" aca="1" ref="AJ25" ca="1">(AF$11-AI25+VLOOKUP(AC$10,$C$4:$E$7,3,FALSE)+VLOOKUP(AC$10,$C$4:$F$7,4,FALSE)*_xll.QDates_YearFraction(valDate,AD25,"ACT365F"))/VLOOKUP(AC$10,$C$4:$G$7,5,FALSE)</f>
        <v>33.274999999999999</v>
      </c>
    </row>
    <row r="26" spans="2:36" x14ac:dyDescent="0.25">
      <c r="B26" s="8" t="str" cm="1">
        <f t="array" aca="1" ref="B26" ca="1">_xll.QDates_FuturesNextCode(B25)</f>
        <v>COV1</v>
      </c>
      <c r="C26" s="1" cm="1">
        <f t="array" aca="1" ref="C26" ca="1">_xll.QDates_FuturesExpiryFromCode(B26)</f>
        <v>44439</v>
      </c>
      <c r="D26" cm="1">
        <f t="array" aca="1" ref="D26" ca="1">_xll.BDP(B26&amp;" Comdty","PX_SETTLE")</f>
        <v>37.93</v>
      </c>
      <c r="E26" cm="1">
        <f t="array" aca="1" ref="E26" ca="1">_xll.BDP(B26&amp;" Comdty",BidMidASK)</f>
        <v>37.97</v>
      </c>
      <c r="F26" s="81">
        <f t="shared" ca="1" si="1"/>
        <v>-8.3000000000000007</v>
      </c>
      <c r="G26" s="81">
        <f t="shared" ca="1" si="2"/>
        <v>-8.0549999999999997</v>
      </c>
      <c r="H26" s="81">
        <f ca="1"/>
        <v>-8.0549999999999997</v>
      </c>
      <c r="I26" s="13" cm="1">
        <f t="array" aca="1" ref="I26" ca="1">(E$11-H26+VLOOKUP(B$10,$C$4:$E$7,3,FALSE)+VLOOKUP(B$10,$C$4:$F$7,4,FALSE)*_xll.QDates_YearFraction(valDate,C26,"ACT365F"))/VLOOKUP(B$10,$C$4:$G$7,5,FALSE)</f>
        <v>38.480821917808221</v>
      </c>
      <c r="K26" s="8" t="str" cm="1">
        <f t="array" aca="1" ref="K26" ca="1">_xll.QDates_FuturesNextCode(K25)</f>
        <v>QSU1</v>
      </c>
      <c r="L26" s="1" cm="1">
        <f t="array" aca="1" ref="L26" ca="1">_xll.QDates_FuturesExpiryFromCode(K26)</f>
        <v>44449</v>
      </c>
      <c r="M26" cm="1">
        <f t="array" aca="1" ref="M26" ca="1">_xll.BDP(K26&amp;" Comdty","PX_SETTLE")</f>
        <v>346</v>
      </c>
      <c r="N26" cm="1">
        <f t="array" aca="1" ref="N26" ca="1">_xll.BDP(K26&amp;" Comdty",BidMidASK)</f>
        <v>350.375</v>
      </c>
      <c r="O26" s="81">
        <f t="shared" ca="1" si="3"/>
        <v>-88</v>
      </c>
      <c r="P26" s="81">
        <f t="shared" ca="1" si="4"/>
        <v>-93.75</v>
      </c>
      <c r="Q26" s="81">
        <f ca="1"/>
        <v>-93.75</v>
      </c>
      <c r="R26" s="13" cm="1">
        <f t="array" aca="1" ref="R26" ca="1">(N$11-Q26+VLOOKUP(K$10,$C$4:$E$7,3,FALSE)+VLOOKUP(K$10,$C$4:$F$7,4,FALSE)*_xll.QDates_YearFraction(valDate,L26,"ACT365F"))/VLOOKUP(K$10,$C$4:$G$7,5,FALSE)</f>
        <v>352.375</v>
      </c>
      <c r="T26" s="8" t="str" cm="1">
        <f t="array" aca="1" ref="T26" ca="1">_xll.QDates_FuturesNextCode(T25)</f>
        <v>XBU1</v>
      </c>
      <c r="U26" s="1" cm="1">
        <f t="array" aca="1" ref="U26" ca="1">_xll.QDates_FuturesExpiryFromCode(T26)</f>
        <v>44439</v>
      </c>
      <c r="V26" cm="1">
        <f t="array" aca="1" ref="V26" ca="1">_xll.BDP(T26&amp;" Comdty","PX_SETTLE")</f>
        <v>104.02</v>
      </c>
      <c r="W26" cm="1">
        <f t="array" aca="1" ref="W26" ca="1">_xll.BDP(T26&amp;" Comdty",BidMidASK)</f>
        <v>102.30500000000001</v>
      </c>
      <c r="X26" s="81">
        <f t="shared" ca="1" si="0"/>
        <v>-11.599999999999994</v>
      </c>
      <c r="Y26" s="81">
        <f t="shared" ca="1" si="5"/>
        <v>-9.4500000000000028</v>
      </c>
      <c r="Z26" s="81">
        <f ca="1"/>
        <v>-9.4500000000000028</v>
      </c>
      <c r="AA26" s="13" cm="1">
        <f t="array" aca="1" ref="AA26" ca="1">(W$11-Z26+VLOOKUP(T$10,$C$4:$E$7,3,FALSE)+VLOOKUP(T$10,$C$4:$F$7,4,FALSE)*_xll.QDates_YearFraction(valDate,U26,"ACT365F"))/VLOOKUP(T$10,$C$4:$G$7,5,FALSE)</f>
        <v>0.9930500000000001</v>
      </c>
      <c r="AC26" s="8" t="str" cm="1">
        <f t="array" aca="1" ref="AC26" ca="1">_xll.QDates_FuturesNextCode(AC25)</f>
        <v>CLU1</v>
      </c>
      <c r="AD26" s="1" cm="1">
        <f t="array" aca="1" ref="AD26" ca="1">_xll.QDates_FuturesExpiryFromCode(AC26)</f>
        <v>44428</v>
      </c>
      <c r="AE26" cm="1">
        <f t="array" aca="1" ref="AE26" ca="1">_xll.BDP(AC26&amp;" Comdty","PX_SETTLE")</f>
        <v>33.869999999999997</v>
      </c>
      <c r="AF26" cm="1">
        <f t="array" aca="1" ref="AF26" ca="1">_xll.BDP(AC26&amp;" Comdty",BidMidASK)</f>
        <v>33.79</v>
      </c>
      <c r="AG26" s="81">
        <f t="shared" ca="1" si="6"/>
        <v>-9.7299999999999969</v>
      </c>
      <c r="AH26" s="81">
        <f t="shared" ca="1" si="7"/>
        <v>-9.0350000000000001</v>
      </c>
      <c r="AI26" s="81">
        <f ca="1"/>
        <v>-9.0350000000000001</v>
      </c>
      <c r="AJ26" s="13" cm="1">
        <f t="array" aca="1" ref="AJ26" ca="1">(AF$11-AI26+VLOOKUP(AC$10,$C$4:$E$7,3,FALSE)+VLOOKUP(AC$10,$C$4:$F$7,4,FALSE)*_xll.QDates_YearFraction(valDate,AD26,"ACT365F"))/VLOOKUP(AC$10,$C$4:$G$7,5,FALSE)</f>
        <v>33.54</v>
      </c>
    </row>
    <row r="27" spans="2:36" x14ac:dyDescent="0.25">
      <c r="B27" s="8" t="str" cm="1">
        <f t="array" aca="1" ref="B27" ca="1">_xll.QDates_FuturesNextCode(B26)</f>
        <v>COX1</v>
      </c>
      <c r="C27" s="1" cm="1">
        <f t="array" aca="1" ref="C27" ca="1">_xll.QDates_FuturesExpiryFromCode(B27)</f>
        <v>44469</v>
      </c>
      <c r="D27" cm="1">
        <f t="array" aca="1" ref="D27" ca="1">_xll.BDP(B27&amp;" Comdty","PX_SETTLE")</f>
        <v>38.200000000000003</v>
      </c>
      <c r="E27" cm="1">
        <f t="array" aca="1" ref="E27" ca="1">_xll.BDP(B27&amp;" Comdty",BidMidASK)</f>
        <v>38.244999999999997</v>
      </c>
      <c r="F27" s="81">
        <f t="shared" ca="1" si="1"/>
        <v>-8.5700000000000038</v>
      </c>
      <c r="G27" s="81">
        <f t="shared" ca="1" si="2"/>
        <v>-8.3299999999999983</v>
      </c>
      <c r="H27" s="81">
        <f ca="1"/>
        <v>-8.3299999999999983</v>
      </c>
      <c r="I27" s="13" cm="1">
        <f t="array" aca="1" ref="I27" ca="1">(E$11-H27+VLOOKUP(B$10,$C$4:$E$7,3,FALSE)+VLOOKUP(B$10,$C$4:$F$7,4,FALSE)*_xll.QDates_YearFraction(valDate,C27,"ACT365F"))/VLOOKUP(B$10,$C$4:$G$7,5,FALSE)</f>
        <v>38.772260273972599</v>
      </c>
      <c r="K27" s="8" t="str" cm="1">
        <f t="array" aca="1" ref="K27" ca="1">_xll.QDates_FuturesNextCode(K26)</f>
        <v>QSV1</v>
      </c>
      <c r="L27" s="1" cm="1">
        <f t="array" aca="1" ref="L27" ca="1">_xll.QDates_FuturesExpiryFromCode(K27)</f>
        <v>44481</v>
      </c>
      <c r="M27" cm="1">
        <f t="array" aca="1" ref="M27" ca="1">_xll.BDP(K27&amp;" Comdty","PX_SETTLE")</f>
        <v>349.75</v>
      </c>
      <c r="N27" cm="1">
        <f t="array" aca="1" ref="N27" ca="1">_xll.BDP(K27&amp;" Comdty",BidMidASK)</f>
        <v>349.75</v>
      </c>
      <c r="O27" s="81">
        <f t="shared" ca="1" si="3"/>
        <v>-91.75</v>
      </c>
      <c r="P27" s="81">
        <f t="shared" ca="1" si="4"/>
        <v>-93.125</v>
      </c>
      <c r="Q27" s="81">
        <f ca="1"/>
        <v>-93.125</v>
      </c>
      <c r="R27" s="13" cm="1">
        <f t="array" aca="1" ref="R27" ca="1">(N$11-Q27+VLOOKUP(K$10,$C$4:$E$7,3,FALSE)+VLOOKUP(K$10,$C$4:$F$7,4,FALSE)*_xll.QDates_YearFraction(valDate,L27,"ACT365F"))/VLOOKUP(K$10,$C$4:$G$7,5,FALSE)</f>
        <v>351.75</v>
      </c>
      <c r="T27" s="8" t="str" cm="1">
        <f t="array" aca="1" ref="T27" ca="1">_xll.QDates_FuturesNextCode(T26)</f>
        <v>XBV1</v>
      </c>
      <c r="U27" s="1" cm="1">
        <f t="array" aca="1" ref="U27" ca="1">_xll.QDates_FuturesExpiryFromCode(T27)</f>
        <v>44469</v>
      </c>
      <c r="V27" cm="1">
        <f t="array" aca="1" ref="V27" ca="1">_xll.BDP(T27&amp;" Comdty","PX_SETTLE")</f>
        <v>94.49</v>
      </c>
      <c r="W27" cm="1">
        <f t="array" aca="1" ref="W27" ca="1">_xll.BDP(T27&amp;" Comdty",BidMidASK)</f>
        <v>96.555000000000007</v>
      </c>
      <c r="X27" s="81">
        <f t="shared" ca="1" si="0"/>
        <v>-2.0699999999999932</v>
      </c>
      <c r="Y27" s="81">
        <f t="shared" ca="1" si="5"/>
        <v>-3.7000000000000028</v>
      </c>
      <c r="Z27" s="81">
        <f ca="1"/>
        <v>-3.7000000000000028</v>
      </c>
      <c r="AA27" s="13" cm="1">
        <f t="array" aca="1" ref="AA27" ca="1">(W$11-Z27+VLOOKUP(T$10,$C$4:$E$7,3,FALSE)+VLOOKUP(T$10,$C$4:$F$7,4,FALSE)*_xll.QDates_YearFraction(valDate,U27,"ACT365F"))/VLOOKUP(T$10,$C$4:$G$7,5,FALSE)</f>
        <v>0.9355500000000001</v>
      </c>
      <c r="AC27" s="8" t="str" cm="1">
        <f t="array" aca="1" ref="AC27" ca="1">_xll.QDates_FuturesNextCode(AC26)</f>
        <v>CLV1</v>
      </c>
      <c r="AD27" s="1" cm="1">
        <f t="array" aca="1" ref="AD27" ca="1">_xll.QDates_FuturesExpiryFromCode(AC27)</f>
        <v>44460</v>
      </c>
      <c r="AE27" cm="1">
        <f t="array" aca="1" ref="AE27" ca="1">_xll.BDP(AC27&amp;" Comdty","PX_SETTLE")</f>
        <v>34.15</v>
      </c>
      <c r="AF27" cm="1">
        <f t="array" aca="1" ref="AF27" ca="1">_xll.BDP(AC27&amp;" Comdty",BidMidASK)</f>
        <v>34.06</v>
      </c>
      <c r="AG27" s="81">
        <f t="shared" ca="1" si="6"/>
        <v>-10.009999999999998</v>
      </c>
      <c r="AH27" s="81">
        <f t="shared" ca="1" si="7"/>
        <v>-9.3050000000000033</v>
      </c>
      <c r="AI27" s="81">
        <f ca="1"/>
        <v>-9.3050000000000033</v>
      </c>
      <c r="AJ27" s="13" cm="1">
        <f t="array" aca="1" ref="AJ27" ca="1">(AF$11-AI27+VLOOKUP(AC$10,$C$4:$E$7,3,FALSE)+VLOOKUP(AC$10,$C$4:$F$7,4,FALSE)*_xll.QDates_YearFraction(valDate,AD27,"ACT365F"))/VLOOKUP(AC$10,$C$4:$G$7,5,FALSE)</f>
        <v>33.81</v>
      </c>
    </row>
    <row r="28" spans="2:36" x14ac:dyDescent="0.25">
      <c r="B28" s="8" t="str" cm="1">
        <f t="array" aca="1" ref="B28" ca="1">_xll.QDates_FuturesNextCode(B27)</f>
        <v>COZ1</v>
      </c>
      <c r="C28" s="1" cm="1">
        <f t="array" aca="1" ref="C28" ca="1">_xll.QDates_FuturesExpiryFromCode(B28)</f>
        <v>44498</v>
      </c>
      <c r="D28" cm="1">
        <f t="array" aca="1" ref="D28" ca="1">_xll.BDP(B28&amp;" Comdty","PX_SETTLE")</f>
        <v>38.49</v>
      </c>
      <c r="E28" cm="1">
        <f t="array" aca="1" ref="E28" ca="1">_xll.BDP(B28&amp;" Comdty",BidMidASK)</f>
        <v>38.454999999999998</v>
      </c>
      <c r="F28" s="81">
        <f t="shared" ca="1" si="1"/>
        <v>-8.860000000000003</v>
      </c>
      <c r="G28" s="81">
        <f t="shared" ca="1" si="2"/>
        <v>-8.5399999999999991</v>
      </c>
      <c r="H28" s="81">
        <f ca="1"/>
        <v>-8.5399999999999991</v>
      </c>
      <c r="I28" s="13" cm="1">
        <f t="array" aca="1" ref="I28" ca="1">(E$11-H28+VLOOKUP(B$10,$C$4:$E$7,3,FALSE)+VLOOKUP(B$10,$C$4:$F$7,4,FALSE)*_xll.QDates_YearFraction(valDate,C28,"ACT365F"))/VLOOKUP(B$10,$C$4:$G$7,5,FALSE)</f>
        <v>38.998150684931502</v>
      </c>
      <c r="K28" s="8" t="str" cm="1">
        <f t="array" aca="1" ref="K28" ca="1">_xll.QDates_FuturesNextCode(K27)</f>
        <v>QSX1</v>
      </c>
      <c r="L28" s="1" cm="1">
        <f t="array" aca="1" ref="L28" ca="1">_xll.QDates_FuturesExpiryFromCode(K28)</f>
        <v>44511</v>
      </c>
      <c r="M28" cm="1">
        <f t="array" aca="1" ref="M28" ca="1">_xll.BDP(K28&amp;" Comdty","PX_SETTLE")</f>
        <v>350.5</v>
      </c>
      <c r="N28" cm="1">
        <f t="array" aca="1" ref="N28" ca="1">_xll.BDP(K28&amp;" Comdty",BidMidASK)</f>
        <v>350.625</v>
      </c>
      <c r="O28" s="81">
        <f t="shared" ca="1" si="3"/>
        <v>-92.5</v>
      </c>
      <c r="P28" s="81">
        <f t="shared" ca="1" si="4"/>
        <v>-94</v>
      </c>
      <c r="Q28" s="81">
        <f ca="1"/>
        <v>-94</v>
      </c>
      <c r="R28" s="13" cm="1">
        <f t="array" aca="1" ref="R28" ca="1">(N$11-Q28+VLOOKUP(K$10,$C$4:$E$7,3,FALSE)+VLOOKUP(K$10,$C$4:$F$7,4,FALSE)*_xll.QDates_YearFraction(valDate,L28,"ACT365F"))/VLOOKUP(K$10,$C$4:$G$7,5,FALSE)</f>
        <v>352.625</v>
      </c>
      <c r="T28" s="8" t="str" cm="1">
        <f t="array" aca="1" ref="T28" ca="1">_xll.QDates_FuturesNextCode(T27)</f>
        <v>XBX1</v>
      </c>
      <c r="U28" s="1" cm="1">
        <f t="array" aca="1" ref="U28" ca="1">_xll.QDates_FuturesExpiryFromCode(T28)</f>
        <v>44498</v>
      </c>
      <c r="V28" cm="1">
        <f t="array" aca="1" ref="V28" ca="1">_xll.BDP(T28&amp;" Comdty","PX_SETTLE")</f>
        <v>92.87</v>
      </c>
      <c r="W28" cm="1">
        <f t="array" aca="1" ref="W28" ca="1">_xll.BDP(T28&amp;" Comdty",BidMidASK)</f>
        <v>93.45</v>
      </c>
      <c r="X28" s="81">
        <f t="shared" ca="1" si="0"/>
        <v>-0.45000000000000284</v>
      </c>
      <c r="Y28" s="81">
        <f t="shared" ca="1" si="5"/>
        <v>-0.59499999999999886</v>
      </c>
      <c r="Z28" s="81">
        <f ca="1"/>
        <v>-0.59499999999999886</v>
      </c>
      <c r="AA28" s="13" cm="1">
        <f t="array" aca="1" ref="AA28" ca="1">(W$11-Z28+VLOOKUP(T$10,$C$4:$E$7,3,FALSE)+VLOOKUP(T$10,$C$4:$F$7,4,FALSE)*_xll.QDates_YearFraction(valDate,U28,"ACT365F"))/VLOOKUP(T$10,$C$4:$G$7,5,FALSE)</f>
        <v>0.90450000000000008</v>
      </c>
      <c r="AC28" s="8" t="str" cm="1">
        <f t="array" aca="1" ref="AC28" ca="1">_xll.QDates_FuturesNextCode(AC27)</f>
        <v>CLX1</v>
      </c>
      <c r="AD28" s="1" cm="1">
        <f t="array" aca="1" ref="AD28" ca="1">_xll.QDates_FuturesExpiryFromCode(AC28)</f>
        <v>44489</v>
      </c>
      <c r="AE28" cm="1">
        <f t="array" aca="1" ref="AE28" ca="1">_xll.BDP(AC28&amp;" Comdty","PX_SETTLE")</f>
        <v>34.43</v>
      </c>
      <c r="AF28" cm="1">
        <f t="array" aca="1" ref="AF28" ca="1">_xll.BDP(AC28&amp;" Comdty",BidMidASK)</f>
        <v>34.335000000000001</v>
      </c>
      <c r="AG28" s="81">
        <f t="shared" ca="1" si="6"/>
        <v>-10.29</v>
      </c>
      <c r="AH28" s="81">
        <f t="shared" ca="1" si="7"/>
        <v>-9.5800000000000018</v>
      </c>
      <c r="AI28" s="81">
        <f ca="1"/>
        <v>-9.5800000000000018</v>
      </c>
      <c r="AJ28" s="13" cm="1">
        <f t="array" aca="1" ref="AJ28" ca="1">(AF$11-AI28+VLOOKUP(AC$10,$C$4:$E$7,3,FALSE)+VLOOKUP(AC$10,$C$4:$F$7,4,FALSE)*_xll.QDates_YearFraction(valDate,AD28,"ACT365F"))/VLOOKUP(AC$10,$C$4:$G$7,5,FALSE)</f>
        <v>34.085000000000001</v>
      </c>
    </row>
    <row r="29" spans="2:36" x14ac:dyDescent="0.25">
      <c r="B29" s="8" t="str" cm="1">
        <f t="array" aca="1" ref="B29" ca="1">_xll.QDates_FuturesNextCode(B28)</f>
        <v>COF2</v>
      </c>
      <c r="C29" s="1" cm="1">
        <f t="array" aca="1" ref="C29" ca="1">_xll.QDates_FuturesExpiryFromCode(B29)</f>
        <v>44530</v>
      </c>
      <c r="D29" cm="1">
        <f t="array" aca="1" ref="D29" ca="1">_xll.BDP(B29&amp;" Comdty","PX_SETTLE")</f>
        <v>38.74</v>
      </c>
      <c r="E29" cm="1">
        <f t="array" aca="1" ref="E29" ca="1">_xll.BDP(B29&amp;" Comdty",BidMidASK)</f>
        <v>38.725000000000001</v>
      </c>
      <c r="F29" s="81">
        <f t="shared" ca="1" si="1"/>
        <v>-9.110000000000003</v>
      </c>
      <c r="G29" s="81">
        <f t="shared" ca="1" si="2"/>
        <v>-8.8100000000000023</v>
      </c>
      <c r="H29" s="81">
        <f ca="1"/>
        <v>-8.8100000000000023</v>
      </c>
      <c r="I29" s="13" cm="1">
        <f t="array" aca="1" ref="I29" ca="1">(E$11-H29+VLOOKUP(B$10,$C$4:$E$7,3,FALSE)+VLOOKUP(B$10,$C$4:$F$7,4,FALSE)*_xll.QDates_YearFraction(valDate,C29,"ACT365F"))/VLOOKUP(B$10,$C$4:$G$7,5,FALSE)</f>
        <v>39.28568493150685</v>
      </c>
      <c r="K29" s="8" t="str" cm="1">
        <f t="array" aca="1" ref="K29" ca="1">_xll.QDates_FuturesNextCode(K28)</f>
        <v>QSZ1</v>
      </c>
      <c r="L29" s="1" cm="1">
        <f t="array" aca="1" ref="L29" ca="1">_xll.QDates_FuturesExpiryFromCode(K29)</f>
        <v>44540</v>
      </c>
      <c r="M29" cm="1">
        <f t="array" aca="1" ref="M29" ca="1">_xll.BDP(K29&amp;" Comdty","PX_SETTLE")</f>
        <v>350.75</v>
      </c>
      <c r="N29" cm="1">
        <f t="array" aca="1" ref="N29" ca="1">_xll.BDP(K29&amp;" Comdty",BidMidASK)</f>
        <v>351</v>
      </c>
      <c r="O29" s="81">
        <f t="shared" ca="1" si="3"/>
        <v>-92.75</v>
      </c>
      <c r="P29" s="81">
        <f t="shared" ca="1" si="4"/>
        <v>-94.375</v>
      </c>
      <c r="Q29" s="81">
        <f ca="1"/>
        <v>-94.375</v>
      </c>
      <c r="R29" s="13" cm="1">
        <f t="array" aca="1" ref="R29" ca="1">(N$11-Q29+VLOOKUP(K$10,$C$4:$E$7,3,FALSE)+VLOOKUP(K$10,$C$4:$F$7,4,FALSE)*_xll.QDates_YearFraction(valDate,L29,"ACT365F"))/VLOOKUP(K$10,$C$4:$G$7,5,FALSE)</f>
        <v>353</v>
      </c>
      <c r="T29" s="8" t="str" cm="1">
        <f t="array" aca="1" ref="T29" ca="1">_xll.QDates_FuturesNextCode(T28)</f>
        <v>XBZ1</v>
      </c>
      <c r="U29" s="1" cm="1">
        <f t="array" aca="1" ref="U29" ca="1">_xll.QDates_FuturesExpiryFromCode(T29)</f>
        <v>44530</v>
      </c>
      <c r="V29" cm="1">
        <f t="array" aca="1" ref="V29" ca="1">_xll.BDP(T29&amp;" Comdty","PX_SETTLE")</f>
        <v>91.39</v>
      </c>
      <c r="W29" cm="1">
        <f t="array" aca="1" ref="W29" ca="1">_xll.BDP(T29&amp;" Comdty",BidMidASK)</f>
        <v>91.435000000000002</v>
      </c>
      <c r="X29" s="81">
        <f t="shared" ca="1" si="0"/>
        <v>1.0300000000000011</v>
      </c>
      <c r="Y29" s="81">
        <f t="shared" ca="1" si="5"/>
        <v>1.4200000000000017</v>
      </c>
      <c r="Z29" s="81">
        <f ca="1"/>
        <v>1.4200000000000017</v>
      </c>
      <c r="AA29" s="13" cm="1">
        <f t="array" aca="1" ref="AA29" ca="1">(W$11-Z29+VLOOKUP(T$10,$C$4:$E$7,3,FALSE)+VLOOKUP(T$10,$C$4:$F$7,4,FALSE)*_xll.QDates_YearFraction(valDate,U29,"ACT365F"))/VLOOKUP(T$10,$C$4:$G$7,5,FALSE)</f>
        <v>0.88434999999999997</v>
      </c>
      <c r="AC29" s="8" t="str" cm="1">
        <f t="array" aca="1" ref="AC29" ca="1">_xll.QDates_FuturesNextCode(AC28)</f>
        <v>CLZ1</v>
      </c>
      <c r="AD29" s="1" cm="1">
        <f t="array" aca="1" ref="AD29" ca="1">_xll.QDates_FuturesExpiryFromCode(AC29)</f>
        <v>44519</v>
      </c>
      <c r="AE29" cm="1">
        <f t="array" aca="1" ref="AE29" ca="1">_xll.BDP(AC29&amp;" Comdty","PX_SETTLE")</f>
        <v>34.71</v>
      </c>
      <c r="AF29" cm="1">
        <f t="array" aca="1" ref="AF29" ca="1">_xll.BDP(AC29&amp;" Comdty",BidMidASK)</f>
        <v>34.58</v>
      </c>
      <c r="AG29" s="81">
        <f t="shared" ca="1" si="6"/>
        <v>-10.57</v>
      </c>
      <c r="AH29" s="81">
        <f t="shared" ca="1" si="7"/>
        <v>-9.8249999999999993</v>
      </c>
      <c r="AI29" s="81">
        <f ca="1"/>
        <v>-9.8249999999999993</v>
      </c>
      <c r="AJ29" s="13" cm="1">
        <f t="array" aca="1" ref="AJ29" ca="1">(AF$11-AI29+VLOOKUP(AC$10,$C$4:$E$7,3,FALSE)+VLOOKUP(AC$10,$C$4:$F$7,4,FALSE)*_xll.QDates_YearFraction(valDate,AD29,"ACT365F"))/VLOOKUP(AC$10,$C$4:$G$7,5,FALSE)</f>
        <v>34.33</v>
      </c>
    </row>
    <row r="30" spans="2:36" x14ac:dyDescent="0.25">
      <c r="B30" s="8" t="str" cm="1">
        <f t="array" aca="1" ref="B30" ca="1">_xll.QDates_FuturesNextCode(B29)</f>
        <v>COG2</v>
      </c>
      <c r="C30" s="1" cm="1">
        <f t="array" aca="1" ref="C30" ca="1">_xll.QDates_FuturesExpiryFromCode(B30)</f>
        <v>44561</v>
      </c>
      <c r="D30" cm="1">
        <f t="array" aca="1" ref="D30" ca="1">_xll.BDP(B30&amp;" Comdty","PX_SETTLE")</f>
        <v>39.04</v>
      </c>
      <c r="E30" cm="1">
        <f t="array" aca="1" ref="E30" ca="1">_xll.BDP(B30&amp;" Comdty",BidMidASK)</f>
        <v>39.024999999999999</v>
      </c>
      <c r="F30" s="81">
        <f t="shared" ca="1" si="1"/>
        <v>-9.41</v>
      </c>
      <c r="G30" s="81">
        <f t="shared" ca="1" si="2"/>
        <v>-9.11</v>
      </c>
      <c r="H30" s="81">
        <f ca="1"/>
        <v>-9.11</v>
      </c>
      <c r="I30" s="13" cm="1">
        <f t="array" aca="1" ref="I30" ca="1">(E$11-H30+VLOOKUP(B$10,$C$4:$E$7,3,FALSE)+VLOOKUP(B$10,$C$4:$F$7,4,FALSE)*_xll.QDates_YearFraction(valDate,C30,"ACT365F"))/VLOOKUP(B$10,$C$4:$G$7,5,FALSE)</f>
        <v>39.602671232876709</v>
      </c>
      <c r="K30" s="8" t="str" cm="1">
        <f t="array" aca="1" ref="K30" ca="1">_xll.QDates_FuturesNextCode(K29)</f>
        <v>QSF2</v>
      </c>
      <c r="L30" s="1" cm="1">
        <f t="array" aca="1" ref="L30" ca="1">_xll.QDates_FuturesExpiryFromCode(K30)</f>
        <v>44573</v>
      </c>
      <c r="M30" cm="1">
        <f t="array" aca="1" ref="M30" ca="1">_xll.BDP(K30&amp;" Comdty","PX_SETTLE")</f>
        <v>354.75</v>
      </c>
      <c r="N30" t="str" cm="1">
        <f t="array" aca="1" ref="N30" ca="1">_xll.BDP(K30&amp;" Comdty",BidMidASK)</f>
        <v>#N/A N/A</v>
      </c>
      <c r="O30" s="81">
        <f t="shared" ca="1" si="3"/>
        <v>-96.75</v>
      </c>
      <c r="P30" s="81" t="str">
        <f t="shared" ca="1" si="4"/>
        <v/>
      </c>
      <c r="Q30" s="81">
        <f ca="1"/>
        <v>-98.479166666666671</v>
      </c>
      <c r="R30" s="13" cm="1">
        <f t="array" aca="1" ref="R30" ca="1">(N$11-Q30+VLOOKUP(K$10,$C$4:$E$7,3,FALSE)+VLOOKUP(K$10,$C$4:$F$7,4,FALSE)*_xll.QDates_YearFraction(valDate,L30,"ACT365F"))/VLOOKUP(K$10,$C$4:$G$7,5,FALSE)</f>
        <v>357.10416666666669</v>
      </c>
      <c r="T30" s="8" t="str" cm="1">
        <f t="array" aca="1" ref="T30" ca="1">_xll.QDates_FuturesNextCode(T29)</f>
        <v>XBF2</v>
      </c>
      <c r="U30" s="1" cm="1">
        <f t="array" aca="1" ref="U30" ca="1">_xll.QDates_FuturesExpiryFromCode(T30)</f>
        <v>44560</v>
      </c>
      <c r="V30" cm="1">
        <f t="array" aca="1" ref="V30" ca="1">_xll.BDP(T30&amp;" Comdty","PX_SETTLE")</f>
        <v>91.61</v>
      </c>
      <c r="W30" cm="1">
        <f t="array" aca="1" ref="W30" ca="1">_xll.BDP(T30&amp;" Comdty",BidMidASK)</f>
        <v>92.245000000000005</v>
      </c>
      <c r="X30" s="81">
        <f t="shared" ca="1" si="0"/>
        <v>0.81000000000000227</v>
      </c>
      <c r="Y30" s="81">
        <f t="shared" ca="1" si="5"/>
        <v>0.60999999999999943</v>
      </c>
      <c r="Z30" s="81">
        <f ca="1"/>
        <v>0.60999999999999943</v>
      </c>
      <c r="AA30" s="13" cm="1">
        <f t="array" aca="1" ref="AA30" ca="1">(W$11-Z30+VLOOKUP(T$10,$C$4:$E$7,3,FALSE)+VLOOKUP(T$10,$C$4:$F$7,4,FALSE)*_xll.QDates_YearFraction(valDate,U30,"ACT365F"))/VLOOKUP(T$10,$C$4:$G$7,5,FALSE)</f>
        <v>0.89245000000000008</v>
      </c>
      <c r="AC30" s="8" t="str" cm="1">
        <f t="array" aca="1" ref="AC30" ca="1">_xll.QDates_FuturesNextCode(AC29)</f>
        <v>CLF2</v>
      </c>
      <c r="AD30" s="1" cm="1">
        <f t="array" aca="1" ref="AD30" ca="1">_xll.QDates_FuturesExpiryFromCode(AC30)</f>
        <v>44550</v>
      </c>
      <c r="AE30" cm="1">
        <f t="array" aca="1" ref="AE30" ca="1">_xll.BDP(AC30&amp;" Comdty","PX_SETTLE")</f>
        <v>34.950000000000003</v>
      </c>
      <c r="AF30" cm="1">
        <f t="array" aca="1" ref="AF30" ca="1">_xll.BDP(AC30&amp;" Comdty",BidMidASK)</f>
        <v>34.835000000000001</v>
      </c>
      <c r="AG30" s="81">
        <f t="shared" ca="1" si="6"/>
        <v>-10.810000000000002</v>
      </c>
      <c r="AH30" s="81">
        <f t="shared" ca="1" si="7"/>
        <v>-10.080000000000002</v>
      </c>
      <c r="AI30" s="81">
        <f ca="1"/>
        <v>-10.080000000000002</v>
      </c>
      <c r="AJ30" s="13" cm="1">
        <f t="array" aca="1" ref="AJ30" ca="1">(AF$11-AI30+VLOOKUP(AC$10,$C$4:$E$7,3,FALSE)+VLOOKUP(AC$10,$C$4:$F$7,4,FALSE)*_xll.QDates_YearFraction(valDate,AD30,"ACT365F"))/VLOOKUP(AC$10,$C$4:$G$7,5,FALSE)</f>
        <v>34.585000000000001</v>
      </c>
    </row>
    <row r="31" spans="2:36" x14ac:dyDescent="0.25">
      <c r="B31" s="8" t="str" cm="1">
        <f t="array" aca="1" ref="B31" ca="1">_xll.QDates_FuturesNextCode(B30)</f>
        <v>COH2</v>
      </c>
      <c r="C31" s="1" cm="1">
        <f t="array" aca="1" ref="C31" ca="1">_xll.QDates_FuturesExpiryFromCode(B31)</f>
        <v>44592</v>
      </c>
      <c r="D31" cm="1">
        <f t="array" aca="1" ref="D31" ca="1">_xll.BDP(B31&amp;" Comdty","PX_SETTLE")</f>
        <v>39.369999999999997</v>
      </c>
      <c r="E31" cm="1">
        <f t="array" aca="1" ref="E31" ca="1">_xll.BDP(B31&amp;" Comdty",BidMidASK)</f>
        <v>39.36</v>
      </c>
      <c r="F31" s="81">
        <f t="shared" ca="1" si="1"/>
        <v>-9.7399999999999984</v>
      </c>
      <c r="G31" s="81">
        <f t="shared" ca="1" si="2"/>
        <v>-9.4450000000000003</v>
      </c>
      <c r="H31" s="81">
        <f ca="1"/>
        <v>-9.4450000000000003</v>
      </c>
      <c r="I31" s="13" cm="1">
        <f t="array" aca="1" ref="I31" ca="1">(E$11-H31+VLOOKUP(B$10,$C$4:$E$7,3,FALSE)+VLOOKUP(B$10,$C$4:$F$7,4,FALSE)*_xll.QDates_YearFraction(valDate,C31,"ACT365F"))/VLOOKUP(B$10,$C$4:$G$7,5,FALSE)</f>
        <v>39.954657534246572</v>
      </c>
      <c r="K31" s="8" t="str" cm="1">
        <f t="array" aca="1" ref="K31" ca="1">_xll.QDates_FuturesNextCode(K30)</f>
        <v>QSG2</v>
      </c>
      <c r="L31" s="1" cm="1">
        <f t="array" aca="1" ref="L31" ca="1">_xll.QDates_FuturesExpiryFromCode(K31)</f>
        <v>44602</v>
      </c>
      <c r="M31" cm="1">
        <f t="array" aca="1" ref="M31" ca="1">_xll.BDP(K31&amp;" Comdty","PX_SETTLE")</f>
        <v>359.25</v>
      </c>
      <c r="N31" t="str" cm="1">
        <f t="array" aca="1" ref="N31" ca="1">_xll.BDP(K31&amp;" Comdty",BidMidASK)</f>
        <v>#N/A N/A</v>
      </c>
      <c r="O31" s="81">
        <f t="shared" ca="1" si="3"/>
        <v>-101.25</v>
      </c>
      <c r="P31" s="81" t="str">
        <f t="shared" ca="1" si="4"/>
        <v/>
      </c>
      <c r="Q31" s="81">
        <f ca="1"/>
        <v>-103.08333333333333</v>
      </c>
      <c r="R31" s="13" cm="1">
        <f t="array" aca="1" ref="R31" ca="1">(N$11-Q31+VLOOKUP(K$10,$C$4:$E$7,3,FALSE)+VLOOKUP(K$10,$C$4:$F$7,4,FALSE)*_xll.QDates_YearFraction(valDate,L31,"ACT365F"))/VLOOKUP(K$10,$C$4:$G$7,5,FALSE)</f>
        <v>361.70833333333331</v>
      </c>
      <c r="T31" s="8" t="str" cm="1">
        <f t="array" aca="1" ref="T31" ca="1">_xll.QDates_FuturesNextCode(T30)</f>
        <v>XBG2</v>
      </c>
      <c r="U31" s="1" cm="1">
        <f t="array" aca="1" ref="U31" ca="1">_xll.QDates_FuturesExpiryFromCode(T31)</f>
        <v>44592</v>
      </c>
      <c r="V31" cm="1">
        <f t="array" aca="1" ref="V31" ca="1">_xll.BDP(T31&amp;" Comdty","PX_SETTLE")</f>
        <v>92.11</v>
      </c>
      <c r="W31" cm="1">
        <f t="array" aca="1" ref="W31" ca="1">_xll.BDP(T31&amp;" Comdty",BidMidASK)</f>
        <v>92.045000000000002</v>
      </c>
      <c r="X31" s="81">
        <f t="shared" ca="1" si="0"/>
        <v>0.31000000000000227</v>
      </c>
      <c r="Y31" s="81">
        <f t="shared" ca="1" si="5"/>
        <v>0.81000000000000227</v>
      </c>
      <c r="Z31" s="81">
        <f ca="1"/>
        <v>0.81000000000000227</v>
      </c>
      <c r="AA31" s="13" cm="1">
        <f t="array" aca="1" ref="AA31" ca="1">(W$11-Z31+VLOOKUP(T$10,$C$4:$E$7,3,FALSE)+VLOOKUP(T$10,$C$4:$F$7,4,FALSE)*_xll.QDates_YearFraction(valDate,U31,"ACT365F"))/VLOOKUP(T$10,$C$4:$G$7,5,FALSE)</f>
        <v>0.89044999999999996</v>
      </c>
      <c r="AC31" s="8" t="str" cm="1">
        <f t="array" aca="1" ref="AC31" ca="1">_xll.QDates_FuturesNextCode(AC30)</f>
        <v>CLG2</v>
      </c>
      <c r="AD31" s="1" cm="1">
        <f t="array" aca="1" ref="AD31" ca="1">_xll.QDates_FuturesExpiryFromCode(AC31)</f>
        <v>44581</v>
      </c>
      <c r="AE31" cm="1">
        <f t="array" aca="1" ref="AE31" ca="1">_xll.BDP(AC31&amp;" Comdty","PX_SETTLE")</f>
        <v>35.19</v>
      </c>
      <c r="AF31" cm="1">
        <f t="array" aca="1" ref="AF31" ca="1">_xll.BDP(AC31&amp;" Comdty",BidMidASK)</f>
        <v>35.045000000000002</v>
      </c>
      <c r="AG31" s="81">
        <f t="shared" ca="1" si="6"/>
        <v>-11.049999999999997</v>
      </c>
      <c r="AH31" s="81">
        <f t="shared" ca="1" si="7"/>
        <v>-10.290000000000003</v>
      </c>
      <c r="AI31" s="81">
        <f ca="1"/>
        <v>-10.290000000000003</v>
      </c>
      <c r="AJ31" s="13" cm="1">
        <f t="array" aca="1" ref="AJ31" ca="1">(AF$11-AI31+VLOOKUP(AC$10,$C$4:$E$7,3,FALSE)+VLOOKUP(AC$10,$C$4:$F$7,4,FALSE)*_xll.QDates_YearFraction(valDate,AD31,"ACT365F"))/VLOOKUP(AC$10,$C$4:$G$7,5,FALSE)</f>
        <v>34.795000000000002</v>
      </c>
    </row>
    <row r="32" spans="2:36" x14ac:dyDescent="0.25">
      <c r="B32" s="8" t="str" cm="1">
        <f t="array" aca="1" ref="B32" ca="1">_xll.QDates_FuturesNextCode(B31)</f>
        <v>COJ2</v>
      </c>
      <c r="C32" s="1" cm="1">
        <f t="array" aca="1" ref="C32" ca="1">_xll.QDates_FuturesExpiryFromCode(B32)</f>
        <v>44620</v>
      </c>
      <c r="D32" cm="1">
        <f t="array" aca="1" ref="D32" ca="1">_xll.BDP(B32&amp;" Comdty","PX_SETTLE")</f>
        <v>39.71</v>
      </c>
      <c r="E32" cm="1">
        <f t="array" aca="1" ref="E32" ca="1">_xll.BDP(B32&amp;" Comdty",BidMidASK)</f>
        <v>39.700000000000003</v>
      </c>
      <c r="F32" s="81">
        <f t="shared" ca="1" si="1"/>
        <v>-10.080000000000002</v>
      </c>
      <c r="G32" s="81">
        <f t="shared" ca="1" si="2"/>
        <v>-9.7850000000000037</v>
      </c>
      <c r="H32" s="81">
        <f ca="1"/>
        <v>-9.7850000000000037</v>
      </c>
      <c r="I32" s="13" cm="1">
        <f t="array" aca="1" ref="I32" ca="1">(E$11-H32+VLOOKUP(B$10,$C$4:$E$7,3,FALSE)+VLOOKUP(B$10,$C$4:$F$7,4,FALSE)*_xll.QDates_YearFraction(valDate,C32,"ACT365F"))/VLOOKUP(B$10,$C$4:$G$7,5,FALSE)</f>
        <v>40.31</v>
      </c>
      <c r="K32" s="8" t="str" cm="1">
        <f t="array" aca="1" ref="K32" ca="1">_xll.QDates_FuturesNextCode(K31)</f>
        <v>QSH2</v>
      </c>
      <c r="L32" s="1" cm="1">
        <f t="array" aca="1" ref="L32" ca="1">_xll.QDates_FuturesExpiryFromCode(K32)</f>
        <v>44630</v>
      </c>
      <c r="M32" cm="1">
        <f t="array" aca="1" ref="M32" ca="1">_xll.BDP(K32&amp;" Comdty","PX_SETTLE")</f>
        <v>363.25</v>
      </c>
      <c r="N32" t="str" cm="1">
        <f t="array" aca="1" ref="N32" ca="1">_xll.BDP(K32&amp;" Comdty",BidMidASK)</f>
        <v>#N/A N/A</v>
      </c>
      <c r="O32" s="81">
        <f t="shared" ca="1" si="3"/>
        <v>-105.25</v>
      </c>
      <c r="P32" s="81" t="str">
        <f t="shared" ca="1" si="4"/>
        <v/>
      </c>
      <c r="Q32" s="81">
        <f ca="1"/>
        <v>-107.1875</v>
      </c>
      <c r="R32" s="13" cm="1">
        <f t="array" aca="1" ref="R32" ca="1">(N$11-Q32+VLOOKUP(K$10,$C$4:$E$7,3,FALSE)+VLOOKUP(K$10,$C$4:$F$7,4,FALSE)*_xll.QDates_YearFraction(valDate,L32,"ACT365F"))/VLOOKUP(K$10,$C$4:$G$7,5,FALSE)</f>
        <v>365.8125</v>
      </c>
      <c r="T32" s="8" t="str" cm="1">
        <f t="array" aca="1" ref="T32" ca="1">_xll.QDates_FuturesNextCode(T31)</f>
        <v>XBH2</v>
      </c>
      <c r="U32" s="1" cm="1">
        <f t="array" aca="1" ref="U32" ca="1">_xll.QDates_FuturesExpiryFromCode(T32)</f>
        <v>44620</v>
      </c>
      <c r="V32" cm="1">
        <f t="array" aca="1" ref="V32" ca="1">_xll.BDP(T32&amp;" Comdty","PX_SETTLE")</f>
        <v>94.39</v>
      </c>
      <c r="W32" cm="1">
        <f t="array" aca="1" ref="W32" ca="1">_xll.BDP(T32&amp;" Comdty",BidMidASK)</f>
        <v>94.320000000000007</v>
      </c>
      <c r="X32" s="81">
        <f t="shared" ca="1" si="0"/>
        <v>-1.9699999999999989</v>
      </c>
      <c r="Y32" s="81">
        <f t="shared" ca="1" si="5"/>
        <v>-1.4650000000000034</v>
      </c>
      <c r="Z32" s="81">
        <f ca="1"/>
        <v>-1.4650000000000034</v>
      </c>
      <c r="AA32" s="13" cm="1">
        <f t="array" aca="1" ref="AA32" ca="1">(W$11-Z32+VLOOKUP(T$10,$C$4:$E$7,3,FALSE)+VLOOKUP(T$10,$C$4:$F$7,4,FALSE)*_xll.QDates_YearFraction(valDate,U32,"ACT365F"))/VLOOKUP(T$10,$C$4:$G$7,5,FALSE)</f>
        <v>0.91320000000000012</v>
      </c>
      <c r="AC32" s="8" t="str" cm="1">
        <f t="array" aca="1" ref="AC32" ca="1">_xll.QDates_FuturesNextCode(AC31)</f>
        <v>CLH2</v>
      </c>
      <c r="AD32" s="1" cm="1">
        <f t="array" aca="1" ref="AD32" ca="1">_xll.QDates_FuturesExpiryFromCode(AC32)</f>
        <v>44614</v>
      </c>
      <c r="AE32" cm="1">
        <f t="array" aca="1" ref="AE32" ca="1">_xll.BDP(AC32&amp;" Comdty","PX_SETTLE")</f>
        <v>35.42</v>
      </c>
      <c r="AF32" cm="1">
        <f t="array" aca="1" ref="AF32" ca="1">_xll.BDP(AC32&amp;" Comdty",BidMidASK)</f>
        <v>35.28</v>
      </c>
      <c r="AG32" s="81">
        <f t="shared" ca="1" si="6"/>
        <v>-11.280000000000001</v>
      </c>
      <c r="AH32" s="81">
        <f t="shared" ca="1" si="7"/>
        <v>-10.525000000000002</v>
      </c>
      <c r="AI32" s="81">
        <f ca="1"/>
        <v>-10.525000000000002</v>
      </c>
      <c r="AJ32" s="13" cm="1">
        <f t="array" aca="1" ref="AJ32" ca="1">(AF$11-AI32+VLOOKUP(AC$10,$C$4:$E$7,3,FALSE)+VLOOKUP(AC$10,$C$4:$F$7,4,FALSE)*_xll.QDates_YearFraction(valDate,AD32,"ACT365F"))/VLOOKUP(AC$10,$C$4:$G$7,5,FALSE)</f>
        <v>35.03</v>
      </c>
    </row>
    <row r="33" spans="2:36" x14ac:dyDescent="0.25">
      <c r="B33" s="8" t="str" cm="1">
        <f t="array" aca="1" ref="B33" ca="1">_xll.QDates_FuturesNextCode(B32)</f>
        <v>COK2</v>
      </c>
      <c r="C33" s="1" cm="1">
        <f t="array" aca="1" ref="C33" ca="1">_xll.QDates_FuturesExpiryFromCode(B33)</f>
        <v>44651</v>
      </c>
      <c r="D33" cm="1">
        <f t="array" aca="1" ref="D33" ca="1">_xll.BDP(B33&amp;" Comdty","PX_SETTLE")</f>
        <v>40.04</v>
      </c>
      <c r="E33" cm="1">
        <f t="array" aca="1" ref="E33" ca="1">_xll.BDP(B33&amp;" Comdty",BidMidASK)</f>
        <v>40.020000000000003</v>
      </c>
      <c r="F33" s="81">
        <f t="shared" ca="1" si="1"/>
        <v>-10.41</v>
      </c>
      <c r="G33" s="81">
        <f t="shared" ca="1" si="2"/>
        <v>-10.105000000000004</v>
      </c>
      <c r="H33" s="81">
        <f ca="1"/>
        <v>-10.105000000000004</v>
      </c>
      <c r="I33" s="13" cm="1">
        <f t="array" aca="1" ref="I33" ca="1">(E$11-H33+VLOOKUP(B$10,$C$4:$E$7,3,FALSE)+VLOOKUP(B$10,$C$4:$F$7,4,FALSE)*_xll.QDates_YearFraction(valDate,C33,"ACT365F"))/VLOOKUP(B$10,$C$4:$G$7,5,FALSE)</f>
        <v>40.646986301369864</v>
      </c>
      <c r="K33" s="8" t="str" cm="1">
        <f t="array" aca="1" ref="K33" ca="1">_xll.QDates_FuturesNextCode(K32)</f>
        <v>QSJ2</v>
      </c>
      <c r="L33" s="1" cm="1">
        <f t="array" aca="1" ref="L33" ca="1">_xll.QDates_FuturesExpiryFromCode(K33)</f>
        <v>44663</v>
      </c>
      <c r="M33" cm="1">
        <f t="array" aca="1" ref="M33" ca="1">_xll.BDP(K33&amp;" Comdty","PX_SETTLE")</f>
        <v>366.5</v>
      </c>
      <c r="N33" t="str" cm="1">
        <f t="array" aca="1" ref="N33" ca="1">_xll.BDP(K33&amp;" Comdty",BidMidASK)</f>
        <v>#N/A N/A</v>
      </c>
      <c r="O33" s="81">
        <f t="shared" ca="1" si="3"/>
        <v>-108.5</v>
      </c>
      <c r="P33" s="81" t="str">
        <f t="shared" ca="1" si="4"/>
        <v/>
      </c>
      <c r="Q33" s="81">
        <f ca="1"/>
        <v>-110.54166666666667</v>
      </c>
      <c r="R33" s="13" cm="1">
        <f t="array" aca="1" ref="R33" ca="1">(N$11-Q33+VLOOKUP(K$10,$C$4:$E$7,3,FALSE)+VLOOKUP(K$10,$C$4:$F$7,4,FALSE)*_xll.QDates_YearFraction(valDate,L33,"ACT365F"))/VLOOKUP(K$10,$C$4:$G$7,5,FALSE)</f>
        <v>369.16666666666669</v>
      </c>
      <c r="T33" s="8" t="str" cm="1">
        <f t="array" aca="1" ref="T33" ca="1">_xll.QDates_FuturesNextCode(T32)</f>
        <v>XBJ2</v>
      </c>
      <c r="U33" s="1" cm="1">
        <f t="array" aca="1" ref="U33" ca="1">_xll.QDates_FuturesExpiryFromCode(T33)</f>
        <v>44651</v>
      </c>
      <c r="V33" cm="1">
        <f t="array" aca="1" ref="V33" ca="1">_xll.BDP(T33&amp;" Comdty","PX_SETTLE")</f>
        <v>112.03</v>
      </c>
      <c r="W33" t="str" cm="1">
        <f t="array" aca="1" ref="W33" ca="1">_xll.BDP(T33&amp;" Comdty",BidMidASK)</f>
        <v>#N/A N/A</v>
      </c>
      <c r="X33" s="81">
        <f t="shared" ca="1" si="0"/>
        <v>-19.61</v>
      </c>
      <c r="Y33" s="81" t="str">
        <f t="shared" ca="1" si="5"/>
        <v/>
      </c>
      <c r="Z33" s="81">
        <f ca="1"/>
        <v>-18.88666666666667</v>
      </c>
      <c r="AA33" s="13" cm="1">
        <f t="array" aca="1" ref="AA33" ca="1">(W$11-Z33+VLOOKUP(T$10,$C$4:$E$7,3,FALSE)+VLOOKUP(T$10,$C$4:$F$7,4,FALSE)*_xll.QDates_YearFraction(valDate,U33,"ACT365F"))/VLOOKUP(T$10,$C$4:$G$7,5,FALSE)</f>
        <v>1.0874166666666667</v>
      </c>
      <c r="AC33" s="8" t="str" cm="1">
        <f t="array" aca="1" ref="AC33" ca="1">_xll.QDates_FuturesNextCode(AC32)</f>
        <v>CLJ2</v>
      </c>
      <c r="AD33" s="1" cm="1">
        <f t="array" aca="1" ref="AD33" ca="1">_xll.QDates_FuturesExpiryFromCode(AC33)</f>
        <v>44642</v>
      </c>
      <c r="AE33" cm="1">
        <f t="array" aca="1" ref="AE33" ca="1">_xll.BDP(AC33&amp;" Comdty","PX_SETTLE")</f>
        <v>35.67</v>
      </c>
      <c r="AF33" cm="1">
        <f t="array" aca="1" ref="AF33" ca="1">_xll.BDP(AC33&amp;" Comdty",BidMidASK)</f>
        <v>35.535000000000004</v>
      </c>
      <c r="AG33" s="81">
        <f t="shared" ca="1" si="6"/>
        <v>-11.530000000000001</v>
      </c>
      <c r="AH33" s="81">
        <f t="shared" ca="1" si="7"/>
        <v>-10.780000000000005</v>
      </c>
      <c r="AI33" s="81">
        <f ca="1"/>
        <v>-10.780000000000005</v>
      </c>
      <c r="AJ33" s="13" cm="1">
        <f t="array" aca="1" ref="AJ33" ca="1">(AF$11-AI33+VLOOKUP(AC$10,$C$4:$E$7,3,FALSE)+VLOOKUP(AC$10,$C$4:$F$7,4,FALSE)*_xll.QDates_YearFraction(valDate,AD33,"ACT365F"))/VLOOKUP(AC$10,$C$4:$G$7,5,FALSE)</f>
        <v>35.285000000000004</v>
      </c>
    </row>
    <row r="34" spans="2:36" x14ac:dyDescent="0.25">
      <c r="B34" s="8" t="str" cm="1">
        <f t="array" aca="1" ref="B34" ca="1">_xll.QDates_FuturesNextCode(B33)</f>
        <v>COM2</v>
      </c>
      <c r="C34" s="1" cm="1">
        <f t="array" aca="1" ref="C34" ca="1">_xll.QDates_FuturesExpiryFromCode(B34)</f>
        <v>44680</v>
      </c>
      <c r="D34" cm="1">
        <f t="array" aca="1" ref="D34" ca="1">_xll.BDP(B34&amp;" Comdty","PX_SETTLE")</f>
        <v>40.36</v>
      </c>
      <c r="E34" cm="1">
        <f t="array" aca="1" ref="E34" ca="1">_xll.BDP(B34&amp;" Comdty",BidMidASK)</f>
        <v>40.31</v>
      </c>
      <c r="F34" s="81">
        <f t="shared" ca="1" si="1"/>
        <v>-10.73</v>
      </c>
      <c r="G34" s="81">
        <f t="shared" ca="1" si="2"/>
        <v>-10.395000000000003</v>
      </c>
      <c r="H34" s="81">
        <f ca="1"/>
        <v>-10.395000000000003</v>
      </c>
      <c r="I34" s="13" cm="1">
        <f t="array" aca="1" ref="I34" ca="1">(E$11-H34+VLOOKUP(B$10,$C$4:$E$7,3,FALSE)+VLOOKUP(B$10,$C$4:$F$7,4,FALSE)*_xll.QDates_YearFraction(valDate,C34,"ACT365F"))/VLOOKUP(B$10,$C$4:$G$7,5,FALSE)</f>
        <v>40.952876712328766</v>
      </c>
      <c r="K34" s="8" t="str" cm="1">
        <f t="array" aca="1" ref="K34" ca="1">_xll.QDates_FuturesNextCode(K33)</f>
        <v>QSK2</v>
      </c>
      <c r="L34" s="1" cm="1">
        <f t="array" aca="1" ref="L34" ca="1">_xll.QDates_FuturesExpiryFromCode(K34)</f>
        <v>44693</v>
      </c>
      <c r="M34" cm="1">
        <f t="array" aca="1" ref="M34" ca="1">_xll.BDP(K34&amp;" Comdty","PX_SETTLE")</f>
        <v>369</v>
      </c>
      <c r="N34" t="str" cm="1">
        <f t="array" aca="1" ref="N34" ca="1">_xll.BDP(K34&amp;" Comdty",BidMidASK)</f>
        <v>#N/A N/A</v>
      </c>
      <c r="O34" s="81">
        <f t="shared" ca="1" si="3"/>
        <v>-111</v>
      </c>
      <c r="P34" s="81" t="str">
        <f t="shared" ca="1" si="4"/>
        <v/>
      </c>
      <c r="Q34" s="81">
        <f ca="1"/>
        <v>-113.14583333333333</v>
      </c>
      <c r="R34" s="13" cm="1">
        <f t="array" aca="1" ref="R34" ca="1">(N$11-Q34+VLOOKUP(K$10,$C$4:$E$7,3,FALSE)+VLOOKUP(K$10,$C$4:$F$7,4,FALSE)*_xll.QDates_YearFraction(valDate,L34,"ACT365F"))/VLOOKUP(K$10,$C$4:$G$7,5,FALSE)</f>
        <v>371.77083333333331</v>
      </c>
      <c r="T34" s="8" t="str" cm="1">
        <f t="array" aca="1" ref="T34" ca="1">_xll.QDates_FuturesNextCode(T33)</f>
        <v>XBK2</v>
      </c>
      <c r="U34" s="1" cm="1">
        <f t="array" aca="1" ref="U34" ca="1">_xll.QDates_FuturesExpiryFromCode(T34)</f>
        <v>44680</v>
      </c>
      <c r="V34" cm="1">
        <f t="array" aca="1" ref="V34" ca="1">_xll.BDP(T34&amp;" Comdty","PX_SETTLE")</f>
        <v>113.53</v>
      </c>
      <c r="W34" t="str" cm="1">
        <f t="array" aca="1" ref="W34" ca="1">_xll.BDP(T34&amp;" Comdty",BidMidASK)</f>
        <v>#N/A N/A</v>
      </c>
      <c r="X34" s="81">
        <f t="shared" ca="1" si="0"/>
        <v>-21.11</v>
      </c>
      <c r="Y34" s="81" t="str">
        <f t="shared" ca="1" si="5"/>
        <v/>
      </c>
      <c r="Z34" s="81">
        <f ca="1"/>
        <v>-20.168333333333337</v>
      </c>
      <c r="AA34" s="13" cm="1">
        <f t="array" aca="1" ref="AA34" ca="1">(W$11-Z34+VLOOKUP(T$10,$C$4:$E$7,3,FALSE)+VLOOKUP(T$10,$C$4:$F$7,4,FALSE)*_xll.QDates_YearFraction(valDate,U34,"ACT365F"))/VLOOKUP(T$10,$C$4:$G$7,5,FALSE)</f>
        <v>1.1002333333333334</v>
      </c>
      <c r="AC34" s="8" t="str" cm="1">
        <f t="array" aca="1" ref="AC34" ca="1">_xll.QDates_FuturesNextCode(AC33)</f>
        <v>CLK2</v>
      </c>
      <c r="AD34" s="1" cm="1">
        <f t="array" aca="1" ref="AD34" ca="1">_xll.QDates_FuturesExpiryFromCode(AC34)</f>
        <v>44671</v>
      </c>
      <c r="AE34" cm="1">
        <f t="array" aca="1" ref="AE34" ca="1">_xll.BDP(AC34&amp;" Comdty","PX_SETTLE")</f>
        <v>35.92</v>
      </c>
      <c r="AF34" t="str" cm="1">
        <f t="array" aca="1" ref="AF34" ca="1">_xll.BDP(AC34&amp;" Comdty",BidMidASK)</f>
        <v>#N/A N/A</v>
      </c>
      <c r="AG34" s="81">
        <f t="shared" ca="1" si="6"/>
        <v>-11.780000000000001</v>
      </c>
      <c r="AH34" s="81" t="str">
        <f t="shared" ca="1" si="7"/>
        <v/>
      </c>
      <c r="AI34" s="81">
        <f ca="1"/>
        <v>-11.022500000000004</v>
      </c>
      <c r="AJ34" s="13" cm="1">
        <f t="array" aca="1" ref="AJ34" ca="1">(AF$11-AI34+VLOOKUP(AC$10,$C$4:$E$7,3,FALSE)+VLOOKUP(AC$10,$C$4:$F$7,4,FALSE)*_xll.QDates_YearFraction(valDate,AD34,"ACT365F"))/VLOOKUP(AC$10,$C$4:$G$7,5,FALSE)</f>
        <v>35.527500000000003</v>
      </c>
    </row>
    <row r="35" spans="2:36" x14ac:dyDescent="0.25">
      <c r="B35" s="8" t="str" cm="1">
        <f t="array" aca="1" ref="B35" ca="1">_xll.QDates_FuturesNextCode(B34)</f>
        <v>CON2</v>
      </c>
      <c r="C35" s="1" cm="1">
        <f t="array" aca="1" ref="C35" ca="1">_xll.QDates_FuturesExpiryFromCode(B35)</f>
        <v>44712</v>
      </c>
      <c r="D35" cm="1">
        <f t="array" aca="1" ref="D35" ca="1">_xll.BDP(B35&amp;" Comdty","PX_SETTLE")</f>
        <v>40.630000000000003</v>
      </c>
      <c r="E35" t="str" cm="1">
        <f t="array" aca="1" ref="E35" ca="1">_xll.BDP(B35&amp;" Comdty",BidMidASK)</f>
        <v>#N/A N/A</v>
      </c>
      <c r="F35" s="81">
        <f t="shared" ca="1" si="1"/>
        <v>-11.000000000000004</v>
      </c>
      <c r="G35" s="81" t="str">
        <f t="shared" ca="1" si="2"/>
        <v/>
      </c>
      <c r="H35" s="81">
        <f ca="1"/>
        <v>-10.665833333333339</v>
      </c>
      <c r="I35" s="13" cm="1">
        <f t="array" aca="1" ref="I35" ca="1">(E$11-H35+VLOOKUP(B$10,$C$4:$E$7,3,FALSE)+VLOOKUP(B$10,$C$4:$F$7,4,FALSE)*_xll.QDates_YearFraction(valDate,C35,"ACT365F"))/VLOOKUP(B$10,$C$4:$G$7,5,FALSE)</f>
        <v>41.241244292237447</v>
      </c>
      <c r="K35" s="8" t="str" cm="1">
        <f t="array" aca="1" ref="K35" ca="1">_xll.QDates_FuturesNextCode(K34)</f>
        <v>QSM2</v>
      </c>
      <c r="L35" s="1" cm="1">
        <f t="array" aca="1" ref="L35" ca="1">_xll.QDates_FuturesExpiryFromCode(K35)</f>
        <v>44722</v>
      </c>
      <c r="M35" cm="1">
        <f t="array" aca="1" ref="M35" ca="1">_xll.BDP(K35&amp;" Comdty","PX_SETTLE")</f>
        <v>371.25</v>
      </c>
      <c r="N35" cm="1">
        <f t="array" aca="1" ref="N35" ca="1">_xll.BDP(K35&amp;" Comdty",BidMidASK)</f>
        <v>372.125</v>
      </c>
      <c r="O35" s="81">
        <f t="shared" ca="1" si="3"/>
        <v>-113.25</v>
      </c>
      <c r="P35" s="81">
        <f t="shared" ca="1" si="4"/>
        <v>-115.5</v>
      </c>
      <c r="Q35" s="81">
        <f ca="1"/>
        <v>-115.5</v>
      </c>
      <c r="R35" s="13" cm="1">
        <f t="array" aca="1" ref="R35" ca="1">(N$11-Q35+VLOOKUP(K$10,$C$4:$E$7,3,FALSE)+VLOOKUP(K$10,$C$4:$F$7,4,FALSE)*_xll.QDates_YearFraction(valDate,L35,"ACT365F"))/VLOOKUP(K$10,$C$4:$G$7,5,FALSE)</f>
        <v>374.125</v>
      </c>
      <c r="T35" s="8" t="str" cm="1">
        <f t="array" aca="1" ref="T35" ca="1">_xll.QDates_FuturesNextCode(T34)</f>
        <v>XBM2</v>
      </c>
      <c r="U35" s="1" cm="1">
        <f t="array" aca="1" ref="U35" ca="1">_xll.QDates_FuturesExpiryFromCode(T35)</f>
        <v>44712</v>
      </c>
      <c r="V35" cm="1">
        <f t="array" aca="1" ref="V35" ca="1">_xll.BDP(T35&amp;" Comdty","PX_SETTLE")</f>
        <v>114.69</v>
      </c>
      <c r="W35" cm="1">
        <f t="array" aca="1" ref="W35" ca="1">_xll.BDP(T35&amp;" Comdty",BidMidASK)</f>
        <v>113.965</v>
      </c>
      <c r="X35" s="81">
        <f t="shared" ca="1" si="0"/>
        <v>-22.269999999999996</v>
      </c>
      <c r="Y35" s="81">
        <f t="shared" ca="1" si="5"/>
        <v>-21.11</v>
      </c>
      <c r="Z35" s="81">
        <f ca="1"/>
        <v>-21.11</v>
      </c>
      <c r="AA35" s="13" cm="1">
        <f t="array" aca="1" ref="AA35" ca="1">(W$11-Z35+VLOOKUP(T$10,$C$4:$E$7,3,FALSE)+VLOOKUP(T$10,$C$4:$F$7,4,FALSE)*_xll.QDates_YearFraction(valDate,U35,"ACT365F"))/VLOOKUP(T$10,$C$4:$G$7,5,FALSE)</f>
        <v>1.10965</v>
      </c>
      <c r="AC35" s="8" t="str" cm="1">
        <f t="array" aca="1" ref="AC35" ca="1">_xll.QDates_FuturesNextCode(AC34)</f>
        <v>CLM2</v>
      </c>
      <c r="AD35" s="1" cm="1">
        <f t="array" aca="1" ref="AD35" ca="1">_xll.QDates_FuturesExpiryFromCode(AC35)</f>
        <v>44701</v>
      </c>
      <c r="AE35" cm="1">
        <f t="array" aca="1" ref="AE35" ca="1">_xll.BDP(AC35&amp;" Comdty","PX_SETTLE")</f>
        <v>36.17</v>
      </c>
      <c r="AF35" cm="1">
        <f t="array" aca="1" ref="AF35" ca="1">_xll.BDP(AC35&amp;" Comdty",BidMidASK)</f>
        <v>36.020000000000003</v>
      </c>
      <c r="AG35" s="81">
        <f t="shared" ca="1" si="6"/>
        <v>-12.030000000000001</v>
      </c>
      <c r="AH35" s="81">
        <f t="shared" ca="1" si="7"/>
        <v>-11.265000000000004</v>
      </c>
      <c r="AI35" s="81">
        <f ca="1"/>
        <v>-11.265000000000004</v>
      </c>
      <c r="AJ35" s="13" cm="1">
        <f t="array" aca="1" ref="AJ35" ca="1">(AF$11-AI35+VLOOKUP(AC$10,$C$4:$E$7,3,FALSE)+VLOOKUP(AC$10,$C$4:$F$7,4,FALSE)*_xll.QDates_YearFraction(valDate,AD35,"ACT365F"))/VLOOKUP(AC$10,$C$4:$G$7,5,FALSE)</f>
        <v>35.770000000000003</v>
      </c>
    </row>
    <row r="36" spans="2:36" x14ac:dyDescent="0.25">
      <c r="B36" s="8" t="str" cm="1">
        <f t="array" aca="1" ref="B36" ca="1">_xll.QDates_FuturesNextCode(B35)</f>
        <v>COQ2</v>
      </c>
      <c r="C36" s="1" cm="1">
        <f t="array" aca="1" ref="C36" ca="1">_xll.QDates_FuturesExpiryFromCode(B36)</f>
        <v>44742</v>
      </c>
      <c r="D36" cm="1">
        <f t="array" aca="1" ref="D36" ca="1">_xll.BDP(B36&amp;" Comdty","PX_SETTLE")</f>
        <v>40.89</v>
      </c>
      <c r="E36" t="str" cm="1">
        <f t="array" aca="1" ref="E36" ca="1">_xll.BDP(B36&amp;" Comdty",BidMidASK)</f>
        <v>#N/A N/A</v>
      </c>
      <c r="F36" s="81">
        <f t="shared" ca="1" si="1"/>
        <v>-11.260000000000002</v>
      </c>
      <c r="G36" s="81" t="str">
        <f t="shared" ca="1" si="2"/>
        <v/>
      </c>
      <c r="H36" s="81">
        <f ca="1"/>
        <v>-10.926666666666669</v>
      </c>
      <c r="I36" s="13" cm="1">
        <f t="array" aca="1" ref="I36" ca="1">(E$11-H36+VLOOKUP(B$10,$C$4:$E$7,3,FALSE)+VLOOKUP(B$10,$C$4:$F$7,4,FALSE)*_xll.QDates_YearFraction(valDate,C36,"ACT365F"))/VLOOKUP(B$10,$C$4:$G$7,5,FALSE)</f>
        <v>41.518515981735163</v>
      </c>
      <c r="K36" s="8" t="str" cm="1">
        <f t="array" aca="1" ref="K36" ca="1">_xll.QDates_FuturesNextCode(K35)</f>
        <v>QSN2</v>
      </c>
      <c r="L36" s="1" cm="1">
        <f t="array" aca="1" ref="L36" ca="1">_xll.QDates_FuturesExpiryFromCode(K36)</f>
        <v>44754</v>
      </c>
      <c r="M36" cm="1">
        <f t="array" aca="1" ref="M36" ca="1">_xll.BDP(K36&amp;" Comdty","PX_SETTLE")</f>
        <v>376</v>
      </c>
      <c r="N36" t="str" cm="1">
        <f t="array" aca="1" ref="N36" ca="1">_xll.BDP(K36&amp;" Comdty",BidMidASK)</f>
        <v>#N/A N/A</v>
      </c>
      <c r="O36" s="81">
        <f t="shared" ca="1" si="3"/>
        <v>-118</v>
      </c>
      <c r="P36" s="81" t="str">
        <f t="shared" ca="1" si="4"/>
        <v/>
      </c>
      <c r="Q36" s="81">
        <f ca="1"/>
        <v>-120.16666666666667</v>
      </c>
      <c r="R36" s="13" cm="1">
        <f t="array" aca="1" ref="R36" ca="1">(N$11-Q36+VLOOKUP(K$10,$C$4:$E$7,3,FALSE)+VLOOKUP(K$10,$C$4:$F$7,4,FALSE)*_xll.QDates_YearFraction(valDate,L36,"ACT365F"))/VLOOKUP(K$10,$C$4:$G$7,5,FALSE)</f>
        <v>378.79166666666669</v>
      </c>
      <c r="T36" s="8" t="str" cm="1">
        <f t="array" aca="1" ref="T36" ca="1">_xll.QDates_FuturesNextCode(T35)</f>
        <v>XBN2</v>
      </c>
      <c r="U36" s="1" cm="1">
        <f t="array" aca="1" ref="U36" ca="1">_xll.QDates_FuturesExpiryFromCode(T36)</f>
        <v>44742</v>
      </c>
      <c r="V36" cm="1">
        <f t="array" aca="1" ref="V36" ca="1">_xll.BDP(T36&amp;" Comdty","PX_SETTLE")</f>
        <v>115.75</v>
      </c>
      <c r="W36" t="str" cm="1">
        <f t="array" aca="1" ref="W36" ca="1">_xll.BDP(T36&amp;" Comdty",BidMidASK)</f>
        <v>#N/A N/A</v>
      </c>
      <c r="X36" s="81">
        <f t="shared" ca="1" si="0"/>
        <v>-23.33</v>
      </c>
      <c r="Y36" s="81" t="str">
        <f t="shared" ca="1" si="5"/>
        <v/>
      </c>
      <c r="Z36" s="81">
        <f ca="1"/>
        <v>-21.440833333333334</v>
      </c>
      <c r="AA36" s="13" cm="1">
        <f t="array" aca="1" ref="AA36" ca="1">(W$11-Z36+VLOOKUP(T$10,$C$4:$E$7,3,FALSE)+VLOOKUP(T$10,$C$4:$F$7,4,FALSE)*_xll.QDates_YearFraction(valDate,U36,"ACT365F"))/VLOOKUP(T$10,$C$4:$G$7,5,FALSE)</f>
        <v>1.1129583333333333</v>
      </c>
      <c r="AC36" s="8" t="str" cm="1">
        <f t="array" aca="1" ref="AC36" ca="1">_xll.QDates_FuturesNextCode(AC35)</f>
        <v>CLN2</v>
      </c>
      <c r="AD36" s="1" cm="1">
        <f t="array" aca="1" ref="AD36" ca="1">_xll.QDates_FuturesExpiryFromCode(AC36)</f>
        <v>44733</v>
      </c>
      <c r="AE36" cm="1">
        <f t="array" aca="1" ref="AE36" ca="1">_xll.BDP(AC36&amp;" Comdty","PX_SETTLE")</f>
        <v>36.380000000000003</v>
      </c>
      <c r="AF36" t="str" cm="1">
        <f t="array" aca="1" ref="AF36" ca="1">_xll.BDP(AC36&amp;" Comdty",BidMidASK)</f>
        <v>#N/A N/A</v>
      </c>
      <c r="AG36" s="81">
        <f t="shared" ca="1" si="6"/>
        <v>-12.240000000000002</v>
      </c>
      <c r="AH36" s="81" t="str">
        <f t="shared" ca="1" si="7"/>
        <v/>
      </c>
      <c r="AI36" s="81">
        <f ca="1"/>
        <v>-11.480833333333338</v>
      </c>
      <c r="AJ36" s="13" cm="1">
        <f t="array" aca="1" ref="AJ36" ca="1">(AF$11-AI36+VLOOKUP(AC$10,$C$4:$E$7,3,FALSE)+VLOOKUP(AC$10,$C$4:$F$7,4,FALSE)*_xll.QDates_YearFraction(valDate,AD36,"ACT365F"))/VLOOKUP(AC$10,$C$4:$G$7,5,FALSE)</f>
        <v>35.985833333333339</v>
      </c>
    </row>
    <row r="37" spans="2:36" x14ac:dyDescent="0.25">
      <c r="B37" s="8" t="str" cm="1">
        <f t="array" aca="1" ref="B37" ca="1">_xll.QDates_FuturesNextCode(B36)</f>
        <v>COU2</v>
      </c>
      <c r="C37" s="1" cm="1">
        <f t="array" aca="1" ref="C37" ca="1">_xll.QDates_FuturesExpiryFromCode(B37)</f>
        <v>44771</v>
      </c>
      <c r="D37" cm="1">
        <f t="array" aca="1" ref="D37" ca="1">_xll.BDP(B37&amp;" Comdty","PX_SETTLE")</f>
        <v>41.14</v>
      </c>
      <c r="E37" t="str" cm="1">
        <f t="array" aca="1" ref="E37" ca="1">_xll.BDP(B37&amp;" Comdty",BidMidASK)</f>
        <v>#N/A N/A</v>
      </c>
      <c r="F37" s="81">
        <f t="shared" ca="1" si="1"/>
        <v>-11.510000000000002</v>
      </c>
      <c r="G37" s="81" t="str">
        <f t="shared" ca="1" si="2"/>
        <v/>
      </c>
      <c r="H37" s="81">
        <f ca="1"/>
        <v>-11.177500000000002</v>
      </c>
      <c r="I37" s="13" cm="1">
        <f t="array" aca="1" ref="I37" ca="1">(E$11-H37+VLOOKUP(B$10,$C$4:$E$7,3,FALSE)+VLOOKUP(B$10,$C$4:$F$7,4,FALSE)*_xll.QDates_YearFraction(valDate,C37,"ACT365F"))/VLOOKUP(B$10,$C$4:$G$7,5,FALSE)</f>
        <v>41.785239726027399</v>
      </c>
      <c r="K37" s="8" t="str" cm="1">
        <f t="array" aca="1" ref="K37" ca="1">_xll.QDates_FuturesNextCode(K36)</f>
        <v>QSQ2</v>
      </c>
      <c r="L37" s="1" cm="1">
        <f t="array" aca="1" ref="L37" ca="1">_xll.QDates_FuturesExpiryFromCode(K37)</f>
        <v>44784</v>
      </c>
      <c r="M37" cm="1">
        <f t="array" aca="1" ref="M37" ca="1">_xll.BDP(K37&amp;" Comdty","PX_SETTLE")</f>
        <v>380.5</v>
      </c>
      <c r="N37" t="str" cm="1">
        <f t="array" aca="1" ref="N37" ca="1">_xll.BDP(K37&amp;" Comdty",BidMidASK)</f>
        <v>#N/A N/A</v>
      </c>
      <c r="O37" s="81">
        <f t="shared" ca="1" si="3"/>
        <v>-122.5</v>
      </c>
      <c r="P37" s="81" t="str">
        <f t="shared" ca="1" si="4"/>
        <v/>
      </c>
      <c r="Q37" s="81">
        <f ca="1"/>
        <v>-124.58333333333333</v>
      </c>
      <c r="R37" s="13" cm="1">
        <f t="array" aca="1" ref="R37" ca="1">(N$11-Q37+VLOOKUP(K$10,$C$4:$E$7,3,FALSE)+VLOOKUP(K$10,$C$4:$F$7,4,FALSE)*_xll.QDates_YearFraction(valDate,L37,"ACT365F"))/VLOOKUP(K$10,$C$4:$G$7,5,FALSE)</f>
        <v>383.20833333333331</v>
      </c>
      <c r="T37" s="8" t="str" cm="1">
        <f t="array" aca="1" ref="T37" ca="1">_xll.QDates_FuturesNextCode(T36)</f>
        <v>XBQ2</v>
      </c>
      <c r="U37" s="1" cm="1">
        <f t="array" aca="1" ref="U37" ca="1">_xll.QDates_FuturesExpiryFromCode(T37)</f>
        <v>44771</v>
      </c>
      <c r="V37" cm="1">
        <f t="array" aca="1" ref="V37" ca="1">_xll.BDP(T37&amp;" Comdty","PX_SETTLE")</f>
        <v>115.21000000000001</v>
      </c>
      <c r="W37" t="str" cm="1">
        <f t="array" aca="1" ref="W37" ca="1">_xll.BDP(T37&amp;" Comdty",BidMidASK)</f>
        <v>#N/A N/A</v>
      </c>
      <c r="X37" s="81">
        <f t="shared" ca="1" si="0"/>
        <v>-22.790000000000006</v>
      </c>
      <c r="Y37" s="81" t="str">
        <f t="shared" ca="1" si="5"/>
        <v/>
      </c>
      <c r="Z37" s="81">
        <f ca="1"/>
        <v>-20.17166666666667</v>
      </c>
      <c r="AA37" s="13" cm="1">
        <f t="array" aca="1" ref="AA37" ca="1">(W$11-Z37+VLOOKUP(T$10,$C$4:$E$7,3,FALSE)+VLOOKUP(T$10,$C$4:$F$7,4,FALSE)*_xll.QDates_YearFraction(valDate,U37,"ACT365F"))/VLOOKUP(T$10,$C$4:$G$7,5,FALSE)</f>
        <v>1.1002666666666667</v>
      </c>
      <c r="AC37" s="8" t="str" cm="1">
        <f t="array" aca="1" ref="AC37" ca="1">_xll.QDates_FuturesNextCode(AC36)</f>
        <v>CLQ2</v>
      </c>
      <c r="AD37" s="1" cm="1">
        <f t="array" aca="1" ref="AD37" ca="1">_xll.QDates_FuturesExpiryFromCode(AC37)</f>
        <v>44762</v>
      </c>
      <c r="AE37" cm="1">
        <f t="array" aca="1" ref="AE37" ca="1">_xll.BDP(AC37&amp;" Comdty","PX_SETTLE")</f>
        <v>36.6</v>
      </c>
      <c r="AF37" t="str" cm="1">
        <f t="array" aca="1" ref="AF37" ca="1">_xll.BDP(AC37&amp;" Comdty",BidMidASK)</f>
        <v>#N/A N/A</v>
      </c>
      <c r="AG37" s="81">
        <f t="shared" ca="1" si="6"/>
        <v>-12.46</v>
      </c>
      <c r="AH37" s="81" t="str">
        <f t="shared" ca="1" si="7"/>
        <v/>
      </c>
      <c r="AI37" s="81">
        <f ca="1"/>
        <v>-11.706666666666672</v>
      </c>
      <c r="AJ37" s="13" cm="1">
        <f t="array" aca="1" ref="AJ37" ca="1">(AF$11-AI37+VLOOKUP(AC$10,$C$4:$E$7,3,FALSE)+VLOOKUP(AC$10,$C$4:$F$7,4,FALSE)*_xll.QDates_YearFraction(valDate,AD37,"ACT365F"))/VLOOKUP(AC$10,$C$4:$G$7,5,FALSE)</f>
        <v>36.211666666666673</v>
      </c>
    </row>
    <row r="38" spans="2:36" x14ac:dyDescent="0.25">
      <c r="B38" s="8" t="str" cm="1">
        <f t="array" aca="1" ref="B38" ca="1">_xll.QDates_FuturesNextCode(B37)</f>
        <v>COV2</v>
      </c>
      <c r="C38" s="1" cm="1">
        <f t="array" aca="1" ref="C38" ca="1">_xll.QDates_FuturesExpiryFromCode(B38)</f>
        <v>44804</v>
      </c>
      <c r="D38" cm="1">
        <f t="array" aca="1" ref="D38" ca="1">_xll.BDP(B38&amp;" Comdty","PX_SETTLE")</f>
        <v>41.4</v>
      </c>
      <c r="E38" t="str" cm="1">
        <f t="array" aca="1" ref="E38" ca="1">_xll.BDP(B38&amp;" Comdty",BidMidASK)</f>
        <v>#N/A N/A</v>
      </c>
      <c r="F38" s="81">
        <f t="shared" ca="1" si="1"/>
        <v>-11.77</v>
      </c>
      <c r="G38" s="81" t="str">
        <f t="shared" ca="1" si="2"/>
        <v/>
      </c>
      <c r="H38" s="81">
        <f ca="1"/>
        <v>-11.438333333333333</v>
      </c>
      <c r="I38" s="13" cm="1">
        <f t="array" aca="1" ref="I38" ca="1">(E$11-H38+VLOOKUP(B$10,$C$4:$E$7,3,FALSE)+VLOOKUP(B$10,$C$4:$F$7,4,FALSE)*_xll.QDates_YearFraction(valDate,C38,"ACT365F"))/VLOOKUP(B$10,$C$4:$G$7,5,FALSE)</f>
        <v>42.06415525114155</v>
      </c>
      <c r="K38" s="8" t="str" cm="1">
        <f t="array" aca="1" ref="K38" ca="1">_xll.QDates_FuturesNextCode(K37)</f>
        <v>QSU2</v>
      </c>
      <c r="L38" s="1" cm="1">
        <f t="array" aca="1" ref="L38" ca="1">_xll.QDates_FuturesExpiryFromCode(K38)</f>
        <v>44816</v>
      </c>
      <c r="M38" cm="1">
        <f t="array" aca="1" ref="M38" ca="1">_xll.BDP(K38&amp;" Comdty","PX_SETTLE")</f>
        <v>383.5</v>
      </c>
      <c r="N38" t="str" cm="1">
        <f t="array" aca="1" ref="N38" ca="1">_xll.BDP(K38&amp;" Comdty",BidMidASK)</f>
        <v>#N/A N/A</v>
      </c>
      <c r="O38" s="81">
        <f t="shared" ca="1" si="3"/>
        <v>-125.5</v>
      </c>
      <c r="P38" s="81" t="str">
        <f t="shared" ca="1" si="4"/>
        <v/>
      </c>
      <c r="Q38" s="81">
        <f ca="1"/>
        <v>-127.5</v>
      </c>
      <c r="R38" s="13" cm="1">
        <f t="array" aca="1" ref="R38" ca="1">(N$11-Q38+VLOOKUP(K$10,$C$4:$E$7,3,FALSE)+VLOOKUP(K$10,$C$4:$F$7,4,FALSE)*_xll.QDates_YearFraction(valDate,L38,"ACT365F"))/VLOOKUP(K$10,$C$4:$G$7,5,FALSE)</f>
        <v>386.125</v>
      </c>
      <c r="T38" s="8" t="str" cm="1">
        <f t="array" aca="1" ref="T38" ca="1">_xll.QDates_FuturesNextCode(T37)</f>
        <v>XBU2</v>
      </c>
      <c r="U38" s="1" cm="1">
        <f t="array" aca="1" ref="U38" ca="1">_xll.QDates_FuturesExpiryFromCode(T38)</f>
        <v>44804</v>
      </c>
      <c r="V38" cm="1">
        <f t="array" aca="1" ref="V38" ca="1">_xll.BDP(T38&amp;" Comdty","PX_SETTLE")</f>
        <v>112.72</v>
      </c>
      <c r="W38" t="str" cm="1">
        <f t="array" aca="1" ref="W38" ca="1">_xll.BDP(T38&amp;" Comdty",BidMidASK)</f>
        <v>#N/A N/A</v>
      </c>
      <c r="X38" s="81">
        <f t="shared" ca="1" si="0"/>
        <v>-20.299999999999997</v>
      </c>
      <c r="Y38" s="81" t="str">
        <f t="shared" ca="1" si="5"/>
        <v/>
      </c>
      <c r="Z38" s="81">
        <f ca="1"/>
        <v>-16.952499999999993</v>
      </c>
      <c r="AA38" s="13" cm="1">
        <f t="array" aca="1" ref="AA38" ca="1">(W$11-Z38+VLOOKUP(T$10,$C$4:$E$7,3,FALSE)+VLOOKUP(T$10,$C$4:$F$7,4,FALSE)*_xll.QDates_YearFraction(valDate,U38,"ACT365F"))/VLOOKUP(T$10,$C$4:$G$7,5,FALSE)</f>
        <v>1.0680750000000001</v>
      </c>
      <c r="AC38" s="8" t="str" cm="1">
        <f t="array" aca="1" ref="AC38" ca="1">_xll.QDates_FuturesNextCode(AC37)</f>
        <v>CLU2</v>
      </c>
      <c r="AD38" s="1" cm="1">
        <f t="array" aca="1" ref="AD38" ca="1">_xll.QDates_FuturesExpiryFromCode(AC38)</f>
        <v>44795</v>
      </c>
      <c r="AE38" cm="1">
        <f t="array" aca="1" ref="AE38" ca="1">_xll.BDP(AC38&amp;" Comdty","PX_SETTLE")</f>
        <v>36.82</v>
      </c>
      <c r="AF38" t="str" cm="1">
        <f t="array" aca="1" ref="AF38" ca="1">_xll.BDP(AC38&amp;" Comdty",BidMidASK)</f>
        <v>#N/A N/A</v>
      </c>
      <c r="AG38" s="81">
        <f t="shared" ca="1" si="6"/>
        <v>-12.68</v>
      </c>
      <c r="AH38" s="81" t="str">
        <f t="shared" ca="1" si="7"/>
        <v/>
      </c>
      <c r="AI38" s="81">
        <f ca="1"/>
        <v>-11.932500000000005</v>
      </c>
      <c r="AJ38" s="13" cm="1">
        <f t="array" aca="1" ref="AJ38" ca="1">(AF$11-AI38+VLOOKUP(AC$10,$C$4:$E$7,3,FALSE)+VLOOKUP(AC$10,$C$4:$F$7,4,FALSE)*_xll.QDates_YearFraction(valDate,AD38,"ACT365F"))/VLOOKUP(AC$10,$C$4:$G$7,5,FALSE)</f>
        <v>36.4375</v>
      </c>
    </row>
    <row r="39" spans="2:36" x14ac:dyDescent="0.25">
      <c r="B39" s="8" t="str" cm="1">
        <f t="array" aca="1" ref="B39" ca="1">_xll.QDates_FuturesNextCode(B38)</f>
        <v>COX2</v>
      </c>
      <c r="C39" s="1" cm="1">
        <f t="array" aca="1" ref="C39" ca="1">_xll.QDates_FuturesExpiryFromCode(B39)</f>
        <v>44834</v>
      </c>
      <c r="D39" cm="1">
        <f t="array" aca="1" ref="D39" ca="1">_xll.BDP(B39&amp;" Comdty","PX_SETTLE")</f>
        <v>41.660000000000004</v>
      </c>
      <c r="E39" t="str" cm="1">
        <f t="array" aca="1" ref="E39" ca="1">_xll.BDP(B39&amp;" Comdty",BidMidASK)</f>
        <v>#N/A N/A</v>
      </c>
      <c r="F39" s="81">
        <f t="shared" ca="1" si="1"/>
        <v>-12.030000000000005</v>
      </c>
      <c r="G39" s="81" t="str">
        <f t="shared" ca="1" si="2"/>
        <v/>
      </c>
      <c r="H39" s="81">
        <f ca="1"/>
        <v>-11.69916666666667</v>
      </c>
      <c r="I39" s="13" cm="1">
        <f t="array" aca="1" ref="I39" ca="1">(E$11-H39+VLOOKUP(B$10,$C$4:$E$7,3,FALSE)+VLOOKUP(B$10,$C$4:$F$7,4,FALSE)*_xll.QDates_YearFraction(valDate,C39,"ACT365F"))/VLOOKUP(B$10,$C$4:$G$7,5,FALSE)</f>
        <v>42.341426940639273</v>
      </c>
      <c r="K39" s="8" t="str" cm="1">
        <f t="array" aca="1" ref="K39" ca="1">_xll.QDates_FuturesNextCode(K38)</f>
        <v>QSV2</v>
      </c>
      <c r="L39" s="1" cm="1">
        <f t="array" aca="1" ref="L39" ca="1">_xll.QDates_FuturesExpiryFromCode(K39)</f>
        <v>44846</v>
      </c>
      <c r="M39" cm="1">
        <f t="array" aca="1" ref="M39" ca="1">_xll.BDP(K39&amp;" Comdty","PX_SETTLE")</f>
        <v>386.75</v>
      </c>
      <c r="N39" t="str" cm="1">
        <f t="array" aca="1" ref="N39" ca="1">_xll.BDP(K39&amp;" Comdty",BidMidASK)</f>
        <v>#N/A N/A</v>
      </c>
      <c r="O39" s="81">
        <f t="shared" ca="1" si="3"/>
        <v>-128.75</v>
      </c>
      <c r="P39" s="81" t="str">
        <f t="shared" ca="1" si="4"/>
        <v/>
      </c>
      <c r="Q39" s="81">
        <f ca="1"/>
        <v>-130.66666666666666</v>
      </c>
      <c r="R39" s="13" cm="1">
        <f t="array" aca="1" ref="R39" ca="1">(N$11-Q39+VLOOKUP(K$10,$C$4:$E$7,3,FALSE)+VLOOKUP(K$10,$C$4:$F$7,4,FALSE)*_xll.QDates_YearFraction(valDate,L39,"ACT365F"))/VLOOKUP(K$10,$C$4:$G$7,5,FALSE)</f>
        <v>389.29166666666663</v>
      </c>
      <c r="T39" s="8" t="str" cm="1">
        <f t="array" aca="1" ref="T39" ca="1">_xll.QDates_FuturesNextCode(T38)</f>
        <v>XBV2</v>
      </c>
      <c r="U39" s="1" cm="1">
        <f t="array" aca="1" ref="U39" ca="1">_xll.QDates_FuturesExpiryFromCode(T39)</f>
        <v>44834</v>
      </c>
      <c r="V39" cm="1">
        <f t="array" aca="1" ref="V39" ca="1">_xll.BDP(T39&amp;" Comdty","PX_SETTLE")</f>
        <v>101.08</v>
      </c>
      <c r="W39" t="str" cm="1">
        <f t="array" aca="1" ref="W39" ca="1">_xll.BDP(T39&amp;" Comdty",BidMidASK)</f>
        <v>#N/A N/A</v>
      </c>
      <c r="X39" s="81">
        <f t="shared" ca="1" si="0"/>
        <v>-8.6599999999999966</v>
      </c>
      <c r="Y39" s="81" t="str">
        <f t="shared" ca="1" si="5"/>
        <v/>
      </c>
      <c r="Z39" s="81">
        <f ca="1"/>
        <v>-4.5833333333333233</v>
      </c>
      <c r="AA39" s="13" cm="1">
        <f t="array" aca="1" ref="AA39" ca="1">(W$11-Z39+VLOOKUP(T$10,$C$4:$E$7,3,FALSE)+VLOOKUP(T$10,$C$4:$F$7,4,FALSE)*_xll.QDates_YearFraction(valDate,U39,"ACT365F"))/VLOOKUP(T$10,$C$4:$G$7,5,FALSE)</f>
        <v>0.94438333333333335</v>
      </c>
      <c r="AC39" s="8" t="str" cm="1">
        <f t="array" aca="1" ref="AC39" ca="1">_xll.QDates_FuturesNextCode(AC38)</f>
        <v>CLV2</v>
      </c>
      <c r="AD39" s="1" cm="1">
        <f t="array" aca="1" ref="AD39" ca="1">_xll.QDates_FuturesExpiryFromCode(AC39)</f>
        <v>44824</v>
      </c>
      <c r="AE39" cm="1">
        <f t="array" aca="1" ref="AE39" ca="1">_xll.BDP(AC39&amp;" Comdty","PX_SETTLE")</f>
        <v>37.050000000000004</v>
      </c>
      <c r="AF39" t="str" cm="1">
        <f t="array" aca="1" ref="AF39" ca="1">_xll.BDP(AC39&amp;" Comdty",BidMidASK)</f>
        <v>#N/A N/A</v>
      </c>
      <c r="AG39" s="81">
        <f t="shared" ca="1" si="6"/>
        <v>-12.910000000000004</v>
      </c>
      <c r="AH39" s="81" t="str">
        <f t="shared" ca="1" si="7"/>
        <v/>
      </c>
      <c r="AI39" s="81">
        <f ca="1"/>
        <v>-12.168333333333342</v>
      </c>
      <c r="AJ39" s="13" cm="1">
        <f t="array" aca="1" ref="AJ39" ca="1">(AF$11-AI39+VLOOKUP(AC$10,$C$4:$E$7,3,FALSE)+VLOOKUP(AC$10,$C$4:$F$7,4,FALSE)*_xll.QDates_YearFraction(valDate,AD39,"ACT365F"))/VLOOKUP(AC$10,$C$4:$G$7,5,FALSE)</f>
        <v>36.673333333333339</v>
      </c>
    </row>
    <row r="40" spans="2:36" x14ac:dyDescent="0.25">
      <c r="B40" s="8" t="str" cm="1">
        <f t="array" aca="1" ref="B40" ca="1">_xll.QDates_FuturesNextCode(B39)</f>
        <v>COZ2</v>
      </c>
      <c r="C40" s="1" cm="1">
        <f t="array" aca="1" ref="C40" ca="1">_xll.QDates_FuturesExpiryFromCode(B40)</f>
        <v>44865</v>
      </c>
      <c r="D40" cm="1">
        <f t="array" aca="1" ref="D40" ca="1">_xll.BDP(B40&amp;" Comdty","PX_SETTLE")</f>
        <v>41.910000000000004</v>
      </c>
      <c r="E40" cm="1">
        <f t="array" aca="1" ref="E40" ca="1">_xll.BDP(B40&amp;" Comdty",BidMidASK)</f>
        <v>41.865000000000002</v>
      </c>
      <c r="F40" s="81">
        <f t="shared" ca="1" si="1"/>
        <v>-12.280000000000005</v>
      </c>
      <c r="G40" s="81">
        <f t="shared" ca="1" si="2"/>
        <v>-11.950000000000003</v>
      </c>
      <c r="H40" s="81">
        <f ca="1"/>
        <v>-11.950000000000003</v>
      </c>
      <c r="I40" s="13" cm="1">
        <f t="array" aca="1" ref="I40" ca="1">(E$11-H40+VLOOKUP(B$10,$C$4:$E$7,3,FALSE)+VLOOKUP(B$10,$C$4:$F$7,4,FALSE)*_xll.QDates_YearFraction(valDate,C40,"ACT365F"))/VLOOKUP(B$10,$C$4:$G$7,5,FALSE)</f>
        <v>42.609246575342468</v>
      </c>
      <c r="K40" s="8" t="str" cm="1">
        <f t="array" aca="1" ref="K40" ca="1">_xll.QDates_FuturesNextCode(K39)</f>
        <v>QSX2</v>
      </c>
      <c r="L40" s="1" cm="1">
        <f t="array" aca="1" ref="L40" ca="1">_xll.QDates_FuturesExpiryFromCode(K40)</f>
        <v>44875</v>
      </c>
      <c r="M40" cm="1">
        <f t="array" aca="1" ref="M40" ca="1">_xll.BDP(K40&amp;" Comdty","PX_SETTLE")</f>
        <v>386.5</v>
      </c>
      <c r="N40" t="str" cm="1">
        <f t="array" aca="1" ref="N40" ca="1">_xll.BDP(K40&amp;" Comdty",BidMidASK)</f>
        <v>#N/A N/A</v>
      </c>
      <c r="O40" s="81">
        <f t="shared" ca="1" si="3"/>
        <v>-128.5</v>
      </c>
      <c r="P40" s="81" t="str">
        <f t="shared" ca="1" si="4"/>
        <v/>
      </c>
      <c r="Q40" s="81">
        <f ca="1"/>
        <v>-130.33333333333334</v>
      </c>
      <c r="R40" s="13" cm="1">
        <f t="array" aca="1" ref="R40" ca="1">(N$11-Q40+VLOOKUP(K$10,$C$4:$E$7,3,FALSE)+VLOOKUP(K$10,$C$4:$F$7,4,FALSE)*_xll.QDates_YearFraction(valDate,L40,"ACT365F"))/VLOOKUP(K$10,$C$4:$G$7,5,FALSE)</f>
        <v>388.95833333333337</v>
      </c>
      <c r="T40" s="8" t="str" cm="1">
        <f t="array" aca="1" ref="T40" ca="1">_xll.QDates_FuturesNextCode(T39)</f>
        <v>XBX2</v>
      </c>
      <c r="U40" s="1" cm="1">
        <f t="array" aca="1" ref="U40" ca="1">_xll.QDates_FuturesExpiryFromCode(T40)</f>
        <v>44865</v>
      </c>
      <c r="V40" cm="1">
        <f t="array" aca="1" ref="V40" ca="1">_xll.BDP(T40&amp;" Comdty","PX_SETTLE")</f>
        <v>99.11</v>
      </c>
      <c r="W40" t="str" cm="1">
        <f t="array" aca="1" ref="W40" ca="1">_xll.BDP(T40&amp;" Comdty",BidMidASK)</f>
        <v>#N/A N/A</v>
      </c>
      <c r="X40" s="81">
        <f t="shared" ca="1" si="0"/>
        <v>-6.6899999999999977</v>
      </c>
      <c r="Y40" s="81" t="str">
        <f t="shared" ca="1" si="5"/>
        <v/>
      </c>
      <c r="Z40" s="81">
        <f ca="1"/>
        <v>-1.8841666666666557</v>
      </c>
      <c r="AA40" s="13" cm="1">
        <f t="array" aca="1" ref="AA40" ca="1">(W$11-Z40+VLOOKUP(T$10,$C$4:$E$7,3,FALSE)+VLOOKUP(T$10,$C$4:$F$7,4,FALSE)*_xll.QDates_YearFraction(valDate,U40,"ACT365F"))/VLOOKUP(T$10,$C$4:$G$7,5,FALSE)</f>
        <v>0.91739166666666661</v>
      </c>
      <c r="AC40" s="8" t="str" cm="1">
        <f t="array" aca="1" ref="AC40" ca="1">_xll.QDates_FuturesNextCode(AC39)</f>
        <v>CLX2</v>
      </c>
      <c r="AD40" s="1" cm="1">
        <f t="array" aca="1" ref="AD40" ca="1">_xll.QDates_FuturesExpiryFromCode(AC40)</f>
        <v>44854</v>
      </c>
      <c r="AE40" cm="1">
        <f t="array" aca="1" ref="AE40" ca="1">_xll.BDP(AC40&amp;" Comdty","PX_SETTLE")</f>
        <v>37.29</v>
      </c>
      <c r="AF40" t="str" cm="1">
        <f t="array" aca="1" ref="AF40" ca="1">_xll.BDP(AC40&amp;" Comdty",BidMidASK)</f>
        <v>#N/A N/A</v>
      </c>
      <c r="AG40" s="81">
        <f t="shared" ca="1" si="6"/>
        <v>-13.149999999999999</v>
      </c>
      <c r="AH40" s="81" t="str">
        <f t="shared" ca="1" si="7"/>
        <v/>
      </c>
      <c r="AI40" s="81">
        <f ca="1"/>
        <v>-12.414166666666672</v>
      </c>
      <c r="AJ40" s="13" cm="1">
        <f t="array" aca="1" ref="AJ40" ca="1">(AF$11-AI40+VLOOKUP(AC$10,$C$4:$E$7,3,FALSE)+VLOOKUP(AC$10,$C$4:$F$7,4,FALSE)*_xll.QDates_YearFraction(valDate,AD40,"ACT365F"))/VLOOKUP(AC$10,$C$4:$G$7,5,FALSE)</f>
        <v>36.919166666666669</v>
      </c>
    </row>
    <row r="41" spans="2:36" x14ac:dyDescent="0.25">
      <c r="B41" s="8" t="str" cm="1">
        <f t="array" aca="1" ref="B41" ca="1">_xll.QDates_FuturesNextCode(B40)</f>
        <v>COF3</v>
      </c>
      <c r="C41" s="1" cm="1">
        <f t="array" aca="1" ref="C41" ca="1">_xll.QDates_FuturesExpiryFromCode(B41)</f>
        <v>44895</v>
      </c>
      <c r="D41" cm="1">
        <f t="array" aca="1" ref="D41" ca="1">_xll.BDP(B41&amp;" Comdty","PX_SETTLE")</f>
        <v>42.15</v>
      </c>
      <c r="E41" t="str" cm="1">
        <f t="array" aca="1" ref="E41" ca="1">_xll.BDP(B41&amp;" Comdty",BidMidASK)</f>
        <v>#N/A N/A</v>
      </c>
      <c r="F41" s="81">
        <f t="shared" ca="1" si="1"/>
        <v>-12.52</v>
      </c>
      <c r="G41" s="81" t="str">
        <f t="shared" ca="1" si="2"/>
        <v/>
      </c>
      <c r="H41" s="81">
        <f ca="1"/>
        <v>-12.194166666666664</v>
      </c>
      <c r="I41" s="13" cm="1">
        <f t="array" aca="1" ref="I41" ca="1">(E$11-H41+VLOOKUP(B$10,$C$4:$E$7,3,FALSE)+VLOOKUP(B$10,$C$4:$F$7,4,FALSE)*_xll.QDates_YearFraction(valDate,C41,"ACT365F"))/VLOOKUP(B$10,$C$4:$G$7,5,FALSE)</f>
        <v>42.869851598173518</v>
      </c>
      <c r="K41" s="8" t="str" cm="1">
        <f t="array" aca="1" ref="K41" ca="1">_xll.QDates_FuturesNextCode(K40)</f>
        <v>QSZ2</v>
      </c>
      <c r="L41" s="1" cm="1">
        <f t="array" aca="1" ref="L41" ca="1">_xll.QDates_FuturesExpiryFromCode(K41)</f>
        <v>44907</v>
      </c>
      <c r="M41" cm="1">
        <f t="array" aca="1" ref="M41" ca="1">_xll.BDP(K41&amp;" Comdty","PX_SETTLE")</f>
        <v>386.25</v>
      </c>
      <c r="N41" cm="1">
        <f t="array" aca="1" ref="N41" ca="1">_xll.BDP(K41&amp;" Comdty",BidMidASK)</f>
        <v>386.625</v>
      </c>
      <c r="O41" s="81">
        <f t="shared" ca="1" si="3"/>
        <v>-128.25</v>
      </c>
      <c r="P41" s="81">
        <f t="shared" ca="1" si="4"/>
        <v>-130</v>
      </c>
      <c r="Q41" s="81">
        <f ca="1"/>
        <v>-130</v>
      </c>
      <c r="R41" s="13" cm="1">
        <f t="array" aca="1" ref="R41" ca="1">(N$11-Q41+VLOOKUP(K$10,$C$4:$E$7,3,FALSE)+VLOOKUP(K$10,$C$4:$F$7,4,FALSE)*_xll.QDates_YearFraction(valDate,L41,"ACT365F"))/VLOOKUP(K$10,$C$4:$G$7,5,FALSE)</f>
        <v>388.625</v>
      </c>
      <c r="T41" s="8" t="str" cm="1">
        <f t="array" aca="1" ref="T41" ca="1">_xll.QDates_FuturesNextCode(T40)</f>
        <v>XBZ2</v>
      </c>
      <c r="U41" s="1" cm="1">
        <f t="array" aca="1" ref="U41" ca="1">_xll.QDates_FuturesExpiryFromCode(T41)</f>
        <v>44895</v>
      </c>
      <c r="V41" cm="1">
        <f t="array" aca="1" ref="V41" ca="1">_xll.BDP(T41&amp;" Comdty","PX_SETTLE")</f>
        <v>98.350000000000009</v>
      </c>
      <c r="W41" cm="1">
        <f t="array" aca="1" ref="W41" ca="1">_xll.BDP(T41&amp;" Comdty",BidMidASK)</f>
        <v>93.25</v>
      </c>
      <c r="X41" s="81">
        <f t="shared" ca="1" si="0"/>
        <v>-5.9300000000000068</v>
      </c>
      <c r="Y41" s="81">
        <f t="shared" ca="1" si="5"/>
        <v>-0.39499999999999602</v>
      </c>
      <c r="Z41" s="81">
        <f ca="1"/>
        <v>-0.39499999999999602</v>
      </c>
      <c r="AA41" s="13" cm="1">
        <f t="array" aca="1" ref="AA41" ca="1">(W$11-Z41+VLOOKUP(T$10,$C$4:$E$7,3,FALSE)+VLOOKUP(T$10,$C$4:$F$7,4,FALSE)*_xll.QDates_YearFraction(valDate,U41,"ACT365F"))/VLOOKUP(T$10,$C$4:$G$7,5,FALSE)</f>
        <v>0.90249999999999997</v>
      </c>
      <c r="AC41" s="8" t="str" cm="1">
        <f t="array" aca="1" ref="AC41" ca="1">_xll.QDates_FuturesNextCode(AC40)</f>
        <v>CLZ2</v>
      </c>
      <c r="AD41" s="1" cm="1">
        <f t="array" aca="1" ref="AD41" ca="1">_xll.QDates_FuturesExpiryFromCode(AC41)</f>
        <v>44883</v>
      </c>
      <c r="AE41" cm="1">
        <f t="array" aca="1" ref="AE41" ca="1">_xll.BDP(AC41&amp;" Comdty","PX_SETTLE")</f>
        <v>37.51</v>
      </c>
      <c r="AF41" cm="1">
        <f t="array" aca="1" ref="AF41" ca="1">_xll.BDP(AC41&amp;" Comdty",BidMidASK)</f>
        <v>37.395000000000003</v>
      </c>
      <c r="AG41" s="81">
        <f t="shared" ca="1" si="6"/>
        <v>-13.369999999999997</v>
      </c>
      <c r="AH41" s="81">
        <f t="shared" ca="1" si="7"/>
        <v>-12.640000000000004</v>
      </c>
      <c r="AI41" s="81">
        <f ca="1"/>
        <v>-12.640000000000004</v>
      </c>
      <c r="AJ41" s="13" cm="1">
        <f t="array" aca="1" ref="AJ41" ca="1">(AF$11-AI41+VLOOKUP(AC$10,$C$4:$E$7,3,FALSE)+VLOOKUP(AC$10,$C$4:$F$7,4,FALSE)*_xll.QDates_YearFraction(valDate,AD41,"ACT365F"))/VLOOKUP(AC$10,$C$4:$G$7,5,FALSE)</f>
        <v>37.145000000000003</v>
      </c>
    </row>
    <row r="42" spans="2:36" x14ac:dyDescent="0.25">
      <c r="B42" s="8" t="str" cm="1">
        <f t="array" aca="1" ref="B42" ca="1">_xll.QDates_FuturesNextCode(B41)</f>
        <v>COG3</v>
      </c>
      <c r="C42" s="1" cm="1">
        <f t="array" aca="1" ref="C42" ca="1">_xll.QDates_FuturesExpiryFromCode(B42)</f>
        <v>44925</v>
      </c>
      <c r="D42" cm="1">
        <f t="array" aca="1" ref="D42" ca="1">_xll.BDP(B42&amp;" Comdty","PX_SETTLE")</f>
        <v>42.4</v>
      </c>
      <c r="E42" t="str" cm="1">
        <f t="array" aca="1" ref="E42" ca="1">_xll.BDP(B42&amp;" Comdty",BidMidASK)</f>
        <v>#N/A N/A</v>
      </c>
      <c r="F42" s="81">
        <f t="shared" ca="1" si="1"/>
        <v>-12.77</v>
      </c>
      <c r="G42" s="81" t="str">
        <f t="shared" ca="1" si="2"/>
        <v/>
      </c>
      <c r="H42" s="81">
        <f ca="1"/>
        <v>-12.448333333333331</v>
      </c>
      <c r="I42" s="13" cm="1">
        <f t="array" aca="1" ref="I42" ca="1">(E$11-H42+VLOOKUP(B$10,$C$4:$E$7,3,FALSE)+VLOOKUP(B$10,$C$4:$F$7,4,FALSE)*_xll.QDates_YearFraction(valDate,C42,"ACT365F"))/VLOOKUP(B$10,$C$4:$G$7,5,FALSE)</f>
        <v>43.14045662100456</v>
      </c>
      <c r="K42" s="8" t="str" cm="1">
        <f t="array" aca="1" ref="K42" ca="1">_xll.QDates_FuturesNextCode(K41)</f>
        <v>QSF3</v>
      </c>
      <c r="L42" s="1" cm="1">
        <f t="array" aca="1" ref="L42" ca="1">_xll.QDates_FuturesExpiryFromCode(K42)</f>
        <v>44938</v>
      </c>
      <c r="M42" cm="1">
        <f t="array" aca="1" ref="M42" ca="1">_xll.BDP(K42&amp;" Comdty","PX_SETTLE")</f>
        <v>390.25</v>
      </c>
      <c r="N42" t="str" cm="1">
        <f t="array" aca="1" ref="N42" ca="1">_xll.BDP(K42&amp;" Comdty",BidMidASK)</f>
        <v>#N/A N/A</v>
      </c>
      <c r="O42" s="81">
        <f t="shared" ca="1" si="3"/>
        <v>-132.25</v>
      </c>
      <c r="P42" s="81" t="str">
        <f t="shared" ca="1" si="4"/>
        <v/>
      </c>
      <c r="Q42" s="81">
        <f ca="1"/>
        <v>-134.16666666666666</v>
      </c>
      <c r="R42" s="13" cm="1">
        <f t="array" aca="1" ref="R42" ca="1">(N$11-Q42+VLOOKUP(K$10,$C$4:$E$7,3,FALSE)+VLOOKUP(K$10,$C$4:$F$7,4,FALSE)*_xll.QDates_YearFraction(valDate,L42,"ACT365F"))/VLOOKUP(K$10,$C$4:$G$7,5,FALSE)</f>
        <v>392.79166666666663</v>
      </c>
      <c r="T42" s="8" t="str" cm="1">
        <f t="array" aca="1" ref="T42" ca="1">_xll.QDates_FuturesNextCode(T41)</f>
        <v>XBF3</v>
      </c>
      <c r="U42" s="1" cm="1">
        <f t="array" aca="1" ref="U42" ca="1">_xll.QDates_FuturesExpiryFromCode(T42)</f>
        <v>44925</v>
      </c>
      <c r="V42" cm="1">
        <f t="array" aca="1" ref="V42" ca="1">_xll.BDP(T42&amp;" Comdty","PX_SETTLE")</f>
        <v>98.53</v>
      </c>
      <c r="W42" t="str" cm="1">
        <f t="array" aca="1" ref="W42" ca="1">_xll.BDP(T42&amp;" Comdty",BidMidASK)</f>
        <v>#N/A N/A</v>
      </c>
      <c r="X42" s="81">
        <f t="shared" ca="1" si="0"/>
        <v>-6.1099999999999994</v>
      </c>
      <c r="Y42" s="81" t="str">
        <f t="shared" ca="1" si="5"/>
        <v/>
      </c>
      <c r="Z42" s="81">
        <f ca="1"/>
        <v>-0.57499999999998863</v>
      </c>
      <c r="AA42" s="13" cm="1">
        <f t="array" aca="1" ref="AA42" ca="1">(W$11-Z42+VLOOKUP(T$10,$C$4:$E$7,3,FALSE)+VLOOKUP(T$10,$C$4:$F$7,4,FALSE)*_xll.QDates_YearFraction(valDate,U42,"ACT365F"))/VLOOKUP(T$10,$C$4:$G$7,5,FALSE)</f>
        <v>0.90429999999999988</v>
      </c>
      <c r="AC42" s="8" t="str" cm="1">
        <f t="array" aca="1" ref="AC42" ca="1">_xll.QDates_FuturesNextCode(AC41)</f>
        <v>CLF3</v>
      </c>
      <c r="AD42" s="1" cm="1">
        <f t="array" aca="1" ref="AD42" ca="1">_xll.QDates_FuturesExpiryFromCode(AC42)</f>
        <v>44915</v>
      </c>
      <c r="AE42" cm="1">
        <f t="array" aca="1" ref="AE42" ca="1">_xll.BDP(AC42&amp;" Comdty","PX_SETTLE")</f>
        <v>37.700000000000003</v>
      </c>
      <c r="AF42" t="str" cm="1">
        <f t="array" aca="1" ref="AF42" ca="1">_xll.BDP(AC42&amp;" Comdty",BidMidASK)</f>
        <v>#N/A N/A</v>
      </c>
      <c r="AG42" s="81">
        <f t="shared" ca="1" si="6"/>
        <v>-13.560000000000002</v>
      </c>
      <c r="AH42" s="81" t="str">
        <f t="shared" ca="1" si="7"/>
        <v/>
      </c>
      <c r="AI42" s="81">
        <f ca="1"/>
        <v>-12.834166666666674</v>
      </c>
      <c r="AJ42" s="13" cm="1">
        <f t="array" aca="1" ref="AJ42" ca="1">(AF$11-AI42+VLOOKUP(AC$10,$C$4:$E$7,3,FALSE)+VLOOKUP(AC$10,$C$4:$F$7,4,FALSE)*_xll.QDates_YearFraction(valDate,AD42,"ACT365F"))/VLOOKUP(AC$10,$C$4:$G$7,5,FALSE)</f>
        <v>37.339166666666671</v>
      </c>
    </row>
    <row r="43" spans="2:36" x14ac:dyDescent="0.25">
      <c r="B43" s="8" t="str" cm="1">
        <f t="array" aca="1" ref="B43" ca="1">_xll.QDates_FuturesNextCode(B42)</f>
        <v>COH3</v>
      </c>
      <c r="C43" s="1" cm="1">
        <f t="array" aca="1" ref="C43" ca="1">_xll.QDates_FuturesExpiryFromCode(B43)</f>
        <v>44957</v>
      </c>
      <c r="D43" cm="1">
        <f t="array" aca="1" ref="D43" ca="1">_xll.BDP(B43&amp;" Comdty","PX_SETTLE")</f>
        <v>42.660000000000004</v>
      </c>
      <c r="E43" t="str" cm="1">
        <f t="array" aca="1" ref="E43" ca="1">_xll.BDP(B43&amp;" Comdty",BidMidASK)</f>
        <v>#N/A N/A</v>
      </c>
      <c r="F43" s="81">
        <f t="shared" ca="1" si="1"/>
        <v>-13.030000000000005</v>
      </c>
      <c r="G43" s="81" t="str">
        <f t="shared" ca="1" si="2"/>
        <v/>
      </c>
      <c r="H43" s="81">
        <f ca="1"/>
        <v>-12.712500000000002</v>
      </c>
      <c r="I43" s="13" cm="1">
        <f t="array" aca="1" ref="I43" ca="1">(E$11-H43+VLOOKUP(B$10,$C$4:$E$7,3,FALSE)+VLOOKUP(B$10,$C$4:$F$7,4,FALSE)*_xll.QDates_YearFraction(valDate,C43,"ACT365F"))/VLOOKUP(B$10,$C$4:$G$7,5,FALSE)</f>
        <v>43.422157534246573</v>
      </c>
      <c r="K43" s="8" t="str" cm="1">
        <f t="array" aca="1" ref="K43" ca="1">_xll.QDates_FuturesNextCode(K42)</f>
        <v>QSG3</v>
      </c>
      <c r="L43" s="1" cm="1">
        <f t="array" aca="1" ref="L43" ca="1">_xll.QDates_FuturesExpiryFromCode(K43)</f>
        <v>44967</v>
      </c>
      <c r="M43" cm="1">
        <f t="array" aca="1" ref="M43" ca="1">_xll.BDP(K43&amp;" Comdty","PX_SETTLE")</f>
        <v>393.75</v>
      </c>
      <c r="N43" t="str" cm="1">
        <f t="array" aca="1" ref="N43" ca="1">_xll.BDP(K43&amp;" Comdty",BidMidASK)</f>
        <v>#N/A N/A</v>
      </c>
      <c r="O43" s="81">
        <f t="shared" ca="1" si="3"/>
        <v>-135.75</v>
      </c>
      <c r="P43" s="81" t="str">
        <f t="shared" ca="1" si="4"/>
        <v/>
      </c>
      <c r="Q43" s="81">
        <f ca="1"/>
        <v>-137.83333333333334</v>
      </c>
      <c r="R43" s="13" cm="1">
        <f t="array" aca="1" ref="R43" ca="1">(N$11-Q43+VLOOKUP(K$10,$C$4:$E$7,3,FALSE)+VLOOKUP(K$10,$C$4:$F$7,4,FALSE)*_xll.QDates_YearFraction(valDate,L43,"ACT365F"))/VLOOKUP(K$10,$C$4:$G$7,5,FALSE)</f>
        <v>396.45833333333337</v>
      </c>
      <c r="T43" s="8" t="str" cm="1">
        <f t="array" aca="1" ref="T43" ca="1">_xll.QDates_FuturesNextCode(T42)</f>
        <v>XBG3</v>
      </c>
      <c r="U43" s="1" cm="1">
        <f t="array" aca="1" ref="U43" ca="1">_xll.QDates_FuturesExpiryFromCode(T43)</f>
        <v>44957</v>
      </c>
      <c r="V43" cm="1">
        <f t="array" aca="1" ref="V43" ca="1">_xll.BDP(T43&amp;" Comdty","PX_SETTLE")</f>
        <v>99.62</v>
      </c>
      <c r="W43" t="str" cm="1">
        <f t="array" aca="1" ref="W43" ca="1">_xll.BDP(T43&amp;" Comdty",BidMidASK)</f>
        <v>#N/A N/A</v>
      </c>
      <c r="X43" s="81">
        <f t="shared" ca="1" si="0"/>
        <v>-7.2000000000000028</v>
      </c>
      <c r="Y43" s="81" t="str">
        <f t="shared" ca="1" si="5"/>
        <v/>
      </c>
      <c r="Z43" s="81">
        <f ca="1"/>
        <v>-1.664999999999992</v>
      </c>
      <c r="AA43" s="13" cm="1">
        <f t="array" aca="1" ref="AA43" ca="1">(W$11-Z43+VLOOKUP(T$10,$C$4:$E$7,3,FALSE)+VLOOKUP(T$10,$C$4:$F$7,4,FALSE)*_xll.QDates_YearFraction(valDate,U43,"ACT365F"))/VLOOKUP(T$10,$C$4:$G$7,5,FALSE)</f>
        <v>0.91520000000000001</v>
      </c>
      <c r="AC43" s="8" t="str" cm="1">
        <f t="array" aca="1" ref="AC43" ca="1">_xll.QDates_FuturesNextCode(AC42)</f>
        <v>CLG3</v>
      </c>
      <c r="AD43" s="1" cm="1">
        <f t="array" aca="1" ref="AD43" ca="1">_xll.QDates_FuturesExpiryFromCode(AC43)</f>
        <v>44946</v>
      </c>
      <c r="AE43" cm="1">
        <f t="array" aca="1" ref="AE43" ca="1">_xll.BDP(AC43&amp;" Comdty","PX_SETTLE")</f>
        <v>37.92</v>
      </c>
      <c r="AF43" t="str" cm="1">
        <f t="array" aca="1" ref="AF43" ca="1">_xll.BDP(AC43&amp;" Comdty",BidMidASK)</f>
        <v>#N/A N/A</v>
      </c>
      <c r="AG43" s="81">
        <f t="shared" ca="1" si="6"/>
        <v>-13.780000000000001</v>
      </c>
      <c r="AH43" s="81" t="str">
        <f t="shared" ca="1" si="7"/>
        <v/>
      </c>
      <c r="AI43" s="81">
        <f ca="1"/>
        <v>-13.058333333333339</v>
      </c>
      <c r="AJ43" s="13" cm="1">
        <f t="array" aca="1" ref="AJ43" ca="1">(AF$11-AI43+VLOOKUP(AC$10,$C$4:$E$7,3,FALSE)+VLOOKUP(AC$10,$C$4:$F$7,4,FALSE)*_xll.QDates_YearFraction(valDate,AD43,"ACT365F"))/VLOOKUP(AC$10,$C$4:$G$7,5,FALSE)</f>
        <v>37.56333333333334</v>
      </c>
    </row>
    <row r="44" spans="2:36" x14ac:dyDescent="0.25">
      <c r="B44" s="8" t="str" cm="1">
        <f t="array" aca="1" ref="B44" ca="1">_xll.QDates_FuturesNextCode(B43)</f>
        <v>COJ3</v>
      </c>
      <c r="C44" s="1" cm="1">
        <f t="array" aca="1" ref="C44" ca="1">_xll.QDates_FuturesExpiryFromCode(B44)</f>
        <v>44985</v>
      </c>
      <c r="D44" cm="1">
        <f t="array" aca="1" ref="D44" ca="1">_xll.BDP(B44&amp;" Comdty","PX_SETTLE")</f>
        <v>42.980000000000004</v>
      </c>
      <c r="E44" t="str" cm="1">
        <f t="array" aca="1" ref="E44" ca="1">_xll.BDP(B44&amp;" Comdty",BidMidASK)</f>
        <v>#N/A N/A</v>
      </c>
      <c r="F44" s="81">
        <f t="shared" ca="1" si="1"/>
        <v>-13.350000000000005</v>
      </c>
      <c r="G44" s="81" t="str">
        <f t="shared" ca="1" si="2"/>
        <v/>
      </c>
      <c r="H44" s="81">
        <f ca="1"/>
        <v>-13.036666666666669</v>
      </c>
      <c r="I44" s="13" cm="1">
        <f t="array" aca="1" ref="I44" ca="1">(E$11-H44+VLOOKUP(B$10,$C$4:$E$7,3,FALSE)+VLOOKUP(B$10,$C$4:$F$7,4,FALSE)*_xll.QDates_YearFraction(valDate,C44,"ACT365F"))/VLOOKUP(B$10,$C$4:$G$7,5,FALSE)</f>
        <v>43.76166666666667</v>
      </c>
      <c r="K44" s="8" t="str" cm="1">
        <f t="array" aca="1" ref="K44" ca="1">_xll.QDates_FuturesNextCode(K43)</f>
        <v>QSH3</v>
      </c>
      <c r="L44" s="1" cm="1">
        <f t="array" aca="1" ref="L44" ca="1">_xll.QDates_FuturesExpiryFromCode(K44)</f>
        <v>44995</v>
      </c>
      <c r="M44" cm="1">
        <f t="array" aca="1" ref="M44" ca="1">_xll.BDP(K44&amp;" Comdty","PX_SETTLE")</f>
        <v>397.25</v>
      </c>
      <c r="N44" t="str" cm="1">
        <f t="array" aca="1" ref="N44" ca="1">_xll.BDP(K44&amp;" Comdty",BidMidASK)</f>
        <v>#N/A N/A</v>
      </c>
      <c r="O44" s="81">
        <f t="shared" ca="1" si="3"/>
        <v>-139.25</v>
      </c>
      <c r="P44" s="81" t="str">
        <f t="shared" ca="1" si="4"/>
        <v/>
      </c>
      <c r="Q44" s="81">
        <f ca="1"/>
        <v>-141.5</v>
      </c>
      <c r="R44" s="13" cm="1">
        <f t="array" aca="1" ref="R44" ca="1">(N$11-Q44+VLOOKUP(K$10,$C$4:$E$7,3,FALSE)+VLOOKUP(K$10,$C$4:$F$7,4,FALSE)*_xll.QDates_YearFraction(valDate,L44,"ACT365F"))/VLOOKUP(K$10,$C$4:$G$7,5,FALSE)</f>
        <v>400.125</v>
      </c>
      <c r="T44" s="8" t="str" cm="1">
        <f t="array" aca="1" ref="T44" ca="1">_xll.QDates_FuturesNextCode(T43)</f>
        <v>XBH3</v>
      </c>
      <c r="U44" s="1" cm="1">
        <f t="array" aca="1" ref="U44" ca="1">_xll.QDates_FuturesExpiryFromCode(T44)</f>
        <v>44985</v>
      </c>
      <c r="V44" cm="1">
        <f t="array" aca="1" ref="V44" ca="1">_xll.BDP(T44&amp;" Comdty","PX_SETTLE")</f>
        <v>101.83</v>
      </c>
      <c r="W44" t="str" cm="1">
        <f t="array" aca="1" ref="W44" ca="1">_xll.BDP(T44&amp;" Comdty",BidMidASK)</f>
        <v>#N/A N/A</v>
      </c>
      <c r="X44" s="81">
        <f t="shared" ca="1" si="0"/>
        <v>-9.4099999999999966</v>
      </c>
      <c r="Y44" s="81" t="str">
        <f t="shared" ca="1" si="5"/>
        <v/>
      </c>
      <c r="Z44" s="81">
        <f ca="1"/>
        <v>-3.8749999999999858</v>
      </c>
      <c r="AA44" s="13" cm="1">
        <f t="array" aca="1" ref="AA44" ca="1">(W$11-Z44+VLOOKUP(T$10,$C$4:$E$7,3,FALSE)+VLOOKUP(T$10,$C$4:$F$7,4,FALSE)*_xll.QDates_YearFraction(valDate,U44,"ACT365F"))/VLOOKUP(T$10,$C$4:$G$7,5,FALSE)</f>
        <v>0.93729999999999991</v>
      </c>
      <c r="AC44" s="8" t="str" cm="1">
        <f t="array" aca="1" ref="AC44" ca="1">_xll.QDates_FuturesNextCode(AC43)</f>
        <v>CLH3</v>
      </c>
      <c r="AD44" s="1" cm="1">
        <f t="array" aca="1" ref="AD44" ca="1">_xll.QDates_FuturesExpiryFromCode(AC44)</f>
        <v>44978</v>
      </c>
      <c r="AE44" cm="1">
        <f t="array" aca="1" ref="AE44" ca="1">_xll.BDP(AC44&amp;" Comdty","PX_SETTLE")</f>
        <v>38.119999999999997</v>
      </c>
      <c r="AF44" t="str" cm="1">
        <f t="array" aca="1" ref="AF44" ca="1">_xll.BDP(AC44&amp;" Comdty",BidMidASK)</f>
        <v>#N/A N/A</v>
      </c>
      <c r="AG44" s="81">
        <f t="shared" ca="1" si="6"/>
        <v>-13.979999999999997</v>
      </c>
      <c r="AH44" s="81" t="str">
        <f t="shared" ca="1" si="7"/>
        <v/>
      </c>
      <c r="AI44" s="81">
        <f ca="1"/>
        <v>-13.262499999999999</v>
      </c>
      <c r="AJ44" s="13" cm="1">
        <f t="array" aca="1" ref="AJ44" ca="1">(AF$11-AI44+VLOOKUP(AC$10,$C$4:$E$7,3,FALSE)+VLOOKUP(AC$10,$C$4:$F$7,4,FALSE)*_xll.QDates_YearFraction(valDate,AD44,"ACT365F"))/VLOOKUP(AC$10,$C$4:$G$7,5,FALSE)</f>
        <v>37.767499999999998</v>
      </c>
    </row>
    <row r="45" spans="2:36" x14ac:dyDescent="0.25">
      <c r="B45" s="8" t="str" cm="1">
        <f t="array" aca="1" ref="B45" ca="1">_xll.QDates_FuturesNextCode(B44)</f>
        <v>COK3</v>
      </c>
      <c r="C45" s="1" cm="1">
        <f t="array" aca="1" ref="C45" ca="1">_xll.QDates_FuturesExpiryFromCode(B45)</f>
        <v>45016</v>
      </c>
      <c r="D45" cm="1">
        <f t="array" aca="1" ref="D45" ca="1">_xll.BDP(B45&amp;" Comdty","PX_SETTLE")</f>
        <v>43.27</v>
      </c>
      <c r="E45" t="str" cm="1">
        <f t="array" aca="1" ref="E45" ca="1">_xll.BDP(B45&amp;" Comdty",BidMidASK)</f>
        <v>#N/A N/A</v>
      </c>
      <c r="F45" s="81">
        <f t="shared" ca="1" si="1"/>
        <v>-13.640000000000004</v>
      </c>
      <c r="G45" s="81" t="str">
        <f t="shared" ca="1" si="2"/>
        <v/>
      </c>
      <c r="H45" s="81">
        <f ca="1"/>
        <v>-13.330833333333334</v>
      </c>
      <c r="I45" s="13" cm="1">
        <f t="array" aca="1" ref="I45" ca="1">(E$11-H45+VLOOKUP(B$10,$C$4:$E$7,3,FALSE)+VLOOKUP(B$10,$C$4:$F$7,4,FALSE)*_xll.QDates_YearFraction(valDate,C45,"ACT365F"))/VLOOKUP(B$10,$C$4:$G$7,5,FALSE)</f>
        <v>44.072819634703201</v>
      </c>
      <c r="K45" s="8" t="str" cm="1">
        <f t="array" aca="1" ref="K45" ca="1">_xll.QDates_FuturesNextCode(K44)</f>
        <v>QSJ3</v>
      </c>
      <c r="L45" s="1" cm="1">
        <f t="array" aca="1" ref="L45" ca="1">_xll.QDates_FuturesExpiryFromCode(K45)</f>
        <v>45028</v>
      </c>
      <c r="M45" cm="1">
        <f t="array" aca="1" ref="M45" ca="1">_xll.BDP(K45&amp;" Comdty","PX_SETTLE")</f>
        <v>400.5</v>
      </c>
      <c r="N45" t="str" cm="1">
        <f t="array" aca="1" ref="N45" ca="1">_xll.BDP(K45&amp;" Comdty",BidMidASK)</f>
        <v>#N/A N/A</v>
      </c>
      <c r="O45" s="81">
        <f t="shared" ca="1" si="3"/>
        <v>-142.5</v>
      </c>
      <c r="P45" s="81" t="str">
        <f t="shared" ca="1" si="4"/>
        <v/>
      </c>
      <c r="Q45" s="81">
        <f ca="1"/>
        <v>-144.91666666666666</v>
      </c>
      <c r="R45" s="13" cm="1">
        <f t="array" aca="1" ref="R45" ca="1">(N$11-Q45+VLOOKUP(K$10,$C$4:$E$7,3,FALSE)+VLOOKUP(K$10,$C$4:$F$7,4,FALSE)*_xll.QDates_YearFraction(valDate,L45,"ACT365F"))/VLOOKUP(K$10,$C$4:$G$7,5,FALSE)</f>
        <v>403.54166666666663</v>
      </c>
      <c r="T45" s="8" t="str" cm="1">
        <f t="array" aca="1" ref="T45" ca="1">_xll.QDates_FuturesNextCode(T44)</f>
        <v>XBJ3</v>
      </c>
      <c r="U45" s="1" cm="1">
        <f t="array" aca="1" ref="U45" ca="1">_xll.QDates_FuturesExpiryFromCode(T45)</f>
        <v>45016</v>
      </c>
      <c r="V45" cm="1">
        <f t="array" aca="1" ref="V45" ca="1">_xll.BDP(T45&amp;" Comdty","PX_SETTLE")</f>
        <v>121.48</v>
      </c>
      <c r="W45" t="str" cm="1">
        <f t="array" aca="1" ref="W45" ca="1">_xll.BDP(T45&amp;" Comdty",BidMidASK)</f>
        <v>#N/A N/A</v>
      </c>
      <c r="X45" s="81">
        <f t="shared" ca="1" si="0"/>
        <v>-29.060000000000002</v>
      </c>
      <c r="Y45" s="81" t="str">
        <f t="shared" ca="1" si="5"/>
        <v/>
      </c>
      <c r="Z45" s="81">
        <f ca="1"/>
        <v>-23.524999999999991</v>
      </c>
      <c r="AA45" s="13" cm="1">
        <f t="array" aca="1" ref="AA45" ca="1">(W$11-Z45+VLOOKUP(T$10,$C$4:$E$7,3,FALSE)+VLOOKUP(T$10,$C$4:$F$7,4,FALSE)*_xll.QDates_YearFraction(valDate,U45,"ACT365F"))/VLOOKUP(T$10,$C$4:$G$7,5,FALSE)</f>
        <v>1.1337999999999999</v>
      </c>
      <c r="AC45" s="8" t="str" cm="1">
        <f t="array" aca="1" ref="AC45" ca="1">_xll.QDates_FuturesNextCode(AC44)</f>
        <v>CLJ3</v>
      </c>
      <c r="AD45" s="1" cm="1">
        <f t="array" aca="1" ref="AD45" ca="1">_xll.QDates_FuturesExpiryFromCode(AC45)</f>
        <v>45006</v>
      </c>
      <c r="AE45" cm="1">
        <f t="array" aca="1" ref="AE45" ca="1">_xll.BDP(AC45&amp;" Comdty","PX_SETTLE")</f>
        <v>38.31</v>
      </c>
      <c r="AF45" t="str" cm="1">
        <f t="array" aca="1" ref="AF45" ca="1">_xll.BDP(AC45&amp;" Comdty",BidMidASK)</f>
        <v>#N/A N/A</v>
      </c>
      <c r="AG45" s="81">
        <f t="shared" ca="1" si="6"/>
        <v>-14.170000000000002</v>
      </c>
      <c r="AH45" s="81" t="str">
        <f t="shared" ca="1" si="7"/>
        <v/>
      </c>
      <c r="AI45" s="81">
        <f ca="1"/>
        <v>-13.456666666666669</v>
      </c>
      <c r="AJ45" s="13" cm="1">
        <f t="array" aca="1" ref="AJ45" ca="1">(AF$11-AI45+VLOOKUP(AC$10,$C$4:$E$7,3,FALSE)+VLOOKUP(AC$10,$C$4:$F$7,4,FALSE)*_xll.QDates_YearFraction(valDate,AD45,"ACT365F"))/VLOOKUP(AC$10,$C$4:$G$7,5,FALSE)</f>
        <v>37.961666666666666</v>
      </c>
    </row>
    <row r="46" spans="2:36" x14ac:dyDescent="0.25">
      <c r="B46" s="8" t="str" cm="1">
        <f t="array" aca="1" ref="B46" ca="1">_xll.QDates_FuturesNextCode(B45)</f>
        <v>COM3</v>
      </c>
      <c r="C46" s="1" cm="1">
        <f t="array" aca="1" ref="C46" ca="1">_xll.QDates_FuturesExpiryFromCode(B46)</f>
        <v>45044</v>
      </c>
      <c r="D46" cm="1">
        <f t="array" aca="1" ref="D46" ca="1">_xll.BDP(B46&amp;" Comdty","PX_SETTLE")</f>
        <v>43.550000000000004</v>
      </c>
      <c r="E46" cm="1">
        <f t="array" aca="1" ref="E46" ca="1">_xll.BDP(B46&amp;" Comdty",BidMidASK)</f>
        <v>43.53</v>
      </c>
      <c r="F46" s="81">
        <f t="shared" ca="1" si="1"/>
        <v>-13.920000000000005</v>
      </c>
      <c r="G46" s="81">
        <f t="shared" ca="1" si="2"/>
        <v>-13.615000000000002</v>
      </c>
      <c r="H46" s="81">
        <f ca="1"/>
        <v>-13.615000000000002</v>
      </c>
      <c r="I46" s="13" cm="1">
        <f t="array" aca="1" ref="I46" ca="1">(E$11-H46+VLOOKUP(B$10,$C$4:$E$7,3,FALSE)+VLOOKUP(B$10,$C$4:$F$7,4,FALSE)*_xll.QDates_YearFraction(valDate,C46,"ACT365F"))/VLOOKUP(B$10,$C$4:$G$7,5,FALSE)</f>
        <v>44.372328767123285</v>
      </c>
      <c r="K46" s="8" t="str" cm="1">
        <f t="array" aca="1" ref="K46" ca="1">_xll.QDates_FuturesNextCode(K45)</f>
        <v>QSK3</v>
      </c>
      <c r="L46" s="1" cm="1">
        <f t="array" aca="1" ref="L46" ca="1">_xll.QDates_FuturesExpiryFromCode(K46)</f>
        <v>45057</v>
      </c>
      <c r="M46" cm="1">
        <f t="array" aca="1" ref="M46" ca="1">_xll.BDP(K46&amp;" Comdty","PX_SETTLE")</f>
        <v>403.75</v>
      </c>
      <c r="N46" t="str" cm="1">
        <f t="array" aca="1" ref="N46" ca="1">_xll.BDP(K46&amp;" Comdty",BidMidASK)</f>
        <v>#N/A N/A</v>
      </c>
      <c r="O46" s="81">
        <f t="shared" ca="1" si="3"/>
        <v>-145.75</v>
      </c>
      <c r="P46" s="81" t="str">
        <f t="shared" ca="1" si="4"/>
        <v/>
      </c>
      <c r="Q46" s="81">
        <f ca="1"/>
        <v>-148.33333333333334</v>
      </c>
      <c r="R46" s="13" cm="1">
        <f t="array" aca="1" ref="R46" ca="1">(N$11-Q46+VLOOKUP(K$10,$C$4:$E$7,3,FALSE)+VLOOKUP(K$10,$C$4:$F$7,4,FALSE)*_xll.QDates_YearFraction(valDate,L46,"ACT365F"))/VLOOKUP(K$10,$C$4:$G$7,5,FALSE)</f>
        <v>406.95833333333337</v>
      </c>
      <c r="T46" s="8" t="str" cm="1">
        <f t="array" aca="1" ref="T46" ca="1">_xll.QDates_FuturesNextCode(T45)</f>
        <v>XBK3</v>
      </c>
      <c r="U46" s="1" cm="1">
        <f t="array" aca="1" ref="U46" ca="1">_xll.QDates_FuturesExpiryFromCode(T46)</f>
        <v>45044</v>
      </c>
      <c r="V46" cm="1">
        <f t="array" aca="1" ref="V46" ca="1">_xll.BDP(T46&amp;" Comdty","PX_SETTLE")</f>
        <v>123.31</v>
      </c>
      <c r="W46" t="str" cm="1">
        <f t="array" aca="1" ref="W46" ca="1">_xll.BDP(T46&amp;" Comdty",BidMidASK)</f>
        <v>#N/A N/A</v>
      </c>
      <c r="X46" s="81">
        <f t="shared" ca="1" si="0"/>
        <v>-30.89</v>
      </c>
      <c r="Y46" s="81" t="str">
        <f t="shared" ca="1" si="5"/>
        <v/>
      </c>
      <c r="Z46" s="81">
        <f ca="1"/>
        <v>-25.35499999999999</v>
      </c>
      <c r="AA46" s="13" cm="1">
        <f t="array" aca="1" ref="AA46" ca="1">(W$11-Z46+VLOOKUP(T$10,$C$4:$E$7,3,FALSE)+VLOOKUP(T$10,$C$4:$F$7,4,FALSE)*_xll.QDates_YearFraction(valDate,U46,"ACT365F"))/VLOOKUP(T$10,$C$4:$G$7,5,FALSE)</f>
        <v>1.1520999999999999</v>
      </c>
      <c r="AC46" s="8" t="str" cm="1">
        <f t="array" aca="1" ref="AC46" ca="1">_xll.QDates_FuturesNextCode(AC45)</f>
        <v>CLK3</v>
      </c>
      <c r="AD46" s="1" cm="1">
        <f t="array" aca="1" ref="AD46" ca="1">_xll.QDates_FuturesExpiryFromCode(AC46)</f>
        <v>45036</v>
      </c>
      <c r="AE46" cm="1">
        <f t="array" aca="1" ref="AE46" ca="1">_xll.BDP(AC46&amp;" Comdty","PX_SETTLE")</f>
        <v>38.5</v>
      </c>
      <c r="AF46" t="str" cm="1">
        <f t="array" aca="1" ref="AF46" ca="1">_xll.BDP(AC46&amp;" Comdty",BidMidASK)</f>
        <v>#N/A N/A</v>
      </c>
      <c r="AG46" s="81">
        <f t="shared" ca="1" si="6"/>
        <v>-14.36</v>
      </c>
      <c r="AH46" s="81" t="str">
        <f t="shared" ca="1" si="7"/>
        <v/>
      </c>
      <c r="AI46" s="81">
        <f ca="1"/>
        <v>-13.650833333333333</v>
      </c>
      <c r="AJ46" s="13" cm="1">
        <f t="array" aca="1" ref="AJ46" ca="1">(AF$11-AI46+VLOOKUP(AC$10,$C$4:$E$7,3,FALSE)+VLOOKUP(AC$10,$C$4:$F$7,4,FALSE)*_xll.QDates_YearFraction(valDate,AD46,"ACT365F"))/VLOOKUP(AC$10,$C$4:$G$7,5,FALSE)</f>
        <v>38.155833333333334</v>
      </c>
    </row>
    <row r="47" spans="2:36" x14ac:dyDescent="0.25">
      <c r="B47" s="8" t="str" cm="1">
        <f t="array" aca="1" ref="B47" ca="1">_xll.QDates_FuturesNextCode(B46)</f>
        <v>CON3</v>
      </c>
      <c r="C47" s="1" cm="1">
        <f t="array" aca="1" ref="C47" ca="1">_xll.QDates_FuturesExpiryFromCode(B47)</f>
        <v>45077</v>
      </c>
      <c r="D47" cm="1">
        <f t="array" aca="1" ref="D47" ca="1">_xll.BDP(B47&amp;" Comdty","PX_SETTLE")</f>
        <v>43.75</v>
      </c>
      <c r="E47" t="str" cm="1">
        <f t="array" aca="1" ref="E47" ca="1">_xll.BDP(B47&amp;" Comdty",BidMidASK)</f>
        <v>#N/A N/A</v>
      </c>
      <c r="F47" s="81">
        <f t="shared" ca="1" si="1"/>
        <v>-14.120000000000001</v>
      </c>
      <c r="G47" s="81" t="str">
        <f t="shared" ca="1" si="2"/>
        <v/>
      </c>
      <c r="H47" s="81">
        <f ca="1"/>
        <v>-13.817499999999997</v>
      </c>
      <c r="I47" s="13" cm="1">
        <f t="array" aca="1" ref="I47" ca="1">(E$11-H47+VLOOKUP(B$10,$C$4:$E$7,3,FALSE)+VLOOKUP(B$10,$C$4:$F$7,4,FALSE)*_xll.QDates_YearFraction(valDate,C47,"ACT365F"))/VLOOKUP(B$10,$C$4:$G$7,5,FALSE)</f>
        <v>44.592910958904106</v>
      </c>
      <c r="K47" s="8" t="str" cm="1">
        <f t="array" aca="1" ref="K47" ca="1">_xll.QDates_FuturesNextCode(K46)</f>
        <v>QSM3</v>
      </c>
      <c r="L47" s="1" cm="1">
        <f t="array" aca="1" ref="L47" ca="1">_xll.QDates_FuturesExpiryFromCode(K47)</f>
        <v>45089</v>
      </c>
      <c r="M47" cm="1">
        <f t="array" aca="1" ref="M47" ca="1">_xll.BDP(K47&amp;" Comdty","PX_SETTLE")</f>
        <v>407</v>
      </c>
      <c r="N47" cm="1">
        <f t="array" aca="1" ref="N47" ca="1">_xll.BDP(K47&amp;" Comdty",BidMidASK)</f>
        <v>408.375</v>
      </c>
      <c r="O47" s="81">
        <f t="shared" ca="1" si="3"/>
        <v>-149</v>
      </c>
      <c r="P47" s="81">
        <f t="shared" ca="1" si="4"/>
        <v>-151.75</v>
      </c>
      <c r="Q47" s="81">
        <f ca="1"/>
        <v>-151.75</v>
      </c>
      <c r="R47" s="13" cm="1">
        <f t="array" aca="1" ref="R47" ca="1">(N$11-Q47+VLOOKUP(K$10,$C$4:$E$7,3,FALSE)+VLOOKUP(K$10,$C$4:$F$7,4,FALSE)*_xll.QDates_YearFraction(valDate,L47,"ACT365F"))/VLOOKUP(K$10,$C$4:$G$7,5,FALSE)</f>
        <v>410.375</v>
      </c>
      <c r="T47" s="8" t="str" cm="1">
        <f t="array" aca="1" ref="T47" ca="1">_xll.QDates_FuturesNextCode(T46)</f>
        <v>XBM3</v>
      </c>
      <c r="U47" s="1" cm="1">
        <f t="array" aca="1" ref="U47" ca="1">_xll.QDates_FuturesExpiryFromCode(T47)</f>
        <v>45077</v>
      </c>
      <c r="V47" cm="1">
        <f t="array" aca="1" ref="V47" ca="1">_xll.BDP(T47&amp;" Comdty","PX_SETTLE")</f>
        <v>122.57000000000001</v>
      </c>
      <c r="W47" t="str" cm="1">
        <f t="array" aca="1" ref="W47" ca="1">_xll.BDP(T47&amp;" Comdty",BidMidASK)</f>
        <v>#N/A N/A</v>
      </c>
      <c r="X47" s="81">
        <f t="shared" ca="1" si="0"/>
        <v>-30.150000000000006</v>
      </c>
      <c r="Y47" s="81" t="str">
        <f t="shared" ca="1" si="5"/>
        <v/>
      </c>
      <c r="Z47" s="81">
        <f ca="1"/>
        <v>-24.614999999999995</v>
      </c>
      <c r="AA47" s="13" cm="1">
        <f t="array" aca="1" ref="AA47" ca="1">(W$11-Z47+VLOOKUP(T$10,$C$4:$E$7,3,FALSE)+VLOOKUP(T$10,$C$4:$F$7,4,FALSE)*_xll.QDates_YearFraction(valDate,U47,"ACT365F"))/VLOOKUP(T$10,$C$4:$G$7,5,FALSE)</f>
        <v>1.1447000000000001</v>
      </c>
      <c r="AC47" s="8" t="str" cm="1">
        <f t="array" aca="1" ref="AC47" ca="1">_xll.QDates_FuturesNextCode(AC46)</f>
        <v>CLM3</v>
      </c>
      <c r="AD47" s="1" cm="1">
        <f t="array" aca="1" ref="AD47" ca="1">_xll.QDates_FuturesExpiryFromCode(AC47)</f>
        <v>45068</v>
      </c>
      <c r="AE47" cm="1">
        <f t="array" aca="1" ref="AE47" ca="1">_xll.BDP(AC47&amp;" Comdty","PX_SETTLE")</f>
        <v>38.71</v>
      </c>
      <c r="AF47" cm="1">
        <f t="array" aca="1" ref="AF47" ca="1">_xll.BDP(AC47&amp;" Comdty",BidMidASK)</f>
        <v>38.619999999999997</v>
      </c>
      <c r="AG47" s="81">
        <f t="shared" ca="1" si="6"/>
        <v>-14.57</v>
      </c>
      <c r="AH47" s="81">
        <f t="shared" ca="1" si="7"/>
        <v>-13.864999999999998</v>
      </c>
      <c r="AI47" s="81">
        <f ca="1"/>
        <v>-13.864999999999998</v>
      </c>
      <c r="AJ47" s="13" cm="1">
        <f t="array" aca="1" ref="AJ47" ca="1">(AF$11-AI47+VLOOKUP(AC$10,$C$4:$E$7,3,FALSE)+VLOOKUP(AC$10,$C$4:$F$7,4,FALSE)*_xll.QDates_YearFraction(valDate,AD47,"ACT365F"))/VLOOKUP(AC$10,$C$4:$G$7,5,FALSE)</f>
        <v>38.369999999999997</v>
      </c>
    </row>
    <row r="48" spans="2:36" x14ac:dyDescent="0.25">
      <c r="B48" s="8" t="str" cm="1">
        <f t="array" aca="1" ref="B48" ca="1">_xll.QDates_FuturesNextCode(B47)</f>
        <v>COQ3</v>
      </c>
      <c r="C48" s="1" cm="1">
        <f t="array" aca="1" ref="C48" ca="1">_xll.QDates_FuturesExpiryFromCode(B48)</f>
        <v>45107</v>
      </c>
      <c r="D48" cm="1">
        <f t="array" aca="1" ref="D48" ca="1">_xll.BDP(B48&amp;" Comdty","PX_SETTLE")</f>
        <v>43.95</v>
      </c>
      <c r="E48" t="str" cm="1">
        <f t="array" aca="1" ref="E48" ca="1">_xll.BDP(B48&amp;" Comdty",BidMidASK)</f>
        <v>#N/A N/A</v>
      </c>
      <c r="F48" s="81">
        <f t="shared" ca="1" si="1"/>
        <v>-14.320000000000004</v>
      </c>
      <c r="G48" s="81" t="str">
        <f t="shared" ca="1" si="2"/>
        <v/>
      </c>
      <c r="H48" s="81">
        <f ca="1"/>
        <v>-14.020000000000001</v>
      </c>
      <c r="I48" s="13" cm="1">
        <f t="array" aca="1" ref="I48" ca="1">(E$11-H48+VLOOKUP(B$10,$C$4:$E$7,3,FALSE)+VLOOKUP(B$10,$C$4:$F$7,4,FALSE)*_xll.QDates_YearFraction(valDate,C48,"ACT365F"))/VLOOKUP(B$10,$C$4:$G$7,5,FALSE)</f>
        <v>44.811849315068493</v>
      </c>
      <c r="K48" s="8" t="str" cm="1">
        <f t="array" aca="1" ref="K48" ca="1">_xll.QDates_FuturesNextCode(K47)</f>
        <v>QSN3</v>
      </c>
      <c r="L48" s="1" cm="1">
        <f t="array" aca="1" ref="L48" ca="1">_xll.QDates_FuturesExpiryFromCode(K48)</f>
        <v>45119</v>
      </c>
      <c r="M48" cm="1">
        <f t="array" aca="1" ref="M48" ca="1">_xll.BDP(K48&amp;" Comdty","PX_SETTLE")</f>
        <v>409.5</v>
      </c>
      <c r="N48" t="str" cm="1">
        <f t="array" aca="1" ref="N48" ca="1">_xll.BDP(K48&amp;" Comdty",BidMidASK)</f>
        <v>#N/A N/A</v>
      </c>
      <c r="O48" s="81">
        <f t="shared" ca="1" si="3"/>
        <v>-151.5</v>
      </c>
      <c r="P48" s="81" t="str">
        <f t="shared" ca="1" si="4"/>
        <v/>
      </c>
      <c r="Q48" s="81">
        <f ca="1"/>
        <v>-153.875</v>
      </c>
      <c r="R48" s="13" cm="1">
        <f t="array" aca="1" ref="R48" ca="1">(N$11-Q48+VLOOKUP(K$10,$C$4:$E$7,3,FALSE)+VLOOKUP(K$10,$C$4:$F$7,4,FALSE)*_xll.QDates_YearFraction(valDate,L48,"ACT365F"))/VLOOKUP(K$10,$C$4:$G$7,5,FALSE)</f>
        <v>412.5</v>
      </c>
      <c r="T48" s="8" t="str" cm="1">
        <f t="array" aca="1" ref="T48" ca="1">_xll.QDates_FuturesNextCode(T47)</f>
        <v>XBN3</v>
      </c>
      <c r="U48" s="1" cm="1">
        <f t="array" aca="1" ref="U48" ca="1">_xll.QDates_FuturesExpiryFromCode(T48)</f>
        <v>45107</v>
      </c>
      <c r="V48" cm="1">
        <f t="array" aca="1" ref="V48" ca="1">_xll.BDP(T48&amp;" Comdty","PX_SETTLE")</f>
        <v>121.67</v>
      </c>
      <c r="W48" t="str" cm="1">
        <f t="array" aca="1" ref="W48" ca="1">_xll.BDP(T48&amp;" Comdty",BidMidASK)</f>
        <v>#N/A N/A</v>
      </c>
      <c r="X48" s="81">
        <f t="shared" ca="1" si="0"/>
        <v>-29.25</v>
      </c>
      <c r="Y48" s="81" t="str">
        <f t="shared" ca="1" si="5"/>
        <v/>
      </c>
      <c r="Z48" s="81">
        <f ca="1"/>
        <v>-23.714999999999989</v>
      </c>
      <c r="AA48" s="13" cm="1">
        <f t="array" aca="1" ref="AA48" ca="1">(W$11-Z48+VLOOKUP(T$10,$C$4:$E$7,3,FALSE)+VLOOKUP(T$10,$C$4:$F$7,4,FALSE)*_xll.QDates_YearFraction(valDate,U48,"ACT365F"))/VLOOKUP(T$10,$C$4:$G$7,5,FALSE)</f>
        <v>1.1356999999999999</v>
      </c>
      <c r="AC48" s="8" t="str" cm="1">
        <f t="array" aca="1" ref="AC48" ca="1">_xll.QDates_FuturesNextCode(AC47)</f>
        <v>CLN3</v>
      </c>
      <c r="AD48" s="1" cm="1">
        <f t="array" aca="1" ref="AD48" ca="1">_xll.QDates_FuturesExpiryFromCode(AC48)</f>
        <v>45097</v>
      </c>
      <c r="AE48" cm="1">
        <f t="array" aca="1" ref="AE48" ca="1">_xll.BDP(AC48&amp;" Comdty","PX_SETTLE")</f>
        <v>38.89</v>
      </c>
      <c r="AF48" t="str" cm="1">
        <f t="array" aca="1" ref="AF48" ca="1">_xll.BDP(AC48&amp;" Comdty",BidMidASK)</f>
        <v>#N/A N/A</v>
      </c>
      <c r="AG48" s="81">
        <f t="shared" ca="1" si="6"/>
        <v>-14.75</v>
      </c>
      <c r="AH48" s="81" t="str">
        <f t="shared" ca="1" si="7"/>
        <v/>
      </c>
      <c r="AI48" s="81">
        <f ca="1"/>
        <v>-14.057499999999999</v>
      </c>
      <c r="AJ48" s="13" cm="1">
        <f t="array" aca="1" ref="AJ48" ca="1">(AF$11-AI48+VLOOKUP(AC$10,$C$4:$E$7,3,FALSE)+VLOOKUP(AC$10,$C$4:$F$7,4,FALSE)*_xll.QDates_YearFraction(valDate,AD48,"ACT365F"))/VLOOKUP(AC$10,$C$4:$G$7,5,FALSE)</f>
        <v>38.5625</v>
      </c>
    </row>
    <row r="49" spans="2:36" x14ac:dyDescent="0.25">
      <c r="B49" s="8" t="str" cm="1">
        <f t="array" aca="1" ref="B49" ca="1">_xll.QDates_FuturesNextCode(B48)</f>
        <v>COU3</v>
      </c>
      <c r="C49" s="1" cm="1">
        <f t="array" aca="1" ref="C49" ca="1">_xll.QDates_FuturesExpiryFromCode(B49)</f>
        <v>45138</v>
      </c>
      <c r="D49" cm="1">
        <f t="array" aca="1" ref="D49" ca="1">_xll.BDP(B49&amp;" Comdty","PX_SETTLE")</f>
        <v>44.14</v>
      </c>
      <c r="E49" t="str" cm="1">
        <f t="array" aca="1" ref="E49" ca="1">_xll.BDP(B49&amp;" Comdty",BidMidASK)</f>
        <v>#N/A N/A</v>
      </c>
      <c r="F49" s="81">
        <f t="shared" ca="1" si="1"/>
        <v>-14.510000000000002</v>
      </c>
      <c r="G49" s="81" t="str">
        <f t="shared" ca="1" si="2"/>
        <v/>
      </c>
      <c r="H49" s="81">
        <f ca="1"/>
        <v>-14.212499999999999</v>
      </c>
      <c r="I49" s="13" cm="1">
        <f t="array" aca="1" ref="I49" ca="1">(E$11-H49+VLOOKUP(B$10,$C$4:$E$7,3,FALSE)+VLOOKUP(B$10,$C$4:$F$7,4,FALSE)*_xll.QDates_YearFraction(valDate,C49,"ACT365F"))/VLOOKUP(B$10,$C$4:$G$7,5,FALSE)</f>
        <v>45.021335616438357</v>
      </c>
      <c r="K49" s="8" t="str" cm="1">
        <f t="array" aca="1" ref="K49" ca="1">_xll.QDates_FuturesNextCode(K48)</f>
        <v>QSQ3</v>
      </c>
      <c r="L49" s="1" cm="1">
        <f t="array" aca="1" ref="L49" ca="1">_xll.QDates_FuturesExpiryFromCode(K49)</f>
        <v>45148</v>
      </c>
      <c r="M49" cm="1">
        <f t="array" aca="1" ref="M49" ca="1">_xll.BDP(K49&amp;" Comdty","PX_SETTLE")</f>
        <v>412</v>
      </c>
      <c r="N49" t="str" cm="1">
        <f t="array" aca="1" ref="N49" ca="1">_xll.BDP(K49&amp;" Comdty",BidMidASK)</f>
        <v>#N/A N/A</v>
      </c>
      <c r="O49" s="81">
        <f t="shared" ca="1" si="3"/>
        <v>-154</v>
      </c>
      <c r="P49" s="81" t="str">
        <f t="shared" ca="1" si="4"/>
        <v/>
      </c>
      <c r="Q49" s="81">
        <f ca="1"/>
        <v>-156</v>
      </c>
      <c r="R49" s="13" cm="1">
        <f t="array" aca="1" ref="R49" ca="1">(N$11-Q49+VLOOKUP(K$10,$C$4:$E$7,3,FALSE)+VLOOKUP(K$10,$C$4:$F$7,4,FALSE)*_xll.QDates_YearFraction(valDate,L49,"ACT365F"))/VLOOKUP(K$10,$C$4:$G$7,5,FALSE)</f>
        <v>414.625</v>
      </c>
      <c r="T49" s="8" t="str" cm="1">
        <f t="array" aca="1" ref="T49" ca="1">_xll.QDates_FuturesNextCode(T48)</f>
        <v>XBQ3</v>
      </c>
      <c r="U49" s="1" cm="1">
        <f t="array" aca="1" ref="U49" ca="1">_xll.QDates_FuturesExpiryFromCode(T49)</f>
        <v>45138</v>
      </c>
      <c r="V49" cm="1">
        <f t="array" aca="1" ref="V49" ca="1">_xll.BDP(T49&amp;" Comdty","PX_SETTLE")</f>
        <v>119.76</v>
      </c>
      <c r="W49" t="str" cm="1">
        <f t="array" aca="1" ref="W49" ca="1">_xll.BDP(T49&amp;" Comdty",BidMidASK)</f>
        <v>#N/A N/A</v>
      </c>
      <c r="X49" s="81">
        <f t="shared" ca="1" si="0"/>
        <v>-27.340000000000003</v>
      </c>
      <c r="Y49" s="81" t="str">
        <f t="shared" ca="1" si="5"/>
        <v/>
      </c>
      <c r="Z49" s="81">
        <f ca="1"/>
        <v>-21.804999999999993</v>
      </c>
      <c r="AA49" s="13" cm="1">
        <f t="array" aca="1" ref="AA49" ca="1">(W$11-Z49+VLOOKUP(T$10,$C$4:$E$7,3,FALSE)+VLOOKUP(T$10,$C$4:$F$7,4,FALSE)*_xll.QDates_YearFraction(valDate,U49,"ACT365F"))/VLOOKUP(T$10,$C$4:$G$7,5,FALSE)</f>
        <v>1.1166</v>
      </c>
      <c r="AC49" s="8" t="str" cm="1">
        <f t="array" aca="1" ref="AC49" ca="1">_xll.QDates_FuturesNextCode(AC48)</f>
        <v>CLQ3</v>
      </c>
      <c r="AD49" s="1" cm="1">
        <f t="array" aca="1" ref="AD49" ca="1">_xll.QDates_FuturesExpiryFromCode(AC49)</f>
        <v>45127</v>
      </c>
      <c r="AE49" cm="1">
        <f t="array" aca="1" ref="AE49" ca="1">_xll.BDP(AC49&amp;" Comdty","PX_SETTLE")</f>
        <v>39.090000000000003</v>
      </c>
      <c r="AF49" t="str" cm="1">
        <f t="array" aca="1" ref="AF49" ca="1">_xll.BDP(AC49&amp;" Comdty",BidMidASK)</f>
        <v>#N/A N/A</v>
      </c>
      <c r="AG49" s="81">
        <f t="shared" ca="1" si="6"/>
        <v>-14.950000000000003</v>
      </c>
      <c r="AH49" s="81" t="str">
        <f t="shared" ca="1" si="7"/>
        <v/>
      </c>
      <c r="AI49" s="81">
        <f ca="1"/>
        <v>-14.270000000000001</v>
      </c>
      <c r="AJ49" s="13" cm="1">
        <f t="array" aca="1" ref="AJ49" ca="1">(AF$11-AI49+VLOOKUP(AC$10,$C$4:$E$7,3,FALSE)+VLOOKUP(AC$10,$C$4:$F$7,4,FALSE)*_xll.QDates_YearFraction(valDate,AD49,"ACT365F"))/VLOOKUP(AC$10,$C$4:$G$7,5,FALSE)</f>
        <v>38.774999999999999</v>
      </c>
    </row>
    <row r="50" spans="2:36" x14ac:dyDescent="0.25">
      <c r="B50" s="8" t="str" cm="1">
        <f t="array" aca="1" ref="B50" ca="1">_xll.QDates_FuturesNextCode(B49)</f>
        <v>COV3</v>
      </c>
      <c r="C50" s="1" cm="1">
        <f t="array" aca="1" ref="C50" ca="1">_xll.QDates_FuturesExpiryFromCode(B50)</f>
        <v>45169</v>
      </c>
      <c r="D50" cm="1">
        <f t="array" aca="1" ref="D50" ca="1">_xll.BDP(B50&amp;" Comdty","PX_SETTLE")</f>
        <v>44.34</v>
      </c>
      <c r="E50" t="str" cm="1">
        <f t="array" aca="1" ref="E50" ca="1">_xll.BDP(B50&amp;" Comdty",BidMidASK)</f>
        <v>#N/A N/A</v>
      </c>
      <c r="F50" s="81">
        <f t="shared" ca="1" si="1"/>
        <v>-14.710000000000004</v>
      </c>
      <c r="G50" s="81" t="str">
        <f t="shared" ca="1" si="2"/>
        <v/>
      </c>
      <c r="H50" s="81">
        <f ca="1"/>
        <v>-14.415000000000001</v>
      </c>
      <c r="I50" s="13" cm="1">
        <f t="array" aca="1" ref="I50" ca="1">(E$11-H50+VLOOKUP(B$10,$C$4:$E$7,3,FALSE)+VLOOKUP(B$10,$C$4:$F$7,4,FALSE)*_xll.QDates_YearFraction(valDate,C50,"ACT365F"))/VLOOKUP(B$10,$C$4:$G$7,5,FALSE)</f>
        <v>45.240821917808219</v>
      </c>
      <c r="K50" s="8" t="str" cm="1">
        <f t="array" aca="1" ref="K50" ca="1">_xll.QDates_FuturesNextCode(K49)</f>
        <v>QSU3</v>
      </c>
      <c r="L50" s="1" cm="1">
        <f t="array" aca="1" ref="L50" ca="1">_xll.QDates_FuturesExpiryFromCode(K50)</f>
        <v>45181</v>
      </c>
      <c r="M50" cm="1">
        <f t="array" aca="1" ref="M50" ca="1">_xll.BDP(K50&amp;" Comdty","PX_SETTLE")</f>
        <v>414.25</v>
      </c>
      <c r="N50" t="str" cm="1">
        <f t="array" aca="1" ref="N50" ca="1">_xll.BDP(K50&amp;" Comdty",BidMidASK)</f>
        <v>#N/A N/A</v>
      </c>
      <c r="O50" s="81">
        <f t="shared" ca="1" si="3"/>
        <v>-156.25</v>
      </c>
      <c r="P50" s="81" t="str">
        <f t="shared" ca="1" si="4"/>
        <v/>
      </c>
      <c r="Q50" s="81">
        <f ca="1"/>
        <v>-157.875</v>
      </c>
      <c r="R50" s="13" cm="1">
        <f t="array" aca="1" ref="R50" ca="1">(N$11-Q50+VLOOKUP(K$10,$C$4:$E$7,3,FALSE)+VLOOKUP(K$10,$C$4:$F$7,4,FALSE)*_xll.QDates_YearFraction(valDate,L50,"ACT365F"))/VLOOKUP(K$10,$C$4:$G$7,5,FALSE)</f>
        <v>416.5</v>
      </c>
      <c r="T50" s="8" t="str" cm="1">
        <f t="array" aca="1" ref="T50" ca="1">_xll.QDates_FuturesNextCode(T49)</f>
        <v>XBU3</v>
      </c>
      <c r="U50" s="1" cm="1">
        <f t="array" aca="1" ref="U50" ca="1">_xll.QDates_FuturesExpiryFromCode(T50)</f>
        <v>45169</v>
      </c>
      <c r="V50" cm="1">
        <f t="array" aca="1" ref="V50" ca="1">_xll.BDP(T50&amp;" Comdty","PX_SETTLE")</f>
        <v>115.91</v>
      </c>
      <c r="W50" t="str" cm="1">
        <f t="array" aca="1" ref="W50" ca="1">_xll.BDP(T50&amp;" Comdty",BidMidASK)</f>
        <v>#N/A N/A</v>
      </c>
      <c r="X50" s="81">
        <f t="shared" ca="1" si="0"/>
        <v>-23.489999999999995</v>
      </c>
      <c r="Y50" s="81" t="str">
        <f t="shared" ca="1" si="5"/>
        <v/>
      </c>
      <c r="Z50" s="81">
        <f ca="1"/>
        <v>-17.954999999999984</v>
      </c>
      <c r="AA50" s="13" cm="1">
        <f t="array" aca="1" ref="AA50" ca="1">(W$11-Z50+VLOOKUP(T$10,$C$4:$E$7,3,FALSE)+VLOOKUP(T$10,$C$4:$F$7,4,FALSE)*_xll.QDates_YearFraction(valDate,U50,"ACT365F"))/VLOOKUP(T$10,$C$4:$G$7,5,FALSE)</f>
        <v>1.0780999999999998</v>
      </c>
      <c r="AC50" s="8" t="str" cm="1">
        <f t="array" aca="1" ref="AC50" ca="1">_xll.QDates_FuturesNextCode(AC49)</f>
        <v>CLU3</v>
      </c>
      <c r="AD50" s="1" cm="1">
        <f t="array" aca="1" ref="AD50" ca="1">_xll.QDates_FuturesExpiryFromCode(AC50)</f>
        <v>45160</v>
      </c>
      <c r="AE50" cm="1">
        <f t="array" aca="1" ref="AE50" ca="1">_xll.BDP(AC50&amp;" Comdty","PX_SETTLE")</f>
        <v>39.31</v>
      </c>
      <c r="AF50" t="str" cm="1">
        <f t="array" aca="1" ref="AF50" ca="1">_xll.BDP(AC50&amp;" Comdty",BidMidASK)</f>
        <v>#N/A N/A</v>
      </c>
      <c r="AG50" s="81">
        <f t="shared" ca="1" si="6"/>
        <v>-15.170000000000002</v>
      </c>
      <c r="AH50" s="81" t="str">
        <f t="shared" ca="1" si="7"/>
        <v/>
      </c>
      <c r="AI50" s="81">
        <f ca="1"/>
        <v>-14.502500000000001</v>
      </c>
      <c r="AJ50" s="13" cm="1">
        <f t="array" aca="1" ref="AJ50" ca="1">(AF$11-AI50+VLOOKUP(AC$10,$C$4:$E$7,3,FALSE)+VLOOKUP(AC$10,$C$4:$F$7,4,FALSE)*_xll.QDates_YearFraction(valDate,AD50,"ACT365F"))/VLOOKUP(AC$10,$C$4:$G$7,5,FALSE)</f>
        <v>39.0075</v>
      </c>
    </row>
    <row r="51" spans="2:36" x14ac:dyDescent="0.25">
      <c r="B51" s="8" t="str" cm="1">
        <f t="array" aca="1" ref="B51" ca="1">_xll.QDates_FuturesNextCode(B50)</f>
        <v>COX3</v>
      </c>
      <c r="C51" s="1" cm="1">
        <f t="array" aca="1" ref="C51" ca="1">_xll.QDates_FuturesExpiryFromCode(B51)</f>
        <v>45198</v>
      </c>
      <c r="D51" cm="1">
        <f t="array" aca="1" ref="D51" ca="1">_xll.BDP(B51&amp;" Comdty","PX_SETTLE")</f>
        <v>44.550000000000004</v>
      </c>
      <c r="E51" t="str" cm="1">
        <f t="array" aca="1" ref="E51" ca="1">_xll.BDP(B51&amp;" Comdty",BidMidASK)</f>
        <v>#N/A N/A</v>
      </c>
      <c r="F51" s="81">
        <f t="shared" ca="1" si="1"/>
        <v>-14.920000000000005</v>
      </c>
      <c r="G51" s="81" t="str">
        <f t="shared" ca="1" si="2"/>
        <v/>
      </c>
      <c r="H51" s="81">
        <f ca="1"/>
        <v>-14.627500000000003</v>
      </c>
      <c r="I51" s="13" cm="1">
        <f t="array" aca="1" ref="I51" ca="1">(E$11-H51+VLOOKUP(B$10,$C$4:$E$7,3,FALSE)+VLOOKUP(B$10,$C$4:$F$7,4,FALSE)*_xll.QDates_YearFraction(valDate,C51,"ACT365F"))/VLOOKUP(B$10,$C$4:$G$7,5,FALSE)</f>
        <v>45.469212328767128</v>
      </c>
      <c r="K51" s="8" t="str" cm="1">
        <f t="array" aca="1" ref="K51" ca="1">_xll.QDates_FuturesNextCode(K50)</f>
        <v>QSV3</v>
      </c>
      <c r="L51" s="1" cm="1">
        <f t="array" aca="1" ref="L51" ca="1">_xll.QDates_FuturesExpiryFromCode(K51)</f>
        <v>45211</v>
      </c>
      <c r="M51" cm="1">
        <f t="array" aca="1" ref="M51" ca="1">_xll.BDP(K51&amp;" Comdty","PX_SETTLE")</f>
        <v>416.5</v>
      </c>
      <c r="N51" t="str" cm="1">
        <f t="array" aca="1" ref="N51" ca="1">_xll.BDP(K51&amp;" Comdty",BidMidASK)</f>
        <v>#N/A N/A</v>
      </c>
      <c r="O51" s="81">
        <f t="shared" ca="1" si="3"/>
        <v>-158.5</v>
      </c>
      <c r="P51" s="81" t="str">
        <f t="shared" ca="1" si="4"/>
        <v/>
      </c>
      <c r="Q51" s="81">
        <f ca="1"/>
        <v>-159.75</v>
      </c>
      <c r="R51" s="13" cm="1">
        <f t="array" aca="1" ref="R51" ca="1">(N$11-Q51+VLOOKUP(K$10,$C$4:$E$7,3,FALSE)+VLOOKUP(K$10,$C$4:$F$7,4,FALSE)*_xll.QDates_YearFraction(valDate,L51,"ACT365F"))/VLOOKUP(K$10,$C$4:$G$7,5,FALSE)</f>
        <v>418.375</v>
      </c>
      <c r="T51" s="8" t="str" cm="1">
        <f t="array" aca="1" ref="T51" ca="1">_xll.QDates_FuturesNextCode(T50)</f>
        <v>XBV3</v>
      </c>
      <c r="U51" s="1" cm="1">
        <f t="array" aca="1" ref="U51" ca="1">_xll.QDates_FuturesExpiryFromCode(T51)</f>
        <v>45198</v>
      </c>
      <c r="V51" cm="1">
        <f t="array" aca="1" ref="V51" ca="1">_xll.BDP(T51&amp;" Comdty","PX_SETTLE")</f>
        <v>102.91</v>
      </c>
      <c r="W51" t="str" cm="1">
        <f t="array" aca="1" ref="W51" ca="1">_xll.BDP(T51&amp;" Comdty",BidMidASK)</f>
        <v>#N/A N/A</v>
      </c>
      <c r="X51" s="81">
        <f t="shared" ca="1" si="0"/>
        <v>-10.489999999999995</v>
      </c>
      <c r="Y51" s="81" t="str">
        <f t="shared" ca="1" si="5"/>
        <v/>
      </c>
      <c r="Z51" s="81">
        <f ca="1"/>
        <v>-4.9549999999999841</v>
      </c>
      <c r="AA51" s="13" cm="1">
        <f t="array" aca="1" ref="AA51" ca="1">(W$11-Z51+VLOOKUP(T$10,$C$4:$E$7,3,FALSE)+VLOOKUP(T$10,$C$4:$F$7,4,FALSE)*_xll.QDates_YearFraction(valDate,U51,"ACT365F"))/VLOOKUP(T$10,$C$4:$G$7,5,FALSE)</f>
        <v>0.94809999999999983</v>
      </c>
      <c r="AC51" s="8" t="str" cm="1">
        <f t="array" aca="1" ref="AC51" ca="1">_xll.QDates_FuturesNextCode(AC50)</f>
        <v>CLV3</v>
      </c>
      <c r="AD51" s="1" cm="1">
        <f t="array" aca="1" ref="AD51" ca="1">_xll.QDates_FuturesExpiryFromCode(AC51)</f>
        <v>45189</v>
      </c>
      <c r="AE51" cm="1">
        <f t="array" aca="1" ref="AE51" ca="1">_xll.BDP(AC51&amp;" Comdty","PX_SETTLE")</f>
        <v>39.54</v>
      </c>
      <c r="AF51" t="str" cm="1">
        <f t="array" aca="1" ref="AF51" ca="1">_xll.BDP(AC51&amp;" Comdty",BidMidASK)</f>
        <v>#N/A N/A</v>
      </c>
      <c r="AG51" s="81">
        <f t="shared" ca="1" si="6"/>
        <v>-15.399999999999999</v>
      </c>
      <c r="AH51" s="81" t="str">
        <f t="shared" ca="1" si="7"/>
        <v/>
      </c>
      <c r="AI51" s="81">
        <f ca="1"/>
        <v>-14.744999999999999</v>
      </c>
      <c r="AJ51" s="13" cm="1">
        <f t="array" aca="1" ref="AJ51" ca="1">(AF$11-AI51+VLOOKUP(AC$10,$C$4:$E$7,3,FALSE)+VLOOKUP(AC$10,$C$4:$F$7,4,FALSE)*_xll.QDates_YearFraction(valDate,AD51,"ACT365F"))/VLOOKUP(AC$10,$C$4:$G$7,5,FALSE)</f>
        <v>39.25</v>
      </c>
    </row>
    <row r="52" spans="2:36" x14ac:dyDescent="0.25">
      <c r="B52" s="8" t="str" cm="1">
        <f t="array" aca="1" ref="B52" ca="1">_xll.QDates_FuturesNextCode(B51)</f>
        <v>COZ3</v>
      </c>
      <c r="C52" s="1" cm="1">
        <f t="array" aca="1" ref="C52" ca="1">_xll.QDates_FuturesExpiryFromCode(B52)</f>
        <v>45230</v>
      </c>
      <c r="D52" cm="1">
        <f t="array" aca="1" ref="D52" ca="1">_xll.BDP(B52&amp;" Comdty","PX_SETTLE")</f>
        <v>44.730000000000004</v>
      </c>
      <c r="E52" cm="1">
        <f t="array" aca="1" ref="E52" ca="1">_xll.BDP(B52&amp;" Comdty",BidMidASK)</f>
        <v>44.725000000000001</v>
      </c>
      <c r="F52" s="81">
        <f t="shared" ca="1" si="1"/>
        <v>-15.100000000000005</v>
      </c>
      <c r="G52" s="81">
        <f t="shared" ca="1" si="2"/>
        <v>-14.810000000000002</v>
      </c>
      <c r="H52" s="81">
        <f ca="1"/>
        <v>-14.810000000000002</v>
      </c>
      <c r="I52" s="13" cm="1">
        <f t="array" aca="1" ref="I52" ca="1">(E$11-H52+VLOOKUP(B$10,$C$4:$E$7,3,FALSE)+VLOOKUP(B$10,$C$4:$F$7,4,FALSE)*_xll.QDates_YearFraction(valDate,C52,"ACT365F"))/VLOOKUP(B$10,$C$4:$G$7,5,FALSE)</f>
        <v>45.66924657534247</v>
      </c>
      <c r="K52" s="8" t="str" cm="1">
        <f t="array" aca="1" ref="K52" ca="1">_xll.QDates_FuturesNextCode(K51)</f>
        <v>QSX3</v>
      </c>
      <c r="L52" s="1" cm="1">
        <f t="array" aca="1" ref="L52" ca="1">_xll.QDates_FuturesExpiryFromCode(K52)</f>
        <v>45240</v>
      </c>
      <c r="M52" cm="1">
        <f t="array" aca="1" ref="M52" ca="1">_xll.BDP(K52&amp;" Comdty","PX_SETTLE")</f>
        <v>418.75</v>
      </c>
      <c r="N52" t="str" cm="1">
        <f t="array" aca="1" ref="N52" ca="1">_xll.BDP(K52&amp;" Comdty",BidMidASK)</f>
        <v>#N/A N/A</v>
      </c>
      <c r="O52" s="81">
        <f t="shared" ca="1" si="3"/>
        <v>-160.75</v>
      </c>
      <c r="P52" s="81" t="str">
        <f t="shared" ca="1" si="4"/>
        <v/>
      </c>
      <c r="Q52" s="81">
        <f ca="1"/>
        <v>-161.625</v>
      </c>
      <c r="R52" s="13" cm="1">
        <f t="array" aca="1" ref="R52" ca="1">(N$11-Q52+VLOOKUP(K$10,$C$4:$E$7,3,FALSE)+VLOOKUP(K$10,$C$4:$F$7,4,FALSE)*_xll.QDates_YearFraction(valDate,L52,"ACT365F"))/VLOOKUP(K$10,$C$4:$G$7,5,FALSE)</f>
        <v>420.25</v>
      </c>
      <c r="T52" s="8" t="str" cm="1">
        <f t="array" aca="1" ref="T52" ca="1">_xll.QDates_FuturesNextCode(T51)</f>
        <v>XBX3</v>
      </c>
      <c r="U52" s="1" cm="1">
        <f t="array" aca="1" ref="U52" ca="1">_xll.QDates_FuturesExpiryFromCode(T52)</f>
        <v>45230</v>
      </c>
      <c r="V52" cm="1">
        <f t="array" aca="1" ref="V52" ca="1">_xll.BDP(T52&amp;" Comdty","PX_SETTLE")</f>
        <v>99.54</v>
      </c>
      <c r="W52" t="str" cm="1">
        <f t="array" aca="1" ref="W52" ca="1">_xll.BDP(T52&amp;" Comdty",BidMidASK)</f>
        <v>#N/A N/A</v>
      </c>
      <c r="X52" s="81">
        <f t="shared" ca="1" si="0"/>
        <v>-7.1200000000000045</v>
      </c>
      <c r="Y52" s="81" t="str">
        <f t="shared" ca="1" si="5"/>
        <v/>
      </c>
      <c r="Z52" s="81">
        <f ca="1"/>
        <v>-1.5849999999999937</v>
      </c>
      <c r="AA52" s="13" cm="1">
        <f t="array" aca="1" ref="AA52" ca="1">(W$11-Z52+VLOOKUP(T$10,$C$4:$E$7,3,FALSE)+VLOOKUP(T$10,$C$4:$F$7,4,FALSE)*_xll.QDates_YearFraction(valDate,U52,"ACT365F"))/VLOOKUP(T$10,$C$4:$G$7,5,FALSE)</f>
        <v>0.91439999999999999</v>
      </c>
      <c r="AC52" s="8" t="str" cm="1">
        <f t="array" aca="1" ref="AC52" ca="1">_xll.QDates_FuturesNextCode(AC51)</f>
        <v>CLX3</v>
      </c>
      <c r="AD52" s="1" cm="1">
        <f t="array" aca="1" ref="AD52" ca="1">_xll.QDates_FuturesExpiryFromCode(AC52)</f>
        <v>45219</v>
      </c>
      <c r="AE52" cm="1">
        <f t="array" aca="1" ref="AE52" ca="1">_xll.BDP(AC52&amp;" Comdty","PX_SETTLE")</f>
        <v>39.770000000000003</v>
      </c>
      <c r="AF52" t="str" cm="1">
        <f t="array" aca="1" ref="AF52" ca="1">_xll.BDP(AC52&amp;" Comdty",BidMidASK)</f>
        <v>#N/A N/A</v>
      </c>
      <c r="AG52" s="81">
        <f t="shared" ca="1" si="6"/>
        <v>-15.630000000000003</v>
      </c>
      <c r="AH52" s="81" t="str">
        <f t="shared" ca="1" si="7"/>
        <v/>
      </c>
      <c r="AI52" s="81">
        <f ca="1"/>
        <v>-14.987500000000002</v>
      </c>
      <c r="AJ52" s="13" cm="1">
        <f t="array" aca="1" ref="AJ52" ca="1">(AF$11-AI52+VLOOKUP(AC$10,$C$4:$E$7,3,FALSE)+VLOOKUP(AC$10,$C$4:$F$7,4,FALSE)*_xll.QDates_YearFraction(valDate,AD52,"ACT365F"))/VLOOKUP(AC$10,$C$4:$G$7,5,FALSE)</f>
        <v>39.4925</v>
      </c>
    </row>
    <row r="53" spans="2:36" x14ac:dyDescent="0.25">
      <c r="B53" s="8" t="str" cm="1">
        <f t="array" aca="1" ref="B53" ca="1">_xll.QDates_FuturesNextCode(B52)</f>
        <v>COF4</v>
      </c>
      <c r="C53" s="1" cm="1">
        <f t="array" aca="1" ref="C53" ca="1">_xll.QDates_FuturesExpiryFromCode(B53)</f>
        <v>45260</v>
      </c>
      <c r="D53" cm="1">
        <f t="array" aca="1" ref="D53" ca="1">_xll.BDP(B53&amp;" Comdty","PX_SETTLE")</f>
        <v>44.95</v>
      </c>
      <c r="E53" t="str" cm="1">
        <f t="array" aca="1" ref="E53" ca="1">_xll.BDP(B53&amp;" Comdty",BidMidASK)</f>
        <v>#N/A N/A</v>
      </c>
      <c r="F53" s="81">
        <f t="shared" ca="1" si="1"/>
        <v>-15.320000000000004</v>
      </c>
      <c r="G53" s="81" t="str">
        <f t="shared" ca="1" si="2"/>
        <v/>
      </c>
      <c r="H53" s="81">
        <f ca="1"/>
        <v>-15.007500000000002</v>
      </c>
      <c r="I53" s="13" cm="1">
        <f t="array" aca="1" ref="I53" ca="1">(E$11-H53+VLOOKUP(B$10,$C$4:$E$7,3,FALSE)+VLOOKUP(B$10,$C$4:$F$7,4,FALSE)*_xll.QDates_YearFraction(valDate,C53,"ACT365F"))/VLOOKUP(B$10,$C$4:$G$7,5,FALSE)</f>
        <v>45.883184931506847</v>
      </c>
      <c r="K53" s="8" t="str" cm="1">
        <f t="array" aca="1" ref="K53" ca="1">_xll.QDates_FuturesNextCode(K52)</f>
        <v>QSZ3</v>
      </c>
      <c r="L53" s="1" cm="1">
        <f t="array" aca="1" ref="L53" ca="1">_xll.QDates_FuturesExpiryFromCode(K53)</f>
        <v>45272</v>
      </c>
      <c r="M53" cm="1">
        <f t="array" aca="1" ref="M53" ca="1">_xll.BDP(K53&amp;" Comdty","PX_SETTLE")</f>
        <v>420.75</v>
      </c>
      <c r="N53" cm="1">
        <f t="array" aca="1" ref="N53" ca="1">_xll.BDP(K53&amp;" Comdty",BidMidASK)</f>
        <v>419.875</v>
      </c>
      <c r="O53" s="81">
        <f t="shared" ca="1" si="3"/>
        <v>-162.75</v>
      </c>
      <c r="P53" s="81">
        <f t="shared" ca="1" si="4"/>
        <v>-163.25</v>
      </c>
      <c r="Q53" s="81">
        <f ca="1"/>
        <v>-163.25</v>
      </c>
      <c r="R53" s="13" cm="1">
        <f t="array" aca="1" ref="R53" ca="1">(N$11-Q53+VLOOKUP(K$10,$C$4:$E$7,3,FALSE)+VLOOKUP(K$10,$C$4:$F$7,4,FALSE)*_xll.QDates_YearFraction(valDate,L53,"ACT365F"))/VLOOKUP(K$10,$C$4:$G$7,5,FALSE)</f>
        <v>421.875</v>
      </c>
      <c r="T53" s="8" t="str" cm="1">
        <f t="array" aca="1" ref="T53" ca="1">_xll.QDates_FuturesNextCode(T52)</f>
        <v>XBZ3</v>
      </c>
      <c r="U53" s="1" cm="1">
        <f t="array" aca="1" ref="U53" ca="1">_xll.QDates_FuturesExpiryFromCode(T53)</f>
        <v>45260</v>
      </c>
      <c r="V53" cm="1">
        <f t="array" aca="1" ref="V53" ca="1">_xll.BDP(T53&amp;" Comdty","PX_SETTLE")</f>
        <v>98.210000000000008</v>
      </c>
      <c r="W53" t="str" cm="1">
        <f t="array" aca="1" ref="W53" ca="1">_xll.BDP(T53&amp;" Comdty",BidMidASK)</f>
        <v>#N/A N/A</v>
      </c>
      <c r="X53" s="81">
        <f t="shared" ca="1" si="0"/>
        <v>-5.7900000000000063</v>
      </c>
      <c r="Y53" s="81" t="str">
        <f t="shared" ca="1" si="5"/>
        <v/>
      </c>
      <c r="Z53" s="81">
        <f ca="1"/>
        <v>-0.25499999999999545</v>
      </c>
      <c r="AA53" s="13" cm="1">
        <f t="array" aca="1" ref="AA53" ca="1">(W$11-Z53+VLOOKUP(T$10,$C$4:$E$7,3,FALSE)+VLOOKUP(T$10,$C$4:$F$7,4,FALSE)*_xll.QDates_YearFraction(valDate,U53,"ACT365F"))/VLOOKUP(T$10,$C$4:$G$7,5,FALSE)</f>
        <v>0.90110000000000001</v>
      </c>
      <c r="AC53" s="8" t="str" cm="1">
        <f t="array" aca="1" ref="AC53" ca="1">_xll.QDates_FuturesNextCode(AC52)</f>
        <v>CLZ3</v>
      </c>
      <c r="AD53" s="1" cm="1">
        <f t="array" aca="1" ref="AD53" ca="1">_xll.QDates_FuturesExpiryFromCode(AC53)</f>
        <v>45247</v>
      </c>
      <c r="AE53" cm="1">
        <f t="array" aca="1" ref="AE53" ca="1">_xll.BDP(AC53&amp;" Comdty","PX_SETTLE")</f>
        <v>39.99</v>
      </c>
      <c r="AF53" cm="1">
        <f t="array" aca="1" ref="AF53" ca="1">_xll.BDP(AC53&amp;" Comdty",BidMidASK)</f>
        <v>39.975000000000001</v>
      </c>
      <c r="AG53" s="81">
        <f t="shared" ca="1" si="6"/>
        <v>-15.850000000000001</v>
      </c>
      <c r="AH53" s="81">
        <f t="shared" ca="1" si="7"/>
        <v>-15.220000000000002</v>
      </c>
      <c r="AI53" s="81">
        <f ca="1"/>
        <v>-15.220000000000002</v>
      </c>
      <c r="AJ53" s="13" cm="1">
        <f t="array" aca="1" ref="AJ53" ca="1">(AF$11-AI53+VLOOKUP(AC$10,$C$4:$E$7,3,FALSE)+VLOOKUP(AC$10,$C$4:$F$7,4,FALSE)*_xll.QDates_YearFraction(valDate,AD53,"ACT365F"))/VLOOKUP(AC$10,$C$4:$G$7,5,FALSE)</f>
        <v>39.725000000000001</v>
      </c>
    </row>
    <row r="54" spans="2:36" x14ac:dyDescent="0.25">
      <c r="B54" s="8" t="str" cm="1">
        <f t="array" aca="1" ref="B54" ca="1">_xll.QDates_FuturesNextCode(B53)</f>
        <v>COG4</v>
      </c>
      <c r="C54" s="1" cm="1">
        <f t="array" aca="1" ref="C54" ca="1">_xll.QDates_FuturesExpiryFromCode(B54)</f>
        <v>45289</v>
      </c>
      <c r="D54" cm="1">
        <f t="array" aca="1" ref="D54" ca="1">_xll.BDP(B54&amp;" Comdty","PX_SETTLE")</f>
        <v>45.19</v>
      </c>
      <c r="E54" t="str" cm="1">
        <f t="array" aca="1" ref="E54" ca="1">_xll.BDP(B54&amp;" Comdty",BidMidASK)</f>
        <v>#N/A N/A</v>
      </c>
      <c r="F54" s="81">
        <f t="shared" ca="1" si="1"/>
        <v>-15.559999999999999</v>
      </c>
      <c r="G54" s="81" t="str">
        <f t="shared" ca="1" si="2"/>
        <v/>
      </c>
      <c r="H54" s="81">
        <f ca="1"/>
        <v>-15.224999999999996</v>
      </c>
      <c r="I54" s="13" cm="1">
        <f t="array" aca="1" ref="I54" ca="1">(E$11-H54+VLOOKUP(B$10,$C$4:$E$7,3,FALSE)+VLOOKUP(B$10,$C$4:$F$7,4,FALSE)*_xll.QDates_YearFraction(valDate,C54,"ACT365F"))/VLOOKUP(B$10,$C$4:$G$7,5,FALSE)</f>
        <v>46.116575342465744</v>
      </c>
      <c r="K54" s="8" t="str" cm="1">
        <f t="array" aca="1" ref="K54" ca="1">_xll.QDates_FuturesNextCode(K53)</f>
        <v>QSF4</v>
      </c>
      <c r="L54" s="1" cm="1">
        <f t="array" aca="1" ref="L54" ca="1">_xll.QDates_FuturesExpiryFromCode(K54)</f>
        <v>45302</v>
      </c>
      <c r="M54" cm="1">
        <f t="array" aca="1" ref="M54" ca="1">_xll.BDP(K54&amp;" Comdty","PX_SETTLE")</f>
        <v>423.5</v>
      </c>
      <c r="N54" t="str" cm="1">
        <f t="array" aca="1" ref="N54" ca="1">_xll.BDP(K54&amp;" Comdty",BidMidASK)</f>
        <v>#N/A N/A</v>
      </c>
      <c r="O54" s="81">
        <f t="shared" ca="1" si="3"/>
        <v>-165.5</v>
      </c>
      <c r="P54" s="81" t="str">
        <f t="shared" ca="1" si="4"/>
        <v/>
      </c>
      <c r="Q54" s="81">
        <f ca="1"/>
        <v>-166.22916666666666</v>
      </c>
      <c r="R54" s="13" cm="1">
        <f t="array" aca="1" ref="R54" ca="1">(N$11-Q54+VLOOKUP(K$10,$C$4:$E$7,3,FALSE)+VLOOKUP(K$10,$C$4:$F$7,4,FALSE)*_xll.QDates_YearFraction(valDate,L54,"ACT365F"))/VLOOKUP(K$10,$C$4:$G$7,5,FALSE)</f>
        <v>424.85416666666663</v>
      </c>
      <c r="T54" s="8" t="str" cm="1">
        <f t="array" aca="1" ref="T54" ca="1">_xll.QDates_FuturesNextCode(T53)</f>
        <v>XBF4</v>
      </c>
      <c r="U54" s="1" cm="1">
        <f t="array" aca="1" ref="U54" ca="1">_xll.QDates_FuturesExpiryFromCode(T54)</f>
        <v>45289</v>
      </c>
      <c r="V54" cm="1">
        <f t="array" aca="1" ref="V54" ca="1">_xll.BDP(T54&amp;" Comdty","PX_SETTLE")</f>
        <v>97.93</v>
      </c>
      <c r="W54" t="str" cm="1">
        <f t="array" aca="1" ref="W54" ca="1">_xll.BDP(T54&amp;" Comdty",BidMidASK)</f>
        <v>#N/A N/A</v>
      </c>
      <c r="X54" s="81">
        <f t="shared" ca="1" si="0"/>
        <v>-5.5100000000000051</v>
      </c>
      <c r="Y54" s="81" t="str">
        <f t="shared" ca="1" si="5"/>
        <v/>
      </c>
      <c r="Z54" s="81">
        <f ca="1"/>
        <v>2.5000000000005684E-2</v>
      </c>
      <c r="AA54" s="13" cm="1">
        <f t="array" aca="1" ref="AA54" ca="1">(W$11-Z54+VLOOKUP(T$10,$C$4:$E$7,3,FALSE)+VLOOKUP(T$10,$C$4:$F$7,4,FALSE)*_xll.QDates_YearFraction(valDate,U54,"ACT365F"))/VLOOKUP(T$10,$C$4:$G$7,5,FALSE)</f>
        <v>0.89829999999999999</v>
      </c>
      <c r="AC54" s="8" t="str" cm="1">
        <f t="array" aca="1" ref="AC54" ca="1">_xll.QDates_FuturesNextCode(AC53)</f>
        <v>CLF4</v>
      </c>
      <c r="AD54" s="1" cm="1">
        <f t="array" aca="1" ref="AD54" ca="1">_xll.QDates_FuturesExpiryFromCode(AC54)</f>
        <v>45279</v>
      </c>
      <c r="AE54" cm="1">
        <f t="array" aca="1" ref="AE54" ca="1">_xll.BDP(AC54&amp;" Comdty","PX_SETTLE")</f>
        <v>40.160000000000004</v>
      </c>
      <c r="AF54" t="str" cm="1">
        <f t="array" aca="1" ref="AF54" ca="1">_xll.BDP(AC54&amp;" Comdty",BidMidASK)</f>
        <v>#N/A N/A</v>
      </c>
      <c r="AG54" s="81">
        <f t="shared" ca="1" si="6"/>
        <v>-16.020000000000003</v>
      </c>
      <c r="AH54" s="81" t="str">
        <f t="shared" ca="1" si="7"/>
        <v/>
      </c>
      <c r="AI54" s="81">
        <f ca="1"/>
        <v>-15.391666666666671</v>
      </c>
      <c r="AJ54" s="13" cm="1">
        <f t="array" aca="1" ref="AJ54" ca="1">(AF$11-AI54+VLOOKUP(AC$10,$C$4:$E$7,3,FALSE)+VLOOKUP(AC$10,$C$4:$F$7,4,FALSE)*_xll.QDates_YearFraction(valDate,AD54,"ACT365F"))/VLOOKUP(AC$10,$C$4:$G$7,5,FALSE)</f>
        <v>39.896666666666668</v>
      </c>
    </row>
    <row r="55" spans="2:36" x14ac:dyDescent="0.25">
      <c r="B55" s="8" t="str" cm="1">
        <f t="array" aca="1" ref="B55" ca="1">_xll.QDates_FuturesNextCode(B54)</f>
        <v>COH4</v>
      </c>
      <c r="C55" s="1" cm="1">
        <f t="array" aca="1" ref="C55" ca="1">_xll.QDates_FuturesExpiryFromCode(B55)</f>
        <v>45322</v>
      </c>
      <c r="D55" cm="1">
        <f t="array" aca="1" ref="D55" ca="1">_xll.BDP(B55&amp;" Comdty","PX_SETTLE")</f>
        <v>45.42</v>
      </c>
      <c r="E55" t="str" cm="1">
        <f t="array" aca="1" ref="E55" ca="1">_xll.BDP(B55&amp;" Comdty",BidMidASK)</f>
        <v>#N/A N/A</v>
      </c>
      <c r="F55" s="81">
        <f t="shared" ca="1" si="1"/>
        <v>-15.790000000000003</v>
      </c>
      <c r="G55" s="81" t="str">
        <f t="shared" ca="1" si="2"/>
        <v/>
      </c>
      <c r="H55" s="81">
        <f ca="1"/>
        <v>-15.432500000000001</v>
      </c>
      <c r="I55" s="13" cm="1">
        <f t="array" aca="1" ref="I55" ca="1">(E$11-H55+VLOOKUP(B$10,$C$4:$E$7,3,FALSE)+VLOOKUP(B$10,$C$4:$F$7,4,FALSE)*_xll.QDates_YearFraction(valDate,C55,"ACT365F"))/VLOOKUP(B$10,$C$4:$G$7,5,FALSE)</f>
        <v>46.342157534246574</v>
      </c>
      <c r="K55" s="8" t="str" cm="1">
        <f t="array" aca="1" ref="K55" ca="1">_xll.QDates_FuturesNextCode(K54)</f>
        <v>QSG4</v>
      </c>
      <c r="L55" s="1" cm="1">
        <f t="array" aca="1" ref="L55" ca="1">_xll.QDates_FuturesExpiryFromCode(K55)</f>
        <v>45334</v>
      </c>
      <c r="M55" cm="1">
        <f t="array" aca="1" ref="M55" ca="1">_xll.BDP(K55&amp;" Comdty","PX_SETTLE")</f>
        <v>426.25</v>
      </c>
      <c r="N55" t="str" cm="1">
        <f t="array" aca="1" ref="N55" ca="1">_xll.BDP(K55&amp;" Comdty",BidMidASK)</f>
        <v>#N/A N/A</v>
      </c>
      <c r="O55" s="81">
        <f t="shared" ca="1" si="3"/>
        <v>-168.25</v>
      </c>
      <c r="P55" s="81" t="str">
        <f t="shared" ca="1" si="4"/>
        <v/>
      </c>
      <c r="Q55" s="81">
        <f ca="1"/>
        <v>-169.20833333333334</v>
      </c>
      <c r="R55" s="13" cm="1">
        <f t="array" aca="1" ref="R55" ca="1">(N$11-Q55+VLOOKUP(K$10,$C$4:$E$7,3,FALSE)+VLOOKUP(K$10,$C$4:$F$7,4,FALSE)*_xll.QDates_YearFraction(valDate,L55,"ACT365F"))/VLOOKUP(K$10,$C$4:$G$7,5,FALSE)</f>
        <v>427.83333333333337</v>
      </c>
      <c r="T55" s="8"/>
      <c r="U55" s="1"/>
      <c r="X55" s="81"/>
      <c r="Y55" s="81" t="str">
        <f t="shared" si="5"/>
        <v/>
      </c>
      <c r="Z55" s="81"/>
      <c r="AA55" s="13"/>
      <c r="AC55" s="8" t="str" cm="1">
        <f t="array" aca="1" ref="AC55" ca="1">_xll.QDates_FuturesNextCode(AC54)</f>
        <v>CLG4</v>
      </c>
      <c r="AD55" s="1" cm="1">
        <f t="array" aca="1" ref="AD55" ca="1">_xll.QDates_FuturesExpiryFromCode(AC55)</f>
        <v>45313</v>
      </c>
      <c r="AE55" cm="1">
        <f t="array" aca="1" ref="AE55" ca="1">_xll.BDP(AC55&amp;" Comdty","PX_SETTLE")</f>
        <v>40.340000000000003</v>
      </c>
      <c r="AF55" t="str" cm="1">
        <f t="array" aca="1" ref="AF55" ca="1">_xll.BDP(AC55&amp;" Comdty",BidMidASK)</f>
        <v>#N/A N/A</v>
      </c>
      <c r="AG55" s="81">
        <f t="shared" ca="1" si="6"/>
        <v>-16.200000000000003</v>
      </c>
      <c r="AH55" s="81" t="str">
        <f t="shared" ca="1" si="7"/>
        <v/>
      </c>
      <c r="AI55" s="81">
        <f ca="1"/>
        <v>-15.573333333333336</v>
      </c>
      <c r="AJ55" s="13" cm="1">
        <f t="array" aca="1" ref="AJ55" ca="1">(AF$11-AI55+VLOOKUP(AC$10,$C$4:$E$7,3,FALSE)+VLOOKUP(AC$10,$C$4:$F$7,4,FALSE)*_xll.QDates_YearFraction(valDate,AD55,"ACT365F"))/VLOOKUP(AC$10,$C$4:$G$7,5,FALSE)</f>
        <v>40.078333333333333</v>
      </c>
    </row>
    <row r="56" spans="2:36" x14ac:dyDescent="0.25">
      <c r="B56" s="8" t="str" cm="1">
        <f t="array" aca="1" ref="B56" ca="1">_xll.QDates_FuturesNextCode(B55)</f>
        <v>COJ4</v>
      </c>
      <c r="C56" s="1" cm="1">
        <f t="array" aca="1" ref="C56" ca="1">_xll.QDates_FuturesExpiryFromCode(B56)</f>
        <v>45351</v>
      </c>
      <c r="D56" cm="1">
        <f t="array" aca="1" ref="D56" ca="1">_xll.BDP(B56&amp;" Comdty","PX_SETTLE")</f>
        <v>45.660000000000004</v>
      </c>
      <c r="E56" t="str" cm="1">
        <f t="array" aca="1" ref="E56" ca="1">_xll.BDP(B56&amp;" Comdty",BidMidASK)</f>
        <v>#N/A N/A</v>
      </c>
      <c r="F56" s="81">
        <f t="shared" ca="1" si="1"/>
        <v>-16.030000000000005</v>
      </c>
      <c r="G56" s="81" t="str">
        <f t="shared" ca="1" si="2"/>
        <v/>
      </c>
      <c r="H56" s="81">
        <f ca="1"/>
        <v>-15.650000000000004</v>
      </c>
      <c r="I56" s="13" cm="1">
        <f t="array" aca="1" ref="I56" ca="1">(E$11-H56+VLOOKUP(B$10,$C$4:$E$7,3,FALSE)+VLOOKUP(B$10,$C$4:$F$7,4,FALSE)*_xll.QDates_YearFraction(valDate,C56,"ACT365F"))/VLOOKUP(B$10,$C$4:$G$7,5,FALSE)</f>
        <v>46.575547945205486</v>
      </c>
      <c r="K56" s="8" t="str" cm="1">
        <f t="array" aca="1" ref="K56" ca="1">_xll.QDates_FuturesNextCode(K55)</f>
        <v>QSH4</v>
      </c>
      <c r="L56" s="1" cm="1">
        <f t="array" aca="1" ref="L56" ca="1">_xll.QDates_FuturesExpiryFromCode(K56)</f>
        <v>45363</v>
      </c>
      <c r="M56" cm="1">
        <f t="array" aca="1" ref="M56" ca="1">_xll.BDP(K56&amp;" Comdty","PX_SETTLE")</f>
        <v>429</v>
      </c>
      <c r="N56" t="str" cm="1">
        <f t="array" aca="1" ref="N56" ca="1">_xll.BDP(K56&amp;" Comdty",BidMidASK)</f>
        <v>#N/A N/A</v>
      </c>
      <c r="O56" s="81">
        <f t="shared" ca="1" si="3"/>
        <v>-171</v>
      </c>
      <c r="P56" s="81" t="str">
        <f t="shared" ca="1" si="4"/>
        <v/>
      </c>
      <c r="Q56" s="81">
        <f ca="1"/>
        <v>-172.1875</v>
      </c>
      <c r="R56" s="13" cm="1">
        <f t="array" aca="1" ref="R56" ca="1">(N$11-Q56+VLOOKUP(K$10,$C$4:$E$7,3,FALSE)+VLOOKUP(K$10,$C$4:$F$7,4,FALSE)*_xll.QDates_YearFraction(valDate,L56,"ACT365F"))/VLOOKUP(K$10,$C$4:$G$7,5,FALSE)</f>
        <v>430.8125</v>
      </c>
      <c r="T56" s="8"/>
      <c r="U56" s="1"/>
      <c r="X56" s="81"/>
      <c r="Y56" s="81" t="str">
        <f t="shared" si="5"/>
        <v/>
      </c>
      <c r="Z56" s="81"/>
      <c r="AA56" s="13"/>
      <c r="AC56" s="8" t="str" cm="1">
        <f t="array" aca="1" ref="AC56" ca="1">_xll.QDates_FuturesNextCode(AC55)</f>
        <v>CLH4</v>
      </c>
      <c r="AD56" s="1" cm="1">
        <f t="array" aca="1" ref="AD56" ca="1">_xll.QDates_FuturesExpiryFromCode(AC56)</f>
        <v>45342</v>
      </c>
      <c r="AE56" cm="1">
        <f t="array" aca="1" ref="AE56" ca="1">_xll.BDP(AC56&amp;" Comdty","PX_SETTLE")</f>
        <v>40.53</v>
      </c>
      <c r="AF56" t="str" cm="1">
        <f t="array" aca="1" ref="AF56" ca="1">_xll.BDP(AC56&amp;" Comdty",BidMidASK)</f>
        <v>#N/A N/A</v>
      </c>
      <c r="AG56" s="81">
        <f t="shared" ca="1" si="6"/>
        <v>-16.39</v>
      </c>
      <c r="AH56" s="81" t="str">
        <f t="shared" ca="1" si="7"/>
        <v/>
      </c>
      <c r="AI56" s="81">
        <f ca="1"/>
        <v>-15.765000000000001</v>
      </c>
      <c r="AJ56" s="13" cm="1">
        <f t="array" aca="1" ref="AJ56" ca="1">(AF$11-AI56+VLOOKUP(AC$10,$C$4:$E$7,3,FALSE)+VLOOKUP(AC$10,$C$4:$F$7,4,FALSE)*_xll.QDates_YearFraction(valDate,AD56,"ACT365F"))/VLOOKUP(AC$10,$C$4:$G$7,5,FALSE)</f>
        <v>40.269999999999996</v>
      </c>
    </row>
    <row r="57" spans="2:36" x14ac:dyDescent="0.25">
      <c r="B57" s="8" t="str" cm="1">
        <f t="array" aca="1" ref="B57" ca="1">_xll.QDates_FuturesNextCode(B56)</f>
        <v>COK4</v>
      </c>
      <c r="C57" s="1" cm="1">
        <f t="array" aca="1" ref="C57" ca="1">_xll.QDates_FuturesExpiryFromCode(B57)</f>
        <v>45379</v>
      </c>
      <c r="D57" cm="1">
        <f t="array" aca="1" ref="D57" ca="1">_xll.BDP(B57&amp;" Comdty","PX_SETTLE")</f>
        <v>45.910000000000004</v>
      </c>
      <c r="E57" t="str" cm="1">
        <f t="array" aca="1" ref="E57" ca="1">_xll.BDP(B57&amp;" Comdty",BidMidASK)</f>
        <v>#N/A N/A</v>
      </c>
      <c r="F57" s="81">
        <f t="shared" ca="1" si="1"/>
        <v>-16.280000000000005</v>
      </c>
      <c r="G57" s="81" t="str">
        <f t="shared" ca="1" si="2"/>
        <v/>
      </c>
      <c r="H57" s="81">
        <f ca="1"/>
        <v>-15.877500000000003</v>
      </c>
      <c r="I57" s="13" cm="1">
        <f t="array" aca="1" ref="I57" ca="1">(E$11-H57+VLOOKUP(B$10,$C$4:$E$7,3,FALSE)+VLOOKUP(B$10,$C$4:$F$7,4,FALSE)*_xll.QDates_YearFraction(valDate,C57,"ACT365F"))/VLOOKUP(B$10,$C$4:$G$7,5,FALSE)</f>
        <v>46.818390410958905</v>
      </c>
      <c r="K57" s="8" t="str" cm="1">
        <f t="array" aca="1" ref="K57" ca="1">_xll.QDates_FuturesNextCode(K56)</f>
        <v>QSJ4</v>
      </c>
      <c r="L57" s="1" cm="1">
        <f t="array" aca="1" ref="L57" ca="1">_xll.QDates_FuturesExpiryFromCode(K57)</f>
        <v>45393</v>
      </c>
      <c r="M57" cm="1">
        <f t="array" aca="1" ref="M57" ca="1">_xll.BDP(K57&amp;" Comdty","PX_SETTLE")</f>
        <v>431.75</v>
      </c>
      <c r="N57" t="str" cm="1">
        <f t="array" aca="1" ref="N57" ca="1">_xll.BDP(K57&amp;" Comdty",BidMidASK)</f>
        <v>#N/A N/A</v>
      </c>
      <c r="O57" s="81">
        <f t="shared" ca="1" si="3"/>
        <v>-173.75</v>
      </c>
      <c r="P57" s="81" t="str">
        <f t="shared" ca="1" si="4"/>
        <v/>
      </c>
      <c r="Q57" s="81">
        <f ca="1"/>
        <v>-175.16666666666666</v>
      </c>
      <c r="R57" s="13" cm="1">
        <f t="array" aca="1" ref="R57" ca="1">(N$11-Q57+VLOOKUP(K$10,$C$4:$E$7,3,FALSE)+VLOOKUP(K$10,$C$4:$F$7,4,FALSE)*_xll.QDates_YearFraction(valDate,L57,"ACT365F"))/VLOOKUP(K$10,$C$4:$G$7,5,FALSE)</f>
        <v>433.79166666666663</v>
      </c>
      <c r="T57" s="8"/>
      <c r="U57" s="1"/>
      <c r="X57" s="81"/>
      <c r="Y57" s="81" t="str">
        <f t="shared" si="5"/>
        <v/>
      </c>
      <c r="Z57" s="81"/>
      <c r="AA57" s="13"/>
      <c r="AC57" s="8" t="str" cm="1">
        <f t="array" aca="1" ref="AC57" ca="1">_xll.QDates_FuturesNextCode(AC56)</f>
        <v>CLJ4</v>
      </c>
      <c r="AD57" s="1" cm="1">
        <f t="array" aca="1" ref="AD57" ca="1">_xll.QDates_FuturesExpiryFromCode(AC57)</f>
        <v>45371</v>
      </c>
      <c r="AE57" cm="1">
        <f t="array" aca="1" ref="AE57" ca="1">_xll.BDP(AC57&amp;" Comdty","PX_SETTLE")</f>
        <v>40.71</v>
      </c>
      <c r="AF57" t="str" cm="1">
        <f t="array" aca="1" ref="AF57" ca="1">_xll.BDP(AC57&amp;" Comdty",BidMidASK)</f>
        <v>#N/A N/A</v>
      </c>
      <c r="AG57" s="81">
        <f t="shared" ca="1" si="6"/>
        <v>-16.57</v>
      </c>
      <c r="AH57" s="81" t="str">
        <f t="shared" ca="1" si="7"/>
        <v/>
      </c>
      <c r="AI57" s="81">
        <f ca="1"/>
        <v>-15.946666666666667</v>
      </c>
      <c r="AJ57" s="13" cm="1">
        <f t="array" aca="1" ref="AJ57" ca="1">(AF$11-AI57+VLOOKUP(AC$10,$C$4:$E$7,3,FALSE)+VLOOKUP(AC$10,$C$4:$F$7,4,FALSE)*_xll.QDates_YearFraction(valDate,AD57,"ACT365F"))/VLOOKUP(AC$10,$C$4:$G$7,5,FALSE)</f>
        <v>40.451666666666668</v>
      </c>
    </row>
    <row r="58" spans="2:36" x14ac:dyDescent="0.25">
      <c r="B58" s="8" t="str" cm="1">
        <f t="array" aca="1" ref="B58" ca="1">_xll.QDates_FuturesNextCode(B57)</f>
        <v>COM4</v>
      </c>
      <c r="C58" s="1" cm="1">
        <f t="array" aca="1" ref="C58" ca="1">_xll.QDates_FuturesExpiryFromCode(B58)</f>
        <v>45412</v>
      </c>
      <c r="D58" cm="1">
        <f t="array" aca="1" ref="D58" ca="1">_xll.BDP(B58&amp;" Comdty","PX_SETTLE")</f>
        <v>46.14</v>
      </c>
      <c r="E58" cm="1">
        <f t="array" aca="1" ref="E58" ca="1">_xll.BDP(B58&amp;" Comdty",BidMidASK)</f>
        <v>46</v>
      </c>
      <c r="F58" s="81">
        <f t="shared" ca="1" si="1"/>
        <v>-16.510000000000002</v>
      </c>
      <c r="G58" s="81">
        <f t="shared" ca="1" si="2"/>
        <v>-16.085000000000001</v>
      </c>
      <c r="H58" s="81">
        <f ca="1"/>
        <v>-16.085000000000001</v>
      </c>
      <c r="I58" s="13" cm="1">
        <f t="array" aca="1" ref="I58" ca="1">(E$11-H58+VLOOKUP(B$10,$C$4:$E$7,3,FALSE)+VLOOKUP(B$10,$C$4:$F$7,4,FALSE)*_xll.QDates_YearFraction(valDate,C58,"ACT365F"))/VLOOKUP(B$10,$C$4:$G$7,5,FALSE)</f>
        <v>47.043972602739728</v>
      </c>
      <c r="K58" s="8" t="str" cm="1">
        <f t="array" aca="1" ref="K58" ca="1">_xll.QDates_FuturesNextCode(K57)</f>
        <v>QSK4</v>
      </c>
      <c r="L58" s="1" cm="1">
        <f t="array" aca="1" ref="L58" ca="1">_xll.QDates_FuturesExpiryFromCode(K58)</f>
        <v>45422</v>
      </c>
      <c r="M58" cm="1">
        <f t="array" aca="1" ref="M58" ca="1">_xll.BDP(K58&amp;" Comdty","PX_SETTLE")</f>
        <v>434.5</v>
      </c>
      <c r="N58" t="str" cm="1">
        <f t="array" aca="1" ref="N58" ca="1">_xll.BDP(K58&amp;" Comdty",BidMidASK)</f>
        <v>#N/A N/A</v>
      </c>
      <c r="O58" s="81">
        <f t="shared" ca="1" si="3"/>
        <v>-176.5</v>
      </c>
      <c r="P58" s="81" t="str">
        <f t="shared" ca="1" si="4"/>
        <v/>
      </c>
      <c r="Q58" s="81">
        <f ca="1"/>
        <v>-178.14583333333334</v>
      </c>
      <c r="R58" s="13" cm="1">
        <f t="array" aca="1" ref="R58" ca="1">(N$11-Q58+VLOOKUP(K$10,$C$4:$E$7,3,FALSE)+VLOOKUP(K$10,$C$4:$F$7,4,FALSE)*_xll.QDates_YearFraction(valDate,L58,"ACT365F"))/VLOOKUP(K$10,$C$4:$G$7,5,FALSE)</f>
        <v>436.77083333333337</v>
      </c>
      <c r="T58" s="8"/>
      <c r="U58" s="1"/>
      <c r="X58" s="81"/>
      <c r="Y58" s="81" t="str">
        <f t="shared" si="5"/>
        <v/>
      </c>
      <c r="Z58" s="81"/>
      <c r="AA58" s="13"/>
      <c r="AC58" s="8" t="str" cm="1">
        <f t="array" aca="1" ref="AC58" ca="1">_xll.QDates_FuturesNextCode(AC57)</f>
        <v>CLK4</v>
      </c>
      <c r="AD58" s="1" cm="1">
        <f t="array" aca="1" ref="AD58" ca="1">_xll.QDates_FuturesExpiryFromCode(AC58)</f>
        <v>45404</v>
      </c>
      <c r="AE58" cm="1">
        <f t="array" aca="1" ref="AE58" ca="1">_xll.BDP(AC58&amp;" Comdty","PX_SETTLE")</f>
        <v>40.950000000000003</v>
      </c>
      <c r="AF58" t="str" cm="1">
        <f t="array" aca="1" ref="AF58" ca="1">_xll.BDP(AC58&amp;" Comdty",BidMidASK)</f>
        <v>#N/A N/A</v>
      </c>
      <c r="AG58" s="81">
        <f t="shared" ca="1" si="6"/>
        <v>-16.810000000000002</v>
      </c>
      <c r="AH58" s="81" t="str">
        <f t="shared" ca="1" si="7"/>
        <v/>
      </c>
      <c r="AI58" s="81">
        <f ca="1"/>
        <v>-16.188333333333336</v>
      </c>
      <c r="AJ58" s="13" cm="1">
        <f t="array" aca="1" ref="AJ58" ca="1">(AF$11-AI58+VLOOKUP(AC$10,$C$4:$E$7,3,FALSE)+VLOOKUP(AC$10,$C$4:$F$7,4,FALSE)*_xll.QDates_YearFraction(valDate,AD58,"ACT365F"))/VLOOKUP(AC$10,$C$4:$G$7,5,FALSE)</f>
        <v>40.693333333333335</v>
      </c>
    </row>
    <row r="59" spans="2:36" x14ac:dyDescent="0.25">
      <c r="B59" s="8" t="str" cm="1">
        <f t="array" aca="1" ref="B59" ca="1">_xll.QDates_FuturesNextCode(B58)</f>
        <v>CON4</v>
      </c>
      <c r="C59" s="1" cm="1">
        <f t="array" aca="1" ref="C59" ca="1">_xll.QDates_FuturesExpiryFromCode(B59)</f>
        <v>45443</v>
      </c>
      <c r="D59" cm="1">
        <f t="array" aca="1" ref="D59" ca="1">_xll.BDP(B59&amp;" Comdty","PX_SETTLE")</f>
        <v>46.36</v>
      </c>
      <c r="E59" t="str" cm="1">
        <f t="array" aca="1" ref="E59" ca="1">_xll.BDP(B59&amp;" Comdty",BidMidASK)</f>
        <v>#N/A N/A</v>
      </c>
      <c r="F59" s="81">
        <f t="shared" ca="1" si="1"/>
        <v>-16.73</v>
      </c>
      <c r="G59" s="81" t="str">
        <f t="shared" ca="1" si="2"/>
        <v/>
      </c>
      <c r="H59" s="81">
        <f ca="1"/>
        <v>-16.331666666666667</v>
      </c>
      <c r="I59" s="13" cm="1">
        <f t="array" aca="1" ref="I59" ca="1">(E$11-H59+VLOOKUP(B$10,$C$4:$E$7,3,FALSE)+VLOOKUP(B$10,$C$4:$F$7,4,FALSE)*_xll.QDates_YearFraction(valDate,C59,"ACT365F"))/VLOOKUP(B$10,$C$4:$G$7,5,FALSE)</f>
        <v>47.30762557077626</v>
      </c>
      <c r="K59" s="8" t="str" cm="1">
        <f t="array" aca="1" ref="K59" ca="1">_xll.QDates_FuturesNextCode(K58)</f>
        <v>QSM4</v>
      </c>
      <c r="L59" s="1" cm="1">
        <f t="array" aca="1" ref="L59" ca="1">_xll.QDates_FuturesExpiryFromCode(K59)</f>
        <v>45455</v>
      </c>
      <c r="M59" cm="1">
        <f t="array" aca="1" ref="M59" ca="1">_xll.BDP(K59&amp;" Comdty","PX_SETTLE")</f>
        <v>436.75</v>
      </c>
      <c r="N59" t="str" cm="1">
        <f t="array" aca="1" ref="N59" ca="1">_xll.BDP(K59&amp;" Comdty",BidMidASK)</f>
        <v>#N/A N/A</v>
      </c>
      <c r="O59" s="81">
        <f t="shared" ca="1" si="3"/>
        <v>-178.75</v>
      </c>
      <c r="P59" s="81" t="str">
        <f t="shared" ca="1" si="4"/>
        <v/>
      </c>
      <c r="Q59" s="81">
        <f ca="1"/>
        <v>-180.625</v>
      </c>
      <c r="R59" s="13" cm="1">
        <f t="array" aca="1" ref="R59" ca="1">(N$11-Q59+VLOOKUP(K$10,$C$4:$E$7,3,FALSE)+VLOOKUP(K$10,$C$4:$F$7,4,FALSE)*_xll.QDates_YearFraction(valDate,L59,"ACT365F"))/VLOOKUP(K$10,$C$4:$G$7,5,FALSE)</f>
        <v>439.25</v>
      </c>
      <c r="T59" s="8"/>
      <c r="U59" s="1"/>
      <c r="X59" s="81"/>
      <c r="Y59" s="81" t="str">
        <f t="shared" si="5"/>
        <v/>
      </c>
      <c r="Z59" s="81"/>
      <c r="AA59" s="13"/>
      <c r="AC59" s="8" t="str" cm="1">
        <f t="array" aca="1" ref="AC59" ca="1">_xll.QDates_FuturesNextCode(AC58)</f>
        <v>CLM4</v>
      </c>
      <c r="AD59" s="1" cm="1">
        <f t="array" aca="1" ref="AD59" ca="1">_xll.QDates_FuturesExpiryFromCode(AC59)</f>
        <v>45433</v>
      </c>
      <c r="AE59" cm="1">
        <f t="array" aca="1" ref="AE59" ca="1">_xll.BDP(AC59&amp;" Comdty","PX_SETTLE")</f>
        <v>41.14</v>
      </c>
      <c r="AF59" t="str" cm="1">
        <f t="array" aca="1" ref="AF59" ca="1">_xll.BDP(AC59&amp;" Comdty",BidMidASK)</f>
        <v>#N/A N/A</v>
      </c>
      <c r="AG59" s="81">
        <f t="shared" ca="1" si="6"/>
        <v>-17</v>
      </c>
      <c r="AH59" s="81" t="str">
        <f t="shared" ca="1" si="7"/>
        <v/>
      </c>
      <c r="AI59" s="81">
        <f ca="1"/>
        <v>-16.38</v>
      </c>
      <c r="AJ59" s="13" cm="1">
        <f t="array" aca="1" ref="AJ59" ca="1">(AF$11-AI59+VLOOKUP(AC$10,$C$4:$E$7,3,FALSE)+VLOOKUP(AC$10,$C$4:$F$7,4,FALSE)*_xll.QDates_YearFraction(valDate,AD59,"ACT365F"))/VLOOKUP(AC$10,$C$4:$G$7,5,FALSE)</f>
        <v>40.884999999999998</v>
      </c>
    </row>
    <row r="60" spans="2:36" x14ac:dyDescent="0.25">
      <c r="B60" s="8" t="str" cm="1">
        <f t="array" aca="1" ref="B60" ca="1">_xll.QDates_FuturesNextCode(B59)</f>
        <v>COQ4</v>
      </c>
      <c r="C60" s="1" cm="1">
        <f t="array" aca="1" ref="C60" ca="1">_xll.QDates_FuturesExpiryFromCode(B60)</f>
        <v>45471</v>
      </c>
      <c r="D60" cm="1">
        <f t="array" aca="1" ref="D60" ca="1">_xll.BDP(B60&amp;" Comdty","PX_SETTLE")</f>
        <v>46.58</v>
      </c>
      <c r="E60" t="str" cm="1">
        <f t="array" aca="1" ref="E60" ca="1">_xll.BDP(B60&amp;" Comdty",BidMidASK)</f>
        <v>#N/A N/A</v>
      </c>
      <c r="F60" s="81">
        <f t="shared" ca="1" si="1"/>
        <v>-16.95</v>
      </c>
      <c r="G60" s="81" t="str">
        <f t="shared" ca="1" si="2"/>
        <v/>
      </c>
      <c r="H60" s="81">
        <f ca="1"/>
        <v>-16.57833333333333</v>
      </c>
      <c r="I60" s="13" cm="1">
        <f t="array" aca="1" ref="I60" ca="1">(E$11-H60+VLOOKUP(B$10,$C$4:$E$7,3,FALSE)+VLOOKUP(B$10,$C$4:$F$7,4,FALSE)*_xll.QDates_YearFraction(valDate,C60,"ACT365F"))/VLOOKUP(B$10,$C$4:$G$7,5,FALSE)</f>
        <v>47.569634703196336</v>
      </c>
      <c r="K60" s="8" t="str" cm="1">
        <f t="array" aca="1" ref="K60" ca="1">_xll.QDates_FuturesNextCode(K59)</f>
        <v>QSN4</v>
      </c>
      <c r="L60" s="1" cm="1">
        <f t="array" aca="1" ref="L60" ca="1">_xll.QDates_FuturesExpiryFromCode(K60)</f>
        <v>45484</v>
      </c>
      <c r="M60" cm="1">
        <f t="array" aca="1" ref="M60" ca="1">_xll.BDP(K60&amp;" Comdty","PX_SETTLE")</f>
        <v>439.25</v>
      </c>
      <c r="N60" t="str" cm="1">
        <f t="array" aca="1" ref="N60" ca="1">_xll.BDP(K60&amp;" Comdty",BidMidASK)</f>
        <v>#N/A N/A</v>
      </c>
      <c r="O60" s="81">
        <f t="shared" ca="1" si="3"/>
        <v>-181.25</v>
      </c>
      <c r="P60" s="81" t="str">
        <f t="shared" ca="1" si="4"/>
        <v/>
      </c>
      <c r="Q60" s="81">
        <f ca="1"/>
        <v>-183.35416666666666</v>
      </c>
      <c r="R60" s="13" cm="1">
        <f t="array" aca="1" ref="R60" ca="1">(N$11-Q60+VLOOKUP(K$10,$C$4:$E$7,3,FALSE)+VLOOKUP(K$10,$C$4:$F$7,4,FALSE)*_xll.QDates_YearFraction(valDate,L60,"ACT365F"))/VLOOKUP(K$10,$C$4:$G$7,5,FALSE)</f>
        <v>441.97916666666663</v>
      </c>
      <c r="T60" s="8"/>
      <c r="U60" s="1"/>
      <c r="X60" s="81"/>
      <c r="Y60" s="81" t="str">
        <f t="shared" si="5"/>
        <v/>
      </c>
      <c r="Z60" s="81"/>
      <c r="AA60" s="13"/>
      <c r="AC60" s="8" t="str" cm="1">
        <f t="array" aca="1" ref="AC60" ca="1">_xll.QDates_FuturesNextCode(AC59)</f>
        <v>CLN4</v>
      </c>
      <c r="AD60" s="1" cm="1">
        <f t="array" aca="1" ref="AD60" ca="1">_xll.QDates_FuturesExpiryFromCode(AC60)</f>
        <v>45463</v>
      </c>
      <c r="AE60" cm="1">
        <f t="array" aca="1" ref="AE60" ca="1">_xll.BDP(AC60&amp;" Comdty","PX_SETTLE")</f>
        <v>41.31</v>
      </c>
      <c r="AF60" t="str" cm="1">
        <f t="array" aca="1" ref="AF60" ca="1">_xll.BDP(AC60&amp;" Comdty",BidMidASK)</f>
        <v>#N/A N/A</v>
      </c>
      <c r="AG60" s="81">
        <f t="shared" ca="1" si="6"/>
        <v>-17.170000000000002</v>
      </c>
      <c r="AH60" s="81" t="str">
        <f t="shared" ca="1" si="7"/>
        <v/>
      </c>
      <c r="AI60" s="81">
        <f ca="1"/>
        <v>-16.551666666666666</v>
      </c>
      <c r="AJ60" s="13" cm="1">
        <f t="array" aca="1" ref="AJ60" ca="1">(AF$11-AI60+VLOOKUP(AC$10,$C$4:$E$7,3,FALSE)+VLOOKUP(AC$10,$C$4:$F$7,4,FALSE)*_xll.QDates_YearFraction(valDate,AD60,"ACT365F"))/VLOOKUP(AC$10,$C$4:$G$7,5,FALSE)</f>
        <v>41.056666666666665</v>
      </c>
    </row>
    <row r="61" spans="2:36" x14ac:dyDescent="0.25">
      <c r="B61" s="8" t="str" cm="1">
        <f t="array" aca="1" ref="B61" ca="1">_xll.QDates_FuturesNextCode(B60)</f>
        <v>COU4</v>
      </c>
      <c r="C61" s="1" cm="1">
        <f t="array" aca="1" ref="C61" ca="1">_xll.QDates_FuturesExpiryFromCode(B61)</f>
        <v>45504</v>
      </c>
      <c r="D61" cm="1">
        <f t="array" aca="1" ref="D61" ca="1">_xll.BDP(B61&amp;" Comdty","PX_SETTLE")</f>
        <v>46.78</v>
      </c>
      <c r="E61" t="str" cm="1">
        <f t="array" aca="1" ref="E61" ca="1">_xll.BDP(B61&amp;" Comdty",BidMidASK)</f>
        <v>#N/A N/A</v>
      </c>
      <c r="F61" s="81">
        <f t="shared" ca="1" si="1"/>
        <v>-17.150000000000002</v>
      </c>
      <c r="G61" s="81" t="str">
        <f t="shared" ca="1" si="2"/>
        <v/>
      </c>
      <c r="H61" s="81">
        <f ca="1"/>
        <v>-16.805</v>
      </c>
      <c r="I61" s="13" cm="1">
        <f t="array" aca="1" ref="I61" ca="1">(E$11-H61+VLOOKUP(B$10,$C$4:$E$7,3,FALSE)+VLOOKUP(B$10,$C$4:$F$7,4,FALSE)*_xll.QDates_YearFraction(valDate,C61,"ACT365F"))/VLOOKUP(B$10,$C$4:$G$7,5,FALSE)</f>
        <v>47.814383561643837</v>
      </c>
      <c r="K61" s="8" t="str" cm="1">
        <f t="array" aca="1" ref="K61" ca="1">_xll.QDates_FuturesNextCode(K60)</f>
        <v>QSQ4</v>
      </c>
      <c r="L61" s="1" cm="1">
        <f t="array" aca="1" ref="L61" ca="1">_xll.QDates_FuturesExpiryFromCode(K61)</f>
        <v>45516</v>
      </c>
      <c r="M61" cm="1">
        <f t="array" aca="1" ref="M61" ca="1">_xll.BDP(K61&amp;" Comdty","PX_SETTLE")</f>
        <v>441.75</v>
      </c>
      <c r="N61" t="str" cm="1">
        <f t="array" aca="1" ref="N61" ca="1">_xll.BDP(K61&amp;" Comdty",BidMidASK)</f>
        <v>#N/A N/A</v>
      </c>
      <c r="O61" s="81">
        <f t="shared" ca="1" si="3"/>
        <v>-183.75</v>
      </c>
      <c r="P61" s="81" t="str">
        <f t="shared" ca="1" si="4"/>
        <v/>
      </c>
      <c r="Q61" s="81">
        <f ca="1"/>
        <v>-186.08333333333334</v>
      </c>
      <c r="R61" s="13" cm="1">
        <f t="array" aca="1" ref="R61" ca="1">(N$11-Q61+VLOOKUP(K$10,$C$4:$E$7,3,FALSE)+VLOOKUP(K$10,$C$4:$F$7,4,FALSE)*_xll.QDates_YearFraction(valDate,L61,"ACT365F"))/VLOOKUP(K$10,$C$4:$G$7,5,FALSE)</f>
        <v>444.70833333333337</v>
      </c>
      <c r="T61" s="8"/>
      <c r="U61" s="1"/>
      <c r="X61" s="81"/>
      <c r="Y61" s="81" t="str">
        <f t="shared" si="5"/>
        <v/>
      </c>
      <c r="Z61" s="81"/>
      <c r="AA61" s="13"/>
      <c r="AC61" s="8" t="str" cm="1">
        <f t="array" aca="1" ref="AC61" ca="1">_xll.QDates_FuturesNextCode(AC60)</f>
        <v>CLQ4</v>
      </c>
      <c r="AD61" s="1" cm="1">
        <f t="array" aca="1" ref="AD61" ca="1">_xll.QDates_FuturesExpiryFromCode(AC61)</f>
        <v>45495</v>
      </c>
      <c r="AE61" cm="1">
        <f t="array" aca="1" ref="AE61" ca="1">_xll.BDP(AC61&amp;" Comdty","PX_SETTLE")</f>
        <v>41.51</v>
      </c>
      <c r="AF61" t="str" cm="1">
        <f t="array" aca="1" ref="AF61" ca="1">_xll.BDP(AC61&amp;" Comdty",BidMidASK)</f>
        <v>#N/A N/A</v>
      </c>
      <c r="AG61" s="81">
        <f t="shared" ca="1" si="6"/>
        <v>-17.369999999999997</v>
      </c>
      <c r="AH61" s="81" t="str">
        <f t="shared" ca="1" si="7"/>
        <v/>
      </c>
      <c r="AI61" s="81">
        <f ca="1"/>
        <v>-16.75333333333333</v>
      </c>
      <c r="AJ61" s="13" cm="1">
        <f t="array" aca="1" ref="AJ61" ca="1">(AF$11-AI61+VLOOKUP(AC$10,$C$4:$E$7,3,FALSE)+VLOOKUP(AC$10,$C$4:$F$7,4,FALSE)*_xll.QDates_YearFraction(valDate,AD61,"ACT365F"))/VLOOKUP(AC$10,$C$4:$G$7,5,FALSE)</f>
        <v>41.258333333333326</v>
      </c>
    </row>
    <row r="62" spans="2:36" x14ac:dyDescent="0.25">
      <c r="B62" s="8" t="str" cm="1">
        <f t="array" aca="1" ref="B62" ca="1">_xll.QDates_FuturesNextCode(B61)</f>
        <v>COV4</v>
      </c>
      <c r="C62" s="1" cm="1">
        <f t="array" aca="1" ref="C62" ca="1">_xll.QDates_FuturesExpiryFromCode(B62)</f>
        <v>45534</v>
      </c>
      <c r="D62" cm="1">
        <f t="array" aca="1" ref="D62" ca="1">_xll.BDP(B62&amp;" Comdty","PX_SETTLE")</f>
        <v>46.96</v>
      </c>
      <c r="E62" t="str" cm="1">
        <f t="array" aca="1" ref="E62" ca="1">_xll.BDP(B62&amp;" Comdty",BidMidASK)</f>
        <v>#N/A N/A</v>
      </c>
      <c r="F62" s="81">
        <f t="shared" ca="1" si="1"/>
        <v>-17.330000000000002</v>
      </c>
      <c r="G62" s="81" t="str">
        <f t="shared" ca="1" si="2"/>
        <v/>
      </c>
      <c r="H62" s="81">
        <f ca="1"/>
        <v>-17.011666666666667</v>
      </c>
      <c r="I62" s="13" cm="1">
        <f t="array" aca="1" ref="I62" ca="1">(E$11-H62+VLOOKUP(B$10,$C$4:$E$7,3,FALSE)+VLOOKUP(B$10,$C$4:$F$7,4,FALSE)*_xll.QDates_YearFraction(valDate,C62,"ACT365F"))/VLOOKUP(B$10,$C$4:$G$7,5,FALSE)</f>
        <v>48.037488584474879</v>
      </c>
      <c r="K62" s="8" t="str" cm="1">
        <f t="array" aca="1" ref="K62" ca="1">_xll.QDates_FuturesNextCode(K61)</f>
        <v>QSU4</v>
      </c>
      <c r="L62" s="1" cm="1">
        <f t="array" aca="1" ref="L62" ca="1">_xll.QDates_FuturesExpiryFromCode(K62)</f>
        <v>45547</v>
      </c>
      <c r="M62" cm="1">
        <f t="array" aca="1" ref="M62" ca="1">_xll.BDP(K62&amp;" Comdty","PX_SETTLE")</f>
        <v>444.25</v>
      </c>
      <c r="N62" t="str" cm="1">
        <f t="array" aca="1" ref="N62" ca="1">_xll.BDP(K62&amp;" Comdty",BidMidASK)</f>
        <v>#N/A N/A</v>
      </c>
      <c r="O62" s="81">
        <f t="shared" ca="1" si="3"/>
        <v>-186.25</v>
      </c>
      <c r="P62" s="81" t="str">
        <f t="shared" ca="1" si="4"/>
        <v/>
      </c>
      <c r="Q62" s="81">
        <f ca="1"/>
        <v>-188.8125</v>
      </c>
      <c r="R62" s="13" cm="1">
        <f t="array" aca="1" ref="R62" ca="1">(N$11-Q62+VLOOKUP(K$10,$C$4:$E$7,3,FALSE)+VLOOKUP(K$10,$C$4:$F$7,4,FALSE)*_xll.QDates_YearFraction(valDate,L62,"ACT365F"))/VLOOKUP(K$10,$C$4:$G$7,5,FALSE)</f>
        <v>447.4375</v>
      </c>
      <c r="T62" s="8"/>
      <c r="U62" s="1"/>
      <c r="X62" s="81"/>
      <c r="Y62" s="81" t="str">
        <f t="shared" si="5"/>
        <v/>
      </c>
      <c r="Z62" s="81"/>
      <c r="AA62" s="13"/>
      <c r="AC62" s="8" t="str" cm="1">
        <f t="array" aca="1" ref="AC62" ca="1">_xll.QDates_FuturesNextCode(AC61)</f>
        <v>CLU4</v>
      </c>
      <c r="AD62" s="1" cm="1">
        <f t="array" aca="1" ref="AD62" ca="1">_xll.QDates_FuturesExpiryFromCode(AC62)</f>
        <v>45524</v>
      </c>
      <c r="AE62" cm="1">
        <f t="array" aca="1" ref="AE62" ca="1">_xll.BDP(AC62&amp;" Comdty","PX_SETTLE")</f>
        <v>41.7</v>
      </c>
      <c r="AF62" t="str" cm="1">
        <f t="array" aca="1" ref="AF62" ca="1">_xll.BDP(AC62&amp;" Comdty",BidMidASK)</f>
        <v>#N/A N/A</v>
      </c>
      <c r="AG62" s="81">
        <f t="shared" ca="1" si="6"/>
        <v>-17.560000000000002</v>
      </c>
      <c r="AH62" s="81" t="str">
        <f t="shared" ca="1" si="7"/>
        <v/>
      </c>
      <c r="AI62" s="81">
        <f ca="1"/>
        <v>-16.945</v>
      </c>
      <c r="AJ62" s="13" cm="1">
        <f t="array" aca="1" ref="AJ62" ca="1">(AF$11-AI62+VLOOKUP(AC$10,$C$4:$E$7,3,FALSE)+VLOOKUP(AC$10,$C$4:$F$7,4,FALSE)*_xll.QDates_YearFraction(valDate,AD62,"ACT365F"))/VLOOKUP(AC$10,$C$4:$G$7,5,FALSE)</f>
        <v>41.45</v>
      </c>
    </row>
    <row r="63" spans="2:36" x14ac:dyDescent="0.25">
      <c r="B63" s="8" t="str" cm="1">
        <f t="array" aca="1" ref="B63" ca="1">_xll.QDates_FuturesNextCode(B62)</f>
        <v>COX4</v>
      </c>
      <c r="C63" s="1" cm="1">
        <f t="array" aca="1" ref="C63" ca="1">_xll.QDates_FuturesExpiryFromCode(B63)</f>
        <v>45565</v>
      </c>
      <c r="D63" cm="1">
        <f t="array" aca="1" ref="D63" ca="1">_xll.BDP(B63&amp;" Comdty","PX_SETTLE")</f>
        <v>47.14</v>
      </c>
      <c r="E63" t="str" cm="1">
        <f t="array" aca="1" ref="E63" ca="1">_xll.BDP(B63&amp;" Comdty",BidMidASK)</f>
        <v>#N/A N/A</v>
      </c>
      <c r="F63" s="81">
        <f t="shared" ca="1" si="1"/>
        <v>-17.510000000000002</v>
      </c>
      <c r="G63" s="81" t="str">
        <f t="shared" ca="1" si="2"/>
        <v/>
      </c>
      <c r="H63" s="81">
        <f ca="1"/>
        <v>-17.21833333333333</v>
      </c>
      <c r="I63" s="13" cm="1">
        <f t="array" aca="1" ref="I63" ca="1">(E$11-H63+VLOOKUP(B$10,$C$4:$E$7,3,FALSE)+VLOOKUP(B$10,$C$4:$F$7,4,FALSE)*_xll.QDates_YearFraction(valDate,C63,"ACT365F"))/VLOOKUP(B$10,$C$4:$G$7,5,FALSE)</f>
        <v>48.261141552511411</v>
      </c>
      <c r="K63" s="8" t="str" cm="1">
        <f t="array" aca="1" ref="K63" ca="1">_xll.QDates_FuturesNextCode(K62)</f>
        <v>QSV4</v>
      </c>
      <c r="L63" s="1" cm="1">
        <f t="array" aca="1" ref="L63" ca="1">_xll.QDates_FuturesExpiryFromCode(K63)</f>
        <v>45575</v>
      </c>
      <c r="M63" cm="1">
        <f t="array" aca="1" ref="M63" ca="1">_xll.BDP(K63&amp;" Comdty","PX_SETTLE")</f>
        <v>446.75</v>
      </c>
      <c r="N63" t="str" cm="1">
        <f t="array" aca="1" ref="N63" ca="1">_xll.BDP(K63&amp;" Comdty",BidMidASK)</f>
        <v>#N/A N/A</v>
      </c>
      <c r="O63" s="81">
        <f t="shared" ca="1" si="3"/>
        <v>-188.75</v>
      </c>
      <c r="P63" s="81" t="str">
        <f t="shared" ca="1" si="4"/>
        <v/>
      </c>
      <c r="Q63" s="81">
        <f ca="1"/>
        <v>-191.54166666666666</v>
      </c>
      <c r="R63" s="13" cm="1">
        <f t="array" aca="1" ref="R63" ca="1">(N$11-Q63+VLOOKUP(K$10,$C$4:$E$7,3,FALSE)+VLOOKUP(K$10,$C$4:$F$7,4,FALSE)*_xll.QDates_YearFraction(valDate,L63,"ACT365F"))/VLOOKUP(K$10,$C$4:$G$7,5,FALSE)</f>
        <v>450.16666666666663</v>
      </c>
      <c r="T63" s="8"/>
      <c r="U63" s="1"/>
      <c r="X63" s="81"/>
      <c r="Y63" s="81" t="str">
        <f t="shared" si="5"/>
        <v/>
      </c>
      <c r="Z63" s="81"/>
      <c r="AA63" s="13"/>
      <c r="AC63" s="8" t="str" cm="1">
        <f t="array" aca="1" ref="AC63" ca="1">_xll.QDates_FuturesNextCode(AC62)</f>
        <v>CLV4</v>
      </c>
      <c r="AD63" s="1" cm="1">
        <f t="array" aca="1" ref="AD63" ca="1">_xll.QDates_FuturesExpiryFromCode(AC63)</f>
        <v>45555</v>
      </c>
      <c r="AE63" cm="1">
        <f t="array" aca="1" ref="AE63" ca="1">_xll.BDP(AC63&amp;" Comdty","PX_SETTLE")</f>
        <v>41.93</v>
      </c>
      <c r="AF63" t="str" cm="1">
        <f t="array" aca="1" ref="AF63" ca="1">_xll.BDP(AC63&amp;" Comdty",BidMidASK)</f>
        <v>#N/A N/A</v>
      </c>
      <c r="AG63" s="81">
        <f t="shared" ca="1" si="6"/>
        <v>-17.79</v>
      </c>
      <c r="AH63" s="81" t="str">
        <f t="shared" ca="1" si="7"/>
        <v/>
      </c>
      <c r="AI63" s="81">
        <f ca="1"/>
        <v>-17.176666666666662</v>
      </c>
      <c r="AJ63" s="13" cm="1">
        <f t="array" aca="1" ref="AJ63" ca="1">(AF$11-AI63+VLOOKUP(AC$10,$C$4:$E$7,3,FALSE)+VLOOKUP(AC$10,$C$4:$F$7,4,FALSE)*_xll.QDates_YearFraction(valDate,AD63,"ACT365F"))/VLOOKUP(AC$10,$C$4:$G$7,5,FALSE)</f>
        <v>41.681666666666658</v>
      </c>
    </row>
    <row r="64" spans="2:36" x14ac:dyDescent="0.25">
      <c r="B64" s="8" t="str" cm="1">
        <f t="array" aca="1" ref="B64" ca="1">_xll.QDates_FuturesNextCode(B63)</f>
        <v>COZ4</v>
      </c>
      <c r="C64" s="1" cm="1">
        <f t="array" aca="1" ref="C64" ca="1">_xll.QDates_FuturesExpiryFromCode(B64)</f>
        <v>45596</v>
      </c>
      <c r="D64" cm="1">
        <f t="array" aca="1" ref="D64" ca="1">_xll.BDP(B64&amp;" Comdty","PX_SETTLE")</f>
        <v>47.31</v>
      </c>
      <c r="E64" cm="1">
        <f t="array" aca="1" ref="E64" ca="1">_xll.BDP(B64&amp;" Comdty",BidMidASK)</f>
        <v>47.33</v>
      </c>
      <c r="F64" s="81">
        <f t="shared" ca="1" si="1"/>
        <v>-17.680000000000003</v>
      </c>
      <c r="G64" s="81">
        <f t="shared" ca="1" si="2"/>
        <v>-17.414999999999999</v>
      </c>
      <c r="H64" s="81">
        <f ca="1"/>
        <v>-17.414999999999999</v>
      </c>
      <c r="I64" s="13" cm="1">
        <f t="array" aca="1" ref="I64" ca="1">(E$11-H64+VLOOKUP(B$10,$C$4:$E$7,3,FALSE)+VLOOKUP(B$10,$C$4:$F$7,4,FALSE)*_xll.QDates_YearFraction(valDate,C64,"ACT365F"))/VLOOKUP(B$10,$C$4:$G$7,5,FALSE)</f>
        <v>48.474794520547945</v>
      </c>
      <c r="K64" s="8" t="str" cm="1">
        <f t="array" aca="1" ref="K64" ca="1">_xll.QDates_FuturesNextCode(K63)</f>
        <v>QSX4</v>
      </c>
      <c r="L64" s="1" cm="1">
        <f t="array" aca="1" ref="L64" ca="1">_xll.QDates_FuturesExpiryFromCode(K64)</f>
        <v>45608</v>
      </c>
      <c r="M64" cm="1">
        <f t="array" aca="1" ref="M64" ca="1">_xll.BDP(K64&amp;" Comdty","PX_SETTLE")</f>
        <v>449</v>
      </c>
      <c r="N64" t="str" cm="1">
        <f t="array" aca="1" ref="N64" ca="1">_xll.BDP(K64&amp;" Comdty",BidMidASK)</f>
        <v>#N/A N/A</v>
      </c>
      <c r="O64" s="81">
        <f t="shared" ca="1" si="3"/>
        <v>-191</v>
      </c>
      <c r="P64" s="81" t="str">
        <f t="shared" ca="1" si="4"/>
        <v/>
      </c>
      <c r="Q64" s="81">
        <f ca="1"/>
        <v>-194.02083333333334</v>
      </c>
      <c r="R64" s="13" cm="1">
        <f t="array" aca="1" ref="R64" ca="1">(N$11-Q64+VLOOKUP(K$10,$C$4:$E$7,3,FALSE)+VLOOKUP(K$10,$C$4:$F$7,4,FALSE)*_xll.QDates_YearFraction(valDate,L64,"ACT365F"))/VLOOKUP(K$10,$C$4:$G$7,5,FALSE)</f>
        <v>452.64583333333337</v>
      </c>
      <c r="T64" s="8"/>
      <c r="U64" s="1"/>
      <c r="X64" s="81"/>
      <c r="Y64" s="81" t="str">
        <f t="shared" si="5"/>
        <v/>
      </c>
      <c r="Z64" s="81"/>
      <c r="AA64" s="13"/>
      <c r="AC64" s="8" t="str" cm="1">
        <f t="array" aca="1" ref="AC64" ca="1">_xll.QDates_FuturesNextCode(AC63)</f>
        <v>CLX4</v>
      </c>
      <c r="AD64" s="1" cm="1">
        <f t="array" aca="1" ref="AD64" ca="1">_xll.QDates_FuturesExpiryFromCode(AC64)</f>
        <v>45587</v>
      </c>
      <c r="AE64" cm="1">
        <f t="array" aca="1" ref="AE64" ca="1">_xll.BDP(AC64&amp;" Comdty","PX_SETTLE")</f>
        <v>42.160000000000004</v>
      </c>
      <c r="AF64" t="str" cm="1">
        <f t="array" aca="1" ref="AF64" ca="1">_xll.BDP(AC64&amp;" Comdty",BidMidASK)</f>
        <v>#N/A N/A</v>
      </c>
      <c r="AG64" s="81">
        <f t="shared" ca="1" si="6"/>
        <v>-18.020000000000003</v>
      </c>
      <c r="AH64" s="81" t="str">
        <f t="shared" ca="1" si="7"/>
        <v/>
      </c>
      <c r="AI64" s="81">
        <f ca="1"/>
        <v>-17.408333333333335</v>
      </c>
      <c r="AJ64" s="13" cm="1">
        <f t="array" aca="1" ref="AJ64" ca="1">(AF$11-AI64+VLOOKUP(AC$10,$C$4:$E$7,3,FALSE)+VLOOKUP(AC$10,$C$4:$F$7,4,FALSE)*_xll.QDates_YearFraction(valDate,AD64,"ACT365F"))/VLOOKUP(AC$10,$C$4:$G$7,5,FALSE)</f>
        <v>41.913333333333334</v>
      </c>
    </row>
    <row r="65" spans="1:36" x14ac:dyDescent="0.25">
      <c r="B65" s="8" t="str" cm="1">
        <f t="array" aca="1" ref="B65" ca="1">_xll.QDates_FuturesNextCode(B64)</f>
        <v>COF5</v>
      </c>
      <c r="C65" s="1" cm="1">
        <f t="array" aca="1" ref="C65" ca="1">_xll.QDates_FuturesExpiryFromCode(B65)</f>
        <v>45625</v>
      </c>
      <c r="D65" cm="1">
        <f t="array" aca="1" ref="D65" ca="1">_xll.BDP(B65&amp;" Comdty","PX_SETTLE")</f>
        <v>47.480000000000004</v>
      </c>
      <c r="E65" t="str" cm="1">
        <f t="array" aca="1" ref="E65" ca="1">_xll.BDP(B65&amp;" Comdty",BidMidASK)</f>
        <v>#N/A N/A</v>
      </c>
      <c r="F65" s="81">
        <f t="shared" ca="1" si="1"/>
        <v>-17.850000000000005</v>
      </c>
      <c r="G65" s="81" t="str">
        <f t="shared" ca="1" si="2"/>
        <v/>
      </c>
      <c r="H65" s="81">
        <f ca="1"/>
        <v>-17.585000000000001</v>
      </c>
      <c r="I65" s="13" cm="1">
        <f t="array" aca="1" ref="I65" ca="1">(E$11-H65+VLOOKUP(B$10,$C$4:$E$7,3,FALSE)+VLOOKUP(B$10,$C$4:$F$7,4,FALSE)*_xll.QDates_YearFraction(valDate,C65,"ACT365F"))/VLOOKUP(B$10,$C$4:$G$7,5,FALSE)</f>
        <v>48.66068493150685</v>
      </c>
      <c r="K65" s="8" t="str" cm="1">
        <f t="array" aca="1" ref="K65" ca="1">_xll.QDates_FuturesNextCode(K64)</f>
        <v>QSZ4</v>
      </c>
      <c r="L65" s="1" cm="1">
        <f t="array" aca="1" ref="L65" ca="1">_xll.QDates_FuturesExpiryFromCode(K65)</f>
        <v>45638</v>
      </c>
      <c r="M65" cm="1">
        <f t="array" aca="1" ref="M65" ca="1">_xll.BDP(K65&amp;" Comdty","PX_SETTLE")</f>
        <v>451.25</v>
      </c>
      <c r="N65" cm="1">
        <f t="array" aca="1" ref="N65" ca="1">_xll.BDP(K65&amp;" Comdty",BidMidASK)</f>
        <v>453.125</v>
      </c>
      <c r="O65" s="81">
        <f t="shared" ca="1" si="3"/>
        <v>-193.25</v>
      </c>
      <c r="P65" s="81">
        <f t="shared" ca="1" si="4"/>
        <v>-196.5</v>
      </c>
      <c r="Q65" s="81">
        <f ca="1"/>
        <v>-196.5</v>
      </c>
      <c r="R65" s="13" cm="1">
        <f t="array" aca="1" ref="R65" ca="1">(N$11-Q65+VLOOKUP(K$10,$C$4:$E$7,3,FALSE)+VLOOKUP(K$10,$C$4:$F$7,4,FALSE)*_xll.QDates_YearFraction(valDate,L65,"ACT365F"))/VLOOKUP(K$10,$C$4:$G$7,5,FALSE)</f>
        <v>455.125</v>
      </c>
      <c r="T65" s="8"/>
      <c r="U65" s="1"/>
      <c r="X65" s="81"/>
      <c r="Y65" s="81" t="str">
        <f t="shared" si="5"/>
        <v/>
      </c>
      <c r="Z65" s="81"/>
      <c r="AA65" s="13"/>
      <c r="AC65" s="8" t="str" cm="1">
        <f t="array" aca="1" ref="AC65" ca="1">_xll.QDates_FuturesNextCode(AC64)</f>
        <v>CLZ4</v>
      </c>
      <c r="AD65" s="1" cm="1">
        <f t="array" aca="1" ref="AD65" ca="1">_xll.QDates_FuturesExpiryFromCode(AC65)</f>
        <v>45616</v>
      </c>
      <c r="AE65" cm="1">
        <f t="array" aca="1" ref="AE65" ca="1">_xll.BDP(AC65&amp;" Comdty","PX_SETTLE")</f>
        <v>42.38</v>
      </c>
      <c r="AF65" cm="1">
        <f t="array" aca="1" ref="AF65" ca="1">_xll.BDP(AC65&amp;" Comdty",BidMidASK)</f>
        <v>42.384999999999998</v>
      </c>
      <c r="AG65" s="81">
        <f t="shared" ca="1" si="6"/>
        <v>-18.240000000000002</v>
      </c>
      <c r="AH65" s="81">
        <f t="shared" ca="1" si="7"/>
        <v>-17.63</v>
      </c>
      <c r="AI65" s="81">
        <f ca="1"/>
        <v>-17.63</v>
      </c>
      <c r="AJ65" s="13" cm="1">
        <f t="array" aca="1" ref="AJ65" ca="1">(AF$11-AI65+VLOOKUP(AC$10,$C$4:$E$7,3,FALSE)+VLOOKUP(AC$10,$C$4:$F$7,4,FALSE)*_xll.QDates_YearFraction(valDate,AD65,"ACT365F"))/VLOOKUP(AC$10,$C$4:$G$7,5,FALSE)</f>
        <v>42.134999999999998</v>
      </c>
    </row>
    <row r="66" spans="1:36" x14ac:dyDescent="0.25">
      <c r="B66" s="8" t="str" cm="1">
        <f t="array" aca="1" ref="B66" ca="1">_xll.QDates_FuturesNextCode(B65)</f>
        <v>COG5</v>
      </c>
      <c r="C66" s="1" cm="1">
        <f t="array" aca="1" ref="C66" ca="1">_xll.QDates_FuturesExpiryFromCode(B66)</f>
        <v>45657</v>
      </c>
      <c r="D66" cm="1">
        <f t="array" aca="1" ref="D66" ca="1">_xll.BDP(B66&amp;" Comdty","PX_SETTLE")</f>
        <v>47.69</v>
      </c>
      <c r="E66" t="str" cm="1">
        <f t="array" aca="1" ref="E66" ca="1">_xll.BDP(B66&amp;" Comdty",BidMidASK)</f>
        <v>#N/A N/A</v>
      </c>
      <c r="F66" s="81">
        <f t="shared" ca="1" si="1"/>
        <v>-18.059999999999999</v>
      </c>
      <c r="G66" s="81" t="str">
        <f t="shared" ca="1" si="2"/>
        <v/>
      </c>
      <c r="H66" s="81">
        <f ca="1"/>
        <v>-17.794999999999995</v>
      </c>
      <c r="I66" s="13" cm="1">
        <f t="array" aca="1" ref="I66" ca="1">(E$11-H66+VLOOKUP(B$10,$C$4:$E$7,3,FALSE)+VLOOKUP(B$10,$C$4:$F$7,4,FALSE)*_xll.QDates_YearFraction(valDate,C66,"ACT365F"))/VLOOKUP(B$10,$C$4:$G$7,5,FALSE)</f>
        <v>48.888219178082188</v>
      </c>
      <c r="K66" s="8" t="str" cm="1">
        <f t="array" aca="1" ref="K66" ca="1">_xll.QDates_FuturesNextCode(K65)</f>
        <v>QSF5</v>
      </c>
      <c r="L66" s="1" cm="1">
        <f t="array" aca="1" ref="L66" ca="1">_xll.QDates_FuturesExpiryFromCode(K66)</f>
        <v>45667</v>
      </c>
      <c r="M66" cm="1">
        <f t="array" aca="1" ref="M66" ca="1">_xll.BDP(K66&amp;" Comdty","PX_SETTLE")</f>
        <v>453.25</v>
      </c>
      <c r="N66" t="str" cm="1">
        <f t="array" aca="1" ref="N66" ca="1">_xll.BDP(K66&amp;" Comdty",BidMidASK)</f>
        <v>#N/A N/A</v>
      </c>
      <c r="O66" s="81">
        <f t="shared" ca="1" si="3"/>
        <v>-195.25</v>
      </c>
      <c r="P66" s="81" t="str">
        <f t="shared" ca="1" si="4"/>
        <v/>
      </c>
      <c r="Q66" s="81">
        <f ca="1"/>
        <v>-198.5</v>
      </c>
      <c r="R66" s="13" cm="1">
        <f t="array" aca="1" ref="R66" ca="1">(N$11-Q66+VLOOKUP(K$10,$C$4:$E$7,3,FALSE)+VLOOKUP(K$10,$C$4:$F$7,4,FALSE)*_xll.QDates_YearFraction(valDate,L66,"ACT365F"))/VLOOKUP(K$10,$C$4:$G$7,5,FALSE)</f>
        <v>457.125</v>
      </c>
      <c r="T66" s="8"/>
      <c r="U66" s="1"/>
      <c r="X66" s="81"/>
      <c r="Y66" s="81" t="str">
        <f t="shared" si="5"/>
        <v/>
      </c>
      <c r="Z66" s="81"/>
      <c r="AA66" s="13"/>
      <c r="AC66" s="8" t="str" cm="1">
        <f t="array" aca="1" ref="AC66" ca="1">_xll.QDates_FuturesNextCode(AC65)</f>
        <v>CLF5</v>
      </c>
      <c r="AD66" s="1" cm="1">
        <f t="array" aca="1" ref="AD66" ca="1">_xll.QDates_FuturesExpiryFromCode(AC66)</f>
        <v>45645</v>
      </c>
      <c r="AE66" cm="1">
        <f t="array" aca="1" ref="AE66" ca="1">_xll.BDP(AC66&amp;" Comdty","PX_SETTLE")</f>
        <v>42.54</v>
      </c>
      <c r="AF66" t="str" cm="1">
        <f t="array" aca="1" ref="AF66" ca="1">_xll.BDP(AC66&amp;" Comdty",BidMidASK)</f>
        <v>#N/A N/A</v>
      </c>
      <c r="AG66" s="81">
        <f t="shared" ca="1" si="6"/>
        <v>-18.399999999999999</v>
      </c>
      <c r="AH66" s="81" t="str">
        <f t="shared" ca="1" si="7"/>
        <v/>
      </c>
      <c r="AI66" s="81">
        <f ca="1"/>
        <v>-17.789999999999996</v>
      </c>
      <c r="AJ66" s="13" cm="1">
        <f t="array" aca="1" ref="AJ66" ca="1">(AF$11-AI66+VLOOKUP(AC$10,$C$4:$E$7,3,FALSE)+VLOOKUP(AC$10,$C$4:$F$7,4,FALSE)*_xll.QDates_YearFraction(valDate,AD66,"ACT365F"))/VLOOKUP(AC$10,$C$4:$G$7,5,FALSE)</f>
        <v>42.294999999999995</v>
      </c>
    </row>
    <row r="67" spans="1:36" x14ac:dyDescent="0.25">
      <c r="B67" s="8" t="str" cm="1">
        <f t="array" aca="1" ref="B67" ca="1">_xll.QDates_FuturesNextCode(B66)</f>
        <v>COH5</v>
      </c>
      <c r="C67" s="1" cm="1">
        <f t="array" aca="1" ref="C67" ca="1">_xll.QDates_FuturesExpiryFromCode(B67)</f>
        <v>45688</v>
      </c>
      <c r="D67" cm="1">
        <f t="array" aca="1" ref="D67" ca="1">_xll.BDP(B67&amp;" Comdty","PX_SETTLE")</f>
        <v>47.89</v>
      </c>
      <c r="E67" t="str" cm="1">
        <f t="array" aca="1" ref="E67" ca="1">_xll.BDP(B67&amp;" Comdty",BidMidASK)</f>
        <v>#N/A N/A</v>
      </c>
      <c r="F67" s="81">
        <f t="shared" ca="1" si="1"/>
        <v>-18.260000000000002</v>
      </c>
      <c r="G67" s="81" t="str">
        <f t="shared" ca="1" si="2"/>
        <v/>
      </c>
      <c r="H67" s="81">
        <f ca="1"/>
        <v>-17.994999999999997</v>
      </c>
      <c r="I67" s="13" cm="1">
        <f t="array" aca="1" ref="I67" ca="1">(E$11-H67+VLOOKUP(B$10,$C$4:$E$7,3,FALSE)+VLOOKUP(B$10,$C$4:$F$7,4,FALSE)*_xll.QDates_YearFraction(valDate,C67,"ACT365F"))/VLOOKUP(B$10,$C$4:$G$7,5,FALSE)</f>
        <v>49.105205479452053</v>
      </c>
      <c r="K67" s="8" t="str" cm="1">
        <f t="array" aca="1" ref="K67" ca="1">_xll.QDates_FuturesNextCode(K66)</f>
        <v>QSG5</v>
      </c>
      <c r="L67" s="1" cm="1">
        <f t="array" aca="1" ref="L67" ca="1">_xll.QDates_FuturesExpiryFromCode(K67)</f>
        <v>45700</v>
      </c>
      <c r="M67" cm="1">
        <f t="array" aca="1" ref="M67" ca="1">_xll.BDP(K67&amp;" Comdty","PX_SETTLE")</f>
        <v>455.25</v>
      </c>
      <c r="N67" t="str" cm="1">
        <f t="array" aca="1" ref="N67" ca="1">_xll.BDP(K67&amp;" Comdty",BidMidASK)</f>
        <v>#N/A N/A</v>
      </c>
      <c r="O67" s="81">
        <f t="shared" ca="1" si="3"/>
        <v>-197.25</v>
      </c>
      <c r="P67" s="81" t="str">
        <f t="shared" ca="1" si="4"/>
        <v/>
      </c>
      <c r="Q67" s="81">
        <f ca="1"/>
        <v>-200.5</v>
      </c>
      <c r="R67" s="13" cm="1">
        <f t="array" aca="1" ref="R67" ca="1">(N$11-Q67+VLOOKUP(K$10,$C$4:$E$7,3,FALSE)+VLOOKUP(K$10,$C$4:$F$7,4,FALSE)*_xll.QDates_YearFraction(valDate,L67,"ACT365F"))/VLOOKUP(K$10,$C$4:$G$7,5,FALSE)</f>
        <v>459.125</v>
      </c>
      <c r="T67" s="8"/>
      <c r="U67" s="1"/>
      <c r="X67" s="81"/>
      <c r="Y67" s="81" t="str">
        <f t="shared" si="5"/>
        <v/>
      </c>
      <c r="Z67" s="81"/>
      <c r="AA67" s="13"/>
      <c r="AC67" s="8" t="str" cm="1">
        <f t="array" aca="1" ref="AC67" ca="1">_xll.QDates_FuturesNextCode(AC66)</f>
        <v>CLG5</v>
      </c>
      <c r="AD67" s="1" cm="1">
        <f t="array" aca="1" ref="AD67" ca="1">_xll.QDates_FuturesExpiryFromCode(AC67)</f>
        <v>45678</v>
      </c>
      <c r="AE67" cm="1">
        <f t="array" aca="1" ref="AE67" ca="1">_xll.BDP(AC67&amp;" Comdty","PX_SETTLE")</f>
        <v>42.71</v>
      </c>
      <c r="AF67" t="str" cm="1">
        <f t="array" aca="1" ref="AF67" ca="1">_xll.BDP(AC67&amp;" Comdty",BidMidASK)</f>
        <v>#N/A N/A</v>
      </c>
      <c r="AG67" s="81">
        <f t="shared" ca="1" si="6"/>
        <v>-18.57</v>
      </c>
      <c r="AH67" s="81" t="str">
        <f t="shared" ca="1" si="7"/>
        <v/>
      </c>
      <c r="AI67" s="81">
        <f ca="1"/>
        <v>-17.959999999999997</v>
      </c>
      <c r="AJ67" s="13" cm="1">
        <f t="array" aca="1" ref="AJ67" ca="1">(AF$11-AI67+VLOOKUP(AC$10,$C$4:$E$7,3,FALSE)+VLOOKUP(AC$10,$C$4:$F$7,4,FALSE)*_xll.QDates_YearFraction(valDate,AD67,"ACT365F"))/VLOOKUP(AC$10,$C$4:$G$7,5,FALSE)</f>
        <v>42.464999999999996</v>
      </c>
    </row>
    <row r="69" spans="1:36" x14ac:dyDescent="0.25">
      <c r="A69" s="3" t="s">
        <v>144</v>
      </c>
    </row>
    <row r="70" spans="1:36" x14ac:dyDescent="0.25">
      <c r="B70" s="20" t="s">
        <v>145</v>
      </c>
      <c r="G70" t="str" cm="1">
        <f t="array" aca="1" ref="G70" ca="1">_xll.QCurves_CreatePriceCurveFromBasisSwaps("fwd_"&amp;B70,B70,$I$10,valDate,E72:E100,G72:G100,"USD.LIBOR.3M","NYMEX")</f>
        <v>fwd_Dated¬0</v>
      </c>
      <c r="J70" s="20" t="s">
        <v>151</v>
      </c>
      <c r="O70" t="str" cm="1">
        <f t="array" aca="1" ref="O70" ca="1">_xll.QCurves_CreatePriceCurveFromBasisSwaps("fwd_"&amp;J70,J70,$I$10,valDate,M72:M100,O72:O100,"USD.LIBOR.3M","NYMEX")</f>
        <v>fwd_3.5Fuel¬0</v>
      </c>
      <c r="R70" s="20" t="s">
        <v>155</v>
      </c>
      <c r="W70" t="str" cm="1">
        <f t="array" aca="1" ref="W70" ca="1">_xll.QCurves_CreatePriceCurveFromBasisSwaps("fwd_"&amp;R70,R70,$O$70,valDate,U72:U100,W72:W100,"USD.LIBOR.3M","NYMEX")</f>
        <v>fwd_Sing180¬0</v>
      </c>
    </row>
    <row r="71" spans="1:36" x14ac:dyDescent="0.25">
      <c r="B71" s="24" t="s">
        <v>146</v>
      </c>
      <c r="C71" s="24" t="s">
        <v>150</v>
      </c>
      <c r="D71" s="24" t="s">
        <v>147</v>
      </c>
      <c r="E71" s="24" t="s">
        <v>148</v>
      </c>
      <c r="F71" s="24" t="s">
        <v>149</v>
      </c>
      <c r="G71" s="24" t="s">
        <v>154</v>
      </c>
      <c r="H71" s="24" t="s">
        <v>153</v>
      </c>
      <c r="J71" s="24" t="s">
        <v>146</v>
      </c>
      <c r="K71" s="24" t="s">
        <v>150</v>
      </c>
      <c r="L71" s="24" t="s">
        <v>147</v>
      </c>
      <c r="M71" s="24" t="s">
        <v>148</v>
      </c>
      <c r="N71" s="24" t="s">
        <v>149</v>
      </c>
      <c r="O71" s="24" t="s">
        <v>154</v>
      </c>
      <c r="P71" s="24" t="s">
        <v>153</v>
      </c>
      <c r="R71" s="24" t="s">
        <v>146</v>
      </c>
      <c r="S71" s="24" t="s">
        <v>150</v>
      </c>
      <c r="T71" s="24" t="s">
        <v>147</v>
      </c>
      <c r="U71" s="24" t="s">
        <v>148</v>
      </c>
      <c r="V71" s="24" t="s">
        <v>149</v>
      </c>
      <c r="W71" s="24" t="s">
        <v>154</v>
      </c>
      <c r="X71" s="24" t="s">
        <v>153</v>
      </c>
    </row>
    <row r="72" spans="1:36" x14ac:dyDescent="0.25">
      <c r="B72" s="84">
        <v>43952</v>
      </c>
      <c r="C72" t="str" cm="1">
        <f t="array" aca="1" ref="C72" ca="1">"FDBSM "&amp;_xll.QDates_GetMonthCodeAndYear(B72,2)</f>
        <v>FDBSM K20</v>
      </c>
      <c r="D72" s="1">
        <f ca="1">valDate</f>
        <v>43963</v>
      </c>
      <c r="E72" s="1" cm="1">
        <f t="array" aca="1" ref="E72" ca="1">_xll.QDates_LastDay(B72)</f>
        <v>43982</v>
      </c>
      <c r="F72" cm="1">
        <f t="array" aca="1" ref="F72" ca="1">_xll.BDP(C72&amp;" Index","PX_LAST")</f>
        <v>-2.2400000000000002</v>
      </c>
      <c r="G72" t="str" cm="1">
        <f t="array" aca="1" ref="G72" ca="1">_xll.QIns_CreateAsianCrackDiffSwap(C72,D72:E72,"CO","Dated","USD",F72,1,1,"ICE","LON","NYC","2b","0b","0b","USD.LIBOR.3M")</f>
        <v>FDBSM K20¬0</v>
      </c>
      <c r="H72" s="14" cm="1">
        <f t="array" aca="1" ref="H72" ca="1">_xll.QCurves_GetAveragePrice(G$70,_xll.QDates_ListBusinessDaysInPeriod(D72,E72,"ICE"))</f>
        <v>27.998067514410312</v>
      </c>
      <c r="J72" s="84">
        <v>43952</v>
      </c>
      <c r="K72" t="str" cm="1">
        <f t="array" aca="1" ref="K72" ca="1">"FROSM "&amp;_xll.QDates_GetMonthCodeAndYear(J72,2)</f>
        <v>FROSM K20</v>
      </c>
      <c r="L72" s="1">
        <f ca="1">valDate</f>
        <v>43963</v>
      </c>
      <c r="M72" s="1" cm="1">
        <f t="array" aca="1" ref="M72" ca="1">_xll.QDates_LastDay(J72)</f>
        <v>43982</v>
      </c>
      <c r="N72" cm="1">
        <f t="array" aca="1" ref="N72" ca="1">_xll.BDP(K72&amp;" Index","PX_LAST")</f>
        <v>-9.7799999999999994</v>
      </c>
      <c r="O72" t="str" cm="1">
        <f t="array" aca="1" ref="O72" ca="1">_xll.QIns_CreateAsianCrackDiffSwap(K72,L72:M72,"CO",J$70,"USD",N72,6350,1000,"ICE","LON","NYC","2b","0b","0b","USD.LIBOR.3M")</f>
        <v>FROSM K20¬0</v>
      </c>
      <c r="P72" s="14" cm="1">
        <f t="array" aca="1" ref="P72" ca="1">_xll.QCurves_GetAveragePrice(O$70,_xll.QDates_ListBusinessDaysInPeriod(L72,M72,"ICE"))</f>
        <v>129.90872871819965</v>
      </c>
      <c r="R72" s="84">
        <v>43952</v>
      </c>
      <c r="S72" t="str" cm="1">
        <f t="array" aca="1" ref="S72" ca="1">"FS1SM "&amp;_xll.QDates_GetMonthCodeAndYear(R72,2)</f>
        <v>FS1SM K20</v>
      </c>
      <c r="T72" s="1">
        <f ca="1">valDate</f>
        <v>43963</v>
      </c>
      <c r="U72" s="1" cm="1">
        <f t="array" aca="1" ref="U72" ca="1">_xll.QDates_LastDay(R72)</f>
        <v>43982</v>
      </c>
      <c r="V72" cm="1">
        <f t="array" aca="1" ref="V72" ca="1">_xll.BDP(S72&amp;" Index","PX_LAST")</f>
        <v>22.79</v>
      </c>
      <c r="W72" t="str" cm="1">
        <f t="array" aca="1" ref="W72" ca="1">_xll.QIns_CreateAsianCrackDiffSwap(S72,T72:U72,$J$70,R$70,"USD",V72,1000,1000,"LON","LON","NYC","2b","0b","0b","USD.LIBOR.3M")</f>
        <v>FS1SM K20¬0</v>
      </c>
      <c r="X72" s="14" cm="1">
        <f t="array" aca="1" ref="X72" ca="1">_xll.QCurves_GetAveragePrice(W$70,_xll.QDates_ListBusinessDaysInPeriod(T72,U72,"ICE"))</f>
        <v>152.69872871819959</v>
      </c>
    </row>
    <row r="73" spans="1:36" x14ac:dyDescent="0.25">
      <c r="B73" s="84">
        <f>EDATE(B72,1)</f>
        <v>43983</v>
      </c>
      <c r="C73" t="str" cm="1">
        <f t="array" aca="1" ref="C73" ca="1">"FDBSM "&amp;_xll.QDates_GetMonthCodeAndYear(B73,2)</f>
        <v>FDBSM M20</v>
      </c>
      <c r="D73" s="1">
        <f>B73</f>
        <v>43983</v>
      </c>
      <c r="E73" s="1" cm="1">
        <f t="array" aca="1" ref="E73" ca="1">_xll.QDates_LastDay(B73)</f>
        <v>44012</v>
      </c>
      <c r="F73" cm="1">
        <f t="array" aca="1" ref="F73" ca="1">_xll.BDP(C73&amp;" Index","PX_LAST")</f>
        <v>-1.96</v>
      </c>
      <c r="G73" t="str" cm="1">
        <f t="array" aca="1" ref="G73" ca="1">_xll.QIns_CreateAsianCrackDiffSwap(C73,D73:E73,"CO","Dated","USD",F73,1,1,"ICE","LON","NYC","2b","0b","0b","USD.LIBOR.3M")</f>
        <v>FDBSM M20¬0</v>
      </c>
      <c r="H73" s="14" cm="1">
        <f t="array" aca="1" ref="H73" ca="1">_xll.QCurves_GetAveragePrice(G$70,_xll.QDates_ListBusinessDaysInPeriod(D73,E73,"ICE"))</f>
        <v>29.146712328459934</v>
      </c>
      <c r="J73" s="84">
        <f>EDATE(J72,1)</f>
        <v>43983</v>
      </c>
      <c r="K73" t="str" cm="1">
        <f t="array" aca="1" ref="K73" ca="1">"FROSM "&amp;_xll.QDates_GetMonthCodeAndYear(J73,2)</f>
        <v>FROSM M20</v>
      </c>
      <c r="L73" s="1">
        <f>J73</f>
        <v>43983</v>
      </c>
      <c r="M73" s="1" cm="1">
        <f t="array" aca="1" ref="M73" ca="1">_xll.QDates_LastDay(J73)</f>
        <v>44012</v>
      </c>
      <c r="N73" cm="1">
        <f t="array" aca="1" ref="N73" ca="1">_xll.BDP(K73&amp;" Index","PX_LAST")</f>
        <v>-8.94</v>
      </c>
      <c r="O73" t="str" cm="1">
        <f t="array" aca="1" ref="O73" ca="1">_xll.QIns_CreateAsianCrackDiffSwap(K73,L73:M73,"CO",J$70,"USD",N73,6350,1000,"ICE","LON","NYC","2b","0b","0b","USD.LIBOR.3M")</f>
        <v>FROSM M20¬0</v>
      </c>
      <c r="P73" s="14" cm="1">
        <f t="array" aca="1" ref="P73" ca="1">_xll.QCurves_GetAveragePrice(O$70,_xll.QDates_ListBusinessDaysInPeriod(L73,M73,"ICE"))</f>
        <v>140.75862328767124</v>
      </c>
      <c r="R73" s="84">
        <f>EDATE(R72,1)</f>
        <v>43983</v>
      </c>
      <c r="S73" t="str" cm="1">
        <f t="array" aca="1" ref="S73" ca="1">"FS1SM "&amp;_xll.QDates_GetMonthCodeAndYear(R73,2)</f>
        <v>FS1SM M20</v>
      </c>
      <c r="T73" s="1">
        <f>R73</f>
        <v>43983</v>
      </c>
      <c r="U73" s="1" cm="1">
        <f t="array" aca="1" ref="U73" ca="1">_xll.QDates_LastDay(R73)</f>
        <v>44012</v>
      </c>
      <c r="V73" cm="1">
        <f t="array" aca="1" ref="V73" ca="1">_xll.BDP(S73&amp;" Index","PX_LAST")</f>
        <v>25.05</v>
      </c>
      <c r="W73" t="str" cm="1">
        <f t="array" aca="1" ref="W73" ca="1">_xll.QIns_CreateAsianCrackDiffSwap(S73,T73:U73,$J$70,R$70,"USD",V73,1000,1000,"LON","LON","NYC","2b","0b","0b","USD.LIBOR.3M")</f>
        <v>FS1SM M20¬0</v>
      </c>
      <c r="X73" s="14" cm="1">
        <f t="array" aca="1" ref="X73" ca="1">_xll.QCurves_GetAveragePrice(W$70,_xll.QDates_ListBusinessDaysInPeriod(T73,U73,"ICE"))</f>
        <v>165.80862328767122</v>
      </c>
    </row>
    <row r="74" spans="1:36" x14ac:dyDescent="0.25">
      <c r="B74" s="84">
        <f t="shared" ref="B74:B90" si="8">EDATE(B73,1)</f>
        <v>44013</v>
      </c>
      <c r="C74" t="str" cm="1">
        <f t="array" aca="1" ref="C74" ca="1">"FDBSM "&amp;_xll.QDates_GetMonthCodeAndYear(B74,2)</f>
        <v>FDBSM N20</v>
      </c>
      <c r="D74" s="1">
        <f t="shared" ref="D74:D90" si="9">B74</f>
        <v>44013</v>
      </c>
      <c r="E74" s="1" cm="1">
        <f t="array" aca="1" ref="E74" ca="1">_xll.QDates_LastDay(B74)</f>
        <v>44043</v>
      </c>
      <c r="F74" cm="1">
        <f t="array" aca="1" ref="F74" ca="1">_xll.BDP(C74&amp;" Index","PX_LAST")</f>
        <v>-1.92</v>
      </c>
      <c r="G74" t="str" cm="1">
        <f t="array" aca="1" ref="G74" ca="1">_xll.QIns_CreateAsianCrackDiffSwap(C74,D74:E74,"CO","Dated","USD",F74,1,1,"ICE","LON","NYC","2b","0b","0b","USD.LIBOR.3M")</f>
        <v>FDBSM N20¬0</v>
      </c>
      <c r="H74" s="14" cm="1">
        <f t="array" aca="1" ref="H74" ca="1">_xll.QCurves_GetAveragePrice(G$70,_xll.QDates_ListBusinessDaysInPeriod(D74,E74,"ICE"))</f>
        <v>30.059720072086751</v>
      </c>
      <c r="J74" s="84">
        <f t="shared" ref="J74:J100" si="10">EDATE(J73,1)</f>
        <v>44013</v>
      </c>
      <c r="K74" t="str" cm="1">
        <f t="array" aca="1" ref="K74" ca="1">"FROSM "&amp;_xll.QDates_GetMonthCodeAndYear(J74,2)</f>
        <v>FROSM N20</v>
      </c>
      <c r="L74" s="1">
        <f t="shared" ref="L74:L100" si="11">J74</f>
        <v>44013</v>
      </c>
      <c r="M74" s="1" cm="1">
        <f t="array" aca="1" ref="M74" ca="1">_xll.QDates_LastDay(J74)</f>
        <v>44043</v>
      </c>
      <c r="N74" cm="1">
        <f t="array" aca="1" ref="N74" ca="1">_xll.BDP(K74&amp;" Index","PX_LAST")</f>
        <v>-8.8000000000000007</v>
      </c>
      <c r="O74" t="str" cm="1">
        <f t="array" aca="1" ref="O74" ca="1">_xll.QIns_CreateAsianCrackDiffSwap(K74,L74:M74,"CO",J$70,"USD",N74,6350,1000,"ICE","LON","NYC","2b","0b","0b","USD.LIBOR.3M")</f>
        <v>FROSM N20¬0</v>
      </c>
      <c r="P74" s="14" cm="1">
        <f t="array" aca="1" ref="P74" ca="1">_xll.QCurves_GetAveragePrice(O$70,_xll.QDates_ListBusinessDaysInPeriod(L74,M74,"ICE"))</f>
        <v>147.19122245384153</v>
      </c>
      <c r="R74" s="84">
        <f t="shared" ref="R74:R100" si="12">EDATE(R73,1)</f>
        <v>44013</v>
      </c>
      <c r="S74" t="str" cm="1">
        <f t="array" aca="1" ref="S74" ca="1">"FS1SM "&amp;_xll.QDates_GetMonthCodeAndYear(R74,2)</f>
        <v>FS1SM N20</v>
      </c>
      <c r="T74" s="1">
        <f t="shared" ref="T74:T100" si="13">R74</f>
        <v>44013</v>
      </c>
      <c r="U74" s="1" cm="1">
        <f t="array" aca="1" ref="U74" ca="1">_xll.QDates_LastDay(R74)</f>
        <v>44043</v>
      </c>
      <c r="V74" cm="1">
        <f t="array" aca="1" ref="V74" ca="1">_xll.BDP(S74&amp;" Index","PX_LAST")</f>
        <v>28.11</v>
      </c>
      <c r="W74" t="str" cm="1">
        <f t="array" aca="1" ref="W74" ca="1">_xll.QIns_CreateAsianCrackDiffSwap(S74,T74:U74,$J$70,R$70,"USD",V74,1000,1000,"LON","LON","NYC","2b","0b","0b","USD.LIBOR.3M")</f>
        <v>FS1SM N20¬0</v>
      </c>
      <c r="X74" s="14" cm="1">
        <f t="array" aca="1" ref="X74" ca="1">_xll.QCurves_GetAveragePrice(W$70,_xll.QDates_ListBusinessDaysInPeriod(T74,U74,"ICE"))</f>
        <v>175.30122245384152</v>
      </c>
    </row>
    <row r="75" spans="1:36" x14ac:dyDescent="0.25">
      <c r="B75" s="84">
        <f t="shared" si="8"/>
        <v>44044</v>
      </c>
      <c r="C75" t="str" cm="1">
        <f t="array" aca="1" ref="C75" ca="1">"FDBSM "&amp;_xll.QDates_GetMonthCodeAndYear(B75,2)</f>
        <v>FDBSM Q20</v>
      </c>
      <c r="D75" s="1">
        <f t="shared" si="9"/>
        <v>44044</v>
      </c>
      <c r="E75" s="1" cm="1">
        <f t="array" aca="1" ref="E75" ca="1">_xll.QDates_LastDay(B75)</f>
        <v>44074</v>
      </c>
      <c r="F75" cm="1">
        <f t="array" aca="1" ref="F75" ca="1">_xll.BDP(C75&amp;" Index","PX_LAST")</f>
        <v>-1.81</v>
      </c>
      <c r="G75" t="str" cm="1">
        <f t="array" aca="1" ref="G75" ca="1">_xll.QIns_CreateAsianCrackDiffSwap(C75,D75:E75,"CO","Dated","USD",F75,1,1,"ICE","LON","NYC","2b","0b","0b","USD.LIBOR.3M")</f>
        <v>FDBSM Q20¬0</v>
      </c>
      <c r="H75" s="14" cm="1">
        <f t="array" aca="1" ref="H75" ca="1">_xll.QCurves_GetAveragePrice(G$70,_xll.QDates_ListBusinessDaysInPeriod(D75,E75,"ICE"))</f>
        <v>31.037090671906533</v>
      </c>
      <c r="J75" s="84">
        <f t="shared" si="10"/>
        <v>44044</v>
      </c>
      <c r="K75" t="str" cm="1">
        <f t="array" aca="1" ref="K75" ca="1">"FROSM "&amp;_xll.QDates_GetMonthCodeAndYear(J75,2)</f>
        <v>FROSM Q20</v>
      </c>
      <c r="L75" s="1">
        <f t="shared" si="11"/>
        <v>44044</v>
      </c>
      <c r="M75" s="1" cm="1">
        <f t="array" aca="1" ref="M75" ca="1">_xll.QDates_LastDay(J75)</f>
        <v>44074</v>
      </c>
      <c r="N75" cm="1">
        <f t="array" aca="1" ref="N75" ca="1">_xll.BDP(K75&amp;" Index","PX_LAST")</f>
        <v>-8.98</v>
      </c>
      <c r="O75" t="str" cm="1">
        <f t="array" aca="1" ref="O75" ca="1">_xll.QIns_CreateAsianCrackDiffSwap(K75,L75:M75,"CO",J$70,"USD",N75,6350,1000,"ICE","LON","NYC","2b","0b","0b","USD.LIBOR.3M")</f>
        <v>FROSM Q20¬0</v>
      </c>
      <c r="P75" s="14" cm="1">
        <f t="array" aca="1" ref="P75" ca="1">_xll.QCurves_GetAveragePrice(O$70,_xll.QDates_ListBusinessDaysInPeriod(L75,M75,"ICE"))</f>
        <v>151.55602576647092</v>
      </c>
      <c r="R75" s="84">
        <f t="shared" si="12"/>
        <v>44044</v>
      </c>
      <c r="S75" t="str" cm="1">
        <f t="array" aca="1" ref="S75" ca="1">"FS1SM "&amp;_xll.QDates_GetMonthCodeAndYear(R75,2)</f>
        <v>FS1SM Q20</v>
      </c>
      <c r="T75" s="1">
        <f t="shared" si="13"/>
        <v>44044</v>
      </c>
      <c r="U75" s="1" cm="1">
        <f t="array" aca="1" ref="U75" ca="1">_xll.QDates_LastDay(R75)</f>
        <v>44074</v>
      </c>
      <c r="V75" cm="1">
        <f t="array" aca="1" ref="V75" ca="1">_xll.BDP(S75&amp;" Index","PX_LAST")</f>
        <v>29.78</v>
      </c>
      <c r="W75" t="str" cm="1">
        <f t="array" aca="1" ref="W75" ca="1">_xll.QIns_CreateAsianCrackDiffSwap(S75,T75:U75,$J$70,R$70,"USD",V75,1000,1000,"LON","LON","NYC","2b","0b","0b","USD.LIBOR.3M")</f>
        <v>FS1SM Q20¬0</v>
      </c>
      <c r="X75" s="14" cm="1">
        <f t="array" aca="1" ref="X75" ca="1">_xll.QCurves_GetAveragePrice(W$70,_xll.QDates_ListBusinessDaysInPeriod(T75,U75,"ICE"))</f>
        <v>181.33602576647087</v>
      </c>
    </row>
    <row r="76" spans="1:36" x14ac:dyDescent="0.25">
      <c r="B76" s="84">
        <f t="shared" si="8"/>
        <v>44075</v>
      </c>
      <c r="C76" t="str" cm="1">
        <f t="array" aca="1" ref="C76" ca="1">"FDBSM "&amp;_xll.QDates_GetMonthCodeAndYear(B76,2)</f>
        <v>FDBSM U20</v>
      </c>
      <c r="D76" s="1">
        <f t="shared" si="9"/>
        <v>44075</v>
      </c>
      <c r="E76" s="1" cm="1">
        <f t="array" aca="1" ref="E76" ca="1">_xll.QDates_LastDay(B76)</f>
        <v>44104</v>
      </c>
      <c r="F76" cm="1">
        <f t="array" aca="1" ref="F76" ca="1">_xll.BDP(C76&amp;" Index","PX_LAST")</f>
        <v>-1.7</v>
      </c>
      <c r="G76" t="str" cm="1">
        <f t="array" aca="1" ref="G76" ca="1">_xll.QIns_CreateAsianCrackDiffSwap(C76,D76:E76,"CO","Dated","USD",F76,1,1,"ICE","LON","NYC","2b","0b","0b","USD.LIBOR.3M")</f>
        <v>FDBSM U20¬0</v>
      </c>
      <c r="H76" s="14" cm="1">
        <f t="array" aca="1" ref="H76" ca="1">_xll.QCurves_GetAveragePrice(G$70,_xll.QDates_ListBusinessDaysInPeriod(D76,E76,"ICE"))</f>
        <v>31.920734745068213</v>
      </c>
      <c r="J76" s="84">
        <f t="shared" si="10"/>
        <v>44075</v>
      </c>
      <c r="K76" t="str" cm="1">
        <f t="array" aca="1" ref="K76" ca="1">"FROSM "&amp;_xll.QDates_GetMonthCodeAndYear(J76,2)</f>
        <v>FROSM U20</v>
      </c>
      <c r="L76" s="1">
        <f t="shared" si="11"/>
        <v>44075</v>
      </c>
      <c r="M76" s="1" cm="1">
        <f t="array" aca="1" ref="M76" ca="1">_xll.QDates_LastDay(J76)</f>
        <v>44104</v>
      </c>
      <c r="N76" cm="1">
        <f t="array" aca="1" ref="N76" ca="1">_xll.BDP(K76&amp;" Index","PX_LAST")</f>
        <v>-9.27</v>
      </c>
      <c r="O76" t="str" cm="1">
        <f t="array" aca="1" ref="O76" ca="1">_xll.QIns_CreateAsianCrackDiffSwap(K76,L76:M76,"CO",J$70,"USD",N76,6350,1000,"ICE","LON","NYC","2b","0b","0b","USD.LIBOR.3M")</f>
        <v>FROSM U20¬0</v>
      </c>
      <c r="P76" s="14" cm="1">
        <f t="array" aca="1" ref="P76" ca="1">_xll.QCurves_GetAveragePrice(O$70,_xll.QDates_ListBusinessDaysInPeriod(L76,M76,"ICE"))</f>
        <v>154.62716562889148</v>
      </c>
      <c r="R76" s="84">
        <f t="shared" si="12"/>
        <v>44075</v>
      </c>
      <c r="S76" t="str" cm="1">
        <f t="array" aca="1" ref="S76" ca="1">"FS1SM "&amp;_xll.QDates_GetMonthCodeAndYear(R76,2)</f>
        <v>FS1SM U20</v>
      </c>
      <c r="T76" s="1">
        <f t="shared" si="13"/>
        <v>44075</v>
      </c>
      <c r="U76" s="1" cm="1">
        <f t="array" aca="1" ref="U76" ca="1">_xll.QDates_LastDay(R76)</f>
        <v>44104</v>
      </c>
      <c r="V76" cm="1">
        <f t="array" aca="1" ref="V76" ca="1">_xll.BDP(S76&amp;" Index","PX_LAST")</f>
        <v>31.24</v>
      </c>
      <c r="W76" t="str" cm="1">
        <f t="array" aca="1" ref="W76" ca="1">_xll.QIns_CreateAsianCrackDiffSwap(S76,T76:U76,$J$70,R$70,"USD",V76,1000,1000,"LON","LON","NYC","2b","0b","0b","USD.LIBOR.3M")</f>
        <v>FS1SM U20¬0</v>
      </c>
      <c r="X76" s="14" cm="1">
        <f t="array" aca="1" ref="X76" ca="1">_xll.QCurves_GetAveragePrice(W$70,_xll.QDates_ListBusinessDaysInPeriod(T76,U76,"ICE"))</f>
        <v>185.8671656288916</v>
      </c>
    </row>
    <row r="77" spans="1:36" x14ac:dyDescent="0.25">
      <c r="B77" s="84">
        <f t="shared" si="8"/>
        <v>44105</v>
      </c>
      <c r="C77" t="str" cm="1">
        <f t="array" aca="1" ref="C77" ca="1">"FDBSM "&amp;_xll.QDates_GetMonthCodeAndYear(B77,2)</f>
        <v>FDBSM V20</v>
      </c>
      <c r="D77" s="1">
        <f t="shared" si="9"/>
        <v>44105</v>
      </c>
      <c r="E77" s="1" cm="1">
        <f t="array" aca="1" ref="E77" ca="1">_xll.QDates_LastDay(B77)</f>
        <v>44135</v>
      </c>
      <c r="F77" cm="1">
        <f t="array" aca="1" ref="F77" ca="1">_xll.BDP(C77&amp;" Index","PX_LAST")</f>
        <v>-1.5699999999999998</v>
      </c>
      <c r="G77" t="str" cm="1">
        <f t="array" aca="1" ref="G77" ca="1">_xll.QIns_CreateAsianCrackDiffSwap(C77,D77:E77,"CO","Dated","USD",F77,1,1,"ICE","LON","NYC","2b","0b","0b","USD.LIBOR.3M")</f>
        <v>FDBSM V20¬0</v>
      </c>
      <c r="H77" s="14" cm="1">
        <f t="array" aca="1" ref="H77" ca="1">_xll.QCurves_GetAveragePrice(G$70,_xll.QDates_ListBusinessDaysInPeriod(D77,E77,"ICE"))</f>
        <v>32.780834371689934</v>
      </c>
      <c r="J77" s="84">
        <f t="shared" si="10"/>
        <v>44105</v>
      </c>
      <c r="K77" t="str" cm="1">
        <f t="array" aca="1" ref="K77" ca="1">"FROSM "&amp;_xll.QDates_GetMonthCodeAndYear(J77,2)</f>
        <v>FROSM V20</v>
      </c>
      <c r="L77" s="1">
        <f t="shared" si="11"/>
        <v>44105</v>
      </c>
      <c r="M77" s="1" cm="1">
        <f t="array" aca="1" ref="M77" ca="1">_xll.QDates_LastDay(J77)</f>
        <v>44135</v>
      </c>
      <c r="N77" cm="1">
        <f t="array" aca="1" ref="N77" ca="1">_xll.BDP(K77&amp;" Index","PX_LAST")</f>
        <v>-9.6300000000000008</v>
      </c>
      <c r="O77" t="str" cm="1">
        <f t="array" aca="1" ref="O77" ca="1">_xll.QIns_CreateAsianCrackDiffSwap(K77,L77:M77,"CO",J$70,"USD",N77,6350,1000,"ICE","LON","NYC","2b","0b","0b","USD.LIBOR.3M")</f>
        <v>FROSM V20¬0</v>
      </c>
      <c r="P77" s="14" cm="1">
        <f t="array" aca="1" ref="P77" ca="1">_xll.QCurves_GetAveragePrice(O$70,_xll.QDates_ListBusinessDaysInPeriod(L77,M77,"ICE"))</f>
        <v>156.97729825653781</v>
      </c>
      <c r="R77" s="84">
        <f t="shared" si="12"/>
        <v>44105</v>
      </c>
      <c r="S77" t="str" cm="1">
        <f t="array" aca="1" ref="S77" ca="1">"FS1SM "&amp;_xll.QDates_GetMonthCodeAndYear(R77,2)</f>
        <v>FS1SM V20</v>
      </c>
      <c r="T77" s="1">
        <f t="shared" si="13"/>
        <v>44105</v>
      </c>
      <c r="U77" s="1" cm="1">
        <f t="array" aca="1" ref="U77" ca="1">_xll.QDates_LastDay(R77)</f>
        <v>44135</v>
      </c>
      <c r="V77" cm="1">
        <f t="array" aca="1" ref="V77" ca="1">_xll.BDP(S77&amp;" Index","PX_LAST")</f>
        <v>34.020000000000003</v>
      </c>
      <c r="W77" t="str" cm="1">
        <f t="array" aca="1" ref="W77" ca="1">_xll.QIns_CreateAsianCrackDiffSwap(S77,T77:U77,$J$70,R$70,"USD",V77,1000,1000,"LON","LON","NYC","2b","0b","0b","USD.LIBOR.3M")</f>
        <v>FS1SM V20¬0</v>
      </c>
      <c r="X77" s="14" cm="1">
        <f t="array" aca="1" ref="X77" ca="1">_xll.QCurves_GetAveragePrice(W$70,_xll.QDates_ListBusinessDaysInPeriod(T77,U77,"ICE"))</f>
        <v>190.99729825653779</v>
      </c>
    </row>
    <row r="78" spans="1:36" x14ac:dyDescent="0.25">
      <c r="B78" s="84">
        <f t="shared" si="8"/>
        <v>44136</v>
      </c>
      <c r="C78" t="str" cm="1">
        <f t="array" aca="1" ref="C78" ca="1">"FDBSM "&amp;_xll.QDates_GetMonthCodeAndYear(B78,2)</f>
        <v>FDBSM X20</v>
      </c>
      <c r="D78" s="1">
        <f t="shared" si="9"/>
        <v>44136</v>
      </c>
      <c r="E78" s="1" cm="1">
        <f t="array" aca="1" ref="E78" ca="1">_xll.QDates_LastDay(B78)</f>
        <v>44165</v>
      </c>
      <c r="F78" cm="1">
        <f t="array" aca="1" ref="F78" ca="1">_xll.BDP(C78&amp;" Index","PX_LAST")</f>
        <v>-1.45</v>
      </c>
      <c r="G78" t="str" cm="1">
        <f t="array" aca="1" ref="G78" ca="1">_xll.QIns_CreateAsianCrackDiffSwap(C78,D78:E78,"CO","Dated","USD",F78,1,1,"ICE","LON","NYC","2b","0b","0b","USD.LIBOR.3M")</f>
        <v>FDBSM X20¬0</v>
      </c>
      <c r="H78" s="14" cm="1">
        <f t="array" aca="1" ref="H78" ca="1">_xll.QCurves_GetAveragePrice(G$70,_xll.QDates_ListBusinessDaysInPeriod(D78,E78,"ICE"))</f>
        <v>33.495065231464345</v>
      </c>
      <c r="J78" s="84">
        <f t="shared" si="10"/>
        <v>44136</v>
      </c>
      <c r="K78" t="str" cm="1">
        <f t="array" aca="1" ref="K78" ca="1">"FROSM "&amp;_xll.QDates_GetMonthCodeAndYear(J78,2)</f>
        <v>FROSM X20</v>
      </c>
      <c r="L78" s="1">
        <f t="shared" si="11"/>
        <v>44136</v>
      </c>
      <c r="M78" s="1" cm="1">
        <f t="array" aca="1" ref="M78" ca="1">_xll.QDates_LastDay(J78)</f>
        <v>44165</v>
      </c>
      <c r="N78" cm="1">
        <f t="array" aca="1" ref="N78" ca="1">_xll.BDP(K78&amp;" Index","PX_LAST")</f>
        <v>-9.85</v>
      </c>
      <c r="O78" t="str" cm="1">
        <f t="array" aca="1" ref="O78" ca="1">_xll.QIns_CreateAsianCrackDiffSwap(K78,L78:M78,"CO",J$70,"USD",N78,6350,1000,"ICE","LON","NYC","2b","0b","0b","USD.LIBOR.3M")</f>
        <v>FROSM X20¬0</v>
      </c>
      <c r="P78" s="14" cm="1">
        <f t="array" aca="1" ref="P78" ca="1">_xll.QCurves_GetAveragePrice(O$70,_xll.QDates_ListBusinessDaysInPeriod(L78,M78,"ICE"))</f>
        <v>159.35366422048261</v>
      </c>
      <c r="R78" s="84">
        <f t="shared" si="12"/>
        <v>44136</v>
      </c>
      <c r="S78" t="str" cm="1">
        <f t="array" aca="1" ref="S78" ca="1">"FS1SM "&amp;_xll.QDates_GetMonthCodeAndYear(R78,2)</f>
        <v>FS1SM X20</v>
      </c>
      <c r="T78" s="1">
        <f t="shared" si="13"/>
        <v>44136</v>
      </c>
      <c r="U78" s="1" cm="1">
        <f t="array" aca="1" ref="U78" ca="1">_xll.QDates_LastDay(R78)</f>
        <v>44165</v>
      </c>
      <c r="V78" cm="1">
        <f t="array" aca="1" ref="V78" ca="1">_xll.BDP(S78&amp;" Index","PX_LAST")</f>
        <v>34.770000000000003</v>
      </c>
      <c r="W78" t="str" cm="1">
        <f t="array" aca="1" ref="W78" ca="1">_xll.QIns_CreateAsianCrackDiffSwap(S78,T78:U78,$J$70,R$70,"USD",V78,1000,1000,"LON","LON","NYC","2b","0b","0b","USD.LIBOR.3M")</f>
        <v>FS1SM X20¬0</v>
      </c>
      <c r="X78" s="14" cm="1">
        <f t="array" aca="1" ref="X78" ca="1">_xll.QCurves_GetAveragePrice(W$70,_xll.QDates_ListBusinessDaysInPeriod(T78,U78,"ICE"))</f>
        <v>194.12366422048262</v>
      </c>
    </row>
    <row r="79" spans="1:36" x14ac:dyDescent="0.25">
      <c r="B79" s="84">
        <f t="shared" si="8"/>
        <v>44166</v>
      </c>
      <c r="C79" t="str" cm="1">
        <f t="array" aca="1" ref="C79" ca="1">"FDBSM "&amp;_xll.QDates_GetMonthCodeAndYear(B79,2)</f>
        <v>FDBSM Z20</v>
      </c>
      <c r="D79" s="1">
        <f t="shared" si="9"/>
        <v>44166</v>
      </c>
      <c r="E79" s="1" cm="1">
        <f t="array" aca="1" ref="E79" ca="1">_xll.QDates_LastDay(B79)</f>
        <v>44196</v>
      </c>
      <c r="F79" cm="1">
        <f t="array" aca="1" ref="F79" ca="1">_xll.BDP(C79&amp;" Index","PX_LAST")</f>
        <v>-1.34</v>
      </c>
      <c r="G79" t="str" cm="1">
        <f t="array" aca="1" ref="G79" ca="1">_xll.QIns_CreateAsianCrackDiffSwap(C79,D79:E79,"CO","Dated","USD",F79,1,1,"ICE","LON","NYC","2b","0b","0b","USD.LIBOR.3M")</f>
        <v>FDBSM Z20¬0</v>
      </c>
      <c r="H79" s="14" cm="1">
        <f t="array" aca="1" ref="H79" ca="1">_xll.QCurves_GetAveragePrice(G$70,_xll.QDates_ListBusinessDaysInPeriod(D79,E79,"ICE"))</f>
        <v>34.115666251484988</v>
      </c>
      <c r="J79" s="84">
        <f t="shared" si="10"/>
        <v>44166</v>
      </c>
      <c r="K79" t="str" cm="1">
        <f t="array" aca="1" ref="K79" ca="1">"FROSM "&amp;_xll.QDates_GetMonthCodeAndYear(J79,2)</f>
        <v>FROSM Z20</v>
      </c>
      <c r="L79" s="1">
        <f t="shared" si="11"/>
        <v>44166</v>
      </c>
      <c r="M79" s="1" cm="1">
        <f t="array" aca="1" ref="M79" ca="1">_xll.QDates_LastDay(J79)</f>
        <v>44196</v>
      </c>
      <c r="N79" cm="1">
        <f t="array" aca="1" ref="N79" ca="1">_xll.BDP(K79&amp;" Index","PX_LAST")</f>
        <v>-10.01</v>
      </c>
      <c r="O79" t="str" cm="1">
        <f t="array" aca="1" ref="O79" ca="1">_xll.QIns_CreateAsianCrackDiffSwap(K79,L79:M79,"CO",J$70,"USD",N79,6350,1000,"ICE","LON","NYC","2b","0b","0b","USD.LIBOR.3M")</f>
        <v>FROSM Z20¬0</v>
      </c>
      <c r="P79" s="14" cm="1">
        <f t="array" aca="1" ref="P79" ca="1">_xll.QCurves_GetAveragePrice(O$70,_xll.QDates_ListBusinessDaysInPeriod(L79,M79,"ICE"))</f>
        <v>161.57998069738471</v>
      </c>
      <c r="R79" s="84">
        <f t="shared" si="12"/>
        <v>44166</v>
      </c>
      <c r="S79" t="str" cm="1">
        <f t="array" aca="1" ref="S79" ca="1">"FS1SM "&amp;_xll.QDates_GetMonthCodeAndYear(R79,2)</f>
        <v>FS1SM Z20</v>
      </c>
      <c r="T79" s="1">
        <f t="shared" si="13"/>
        <v>44166</v>
      </c>
      <c r="U79" s="1" cm="1">
        <f t="array" aca="1" ref="U79" ca="1">_xll.QDates_LastDay(R79)</f>
        <v>44196</v>
      </c>
      <c r="V79" cm="1">
        <f t="array" aca="1" ref="V79" ca="1">_xll.BDP(S79&amp;" Index","PX_LAST")</f>
        <v>35.53</v>
      </c>
      <c r="W79" t="str" cm="1">
        <f t="array" aca="1" ref="W79" ca="1">_xll.QIns_CreateAsianCrackDiffSwap(S79,T79:U79,$J$70,R$70,"USD",V79,1000,1000,"LON","LON","NYC","2b","0b","0b","USD.LIBOR.3M")</f>
        <v>FS1SM Z20¬0</v>
      </c>
      <c r="X79" s="14" cm="1">
        <f t="array" aca="1" ref="X79" ca="1">_xll.QCurves_GetAveragePrice(W$70,_xll.QDates_ListBusinessDaysInPeriod(T79,U79,"ICE"))</f>
        <v>197.10998069738469</v>
      </c>
    </row>
    <row r="80" spans="1:36" x14ac:dyDescent="0.25">
      <c r="B80" s="84">
        <f t="shared" si="8"/>
        <v>44197</v>
      </c>
      <c r="C80" t="str" cm="1">
        <f t="array" aca="1" ref="C80" ca="1">"FDBSM "&amp;_xll.QDates_GetMonthCodeAndYear(B80,2)</f>
        <v>FDBSM F21</v>
      </c>
      <c r="D80" s="1">
        <f t="shared" si="9"/>
        <v>44197</v>
      </c>
      <c r="E80" s="1" cm="1">
        <f t="array" aca="1" ref="E80" ca="1">_xll.QDates_LastDay(B80)</f>
        <v>44227</v>
      </c>
      <c r="F80" cm="1">
        <f t="array" aca="1" ref="F80" ca="1">_xll.BDP(C80&amp;" Index","PX_LAST")</f>
        <v>-1.25</v>
      </c>
      <c r="G80" t="str" cm="1">
        <f t="array" aca="1" ref="G80" ca="1">_xll.QIns_CreateAsianCrackDiffSwap(C80,D80:E80,"CO","Dated","USD",F80,1,1,"ICE","LON","NYC","2b","0b","0b","USD.LIBOR.3M")</f>
        <v>FDBSM F21¬0</v>
      </c>
      <c r="H80" s="14" cm="1">
        <f t="array" aca="1" ref="H80" ca="1">_xll.QCurves_GetAveragePrice(G$70,_xll.QDates_ListBusinessDaysInPeriod(D80,E80,"ICE"))</f>
        <v>34.705244618354065</v>
      </c>
      <c r="J80" s="84">
        <f t="shared" si="10"/>
        <v>44197</v>
      </c>
      <c r="K80" t="str" cm="1">
        <f t="array" aca="1" ref="K80" ca="1">"FROSM "&amp;_xll.QDates_GetMonthCodeAndYear(J80,2)</f>
        <v>FROSM F21</v>
      </c>
      <c r="L80" s="1">
        <f t="shared" si="11"/>
        <v>44197</v>
      </c>
      <c r="M80" s="1" cm="1">
        <f t="array" aca="1" ref="M80" ca="1">_xll.QDates_LastDay(J80)</f>
        <v>44227</v>
      </c>
      <c r="N80" cm="1">
        <f t="array" aca="1" ref="N80" ca="1">_xll.BDP(K80&amp;" Index","PX_LAST")</f>
        <v>-10.039999999999999</v>
      </c>
      <c r="O80" t="str" cm="1">
        <f t="array" aca="1" ref="O80" ca="1">_xll.QIns_CreateAsianCrackDiffSwap(K80,L80:M80,"CO",J$70,"USD",N80,6350,1000,"ICE","LON","NYC","2b","0b","0b","USD.LIBOR.3M")</f>
        <v>FROSM F21¬0</v>
      </c>
      <c r="P80" s="14" cm="1">
        <f t="array" aca="1" ref="P80" ca="1">_xll.QCurves_GetAveragePrice(O$70,_xll.QDates_ListBusinessDaysInPeriod(L80,M80,"ICE"))</f>
        <v>164.56180332681029</v>
      </c>
      <c r="R80" s="84">
        <f t="shared" si="12"/>
        <v>44197</v>
      </c>
      <c r="S80" t="str" cm="1">
        <f t="array" aca="1" ref="S80" ca="1">"FS1SM "&amp;_xll.QDates_GetMonthCodeAndYear(R80,2)</f>
        <v>FS1SM F21</v>
      </c>
      <c r="T80" s="1">
        <f t="shared" si="13"/>
        <v>44197</v>
      </c>
      <c r="U80" s="1" cm="1">
        <f t="array" aca="1" ref="U80" ca="1">_xll.QDates_LastDay(R80)</f>
        <v>44227</v>
      </c>
      <c r="V80" cm="1">
        <f t="array" aca="1" ref="V80" ca="1">_xll.BDP(S80&amp;" Index","PX_LAST")</f>
        <v>35.53</v>
      </c>
      <c r="W80" t="str" cm="1">
        <f t="array" aca="1" ref="W80" ca="1">_xll.QIns_CreateAsianCrackDiffSwap(S80,T80:U80,$J$70,R$70,"USD",V80,1000,1000,"LON","LON","NYC","2b","0b","0b","USD.LIBOR.3M")</f>
        <v>FS1SM F21¬0</v>
      </c>
      <c r="X80" s="14" cm="1">
        <f t="array" aca="1" ref="X80" ca="1">_xll.QCurves_GetAveragePrice(W$70,_xll.QDates_ListBusinessDaysInPeriod(T80,U80,"ICE"))</f>
        <v>200.09180332681038</v>
      </c>
    </row>
    <row r="81" spans="2:24" x14ac:dyDescent="0.25">
      <c r="B81" s="84">
        <f t="shared" si="8"/>
        <v>44228</v>
      </c>
      <c r="C81" t="str" cm="1">
        <f t="array" aca="1" ref="C81" ca="1">"FDBSM "&amp;_xll.QDates_GetMonthCodeAndYear(B81,2)</f>
        <v>FDBSM G21</v>
      </c>
      <c r="D81" s="1">
        <f t="shared" si="9"/>
        <v>44228</v>
      </c>
      <c r="E81" s="1" cm="1">
        <f t="array" aca="1" ref="E81" ca="1">_xll.QDates_LastDay(B81)</f>
        <v>44255</v>
      </c>
      <c r="F81" cm="1">
        <f t="array" aca="1" ref="F81" ca="1">_xll.BDP(C81&amp;" Index","PX_LAST")</f>
        <v>-1.19</v>
      </c>
      <c r="G81" t="str" cm="1">
        <f t="array" aca="1" ref="G81" ca="1">_xll.QIns_CreateAsianCrackDiffSwap(C81,D81:E81,"CO","Dated","USD",F81,1,1,"ICE","LON","NYC","2b","0b","0b","USD.LIBOR.3M")</f>
        <v>FDBSM G21¬0</v>
      </c>
      <c r="H81" s="14" cm="1">
        <f t="array" aca="1" ref="H81" ca="1">_xll.QCurves_GetAveragePrice(G$70,_xll.QDates_ListBusinessDaysInPeriod(D81,E81,"ICE"))</f>
        <v>35.118058219137609</v>
      </c>
      <c r="J81" s="84">
        <f t="shared" si="10"/>
        <v>44228</v>
      </c>
      <c r="K81" t="str" cm="1">
        <f t="array" aca="1" ref="K81" ca="1">"FROSM "&amp;_xll.QDates_GetMonthCodeAndYear(J81,2)</f>
        <v>FROSM G21</v>
      </c>
      <c r="L81" s="1">
        <f t="shared" si="11"/>
        <v>44228</v>
      </c>
      <c r="M81" s="1" cm="1">
        <f t="array" aca="1" ref="M81" ca="1">_xll.QDates_LastDay(J81)</f>
        <v>44255</v>
      </c>
      <c r="N81" cm="1">
        <f t="array" aca="1" ref="N81" ca="1">_xll.BDP(K81&amp;" Index","PX_LAST")</f>
        <v>-9.9700000000000006</v>
      </c>
      <c r="O81" t="str" cm="1">
        <f t="array" aca="1" ref="O81" ca="1">_xll.QIns_CreateAsianCrackDiffSwap(K81,L81:M81,"CO",J$70,"USD",N81,6350,1000,"ICE","LON","NYC","2b","0b","0b","USD.LIBOR.3M")</f>
        <v>FROSM G21¬0</v>
      </c>
      <c r="P81" s="14" cm="1">
        <f t="array" aca="1" ref="P81" ca="1">_xll.QCurves_GetAveragePrice(O$70,_xll.QDates_ListBusinessDaysInPeriod(L81,M81,"ICE"))</f>
        <v>167.24666969178085</v>
      </c>
      <c r="R81" s="84">
        <f t="shared" si="12"/>
        <v>44228</v>
      </c>
      <c r="S81" t="str" cm="1">
        <f t="array" aca="1" ref="S81" ca="1">"FS1SM "&amp;_xll.QDates_GetMonthCodeAndYear(R81,2)</f>
        <v>FS1SM G21</v>
      </c>
      <c r="T81" s="1">
        <f t="shared" si="13"/>
        <v>44228</v>
      </c>
      <c r="U81" s="1" cm="1">
        <f t="array" aca="1" ref="U81" ca="1">_xll.QDates_LastDay(R81)</f>
        <v>44255</v>
      </c>
      <c r="V81" cm="1">
        <f t="array" aca="1" ref="V81" ca="1">_xll.BDP(S81&amp;" Index","PX_LAST")</f>
        <v>37.76</v>
      </c>
      <c r="W81" t="str" cm="1">
        <f t="array" aca="1" ref="W81" ca="1">_xll.QIns_CreateAsianCrackDiffSwap(S81,T81:U81,$J$70,R$70,"USD",V81,1000,1000,"LON","LON","NYC","2b","0b","0b","USD.LIBOR.3M")</f>
        <v>FS1SM G21¬0</v>
      </c>
      <c r="X81" s="14" cm="1">
        <f t="array" aca="1" ref="X81" ca="1">_xll.QCurves_GetAveragePrice(W$70,_xll.QDates_ListBusinessDaysInPeriod(T81,U81,"ICE"))</f>
        <v>205.00666969178101</v>
      </c>
    </row>
    <row r="82" spans="2:24" x14ac:dyDescent="0.25">
      <c r="B82" s="84">
        <f t="shared" si="8"/>
        <v>44256</v>
      </c>
      <c r="C82" t="str" cm="1">
        <f t="array" aca="1" ref="C82" ca="1">"FDBSM "&amp;_xll.QDates_GetMonthCodeAndYear(B82,2)</f>
        <v>FDBSM H21</v>
      </c>
      <c r="D82" s="1">
        <f t="shared" si="9"/>
        <v>44256</v>
      </c>
      <c r="E82" s="1" cm="1">
        <f t="array" aca="1" ref="E82" ca="1">_xll.QDates_LastDay(B82)</f>
        <v>44286</v>
      </c>
      <c r="F82" cm="1">
        <f t="array" aca="1" ref="F82" ca="1">_xll.BDP(C82&amp;" Index","PX_LAST")</f>
        <v>-1.1299999999999999</v>
      </c>
      <c r="G82" t="str" cm="1">
        <f t="array" aca="1" ref="G82" ca="1">_xll.QIns_CreateAsianCrackDiffSwap(C82,D82:E82,"CO","Dated","USD",F82,1,1,"ICE","LON","NYC","2b","0b","0b","USD.LIBOR.3M")</f>
        <v>FDBSM H21¬0</v>
      </c>
      <c r="H82" s="14" cm="1">
        <f t="array" aca="1" ref="H82" ca="1">_xll.QCurves_GetAveragePrice(G$70,_xll.QDates_ListBusinessDaysInPeriod(D82,E82,"ICE"))</f>
        <v>35.560744491356225</v>
      </c>
      <c r="J82" s="84">
        <f t="shared" si="10"/>
        <v>44256</v>
      </c>
      <c r="K82" t="str" cm="1">
        <f t="array" aca="1" ref="K82" ca="1">"FROSM "&amp;_xll.QDates_GetMonthCodeAndYear(J82,2)</f>
        <v>FROSM H21</v>
      </c>
      <c r="L82" s="1">
        <f t="shared" si="11"/>
        <v>44256</v>
      </c>
      <c r="M82" s="1" cm="1">
        <f t="array" aca="1" ref="M82" ca="1">_xll.QDates_LastDay(J82)</f>
        <v>44286</v>
      </c>
      <c r="N82" cm="1">
        <f t="array" aca="1" ref="N82" ca="1">_xll.BDP(K82&amp;" Index","PX_LAST")</f>
        <v>-9.9600000000000009</v>
      </c>
      <c r="O82" t="str" cm="1">
        <f t="array" aca="1" ref="O82" ca="1">_xll.QIns_CreateAsianCrackDiffSwap(K82,L82:M82,"CO",J$70,"USD",N82,6350,1000,"ICE","LON","NYC","2b","0b","0b","USD.LIBOR.3M")</f>
        <v>FROSM H21¬0</v>
      </c>
      <c r="P82" s="14" cm="1">
        <f t="array" aca="1" ref="P82" ca="1">_xll.QCurves_GetAveragePrice(O$70,_xll.QDates_ListBusinessDaysInPeriod(L82,M82,"ICE"))</f>
        <v>169.74022751637895</v>
      </c>
      <c r="R82" s="84">
        <f t="shared" si="12"/>
        <v>44256</v>
      </c>
      <c r="S82" t="str" cm="1">
        <f t="array" aca="1" ref="S82" ca="1">"FS1SM "&amp;_xll.QDates_GetMonthCodeAndYear(R82,2)</f>
        <v>FS1SM H21</v>
      </c>
      <c r="T82" s="1">
        <f t="shared" si="13"/>
        <v>44256</v>
      </c>
      <c r="U82" s="1" cm="1">
        <f t="array" aca="1" ref="U82" ca="1">_xll.QDates_LastDay(R82)</f>
        <v>44286</v>
      </c>
      <c r="V82" cm="1">
        <f t="array" aca="1" ref="V82" ca="1">_xll.BDP(S82&amp;" Index","PX_LAST")</f>
        <v>37.46</v>
      </c>
      <c r="W82" t="str" cm="1">
        <f t="array" aca="1" ref="W82" ca="1">_xll.QIns_CreateAsianCrackDiffSwap(S82,T82:U82,$J$70,R$70,"USD",V82,1000,1000,"LON","LON","NYC","2b","0b","0b","USD.LIBOR.3M")</f>
        <v>FS1SM H21¬0</v>
      </c>
      <c r="X82" s="14" cm="1">
        <f t="array" aca="1" ref="X82" ca="1">_xll.QCurves_GetAveragePrice(W$70,_xll.QDates_ListBusinessDaysInPeriod(T82,U82,"ICE"))</f>
        <v>207.20022751637899</v>
      </c>
    </row>
    <row r="83" spans="2:24" x14ac:dyDescent="0.25">
      <c r="B83" s="84">
        <f t="shared" si="8"/>
        <v>44287</v>
      </c>
      <c r="C83" t="str" cm="1">
        <f t="array" aca="1" ref="C83" ca="1">"FDBSM "&amp;_xll.QDates_GetMonthCodeAndYear(B83,2)</f>
        <v>FDBSM J21</v>
      </c>
      <c r="D83" s="1">
        <f t="shared" si="9"/>
        <v>44287</v>
      </c>
      <c r="E83" s="1" cm="1">
        <f t="array" aca="1" ref="E83" ca="1">_xll.QDates_LastDay(B83)</f>
        <v>44316</v>
      </c>
      <c r="F83" cm="1">
        <f t="array" aca="1" ref="F83" ca="1">_xll.BDP(C83&amp;" Index","PX_LAST")</f>
        <v>-1.07</v>
      </c>
      <c r="G83" t="str" cm="1">
        <f t="array" aca="1" ref="G83" ca="1">_xll.QIns_CreateAsianCrackDiffSwap(C83,D83:E83,"CO","Dated","USD",F83,1,1,"ICE","LON","NYC","2b","0b","0b","USD.LIBOR.3M")</f>
        <v>FDBSM J21¬0</v>
      </c>
      <c r="H83" s="14" cm="1">
        <f t="array" aca="1" ref="H83" ca="1">_xll.QCurves_GetAveragePrice(G$70,_xll.QDates_ListBusinessDaysInPeriod(D83,E83,"ICE"))</f>
        <v>36.046394769627234</v>
      </c>
      <c r="J83" s="84">
        <f t="shared" si="10"/>
        <v>44287</v>
      </c>
      <c r="K83" t="str" cm="1">
        <f t="array" aca="1" ref="K83" ca="1">"FROSM "&amp;_xll.QDates_GetMonthCodeAndYear(J83,2)</f>
        <v>FROSM J21</v>
      </c>
      <c r="L83" s="1">
        <f t="shared" si="11"/>
        <v>44287</v>
      </c>
      <c r="M83" s="1" cm="1">
        <f t="array" aca="1" ref="M83" ca="1">_xll.QDates_LastDay(J83)</f>
        <v>44316</v>
      </c>
      <c r="N83" cm="1">
        <f t="array" aca="1" ref="N83" ca="1">_xll.BDP(K83&amp;" Index","PX_LAST")</f>
        <v>-9.9600000000000009</v>
      </c>
      <c r="O83" t="str" cm="1">
        <f t="array" aca="1" ref="O83" ca="1">_xll.QIns_CreateAsianCrackDiffSwap(K83,L83:M83,"CO",J$70,"USD",N83,6350,1000,"ICE","LON","NYC","2b","0b","0b","USD.LIBOR.3M")</f>
        <v>FROSM J21¬0</v>
      </c>
      <c r="P83" s="14" cm="1">
        <f t="array" aca="1" ref="P83" ca="1">_xll.QCurves_GetAveragePrice(O$70,_xll.QDates_ListBusinessDaysInPeriod(L83,M83,"ICE"))</f>
        <v>172.44310678704858</v>
      </c>
      <c r="R83" s="84">
        <f t="shared" si="12"/>
        <v>44287</v>
      </c>
      <c r="S83" t="str" cm="1">
        <f t="array" aca="1" ref="S83" ca="1">"FS1SM "&amp;_xll.QDates_GetMonthCodeAndYear(R83,2)</f>
        <v>FS1SM J21</v>
      </c>
      <c r="T83" s="1">
        <f t="shared" si="13"/>
        <v>44287</v>
      </c>
      <c r="U83" s="1" cm="1">
        <f t="array" aca="1" ref="U83" ca="1">_xll.QDates_LastDay(R83)</f>
        <v>44316</v>
      </c>
      <c r="V83" cm="1">
        <f t="array" aca="1" ref="V83" ca="1">_xll.BDP(S83&amp;" Index","PX_LAST")</f>
        <v>37.25</v>
      </c>
      <c r="W83" t="str" cm="1">
        <f t="array" aca="1" ref="W83" ca="1">_xll.QIns_CreateAsianCrackDiffSwap(S83,T83:U83,$J$70,R$70,"USD",V83,1000,1000,"LON","LON","NYC","2b","0b","0b","USD.LIBOR.3M")</f>
        <v>FS1SM J21¬0</v>
      </c>
      <c r="X83" s="14" cm="1">
        <f t="array" aca="1" ref="X83" ca="1">_xll.QCurves_GetAveragePrice(W$70,_xll.QDates_ListBusinessDaysInPeriod(T83,U83,"ICE"))</f>
        <v>209.69310678704861</v>
      </c>
    </row>
    <row r="84" spans="2:24" x14ac:dyDescent="0.25">
      <c r="B84" s="84">
        <f t="shared" si="8"/>
        <v>44317</v>
      </c>
      <c r="C84" t="str" cm="1">
        <f t="array" aca="1" ref="C84" ca="1">"FDBSM "&amp;_xll.QDates_GetMonthCodeAndYear(B84,2)</f>
        <v>FDBSM K21</v>
      </c>
      <c r="D84" s="1">
        <f t="shared" si="9"/>
        <v>44317</v>
      </c>
      <c r="E84" s="1" cm="1">
        <f t="array" aca="1" ref="E84" ca="1">_xll.QDates_LastDay(B84)</f>
        <v>44347</v>
      </c>
      <c r="F84" cm="1">
        <f t="array" aca="1" ref="F84" ca="1">_xll.BDP(C84&amp;" Index","PX_LAST")</f>
        <v>-1.01</v>
      </c>
      <c r="G84" t="str" cm="1">
        <f t="array" aca="1" ref="G84" ca="1">_xll.QIns_CreateAsianCrackDiffSwap(C84,D84:E84,"CO","Dated","USD",F84,1,1,"ICE","LON","NYC","2b","0b","0b","USD.LIBOR.3M")</f>
        <v>FDBSM K21¬0</v>
      </c>
      <c r="H84" s="14" cm="1">
        <f t="array" aca="1" ref="H84" ca="1">_xll.QCurves_GetAveragePrice(G$70,_xll.QDates_ListBusinessDaysInPeriod(D84,E84,"ICE"))</f>
        <v>36.414298760551489</v>
      </c>
      <c r="J84" s="84">
        <f t="shared" si="10"/>
        <v>44317</v>
      </c>
      <c r="K84" t="str" cm="1">
        <f t="array" aca="1" ref="K84" ca="1">"FROSM "&amp;_xll.QDates_GetMonthCodeAndYear(J84,2)</f>
        <v>FROSM K21</v>
      </c>
      <c r="L84" s="1">
        <f t="shared" si="11"/>
        <v>44317</v>
      </c>
      <c r="M84" s="1" cm="1">
        <f t="array" aca="1" ref="M84" ca="1">_xll.QDates_LastDay(J84)</f>
        <v>44347</v>
      </c>
      <c r="N84" cm="1">
        <f t="array" aca="1" ref="N84" ca="1">_xll.BDP(K84&amp;" Index","PX_LAST")</f>
        <v>-9.94</v>
      </c>
      <c r="O84" t="str" cm="1">
        <f t="array" aca="1" ref="O84" ca="1">_xll.QIns_CreateAsianCrackDiffSwap(K84,L84:M84,"CO",J$70,"USD",N84,6350,1000,"ICE","LON","NYC","2b","0b","0b","USD.LIBOR.3M")</f>
        <v>FROSM K21¬0</v>
      </c>
      <c r="P84" s="14" cm="1">
        <f t="array" aca="1" ref="P84" ca="1">_xll.QCurves_GetAveragePrice(O$70,_xll.QDates_ListBusinessDaysInPeriod(L84,M84,"ICE"))</f>
        <v>174.52529712981095</v>
      </c>
      <c r="R84" s="84">
        <f t="shared" si="12"/>
        <v>44317</v>
      </c>
      <c r="S84" t="str" cm="1">
        <f t="array" aca="1" ref="S84" ca="1">"FS1SM "&amp;_xll.QDates_GetMonthCodeAndYear(R84,2)</f>
        <v>FS1SM K21</v>
      </c>
      <c r="T84" s="1">
        <f t="shared" si="13"/>
        <v>44317</v>
      </c>
      <c r="U84" s="1" cm="1">
        <f t="array" aca="1" ref="U84" ca="1">_xll.QDates_LastDay(R84)</f>
        <v>44347</v>
      </c>
      <c r="V84" cm="1">
        <f t="array" aca="1" ref="V84" ca="1">_xll.BDP(S84&amp;" Index","PX_LAST")</f>
        <v>39.770000000000003</v>
      </c>
      <c r="W84" t="str" cm="1">
        <f t="array" aca="1" ref="W84" ca="1">_xll.QIns_CreateAsianCrackDiffSwap(S84,T84:U84,$J$70,R$70,"USD",V84,1000,1000,"LON","LON","NYC","2b","0b","0b","USD.LIBOR.3M")</f>
        <v>FS1SM K21¬0</v>
      </c>
      <c r="X84" s="14" cm="1">
        <f t="array" aca="1" ref="X84" ca="1">_xll.QCurves_GetAveragePrice(W$70,_xll.QDates_ListBusinessDaysInPeriod(T84,U84,"ICE"))</f>
        <v>214.29529712981088</v>
      </c>
    </row>
    <row r="85" spans="2:24" x14ac:dyDescent="0.25">
      <c r="B85" s="84">
        <f t="shared" si="8"/>
        <v>44348</v>
      </c>
      <c r="C85" t="str" cm="1">
        <f t="array" aca="1" ref="C85" ca="1">"FDBSM "&amp;_xll.QDates_GetMonthCodeAndYear(B85,2)</f>
        <v>FDBSM M21</v>
      </c>
      <c r="D85" s="1">
        <f t="shared" si="9"/>
        <v>44348</v>
      </c>
      <c r="E85" s="1" cm="1">
        <f t="array" aca="1" ref="E85" ca="1">_xll.QDates_LastDay(B85)</f>
        <v>44377</v>
      </c>
      <c r="F85" cm="1">
        <f t="array" aca="1" ref="F85" ca="1">_xll.BDP(C85&amp;" Index","PX_LAST")</f>
        <v>-0.95</v>
      </c>
      <c r="G85" t="str" cm="1">
        <f t="array" aca="1" ref="G85" ca="1">_xll.QIns_CreateAsianCrackDiffSwap(C85,D85:E85,"CO","Dated","USD",F85,1,1,"ICE","LON","NYC","2b","0b","0b","USD.LIBOR.3M")</f>
        <v>FDBSM M21¬0</v>
      </c>
      <c r="H85" s="14" cm="1">
        <f t="array" aca="1" ref="H85" ca="1">_xll.QCurves_GetAveragePrice(G$70,_xll.QDates_ListBusinessDaysInPeriod(D85,E85,"ICE"))</f>
        <v>36.830778331855726</v>
      </c>
      <c r="J85" s="84">
        <f t="shared" si="10"/>
        <v>44348</v>
      </c>
      <c r="K85" t="str" cm="1">
        <f t="array" aca="1" ref="K85" ca="1">"FROSM "&amp;_xll.QDates_GetMonthCodeAndYear(J85,2)</f>
        <v>FROSM M21</v>
      </c>
      <c r="L85" s="1">
        <f t="shared" si="11"/>
        <v>44348</v>
      </c>
      <c r="M85" s="1" cm="1">
        <f t="array" aca="1" ref="M85" ca="1">_xll.QDates_LastDay(J85)</f>
        <v>44377</v>
      </c>
      <c r="N85" cm="1">
        <f t="array" aca="1" ref="N85" ca="1">_xll.BDP(K85&amp;" Index","PX_LAST")</f>
        <v>-9.9</v>
      </c>
      <c r="O85" t="str" cm="1">
        <f t="array" aca="1" ref="O85" ca="1">_xll.QIns_CreateAsianCrackDiffSwap(K85,L85:M85,"CO",J$70,"USD",N85,6350,1000,"ICE","LON","NYC","2b","0b","0b","USD.LIBOR.3M")</f>
        <v>FROSM M21¬0</v>
      </c>
      <c r="P85" s="14" cm="1">
        <f t="array" aca="1" ref="P85" ca="1">_xll.QCurves_GetAveragePrice(O$70,_xll.QDates_ListBusinessDaysInPeriod(L85,M85,"ICE"))</f>
        <v>177.0429424034869</v>
      </c>
      <c r="R85" s="84">
        <f t="shared" si="12"/>
        <v>44348</v>
      </c>
      <c r="S85" t="str" cm="1">
        <f t="array" aca="1" ref="S85" ca="1">"FS1SM "&amp;_xll.QDates_GetMonthCodeAndYear(R85,2)</f>
        <v>FS1SM M21</v>
      </c>
      <c r="T85" s="1">
        <f t="shared" si="13"/>
        <v>44348</v>
      </c>
      <c r="U85" s="1" cm="1">
        <f t="array" aca="1" ref="U85" ca="1">_xll.QDates_LastDay(R85)</f>
        <v>44377</v>
      </c>
      <c r="V85" cm="1">
        <f t="array" aca="1" ref="V85" ca="1">_xll.BDP(S85&amp;" Index","PX_LAST")</f>
        <v>39.61</v>
      </c>
      <c r="W85" t="str" cm="1">
        <f t="array" aca="1" ref="W85" ca="1">_xll.QIns_CreateAsianCrackDiffSwap(S85,T85:U85,$J$70,R$70,"USD",V85,1000,1000,"LON","LON","NYC","2b","0b","0b","USD.LIBOR.3M")</f>
        <v>FS1SM M21¬0</v>
      </c>
      <c r="X85" s="14" cm="1">
        <f t="array" aca="1" ref="X85" ca="1">_xll.QCurves_GetAveragePrice(W$70,_xll.QDates_ListBusinessDaysInPeriod(T85,U85,"ICE"))</f>
        <v>216.652942403487</v>
      </c>
    </row>
    <row r="86" spans="2:24" x14ac:dyDescent="0.25">
      <c r="B86" s="84">
        <f t="shared" si="8"/>
        <v>44378</v>
      </c>
      <c r="C86" t="str" cm="1">
        <f t="array" aca="1" ref="C86" ca="1">"FDBSM "&amp;_xll.QDates_GetMonthCodeAndYear(B86,2)</f>
        <v>FDBSM N21</v>
      </c>
      <c r="D86" s="1">
        <f t="shared" si="9"/>
        <v>44378</v>
      </c>
      <c r="E86" s="1" cm="1">
        <f t="array" aca="1" ref="E86" ca="1">_xll.QDates_LastDay(B86)</f>
        <v>44408</v>
      </c>
      <c r="F86" cm="1">
        <f t="array" aca="1" ref="F86" ca="1">_xll.BDP(C86&amp;" Index","PX_LAST")</f>
        <v>-0.89</v>
      </c>
      <c r="G86" t="str" cm="1">
        <f t="array" aca="1" ref="G86" ca="1">_xll.QIns_CreateAsianCrackDiffSwap(C86,D86:E86,"CO","Dated","USD",F86,1,1,"ICE","LON","NYC","2b","0b","0b","USD.LIBOR.3M")</f>
        <v>FDBSM N21¬0</v>
      </c>
      <c r="H86" s="14" cm="1">
        <f t="array" aca="1" ref="H86" ca="1">_xll.QCurves_GetAveragePrice(G$70,_xll.QDates_ListBusinessDaysInPeriod(D86,E86,"ICE"))</f>
        <v>37.302039227881558</v>
      </c>
      <c r="J86" s="84">
        <f t="shared" si="10"/>
        <v>44378</v>
      </c>
      <c r="K86" t="str" cm="1">
        <f t="array" aca="1" ref="K86" ca="1">"FROSM "&amp;_xll.QDates_GetMonthCodeAndYear(J86,2)</f>
        <v>FROSM N21</v>
      </c>
      <c r="L86" s="1">
        <f t="shared" si="11"/>
        <v>44378</v>
      </c>
      <c r="M86" s="1" cm="1">
        <f t="array" aca="1" ref="M86" ca="1">_xll.QDates_LastDay(J86)</f>
        <v>44408</v>
      </c>
      <c r="N86" cm="1">
        <f t="array" aca="1" ref="N86" ca="1">_xll.BDP(K86&amp;" Index","PX_LAST")</f>
        <v>-9.9</v>
      </c>
      <c r="O86" t="str" cm="1">
        <f t="array" aca="1" ref="O86" ca="1">_xll.QIns_CreateAsianCrackDiffSwap(K86,L86:M86,"CO",J$70,"USD",N86,6350,1000,"ICE","LON","NYC","2b","0b","0b","USD.LIBOR.3M")</f>
        <v>FROSM N21¬0</v>
      </c>
      <c r="P86" s="14" cm="1">
        <f t="array" aca="1" ref="P86" ca="1">_xll.QCurves_GetAveragePrice(O$70,_xll.QDates_ListBusinessDaysInPeriod(L86,M86,"ICE"))</f>
        <v>179.65444909713563</v>
      </c>
      <c r="R86" s="84">
        <f t="shared" si="12"/>
        <v>44378</v>
      </c>
      <c r="S86" t="str" cm="1">
        <f t="array" aca="1" ref="S86" ca="1">"FS1SM "&amp;_xll.QDates_GetMonthCodeAndYear(R86,2)</f>
        <v>FS1SM N21</v>
      </c>
      <c r="T86" s="1">
        <f t="shared" si="13"/>
        <v>44378</v>
      </c>
      <c r="U86" s="1" cm="1">
        <f t="array" aca="1" ref="U86" ca="1">_xll.QDates_LastDay(R86)</f>
        <v>44408</v>
      </c>
      <c r="V86" cm="1">
        <f t="array" aca="1" ref="V86" ca="1">_xll.BDP(S86&amp;" Index","PX_LAST")</f>
        <v>39.65</v>
      </c>
      <c r="W86" t="str" cm="1">
        <f t="array" aca="1" ref="W86" ca="1">_xll.QIns_CreateAsianCrackDiffSwap(S86,T86:U86,$J$70,R$70,"USD",V86,1000,1000,"LON","LON","NYC","2b","0b","0b","USD.LIBOR.3M")</f>
        <v>FS1SM N21¬0</v>
      </c>
      <c r="X86" s="14" cm="1">
        <f t="array" aca="1" ref="X86" ca="1">_xll.QCurves_GetAveragePrice(W$70,_xll.QDates_ListBusinessDaysInPeriod(T86,U86,"ICE"))</f>
        <v>219.30444909713557</v>
      </c>
    </row>
    <row r="87" spans="2:24" x14ac:dyDescent="0.25">
      <c r="B87" s="84">
        <f t="shared" si="8"/>
        <v>44409</v>
      </c>
      <c r="C87" t="str" cm="1">
        <f t="array" aca="1" ref="C87" ca="1">"FDBSM "&amp;_xll.QDates_GetMonthCodeAndYear(B87,2)</f>
        <v>FDBSM Q21</v>
      </c>
      <c r="D87" s="1">
        <f t="shared" si="9"/>
        <v>44409</v>
      </c>
      <c r="E87" s="1" cm="1">
        <f t="array" aca="1" ref="E87" ca="1">_xll.QDates_LastDay(B87)</f>
        <v>44439</v>
      </c>
      <c r="F87" cm="1">
        <f t="array" aca="1" ref="F87" ca="1">_xll.BDP(C87&amp;" Index","PX_LAST")</f>
        <v>-0.83</v>
      </c>
      <c r="G87" t="str" cm="1">
        <f t="array" aca="1" ref="G87" ca="1">_xll.QIns_CreateAsianCrackDiffSwap(C87,D87:E87,"CO","Dated","USD",F87,1,1,"ICE","LON","NYC","2b","0b","0b","USD.LIBOR.3M")</f>
        <v>FDBSM Q21¬0</v>
      </c>
      <c r="H87" s="14" cm="1">
        <f t="array" aca="1" ref="H87" ca="1">_xll.QCurves_GetAveragePrice(G$70,_xll.QDates_ListBusinessDaysInPeriod(D87,E87,"ICE"))</f>
        <v>37.664069115758139</v>
      </c>
      <c r="J87" s="84">
        <f t="shared" si="10"/>
        <v>44409</v>
      </c>
      <c r="K87" t="str" cm="1">
        <f t="array" aca="1" ref="K87" ca="1">"FROSM "&amp;_xll.QDates_GetMonthCodeAndYear(J87,2)</f>
        <v>FROSM Q21</v>
      </c>
      <c r="L87" s="1">
        <f t="shared" si="11"/>
        <v>44409</v>
      </c>
      <c r="M87" s="1" cm="1">
        <f t="array" aca="1" ref="M87" ca="1">_xll.QDates_LastDay(J87)</f>
        <v>44439</v>
      </c>
      <c r="N87" cm="1">
        <f t="array" aca="1" ref="N87" ca="1">_xll.BDP(K87&amp;" Index","PX_LAST")</f>
        <v>-9.89</v>
      </c>
      <c r="O87" t="str" cm="1">
        <f t="array" aca="1" ref="O87" ca="1">_xll.QIns_CreateAsianCrackDiffSwap(K87,L87:M87,"CO",J$70,"USD",N87,6350,1000,"ICE","LON","NYC","2b","0b","0b","USD.LIBOR.3M")</f>
        <v>FROSM Q21¬0</v>
      </c>
      <c r="P87" s="14" cm="1">
        <f t="array" aca="1" ref="P87" ca="1">_xll.QCurves_GetAveragePrice(O$70,_xll.QDates_ListBusinessDaysInPeriod(L87,M87,"ICE"))</f>
        <v>181.63583888542973</v>
      </c>
      <c r="R87" s="84">
        <f t="shared" si="12"/>
        <v>44409</v>
      </c>
      <c r="S87" t="str" cm="1">
        <f t="array" aca="1" ref="S87" ca="1">"FS1SM "&amp;_xll.QDates_GetMonthCodeAndYear(R87,2)</f>
        <v>FS1SM Q21</v>
      </c>
      <c r="T87" s="1">
        <f t="shared" si="13"/>
        <v>44409</v>
      </c>
      <c r="U87" s="1" cm="1">
        <f t="array" aca="1" ref="U87" ca="1">_xll.QDates_LastDay(R87)</f>
        <v>44439</v>
      </c>
      <c r="V87" cm="1">
        <f t="array" aca="1" ref="V87" ca="1">_xll.BDP(S87&amp;" Index","PX_LAST")</f>
        <v>39.9</v>
      </c>
      <c r="W87" t="str" cm="1">
        <f t="array" aca="1" ref="W87" ca="1">_xll.QIns_CreateAsianCrackDiffSwap(S87,T87:U87,$J$70,R$70,"USD",V87,1000,1000,"LON","LON","NYC","2b","0b","0b","USD.LIBOR.3M")</f>
        <v>FS1SM Q21¬0</v>
      </c>
      <c r="X87" s="14" cm="1">
        <f t="array" aca="1" ref="X87" ca="1">_xll.QCurves_GetAveragePrice(W$70,_xll.QDates_ListBusinessDaysInPeriod(T87,U87,"ICE"))</f>
        <v>221.53583888542968</v>
      </c>
    </row>
    <row r="88" spans="2:24" x14ac:dyDescent="0.25">
      <c r="B88" s="84">
        <f t="shared" si="8"/>
        <v>44440</v>
      </c>
      <c r="C88" t="str" cm="1">
        <f t="array" aca="1" ref="C88" ca="1">"FDBSM "&amp;_xll.QDates_GetMonthCodeAndYear(B88,2)</f>
        <v>FDBSM U21</v>
      </c>
      <c r="D88" s="1">
        <f t="shared" si="9"/>
        <v>44440</v>
      </c>
      <c r="E88" s="1" cm="1">
        <f t="array" aca="1" ref="E88" ca="1">_xll.QDates_LastDay(B88)</f>
        <v>44469</v>
      </c>
      <c r="F88" cm="1">
        <f t="array" aca="1" ref="F88" ca="1">_xll.BDP(C88&amp;" Index","PX_LAST")</f>
        <v>-0.77</v>
      </c>
      <c r="G88" t="str" cm="1">
        <f t="array" aca="1" ref="G88" ca="1">_xll.QIns_CreateAsianCrackDiffSwap(C88,D88:E88,"CO","Dated","USD",F88,1,1,"ICE","LON","NYC","2b","0b","0b","USD.LIBOR.3M")</f>
        <v>FDBSM U21¬0</v>
      </c>
      <c r="H88" s="14" cm="1">
        <f t="array" aca="1" ref="H88" ca="1">_xll.QCurves_GetAveragePrice(G$70,_xll.QDates_ListBusinessDaysInPeriod(D88,E88,"ICE"))</f>
        <v>38.012528019902192</v>
      </c>
      <c r="J88" s="84">
        <f t="shared" si="10"/>
        <v>44440</v>
      </c>
      <c r="K88" t="str" cm="1">
        <f t="array" aca="1" ref="K88" ca="1">"FROSM "&amp;_xll.QDates_GetMonthCodeAndYear(J88,2)</f>
        <v>FROSM U21</v>
      </c>
      <c r="L88" s="1">
        <f t="shared" si="11"/>
        <v>44440</v>
      </c>
      <c r="M88" s="1" cm="1">
        <f t="array" aca="1" ref="M88" ca="1">_xll.QDates_LastDay(J88)</f>
        <v>44469</v>
      </c>
      <c r="N88" cm="1">
        <f t="array" aca="1" ref="N88" ca="1">_xll.BDP(K88&amp;" Index","PX_LAST")</f>
        <v>-9.8800000000000008</v>
      </c>
      <c r="O88" t="str" cm="1">
        <f t="array" aca="1" ref="O88" ca="1">_xll.QIns_CreateAsianCrackDiffSwap(K88,L88:M88,"CO",J$70,"USD",N88,6350,1000,"ICE","LON","NYC","2b","0b","0b","USD.LIBOR.3M")</f>
        <v>FROSM U21¬0</v>
      </c>
      <c r="P88" s="14" cm="1">
        <f t="array" aca="1" ref="P88" ca="1">_xll.QCurves_GetAveragePrice(O$70,_xll.QDates_ListBusinessDaysInPeriod(L88,M88,"ICE"))</f>
        <v>183.5310529265256</v>
      </c>
      <c r="R88" s="84">
        <f t="shared" si="12"/>
        <v>44440</v>
      </c>
      <c r="S88" t="str" cm="1">
        <f t="array" aca="1" ref="S88" ca="1">"FS1SM "&amp;_xll.QDates_GetMonthCodeAndYear(R88,2)</f>
        <v>FS1SM U21</v>
      </c>
      <c r="T88" s="1">
        <f t="shared" si="13"/>
        <v>44440</v>
      </c>
      <c r="U88" s="1" cm="1">
        <f t="array" aca="1" ref="U88" ca="1">_xll.QDates_LastDay(R88)</f>
        <v>44469</v>
      </c>
      <c r="V88" cm="1">
        <f t="array" aca="1" ref="V88" ca="1">_xll.BDP(S88&amp;" Index","PX_LAST")</f>
        <v>40.28</v>
      </c>
      <c r="W88" t="str" cm="1">
        <f t="array" aca="1" ref="W88" ca="1">_xll.QIns_CreateAsianCrackDiffSwap(S88,T88:U88,$J$70,R$70,"USD",V88,1000,1000,"LON","LON","NYC","2b","0b","0b","USD.LIBOR.3M")</f>
        <v>FS1SM U21¬0</v>
      </c>
      <c r="X88" s="14" cm="1">
        <f t="array" aca="1" ref="X88" ca="1">_xll.QCurves_GetAveragePrice(W$70,_xll.QDates_ListBusinessDaysInPeriod(T88,U88,"ICE"))</f>
        <v>223.81105292652555</v>
      </c>
    </row>
    <row r="89" spans="2:24" x14ac:dyDescent="0.25">
      <c r="B89" s="84">
        <f t="shared" si="8"/>
        <v>44470</v>
      </c>
      <c r="C89" t="str" cm="1">
        <f t="array" aca="1" ref="C89" ca="1">"FDBSM "&amp;_xll.QDates_GetMonthCodeAndYear(B89,2)</f>
        <v>FDBSM V21</v>
      </c>
      <c r="D89" s="1">
        <f t="shared" si="9"/>
        <v>44470</v>
      </c>
      <c r="E89" s="1" cm="1">
        <f t="array" aca="1" ref="E89" ca="1">_xll.QDates_LastDay(B89)</f>
        <v>44500</v>
      </c>
      <c r="F89" cm="1">
        <f t="array" aca="1" ref="F89" ca="1">_xll.BDP(C89&amp;" Index","PX_LAST")</f>
        <v>-0.71</v>
      </c>
      <c r="G89" t="str" cm="1">
        <f t="array" aca="1" ref="G89" ca="1">_xll.QIns_CreateAsianCrackDiffSwap(C89,D89:E89,"CO","Dated","USD",F89,1,1,"ICE","LON","NYC","2b","0b","0b","USD.LIBOR.3M")</f>
        <v>FDBSM V21¬0</v>
      </c>
      <c r="H89" s="14" cm="1">
        <f t="array" aca="1" ref="H89" ca="1">_xll.QCurves_GetAveragePrice(G$70,_xll.QDates_ListBusinessDaysInPeriod(D89,E89,"ICE"))</f>
        <v>38.301842792037277</v>
      </c>
      <c r="J89" s="84">
        <f t="shared" si="10"/>
        <v>44470</v>
      </c>
      <c r="K89" t="str" cm="1">
        <f t="array" aca="1" ref="K89" ca="1">"FROSM "&amp;_xll.QDates_GetMonthCodeAndYear(J89,2)</f>
        <v>FROSM V21</v>
      </c>
      <c r="L89" s="1">
        <f t="shared" si="11"/>
        <v>44470</v>
      </c>
      <c r="M89" s="1" cm="1">
        <f t="array" aca="1" ref="M89" ca="1">_xll.QDates_LastDay(J89)</f>
        <v>44500</v>
      </c>
      <c r="N89" cm="1">
        <f t="array" aca="1" ref="N89" ca="1">_xll.BDP(K89&amp;" Index","PX_LAST")</f>
        <v>-9.8699999999999992</v>
      </c>
      <c r="O89" t="str" cm="1">
        <f t="array" aca="1" ref="O89" ca="1">_xll.QIns_CreateAsianCrackDiffSwap(K89,L89:M89,"CO",J$70,"USD",N89,6350,1000,"ICE","LON","NYC","2b","0b","0b","USD.LIBOR.3M")</f>
        <v>FROSM V21¬0</v>
      </c>
      <c r="P89" s="14" cm="1">
        <f t="array" aca="1" ref="P89" ca="1">_xll.QCurves_GetAveragePrice(O$70,_xll.QDates_ListBusinessDaysInPeriod(L89,M89,"ICE"))</f>
        <v>185.05070172863668</v>
      </c>
      <c r="R89" s="84">
        <f t="shared" si="12"/>
        <v>44470</v>
      </c>
      <c r="S89" t="str" cm="1">
        <f t="array" aca="1" ref="S89" ca="1">"FS1SM "&amp;_xll.QDates_GetMonthCodeAndYear(R89,2)</f>
        <v>FS1SM V21</v>
      </c>
      <c r="T89" s="1">
        <f t="shared" si="13"/>
        <v>44470</v>
      </c>
      <c r="U89" s="1" cm="1">
        <f t="array" aca="1" ref="U89" ca="1">_xll.QDates_LastDay(R89)</f>
        <v>44500</v>
      </c>
      <c r="V89" cm="1">
        <f t="array" aca="1" ref="V89" ca="1">_xll.BDP(S89&amp;" Index","PX_LAST")</f>
        <v>40.78</v>
      </c>
      <c r="W89" t="str" cm="1">
        <f t="array" aca="1" ref="W89" ca="1">_xll.QIns_CreateAsianCrackDiffSwap(S89,T89:U89,$J$70,R$70,"USD",V89,1000,1000,"LON","LON","NYC","2b","0b","0b","USD.LIBOR.3M")</f>
        <v>FS1SM V21¬0</v>
      </c>
      <c r="X89" s="14" cm="1">
        <f t="array" aca="1" ref="X89" ca="1">_xll.QCurves_GetAveragePrice(W$70,_xll.QDates_ListBusinessDaysInPeriod(T89,U89,"ICE"))</f>
        <v>225.83070172863668</v>
      </c>
    </row>
    <row r="90" spans="2:24" x14ac:dyDescent="0.25">
      <c r="B90" s="84">
        <f t="shared" si="8"/>
        <v>44501</v>
      </c>
      <c r="C90" t="str" cm="1">
        <f t="array" aca="1" ref="C90" ca="1">"FDBSM "&amp;_xll.QDates_GetMonthCodeAndYear(B90,2)</f>
        <v>FDBSM X21</v>
      </c>
      <c r="D90" s="1">
        <f t="shared" si="9"/>
        <v>44501</v>
      </c>
      <c r="E90" s="1" cm="1">
        <f t="array" aca="1" ref="E90" ca="1">_xll.QDates_LastDay(B90)</f>
        <v>44530</v>
      </c>
      <c r="F90" cm="1">
        <f t="array" aca="1" ref="F90" ca="1">_xll.BDP(C90&amp;" Index","PX_LAST")</f>
        <v>-0.65</v>
      </c>
      <c r="G90" t="str" cm="1">
        <f t="array" aca="1" ref="G90" ca="1">_xll.QIns_CreateAsianCrackDiffSwap(C90,D90:E90,"CO","Dated","USD",F90,1,1,"ICE","LON","NYC","2b","0b","0b","USD.LIBOR.3M")</f>
        <v>FDBSM X21¬0</v>
      </c>
      <c r="H90" s="14" cm="1">
        <f t="array" aca="1" ref="H90" ca="1">_xll.QCurves_GetAveragePrice(G$70,_xll.QDates_ListBusinessDaysInPeriod(D90,E90,"ICE"))</f>
        <v>38.650093400088991</v>
      </c>
      <c r="J90" s="84">
        <f t="shared" si="10"/>
        <v>44501</v>
      </c>
      <c r="K90" t="str" cm="1">
        <f t="array" aca="1" ref="K90" ca="1">"FROSM "&amp;_xll.QDates_GetMonthCodeAndYear(J90,2)</f>
        <v>FROSM X21</v>
      </c>
      <c r="L90" s="1">
        <f t="shared" si="11"/>
        <v>44501</v>
      </c>
      <c r="M90" s="1" cm="1">
        <f t="array" aca="1" ref="M90" ca="1">_xll.QDates_LastDay(J90)</f>
        <v>44530</v>
      </c>
      <c r="N90" cm="1">
        <f t="array" aca="1" ref="N90" ca="1">_xll.BDP(K90&amp;" Index","PX_LAST")</f>
        <v>-9.84</v>
      </c>
      <c r="O90" t="str" cm="1">
        <f t="array" aca="1" ref="O90" ca="1">_xll.QIns_CreateAsianCrackDiffSwap(K90,L90:M90,"CO",J$70,"USD",N90,6350,1000,"ICE","LON","NYC","2b","0b","0b","USD.LIBOR.3M")</f>
        <v>FROSM X21¬0</v>
      </c>
      <c r="P90" s="14" cm="1">
        <f t="array" aca="1" ref="P90" ca="1">_xll.QCurves_GetAveragePrice(O$70,_xll.QDates_ListBusinessDaysInPeriod(L90,M90,"ICE"))</f>
        <v>187.07159308841838</v>
      </c>
      <c r="R90" s="84">
        <f t="shared" si="12"/>
        <v>44501</v>
      </c>
      <c r="S90" t="str" cm="1">
        <f t="array" aca="1" ref="S90" ca="1">"FS1SM "&amp;_xll.QDates_GetMonthCodeAndYear(R90,2)</f>
        <v>FS1SM X21</v>
      </c>
      <c r="T90" s="1">
        <f t="shared" si="13"/>
        <v>44501</v>
      </c>
      <c r="U90" s="1" cm="1">
        <f t="array" aca="1" ref="U90" ca="1">_xll.QDates_LastDay(R90)</f>
        <v>44530</v>
      </c>
      <c r="V90" cm="1">
        <f t="array" aca="1" ref="V90" ca="1">_xll.BDP(S90&amp;" Index","PX_LAST")</f>
        <v>41.48</v>
      </c>
      <c r="W90" t="str" cm="1">
        <f t="array" aca="1" ref="W90" ca="1">_xll.QIns_CreateAsianCrackDiffSwap(S90,T90:U90,$J$70,R$70,"USD",V90,1000,1000,"LON","LON","NYC","2b","0b","0b","USD.LIBOR.3M")</f>
        <v>FS1SM X21¬0</v>
      </c>
      <c r="X90" s="14" cm="1">
        <f t="array" aca="1" ref="X90" ca="1">_xll.QCurves_GetAveragePrice(W$70,_xll.QDates_ListBusinessDaysInPeriod(T90,U90,"ICE"))</f>
        <v>228.55159308841846</v>
      </c>
    </row>
    <row r="91" spans="2:24" x14ac:dyDescent="0.25">
      <c r="B91" s="84">
        <f t="shared" ref="B91:B100" si="14">EDATE(B90,1)</f>
        <v>44531</v>
      </c>
      <c r="C91" t="str" cm="1">
        <f t="array" aca="1" ref="C91" ca="1">"FDBSM "&amp;_xll.QDates_GetMonthCodeAndYear(B91,2)</f>
        <v>FDBSM Z21</v>
      </c>
      <c r="D91" s="1">
        <f t="shared" ref="D91:D100" si="15">B91</f>
        <v>44531</v>
      </c>
      <c r="E91" s="1" cm="1">
        <f t="array" aca="1" ref="E91" ca="1">_xll.QDates_LastDay(B91)</f>
        <v>44561</v>
      </c>
      <c r="F91" cm="1">
        <f t="array" aca="1" ref="F91" ca="1">_xll.BDP(C91&amp;" Index","PX_LAST")</f>
        <v>-0.57999999999999996</v>
      </c>
      <c r="G91" t="str" cm="1">
        <f t="array" aca="1" ref="G91" ca="1">_xll.QIns_CreateAsianCrackDiffSwap(C91,D91:E91,"CO","Dated","USD",F91,1,1,"ICE","LON","NYC","2b","0b","0b","USD.LIBOR.3M")</f>
        <v>FDBSM Z21¬0</v>
      </c>
      <c r="H91" s="14" cm="1">
        <f t="array" aca="1" ref="H91" ca="1">_xll.QCurves_GetAveragePrice(G$70,_xll.QDates_ListBusinessDaysInPeriod(D91,E91,"ICE"))</f>
        <v>39.037974985088368</v>
      </c>
      <c r="J91" s="84">
        <f t="shared" si="10"/>
        <v>44531</v>
      </c>
      <c r="K91" t="str" cm="1">
        <f t="array" aca="1" ref="K91" ca="1">"FROSM "&amp;_xll.QDates_GetMonthCodeAndYear(J91,2)</f>
        <v>FROSM Z21</v>
      </c>
      <c r="L91" s="1">
        <f t="shared" si="11"/>
        <v>44531</v>
      </c>
      <c r="M91" s="1" cm="1">
        <f t="array" aca="1" ref="M91" ca="1">_xll.QDates_LastDay(J91)</f>
        <v>44561</v>
      </c>
      <c r="N91" cm="1">
        <f t="array" aca="1" ref="N91" ca="1">_xll.BDP(K91&amp;" Index","PX_LAST")</f>
        <v>-9.91</v>
      </c>
      <c r="O91" t="str" cm="1">
        <f t="array" aca="1" ref="O91" ca="1">_xll.QIns_CreateAsianCrackDiffSwap(K91,L91:M91,"CO",J$70,"USD",N91,6350,1000,"ICE","LON","NYC","2b","0b","0b","USD.LIBOR.3M")</f>
        <v>FROSM Z21¬0</v>
      </c>
      <c r="P91" s="14" cm="1">
        <f t="array" aca="1" ref="P91" ca="1">_xll.QCurves_GetAveragePrice(O$70,_xll.QDates_ListBusinessDaysInPeriod(L91,M91,"ICE"))</f>
        <v>188.6456411554496</v>
      </c>
      <c r="R91" s="84">
        <f t="shared" si="12"/>
        <v>44531</v>
      </c>
      <c r="S91" t="str" cm="1">
        <f t="array" aca="1" ref="S91" ca="1">"FS1SM "&amp;_xll.QDates_GetMonthCodeAndYear(R91,2)</f>
        <v>FS1SM Z21</v>
      </c>
      <c r="T91" s="1">
        <f t="shared" si="13"/>
        <v>44531</v>
      </c>
      <c r="U91" s="1" cm="1">
        <f t="array" aca="1" ref="U91" ca="1">_xll.QDates_LastDay(R91)</f>
        <v>44561</v>
      </c>
      <c r="V91" cm="1">
        <f t="array" aca="1" ref="V91" ca="1">_xll.BDP(S91&amp;" Index","PX_LAST")</f>
        <v>41.98</v>
      </c>
      <c r="W91" t="str" cm="1">
        <f t="array" aca="1" ref="W91" ca="1">_xll.QIns_CreateAsianCrackDiffSwap(S91,T91:U91,$J$70,R$70,"USD",V91,1000,1000,"LON","LON","NYC","2b","0b","0b","USD.LIBOR.3M")</f>
        <v>FS1SM Z21¬0</v>
      </c>
      <c r="X91" s="14" cm="1">
        <f t="array" aca="1" ref="X91" ca="1">_xll.QCurves_GetAveragePrice(W$70,_xll.QDates_ListBusinessDaysInPeriod(T91,U91,"ICE"))</f>
        <v>230.62564115544959</v>
      </c>
    </row>
    <row r="92" spans="2:24" x14ac:dyDescent="0.25">
      <c r="B92" s="84">
        <f t="shared" si="14"/>
        <v>44562</v>
      </c>
      <c r="C92" t="str" cm="1">
        <f t="array" aca="1" ref="C92" ca="1">"FDBSM "&amp;_xll.QDates_GetMonthCodeAndYear(B92,2)</f>
        <v>FDBSM F22</v>
      </c>
      <c r="D92" s="1">
        <f t="shared" si="15"/>
        <v>44562</v>
      </c>
      <c r="E92" s="1" cm="1">
        <f t="array" aca="1" ref="E92" ca="1">_xll.QDates_LastDay(B92)</f>
        <v>44592</v>
      </c>
      <c r="F92" cm="1">
        <f t="array" aca="1" ref="F92" ca="1">_xll.BDP(C92&amp;" Index","PX_LAST")</f>
        <v>-0.52</v>
      </c>
      <c r="G92" t="str" cm="1">
        <f t="array" aca="1" ref="G92" ca="1">_xll.QIns_CreateAsianCrackDiffSwap(C92,D92:E92,"CO","Dated","USD",F92,1,1,"ICE","LON","NYC","2b","0b","0b","USD.LIBOR.3M")</f>
        <v>FDBSM F22¬0</v>
      </c>
      <c r="H92" s="14" cm="1">
        <f t="array" aca="1" ref="H92" ca="1">_xll.QCurves_GetAveragePrice(G$70,_xll.QDates_ListBusinessDaysInPeriod(D92,E92,"ICE"))</f>
        <v>39.451578604411715</v>
      </c>
      <c r="J92" s="84">
        <f t="shared" si="10"/>
        <v>44562</v>
      </c>
      <c r="K92" t="str" cm="1">
        <f t="array" aca="1" ref="K92" ca="1">"FROSM "&amp;_xll.QDates_GetMonthCodeAndYear(J92,2)</f>
        <v>FROSM F22</v>
      </c>
      <c r="L92" s="1">
        <f t="shared" si="11"/>
        <v>44562</v>
      </c>
      <c r="M92" s="1" cm="1">
        <f t="array" aca="1" ref="M92" ca="1">_xll.QDates_LastDay(J92)</f>
        <v>44592</v>
      </c>
      <c r="N92" cm="1">
        <f t="array" aca="1" ref="N92" ca="1">_xll.BDP(K92&amp;" Index","PX_LAST")</f>
        <v>-9.56</v>
      </c>
      <c r="O92" t="str" cm="1">
        <f t="array" aca="1" ref="O92" ca="1">_xll.QIns_CreateAsianCrackDiffSwap(K92,L92:M92,"CO",J$70,"USD",N92,6350,1000,"ICE","LON","NYC","2b","0b","0b","USD.LIBOR.3M")</f>
        <v>FROSM F22¬0</v>
      </c>
      <c r="P92" s="14" cm="1">
        <f t="array" aca="1" ref="P92" ca="1">_xll.QCurves_GetAveragePrice(O$70,_xll.QDates_ListBusinessDaysInPeriod(L92,M92,"ICE"))</f>
        <v>193.11352413568159</v>
      </c>
      <c r="R92" s="84">
        <f t="shared" si="12"/>
        <v>44562</v>
      </c>
      <c r="S92" t="str" cm="1">
        <f t="array" aca="1" ref="S92" ca="1">"FS1SM "&amp;_xll.QDates_GetMonthCodeAndYear(R92,2)</f>
        <v>FS1SM F22</v>
      </c>
      <c r="T92" s="1">
        <f t="shared" si="13"/>
        <v>44562</v>
      </c>
      <c r="U92" s="1" cm="1">
        <f t="array" aca="1" ref="U92" ca="1">_xll.QDates_LastDay(R92)</f>
        <v>44592</v>
      </c>
      <c r="V92" cm="1">
        <f t="array" aca="1" ref="V92" ca="1">_xll.BDP(S92&amp;" Index","PX_LAST")</f>
        <v>41.86</v>
      </c>
      <c r="W92" t="str" cm="1">
        <f t="array" aca="1" ref="W92" ca="1">_xll.QIns_CreateAsianCrackDiffSwap(S92,T92:U92,$J$70,R$70,"USD",V92,1000,1000,"LON","LON","NYC","2b","0b","0b","USD.LIBOR.3M")</f>
        <v>FS1SM F22¬0</v>
      </c>
      <c r="X92" s="14" cm="1">
        <f t="array" aca="1" ref="X92" ca="1">_xll.QCurves_GetAveragePrice(W$70,_xll.QDates_ListBusinessDaysInPeriod(T92,U92,"ICE"))</f>
        <v>234.97352413568149</v>
      </c>
    </row>
    <row r="93" spans="2:24" x14ac:dyDescent="0.25">
      <c r="B93" s="84">
        <f t="shared" si="14"/>
        <v>44593</v>
      </c>
      <c r="C93" t="str" cm="1">
        <f t="array" aca="1" ref="C93" ca="1">"FDBSM "&amp;_xll.QDates_GetMonthCodeAndYear(B93,2)</f>
        <v>FDBSM G22</v>
      </c>
      <c r="D93" s="1">
        <f t="shared" si="15"/>
        <v>44593</v>
      </c>
      <c r="E93" s="1" cm="1">
        <f t="array" aca="1" ref="E93" ca="1">_xll.QDates_LastDay(B93)</f>
        <v>44620</v>
      </c>
      <c r="F93" cm="1">
        <f t="array" aca="1" ref="F93" ca="1">_xll.BDP(C93&amp;" Index","PX_LAST")</f>
        <v>-0.46</v>
      </c>
      <c r="G93" t="str" cm="1">
        <f t="array" aca="1" ref="G93" ca="1">_xll.QIns_CreateAsianCrackDiffSwap(C93,D93:E93,"CO","Dated","USD",F93,1,1,"ICE","LON","NYC","2b","0b","0b","USD.LIBOR.3M")</f>
        <v>FDBSM G22¬0</v>
      </c>
      <c r="H93" s="14" cm="1">
        <f t="array" aca="1" ref="H93" ca="1">_xll.QCurves_GetAveragePrice(G$70,_xll.QDates_ListBusinessDaysInPeriod(D93,E93,"ICE"))</f>
        <v>39.866849315098683</v>
      </c>
      <c r="J93" s="84">
        <f t="shared" si="10"/>
        <v>44593</v>
      </c>
      <c r="K93" t="str" cm="1">
        <f t="array" aca="1" ref="K93" ca="1">"FROSM "&amp;_xll.QDates_GetMonthCodeAndYear(J93,2)</f>
        <v>FROSM G22</v>
      </c>
      <c r="L93" s="1">
        <f t="shared" si="11"/>
        <v>44593</v>
      </c>
      <c r="M93" s="1" cm="1">
        <f t="array" aca="1" ref="M93" ca="1">_xll.QDates_LastDay(J93)</f>
        <v>44620</v>
      </c>
      <c r="N93" cm="1">
        <f t="array" aca="1" ref="N93" ca="1">_xll.BDP(K93&amp;" Index","PX_LAST")</f>
        <v>-9.26</v>
      </c>
      <c r="O93" t="str" cm="1">
        <f t="array" aca="1" ref="O93" ca="1">_xll.QIns_CreateAsianCrackDiffSwap(K93,L93:M93,"CO",J$70,"USD",N93,6350,1000,"ICE","LON","NYC","2b","0b","0b","USD.LIBOR.3M")</f>
        <v>FROSM G22¬0</v>
      </c>
      <c r="P93" s="14" cm="1">
        <f t="array" aca="1" ref="P93" ca="1">_xll.QCurves_GetAveragePrice(O$70,_xll.QDates_ListBusinessDaysInPeriod(L93,M93,"ICE"))</f>
        <v>197.27449315068486</v>
      </c>
      <c r="R93" s="84">
        <f t="shared" si="12"/>
        <v>44593</v>
      </c>
      <c r="S93" t="str" cm="1">
        <f t="array" aca="1" ref="S93" ca="1">"FS1SM "&amp;_xll.QDates_GetMonthCodeAndYear(R93,2)</f>
        <v>FS1SM G22</v>
      </c>
      <c r="T93" s="1">
        <f t="shared" si="13"/>
        <v>44593</v>
      </c>
      <c r="U93" s="1" cm="1">
        <f t="array" aca="1" ref="U93" ca="1">_xll.QDates_LastDay(R93)</f>
        <v>44620</v>
      </c>
      <c r="V93" cm="1">
        <f t="array" aca="1" ref="V93" ca="1">_xll.BDP(S93&amp;" Index","PX_LAST")</f>
        <v>43.13</v>
      </c>
      <c r="W93" t="str" cm="1">
        <f t="array" aca="1" ref="W93" ca="1">_xll.QIns_CreateAsianCrackDiffSwap(S93,T93:U93,$J$70,R$70,"USD",V93,1000,1000,"LON","LON","NYC","2b","0b","0b","USD.LIBOR.3M")</f>
        <v>FS1SM G22¬0</v>
      </c>
      <c r="X93" s="14" cm="1">
        <f t="array" aca="1" ref="X93" ca="1">_xll.QCurves_GetAveragePrice(W$70,_xll.QDates_ListBusinessDaysInPeriod(T93,U93,"ICE"))</f>
        <v>240.404493150685</v>
      </c>
    </row>
    <row r="94" spans="2:24" x14ac:dyDescent="0.25">
      <c r="B94" s="84">
        <f t="shared" si="14"/>
        <v>44621</v>
      </c>
      <c r="C94" t="str" cm="1">
        <f t="array" aca="1" ref="C94" ca="1">"FDBSM "&amp;_xll.QDates_GetMonthCodeAndYear(B94,2)</f>
        <v>FDBSM H22</v>
      </c>
      <c r="D94" s="1">
        <f t="shared" si="15"/>
        <v>44621</v>
      </c>
      <c r="E94" s="1" cm="1">
        <f t="array" aca="1" ref="E94" ca="1">_xll.QDates_LastDay(B94)</f>
        <v>44651</v>
      </c>
      <c r="F94" cm="1">
        <f t="array" aca="1" ref="F94" ca="1">_xll.BDP(C94&amp;" Index","PX_LAST")</f>
        <v>-0.41</v>
      </c>
      <c r="G94" t="str" cm="1">
        <f t="array" aca="1" ref="G94" ca="1">_xll.QIns_CreateAsianCrackDiffSwap(C94,D94:E94,"CO","Dated","USD",F94,1,1,"ICE","LON","NYC","2b","0b","0b","USD.LIBOR.3M")</f>
        <v>FDBSM H22¬0</v>
      </c>
      <c r="H94" s="14" cm="1">
        <f t="array" aca="1" ref="H94" ca="1">_xll.QCurves_GetAveragePrice(G$70,_xll.QDates_ListBusinessDaysInPeriod(D94,E94,"ICE"))</f>
        <v>40.250285884422276</v>
      </c>
      <c r="J94" s="84">
        <f t="shared" si="10"/>
        <v>44621</v>
      </c>
      <c r="K94" t="str" cm="1">
        <f t="array" aca="1" ref="K94" ca="1">"FROSM "&amp;_xll.QDates_GetMonthCodeAndYear(J94,2)</f>
        <v>FROSM H22</v>
      </c>
      <c r="L94" s="1">
        <f t="shared" si="11"/>
        <v>44621</v>
      </c>
      <c r="M94" s="1" cm="1">
        <f t="array" aca="1" ref="M94" ca="1">_xll.QDates_LastDay(J94)</f>
        <v>44651</v>
      </c>
      <c r="N94" cm="1">
        <f t="array" aca="1" ref="N94" ca="1">_xll.BDP(K94&amp;" Index","PX_LAST")</f>
        <v>-9.1300000000000008</v>
      </c>
      <c r="O94" t="str" cm="1">
        <f t="array" aca="1" ref="O94" ca="1">_xll.QIns_CreateAsianCrackDiffSwap(K94,L94:M94,"CO",J$70,"USD",N94,6350,1000,"ICE","LON","NYC","2b","0b","0b","USD.LIBOR.3M")</f>
        <v>FROSM H22¬0</v>
      </c>
      <c r="P94" s="14" cm="1">
        <f t="array" aca="1" ref="P94" ca="1">_xll.QCurves_GetAveragePrice(O$70,_xll.QDates_ListBusinessDaysInPeriod(L94,M94,"ICE"))</f>
        <v>200.21731536628945</v>
      </c>
      <c r="R94" s="84">
        <f t="shared" si="12"/>
        <v>44621</v>
      </c>
      <c r="S94" t="str" cm="1">
        <f t="array" aca="1" ref="S94" ca="1">"FS1SM "&amp;_xll.QDates_GetMonthCodeAndYear(R94,2)</f>
        <v>FS1SM H22</v>
      </c>
      <c r="T94" s="1">
        <f t="shared" si="13"/>
        <v>44621</v>
      </c>
      <c r="U94" s="1" cm="1">
        <f t="array" aca="1" ref="U94" ca="1">_xll.QDates_LastDay(R94)</f>
        <v>44651</v>
      </c>
      <c r="V94" cm="1">
        <f t="array" aca="1" ref="V94" ca="1">_xll.BDP(S94&amp;" Index","PX_LAST")</f>
        <v>42.76</v>
      </c>
      <c r="W94" t="str" cm="1">
        <f t="array" aca="1" ref="W94" ca="1">_xll.QIns_CreateAsianCrackDiffSwap(S94,T94:U94,$J$70,R$70,"USD",V94,1000,1000,"LON","LON","NYC","2b","0b","0b","USD.LIBOR.3M")</f>
        <v>FS1SM H22¬0</v>
      </c>
      <c r="X94" s="14" cm="1">
        <f t="array" aca="1" ref="X94" ca="1">_xll.QCurves_GetAveragePrice(W$70,_xll.QDates_ListBusinessDaysInPeriod(T94,U94,"ICE"))</f>
        <v>242.9773153662893</v>
      </c>
    </row>
    <row r="95" spans="2:24" x14ac:dyDescent="0.25">
      <c r="B95" s="84">
        <f t="shared" si="14"/>
        <v>44652</v>
      </c>
      <c r="C95" t="str" cm="1">
        <f t="array" aca="1" ref="C95" ca="1">"FDBSM "&amp;_xll.QDates_GetMonthCodeAndYear(B95,2)</f>
        <v>FDBSM J22</v>
      </c>
      <c r="D95" s="1">
        <f t="shared" si="15"/>
        <v>44652</v>
      </c>
      <c r="E95" s="1" cm="1">
        <f t="array" aca="1" ref="E95" ca="1">_xll.QDates_LastDay(B95)</f>
        <v>44681</v>
      </c>
      <c r="F95" cm="1">
        <f t="array" aca="1" ref="F95" ca="1">_xll.BDP(C95&amp;" Index","PX_LAST")</f>
        <v>-0.36</v>
      </c>
      <c r="G95" t="str" cm="1">
        <f t="array" aca="1" ref="G95" ca="1">_xll.QIns_CreateAsianCrackDiffSwap(C95,D95:E95,"CO","Dated","USD",F95,1,1,"ICE","LON","NYC","2b","0b","0b","USD.LIBOR.3M")</f>
        <v>FDBSM J22¬0</v>
      </c>
      <c r="H95" s="14" cm="1">
        <f t="array" aca="1" ref="H95" ca="1">_xll.QCurves_GetAveragePrice(G$70,_xll.QDates_ListBusinessDaysInPeriod(D95,E95,"ICE"))</f>
        <v>40.606608502014083</v>
      </c>
      <c r="J95" s="84">
        <f t="shared" si="10"/>
        <v>44652</v>
      </c>
      <c r="K95" t="str" cm="1">
        <f t="array" aca="1" ref="K95" ca="1">"FROSM "&amp;_xll.QDates_GetMonthCodeAndYear(J95,2)</f>
        <v>FROSM J22</v>
      </c>
      <c r="L95" s="1">
        <f t="shared" si="11"/>
        <v>44652</v>
      </c>
      <c r="M95" s="1" cm="1">
        <f t="array" aca="1" ref="M95" ca="1">_xll.QDates_LastDay(J95)</f>
        <v>44681</v>
      </c>
      <c r="N95" cm="1">
        <f t="array" aca="1" ref="N95" ca="1">_xll.BDP(K95&amp;" Index","PX_LAST")</f>
        <v>-9.0299999999999994</v>
      </c>
      <c r="O95" t="str" cm="1">
        <f t="array" aca="1" ref="O95" ca="1">_xll.QIns_CreateAsianCrackDiffSwap(K95,L95:M95,"CO",J$70,"USD",N95,6350,1000,"ICE","LON","NYC","2b","0b","0b","USD.LIBOR.3M")</f>
        <v>FROSM J22¬0</v>
      </c>
      <c r="P95" s="14" cm="1">
        <f t="array" aca="1" ref="P95" ca="1">_xll.QCurves_GetAveragePrice(O$70,_xll.QDates_ListBusinessDaysInPeriod(L95,M95,"ICE"))</f>
        <v>202.7974639867362</v>
      </c>
      <c r="R95" s="84">
        <f t="shared" si="12"/>
        <v>44652</v>
      </c>
      <c r="S95" t="str" cm="1">
        <f t="array" aca="1" ref="S95" ca="1">"FS1SM "&amp;_xll.QDates_GetMonthCodeAndYear(R95,2)</f>
        <v>FS1SM J22</v>
      </c>
      <c r="T95" s="1">
        <f t="shared" si="13"/>
        <v>44652</v>
      </c>
      <c r="U95" s="1" cm="1">
        <f t="array" aca="1" ref="U95" ca="1">_xll.QDates_LastDay(R95)</f>
        <v>44681</v>
      </c>
      <c r="V95" cm="1">
        <f t="array" aca="1" ref="V95" ca="1">_xll.BDP(S95&amp;" Index","PX_LAST")</f>
        <v>42.59</v>
      </c>
      <c r="W95" t="str" cm="1">
        <f t="array" aca="1" ref="W95" ca="1">_xll.QIns_CreateAsianCrackDiffSwap(S95,T95:U95,$J$70,R$70,"USD",V95,1000,1000,"LON","LON","NYC","2b","0b","0b","USD.LIBOR.3M")</f>
        <v>FS1SM J22¬0</v>
      </c>
      <c r="X95" s="14" cm="1">
        <f t="array" aca="1" ref="X95" ca="1">_xll.QCurves_GetAveragePrice(W$70,_xll.QDates_ListBusinessDaysInPeriod(T95,U95,"ICE"))</f>
        <v>245.38746398673604</v>
      </c>
    </row>
    <row r="96" spans="2:24" x14ac:dyDescent="0.25">
      <c r="B96" s="84">
        <f t="shared" si="14"/>
        <v>44682</v>
      </c>
      <c r="C96" t="str" cm="1">
        <f t="array" aca="1" ref="C96" ca="1">"FDBSM "&amp;_xll.QDates_GetMonthCodeAndYear(B96,2)</f>
        <v>FDBSM K22</v>
      </c>
      <c r="D96" s="1">
        <f t="shared" si="15"/>
        <v>44682</v>
      </c>
      <c r="E96" s="1" cm="1">
        <f t="array" aca="1" ref="E96" ca="1">_xll.QDates_LastDay(B96)</f>
        <v>44712</v>
      </c>
      <c r="F96" cm="1">
        <f t="array" aca="1" ref="F96" ca="1">_xll.BDP(C96&amp;" Index","PX_LAST")</f>
        <v>-0.37</v>
      </c>
      <c r="G96" t="str" cm="1">
        <f t="array" aca="1" ref="G96" ca="1">_xll.QIns_CreateAsianCrackDiffSwap(C96,D96:E96,"CO","Dated","USD",F96,1,1,"ICE","LON","NYC","2b","0b","0b","USD.LIBOR.3M")</f>
        <v>FDBSM K22¬0</v>
      </c>
      <c r="H96" s="14" cm="1">
        <f t="array" aca="1" ref="H96" ca="1">_xll.QCurves_GetAveragePrice(G$70,_xll.QDates_ListBusinessDaysInPeriod(D96,E96,"ICE"))</f>
        <v>40.88384755075527</v>
      </c>
      <c r="J96" s="84">
        <f t="shared" si="10"/>
        <v>44682</v>
      </c>
      <c r="K96" t="str" cm="1">
        <f t="array" aca="1" ref="K96" ca="1">"FROSM "&amp;_xll.QDates_GetMonthCodeAndYear(J96,2)</f>
        <v>FROSM K22</v>
      </c>
      <c r="L96" s="1">
        <f t="shared" si="11"/>
        <v>44682</v>
      </c>
      <c r="M96" s="1" cm="1">
        <f t="array" aca="1" ref="M96" ca="1">_xll.QDates_LastDay(J96)</f>
        <v>44712</v>
      </c>
      <c r="N96" cm="1">
        <f t="array" aca="1" ref="N96" ca="1">_xll.BDP(K96&amp;" Index","PX_LAST")</f>
        <v>-8.92</v>
      </c>
      <c r="O96" t="str" cm="1">
        <f t="array" aca="1" ref="O96" ca="1">_xll.QIns_CreateAsianCrackDiffSwap(K96,L96:M96,"CO",J$70,"USD",N96,6350,1000,"ICE","LON","NYC","2b","0b","0b","USD.LIBOR.3M")</f>
        <v>FROSM K22¬0</v>
      </c>
      <c r="P96" s="14" cm="1">
        <f t="array" aca="1" ref="P96" ca="1">_xll.QCurves_GetAveragePrice(O$70,_xll.QDates_ListBusinessDaysInPeriod(L96,M96,"ICE"))</f>
        <v>205.3199319479036</v>
      </c>
      <c r="R96" s="84">
        <f t="shared" si="12"/>
        <v>44682</v>
      </c>
      <c r="S96" t="str" cm="1">
        <f t="array" aca="1" ref="S96" ca="1">"FS1SM "&amp;_xll.QDates_GetMonthCodeAndYear(R96,2)</f>
        <v>FS1SM K22</v>
      </c>
      <c r="T96" s="1">
        <f t="shared" si="13"/>
        <v>44682</v>
      </c>
      <c r="U96" s="1" cm="1">
        <f t="array" aca="1" ref="U96" ca="1">_xll.QDates_LastDay(R96)</f>
        <v>44712</v>
      </c>
      <c r="V96" cm="1">
        <f t="array" aca="1" ref="V96" ca="1">_xll.BDP(S96&amp;" Index","PX_LAST")</f>
        <v>42.42</v>
      </c>
      <c r="W96" t="str" cm="1">
        <f t="array" aca="1" ref="W96" ca="1">_xll.QIns_CreateAsianCrackDiffSwap(S96,T96:U96,$J$70,R$70,"USD",V96,1000,1000,"LON","LON","NYC","2b","0b","0b","USD.LIBOR.3M")</f>
        <v>FS1SM K22¬0</v>
      </c>
      <c r="X96" s="14" cm="1">
        <f t="array" aca="1" ref="X96" ca="1">_xll.QCurves_GetAveragePrice(W$70,_xll.QDates_ListBusinessDaysInPeriod(T96,U96,"ICE"))</f>
        <v>247.73993194790367</v>
      </c>
    </row>
    <row r="97" spans="1:24" x14ac:dyDescent="0.25">
      <c r="B97" s="84">
        <f t="shared" si="14"/>
        <v>44713</v>
      </c>
      <c r="C97" t="str" cm="1">
        <f t="array" aca="1" ref="C97" ca="1">"FDBSM "&amp;_xll.QDates_GetMonthCodeAndYear(B97,2)</f>
        <v>FDBSM M22</v>
      </c>
      <c r="D97" s="1">
        <f t="shared" si="15"/>
        <v>44713</v>
      </c>
      <c r="E97" s="1" cm="1">
        <f t="array" aca="1" ref="E97" ca="1">_xll.QDates_LastDay(B97)</f>
        <v>44742</v>
      </c>
      <c r="F97" cm="1">
        <f t="array" aca="1" ref="F97" ca="1">_xll.BDP(C97&amp;" Index","PX_LAST")</f>
        <v>-0.38</v>
      </c>
      <c r="G97" t="str" cm="1">
        <f t="array" aca="1" ref="G97" ca="1">_xll.QIns_CreateAsianCrackDiffSwap(C97,D97:E97,"CO","Dated","USD",F97,1,1,"ICE","LON","NYC","2b","0b","0b","USD.LIBOR.3M")</f>
        <v>FDBSM M22¬0</v>
      </c>
      <c r="H97" s="14" cm="1">
        <f t="array" aca="1" ref="H97" ca="1">_xll.QCurves_GetAveragePrice(G$70,_xll.QDates_ListBusinessDaysInPeriod(D97,E97,"ICE"))</f>
        <v>41.150639788247084</v>
      </c>
      <c r="J97" s="84">
        <f t="shared" si="10"/>
        <v>44713</v>
      </c>
      <c r="K97" t="str" cm="1">
        <f t="array" aca="1" ref="K97" ca="1">"FROSM "&amp;_xll.QDates_GetMonthCodeAndYear(J97,2)</f>
        <v>FROSM M22</v>
      </c>
      <c r="L97" s="1">
        <f t="shared" si="11"/>
        <v>44713</v>
      </c>
      <c r="M97" s="1" cm="1">
        <f t="array" aca="1" ref="M97" ca="1">_xll.QDates_LastDay(J97)</f>
        <v>44742</v>
      </c>
      <c r="N97" cm="1">
        <f t="array" aca="1" ref="N97" ca="1">_xll.BDP(K97&amp;" Index","PX_LAST")</f>
        <v>-8.7899999999999991</v>
      </c>
      <c r="O97" t="str" cm="1">
        <f t="array" aca="1" ref="O97" ca="1">_xll.QIns_CreateAsianCrackDiffSwap(K97,L97:M97,"CO",J$70,"USD",N97,6350,1000,"ICE","LON","NYC","2b","0b","0b","USD.LIBOR.3M")</f>
        <v>FROSM M22¬0</v>
      </c>
      <c r="P97" s="14" cm="1">
        <f t="array" aca="1" ref="P97" ca="1">_xll.QCurves_GetAveragePrice(O$70,_xll.QDates_ListBusinessDaysInPeriod(L97,M97,"ICE"))</f>
        <v>207.90306265566633</v>
      </c>
      <c r="R97" s="84">
        <f t="shared" si="12"/>
        <v>44713</v>
      </c>
      <c r="S97" t="str" cm="1">
        <f t="array" aca="1" ref="S97" ca="1">"FS1SM "&amp;_xll.QDates_GetMonthCodeAndYear(R97,2)</f>
        <v>FS1SM M22</v>
      </c>
      <c r="T97" s="1">
        <f t="shared" si="13"/>
        <v>44713</v>
      </c>
      <c r="U97" s="1" cm="1">
        <f t="array" aca="1" ref="U97" ca="1">_xll.QDates_LastDay(R97)</f>
        <v>44742</v>
      </c>
      <c r="V97" cm="1">
        <f t="array" aca="1" ref="V97" ca="1">_xll.BDP(S97&amp;" Index","PX_LAST")</f>
        <v>42.26</v>
      </c>
      <c r="W97" t="str" cm="1">
        <f t="array" aca="1" ref="W97" ca="1">_xll.QIns_CreateAsianCrackDiffSwap(S97,T97:U97,$J$70,R$70,"USD",V97,1000,1000,"LON","LON","NYC","2b","0b","0b","USD.LIBOR.3M")</f>
        <v>FS1SM M22¬0</v>
      </c>
      <c r="X97" s="14" cm="1">
        <f t="array" aca="1" ref="X97" ca="1">_xll.QCurves_GetAveragePrice(W$70,_xll.QDates_ListBusinessDaysInPeriod(T97,U97,"ICE"))</f>
        <v>250.16306265566621</v>
      </c>
    </row>
    <row r="98" spans="1:24" x14ac:dyDescent="0.25">
      <c r="B98" s="84">
        <f t="shared" si="14"/>
        <v>44743</v>
      </c>
      <c r="C98" t="str" cm="1">
        <f t="array" aca="1" ref="C98" ca="1">"FDBSM "&amp;_xll.QDates_GetMonthCodeAndYear(B98,2)</f>
        <v>FDBSM N22</v>
      </c>
      <c r="D98" s="1">
        <f t="shared" si="15"/>
        <v>44743</v>
      </c>
      <c r="E98" s="1" cm="1">
        <f t="array" aca="1" ref="E98" ca="1">_xll.QDates_LastDay(B98)</f>
        <v>44773</v>
      </c>
      <c r="F98" cm="1">
        <f t="array" aca="1" ref="F98" ca="1">_xll.BDP(C98&amp;" Index","PX_LAST")</f>
        <v>-0.38</v>
      </c>
      <c r="G98" t="str" cm="1">
        <f t="array" aca="1" ref="G98" ca="1">_xll.QIns_CreateAsianCrackDiffSwap(C98,D98:E98,"CO","Dated","USD",F98,1,1,"ICE","LON","NYC","2b","0b","0b","USD.LIBOR.3M")</f>
        <v>FDBSM N22¬0</v>
      </c>
      <c r="H98" s="14" cm="1">
        <f t="array" aca="1" ref="H98" ca="1">_xll.QCurves_GetAveragePrice(G$70,_xll.QDates_ListBusinessDaysInPeriod(D98,E98,"ICE"))</f>
        <v>41.418521417695466</v>
      </c>
      <c r="J98" s="84">
        <f t="shared" si="10"/>
        <v>44743</v>
      </c>
      <c r="K98" t="str" cm="1">
        <f t="array" aca="1" ref="K98" ca="1">"FROSM "&amp;_xll.QDates_GetMonthCodeAndYear(J98,2)</f>
        <v>FROSM N22</v>
      </c>
      <c r="L98" s="1">
        <f t="shared" si="11"/>
        <v>44743</v>
      </c>
      <c r="M98" s="1" cm="1">
        <f t="array" aca="1" ref="M98" ca="1">_xll.QDates_LastDay(J98)</f>
        <v>44773</v>
      </c>
      <c r="N98" cm="1">
        <f t="array" aca="1" ref="N98" ca="1">_xll.BDP(K98&amp;" Index","PX_LAST")</f>
        <v>-8.67</v>
      </c>
      <c r="O98" t="str" cm="1">
        <f t="array" aca="1" ref="O98" ca="1">_xll.QIns_CreateAsianCrackDiffSwap(K98,L98:M98,"CO",J$70,"USD",N98,6350,1000,"ICE","LON","NYC","2b","0b","0b","USD.LIBOR.3M")</f>
        <v>FROSM N22¬0</v>
      </c>
      <c r="P98" s="14" cm="1">
        <f t="array" aca="1" ref="P98" ca="1">_xll.QCurves_GetAveragePrice(O$70,_xll.QDates_ListBusinessDaysInPeriod(L98,M98,"ICE"))</f>
        <v>210.36611100239173</v>
      </c>
      <c r="R98" s="84">
        <f t="shared" si="12"/>
        <v>44743</v>
      </c>
      <c r="S98" t="str" cm="1">
        <f t="array" aca="1" ref="S98" ca="1">"FS1SM "&amp;_xll.QDates_GetMonthCodeAndYear(R98,2)</f>
        <v>FS1SM N22</v>
      </c>
      <c r="T98" s="1">
        <f t="shared" si="13"/>
        <v>44743</v>
      </c>
      <c r="U98" s="1" cm="1">
        <f t="array" aca="1" ref="U98" ca="1">_xll.QDates_LastDay(R98)</f>
        <v>44773</v>
      </c>
      <c r="V98" cm="1">
        <f t="array" aca="1" ref="V98" ca="1">_xll.BDP(S98&amp;" Index","PX_LAST")</f>
        <v>42.09</v>
      </c>
      <c r="W98" t="str" cm="1">
        <f t="array" aca="1" ref="W98" ca="1">_xll.QIns_CreateAsianCrackDiffSwap(S98,T98:U98,$J$70,R$70,"USD",V98,1000,1000,"LON","LON","NYC","2b","0b","0b","USD.LIBOR.3M")</f>
        <v>FS1SM N22¬0</v>
      </c>
      <c r="X98" s="14" cm="1">
        <f t="array" aca="1" ref="X98" ca="1">_xll.QCurves_GetAveragePrice(W$70,_xll.QDates_ListBusinessDaysInPeriod(T98,U98,"ICE"))</f>
        <v>252.45611100239174</v>
      </c>
    </row>
    <row r="99" spans="1:24" x14ac:dyDescent="0.25">
      <c r="B99" s="84">
        <f t="shared" si="14"/>
        <v>44774</v>
      </c>
      <c r="C99" t="str" cm="1">
        <f t="array" aca="1" ref="C99" ca="1">"FDBSM "&amp;_xll.QDates_GetMonthCodeAndYear(B99,2)</f>
        <v>FDBSM Q22</v>
      </c>
      <c r="D99" s="1">
        <f t="shared" si="15"/>
        <v>44774</v>
      </c>
      <c r="E99" s="1" cm="1">
        <f t="array" aca="1" ref="E99" ca="1">_xll.QDates_LastDay(B99)</f>
        <v>44804</v>
      </c>
      <c r="F99" cm="1">
        <f t="array" aca="1" ref="F99" ca="1">_xll.BDP(C99&amp;" Index","PX_LAST")</f>
        <v>-0.39</v>
      </c>
      <c r="G99" t="str" cm="1">
        <f t="array" aca="1" ref="G99" ca="1">_xll.QIns_CreateAsianCrackDiffSwap(C99,D99:E99,"CO","Dated","USD",F99,1,1,"ICE","LON","NYC","2b","0b","0b","USD.LIBOR.3M")</f>
        <v>FDBSM Q22¬0</v>
      </c>
      <c r="H99" s="14" cm="1">
        <f t="array" aca="1" ref="H99" ca="1">_xll.QCurves_GetAveragePrice(G$70,_xll.QDates_ListBusinessDaysInPeriod(D99,E99,"ICE"))</f>
        <v>41.686210541897054</v>
      </c>
      <c r="J99" s="84">
        <f t="shared" si="10"/>
        <v>44774</v>
      </c>
      <c r="K99" t="str" cm="1">
        <f t="array" aca="1" ref="K99" ca="1">"FROSM "&amp;_xll.QDates_GetMonthCodeAndYear(J99,2)</f>
        <v>FROSM Q22</v>
      </c>
      <c r="L99" s="1">
        <f t="shared" si="11"/>
        <v>44774</v>
      </c>
      <c r="M99" s="1" cm="1">
        <f t="array" aca="1" ref="M99" ca="1">_xll.QDates_LastDay(J99)</f>
        <v>44804</v>
      </c>
      <c r="N99" cm="1">
        <f t="array" aca="1" ref="N99" ca="1">_xll.BDP(K99&amp;" Index","PX_LAST")</f>
        <v>-8.5500000000000007</v>
      </c>
      <c r="O99" t="str" cm="1">
        <f t="array" aca="1" ref="O99" ca="1">_xll.QIns_CreateAsianCrackDiffSwap(K99,L99:M99,"CO",J$70,"USD",N99,6350,1000,"ICE","LON","NYC","2b","0b","0b","USD.LIBOR.3M")</f>
        <v>FROSM Q22¬0</v>
      </c>
      <c r="P99" s="14" cm="1">
        <f t="array" aca="1" ref="P99" ca="1">_xll.QCurves_GetAveragePrice(O$70,_xll.QDates_ListBusinessDaysInPeriod(L99,M99,"ICE"))</f>
        <v>212.89143694163195</v>
      </c>
      <c r="R99" s="84">
        <f t="shared" si="12"/>
        <v>44774</v>
      </c>
      <c r="S99" t="str" cm="1">
        <f t="array" aca="1" ref="S99" ca="1">"FS1SM "&amp;_xll.QDates_GetMonthCodeAndYear(R99,2)</f>
        <v>FS1SM Q22</v>
      </c>
      <c r="T99" s="1">
        <f t="shared" si="13"/>
        <v>44774</v>
      </c>
      <c r="U99" s="1" cm="1">
        <f t="array" aca="1" ref="U99" ca="1">_xll.QDates_LastDay(R99)</f>
        <v>44804</v>
      </c>
      <c r="V99" cm="1">
        <f t="array" aca="1" ref="V99" ca="1">_xll.BDP(S99&amp;" Index","PX_LAST")</f>
        <v>42.29</v>
      </c>
      <c r="W99" t="str" cm="1">
        <f t="array" aca="1" ref="W99" ca="1">_xll.QIns_CreateAsianCrackDiffSwap(S99,T99:U99,$J$70,R$70,"USD",V99,1000,1000,"LON","LON","NYC","2b","0b","0b","USD.LIBOR.3M")</f>
        <v>FS1SM Q22¬0</v>
      </c>
      <c r="X99" s="14" cm="1">
        <f t="array" aca="1" ref="X99" ca="1">_xll.QCurves_GetAveragePrice(W$70,_xll.QDates_ListBusinessDaysInPeriod(T99,U99,"ICE"))</f>
        <v>255.18143694163186</v>
      </c>
    </row>
    <row r="100" spans="1:24" x14ac:dyDescent="0.25">
      <c r="B100" s="84">
        <f t="shared" si="14"/>
        <v>44805</v>
      </c>
      <c r="C100" t="str" cm="1">
        <f t="array" aca="1" ref="C100" ca="1">"FDBSM "&amp;_xll.QDates_GetMonthCodeAndYear(B100,2)</f>
        <v>FDBSM U22</v>
      </c>
      <c r="D100" s="1">
        <f t="shared" si="15"/>
        <v>44805</v>
      </c>
      <c r="E100" s="1" cm="1">
        <f t="array" aca="1" ref="E100" ca="1">_xll.QDates_LastDay(B100)</f>
        <v>44834</v>
      </c>
      <c r="F100" cm="1">
        <f t="array" aca="1" ref="F100" ca="1">_xll.BDP(C100&amp;" Index","PX_LAST")</f>
        <v>-0.4</v>
      </c>
      <c r="G100" t="str" cm="1">
        <f t="array" aca="1" ref="G100" ca="1">_xll.QIns_CreateAsianCrackDiffSwap(C100,D100:E100,"CO","Dated","USD",F100,1,1,"ICE","LON","NYC","2b","0b","0b","USD.LIBOR.3M")</f>
        <v>FDBSM U22¬0</v>
      </c>
      <c r="H100" s="14" cm="1">
        <f t="array" aca="1" ref="H100" ca="1">_xll.QCurves_GetAveragePrice(G$70,_xll.QDates_ListBusinessDaysInPeriod(D100,E100,"ICE"))</f>
        <v>41.953600560288493</v>
      </c>
      <c r="J100" s="84">
        <f t="shared" si="10"/>
        <v>44805</v>
      </c>
      <c r="K100" t="str" cm="1">
        <f t="array" aca="1" ref="K100" ca="1">"FROSM "&amp;_xll.QDates_GetMonthCodeAndYear(J100,2)</f>
        <v>FROSM U22</v>
      </c>
      <c r="L100" s="1">
        <f t="shared" si="11"/>
        <v>44805</v>
      </c>
      <c r="M100" s="1" cm="1">
        <f t="array" aca="1" ref="M100" ca="1">_xll.QDates_LastDay(J100)</f>
        <v>44834</v>
      </c>
      <c r="N100" cm="1">
        <f t="array" aca="1" ref="N100" ca="1">_xll.BDP(K100&amp;" Index","PX_LAST")</f>
        <v>-8.44</v>
      </c>
      <c r="O100" t="str" cm="1">
        <f t="array" aca="1" ref="O100" ca="1">_xll.QIns_CreateAsianCrackDiffSwap(K100,L100:M100,"CO",J$70,"USD",N100,6350,1000,"ICE","LON","NYC","2b","0b","0b","USD.LIBOR.3M")</f>
        <v>FROSM U22¬0</v>
      </c>
      <c r="P100" s="14" cm="1">
        <f t="array" aca="1" ref="P100" ca="1">_xll.QCurves_GetAveragePrice(O$70,_xll.QDates_ListBusinessDaysInPeriod(L100,M100,"ICE"))</f>
        <v>215.35136355853049</v>
      </c>
      <c r="R100" s="84">
        <f t="shared" si="12"/>
        <v>44805</v>
      </c>
      <c r="S100" t="str" cm="1">
        <f t="array" aca="1" ref="S100" ca="1">"FS1SM "&amp;_xll.QDates_GetMonthCodeAndYear(R100,2)</f>
        <v>FS1SM U22</v>
      </c>
      <c r="T100" s="1">
        <f t="shared" si="13"/>
        <v>44805</v>
      </c>
      <c r="U100" s="1" cm="1">
        <f t="array" aca="1" ref="U100" ca="1">_xll.QDates_LastDay(R100)</f>
        <v>44834</v>
      </c>
      <c r="V100" cm="1">
        <f t="array" aca="1" ref="V100" ca="1">_xll.BDP(S100&amp;" Index","PX_LAST")</f>
        <v>42.5</v>
      </c>
      <c r="W100" t="str" cm="1">
        <f t="array" aca="1" ref="W100" ca="1">_xll.QIns_CreateAsianCrackDiffSwap(S100,T100:U100,$J$70,R$70,"USD",V100,1000,1000,"LON","LON","NYC","2b","0b","0b","USD.LIBOR.3M")</f>
        <v>FS1SM U22¬0</v>
      </c>
      <c r="X100" s="14" cm="1">
        <f t="array" aca="1" ref="X100" ca="1">_xll.QCurves_GetAveragePrice(W$70,_xll.QDates_ListBusinessDaysInPeriod(T100,U100,"ICE"))</f>
        <v>257.85136355853052</v>
      </c>
    </row>
    <row r="101" spans="1:24" x14ac:dyDescent="0.25">
      <c r="P101" s="14"/>
    </row>
    <row r="102" spans="1:24" x14ac:dyDescent="0.25">
      <c r="A102" s="3" t="s">
        <v>122</v>
      </c>
      <c r="B102" s="1"/>
    </row>
    <row r="103" spans="1:24" x14ac:dyDescent="0.25">
      <c r="A103" s="3"/>
      <c r="B103" s="12" t="s">
        <v>123</v>
      </c>
      <c r="C103" s="80">
        <f ca="1">C104-365</f>
        <v>43598</v>
      </c>
    </row>
    <row r="104" spans="1:24" x14ac:dyDescent="0.25">
      <c r="A104" s="3"/>
      <c r="B104" s="12" t="s">
        <v>124</v>
      </c>
      <c r="C104" s="80">
        <f ca="1">valDate</f>
        <v>43963</v>
      </c>
    </row>
    <row r="105" spans="1:24" x14ac:dyDescent="0.25">
      <c r="A105" s="3"/>
      <c r="B105" s="8" t="s">
        <v>130</v>
      </c>
      <c r="C105" s="85" t="str">
        <f ca="1">_xll.QCurves_CreateFixingDictionaryForRollingFuture("fixings."&amp;B105,B105,B105,_xll.BDH(B105&amp;"1 Comdty","PX_LAST",$C$103,$C$104,"Array=true"),_xll.BDH(B105&amp;"2 Comdty","PX_LAST",$C$103,$C$104,"Array=true"))</f>
        <v>fixings.CO¬0</v>
      </c>
    </row>
    <row r="106" spans="1:24" x14ac:dyDescent="0.25">
      <c r="A106" s="3"/>
      <c r="B106" s="8" t="s">
        <v>136</v>
      </c>
      <c r="C106" s="85" t="str">
        <f ca="1">_xll.QCurves_CreateFixingDictionaryForRollingFuture("fixings."&amp;B106,B106,B106,_xll.BDH(B106&amp;"1 Comdty","PX_LAST",$C$103,$C$104,"Array=true"),_xll.BDH(B106&amp;"2 Comdty","PX_LAST",$C$103,$C$104,"Array=true"))</f>
        <v>fixings.QS¬0</v>
      </c>
    </row>
    <row r="107" spans="1:24" x14ac:dyDescent="0.25">
      <c r="A107" s="3"/>
      <c r="B107" s="8" t="s">
        <v>138</v>
      </c>
      <c r="C107" t="str">
        <f ca="1">_xll.QCurves_CreateFixingDictionary("Fixings."&amp;B107,B107,_xll.BDH(B107&amp;"1 Comdty","PX_SETTLE",$C$103,$C$104,"Array=true"))</f>
        <v>Fixings.CL¬0</v>
      </c>
    </row>
    <row r="108" spans="1:24" x14ac:dyDescent="0.25">
      <c r="A108" s="3"/>
      <c r="B108" s="8" t="s">
        <v>137</v>
      </c>
      <c r="C108" t="str">
        <f ca="1">_xll.QCurves_CreateFixingDictionary("Fixings."&amp;B108,B108,_xll.BDH(B108&amp;"1 Comdty","PX_SETTLE",$C$103,$C$104,"Array=true"))</f>
        <v>Fixings.XB¬0</v>
      </c>
    </row>
    <row r="109" spans="1:24" x14ac:dyDescent="0.25">
      <c r="A109" s="3"/>
      <c r="B109" s="8"/>
      <c r="C109" s="86"/>
    </row>
    <row r="110" spans="1:24" x14ac:dyDescent="0.25">
      <c r="A110" s="3" t="s">
        <v>115</v>
      </c>
      <c r="B110" s="8"/>
      <c r="C110" s="86"/>
    </row>
    <row r="111" spans="1:24" x14ac:dyDescent="0.25">
      <c r="B111" s="87" t="s">
        <v>130</v>
      </c>
      <c r="D111" s="12" t="s">
        <v>141</v>
      </c>
      <c r="E111" s="51">
        <v>0.01</v>
      </c>
      <c r="G111" s="12" t="s">
        <v>118</v>
      </c>
      <c r="H111" s="51">
        <v>1</v>
      </c>
      <c r="J111" t="str" cm="1">
        <f t="array" aca="1" ref="J111" ca="1">_xll.QVol_CreateRiskyFlyVolSurface("vol_"&amp;B111,B111,valDate,H113:J113,$C$132:$C$173,D132:D173,E132:G173,H132:J173,,,"Simple",,"NextValue",$B$132:$B$173,"USD","0b")</f>
        <v>vol_CO¬0</v>
      </c>
      <c r="L111" s="87" t="s">
        <v>136</v>
      </c>
      <c r="M111" s="12" t="s">
        <v>141</v>
      </c>
      <c r="N111" s="51">
        <v>0.01</v>
      </c>
      <c r="O111" s="12" t="s">
        <v>118</v>
      </c>
      <c r="P111" s="51">
        <v>1</v>
      </c>
      <c r="R111" t="str" cm="1">
        <f t="array" aca="1" ref="R111" ca="1">_xll.QVol_CreateRiskyFlyVolSurface("vol_"&amp;L111,L111,valDate,Q131:R131,$M$132:$M$173,N132:N173,O132:P173,Q132:R173,,,"Simple",,"NextValue",$L$132:$L$173,"USD","0b")</f>
        <v>vol_QS¬0</v>
      </c>
    </row>
    <row r="112" spans="1:24" x14ac:dyDescent="0.25">
      <c r="C112" s="88"/>
      <c r="E112" s="116" t="str">
        <f>[1]Surface!E37</f>
        <v>RR</v>
      </c>
      <c r="F112" s="116"/>
      <c r="G112" s="116"/>
      <c r="H112" s="116" t="str">
        <f>[1]Surface!H37</f>
        <v>BF</v>
      </c>
      <c r="I112" s="116"/>
      <c r="J112" s="116"/>
      <c r="M112" s="88"/>
      <c r="O112" s="116" t="s">
        <v>88</v>
      </c>
      <c r="P112" s="116"/>
      <c r="Q112" s="116" t="s">
        <v>89</v>
      </c>
      <c r="R112" s="116"/>
      <c r="T112" s="101"/>
    </row>
    <row r="113" spans="2:20" x14ac:dyDescent="0.25">
      <c r="B113" s="88" t="s">
        <v>157</v>
      </c>
      <c r="C113" s="4"/>
      <c r="D113" s="89" t="str">
        <f>[1]Surface!D38</f>
        <v>ATM</v>
      </c>
      <c r="E113" s="90">
        <f>[1]Surface!E38</f>
        <v>0.25</v>
      </c>
      <c r="F113" s="90">
        <f>[1]Surface!F38</f>
        <v>0.1</v>
      </c>
      <c r="G113" s="90">
        <f>[1]Surface!G38</f>
        <v>0.05</v>
      </c>
      <c r="H113" s="90">
        <f>[1]Surface!H38</f>
        <v>0.25</v>
      </c>
      <c r="I113" s="90">
        <f>[1]Surface!I38</f>
        <v>0.1</v>
      </c>
      <c r="J113" s="90">
        <f>[1]Surface!J38</f>
        <v>0.05</v>
      </c>
      <c r="L113" s="88" t="s">
        <v>157</v>
      </c>
      <c r="M113" s="4"/>
      <c r="N113" s="89" t="s">
        <v>86</v>
      </c>
      <c r="O113" s="90">
        <v>0.25</v>
      </c>
      <c r="P113" s="90">
        <v>0.1</v>
      </c>
      <c r="Q113" s="90">
        <v>0.25</v>
      </c>
      <c r="R113" s="90">
        <v>0.1</v>
      </c>
      <c r="T113" s="90"/>
    </row>
    <row r="114" spans="2:20" x14ac:dyDescent="0.25">
      <c r="C114" s="1">
        <f>[1]Surface!C39</f>
        <v>43977</v>
      </c>
      <c r="D114" s="11">
        <f>[1]Surface!D39</f>
        <v>0.94953327096016926</v>
      </c>
      <c r="E114" s="11">
        <f>[1]Surface!E39</f>
        <v>-0.23470192947809199</v>
      </c>
      <c r="F114" s="11">
        <f>[1]Surface!F39</f>
        <v>-0.42059861077292671</v>
      </c>
      <c r="G114" s="11">
        <f>[1]Surface!G39</f>
        <v>-0.58994940654753569</v>
      </c>
      <c r="H114" s="11">
        <f>[1]Surface!H39</f>
        <v>8.5746805573386764E-3</v>
      </c>
      <c r="I114" s="11">
        <f>[1]Surface!I39</f>
        <v>6.7767178716917953E-2</v>
      </c>
      <c r="J114" s="11">
        <f>[1]Surface!J39</f>
        <v>0.19860045004214066</v>
      </c>
      <c r="M114" s="1">
        <f>[1]Surface!L39</f>
        <v>43977</v>
      </c>
      <c r="N114" s="11">
        <f>[1]Surface!M39</f>
        <v>0.64072929715689808</v>
      </c>
      <c r="O114" s="11">
        <f>[1]Surface!N39</f>
        <v>-0.13612711909729336</v>
      </c>
      <c r="P114" s="11">
        <f>[1]Surface!O39</f>
        <v>-0.24394719424829758</v>
      </c>
      <c r="Q114" s="11">
        <f>[1]Surface!P39</f>
        <v>4.9733147232564612E-3</v>
      </c>
      <c r="R114" s="11">
        <f>[1]Surface!Q39</f>
        <v>3.9304963655812597E-2</v>
      </c>
      <c r="T114" s="11"/>
    </row>
    <row r="115" spans="2:20" x14ac:dyDescent="0.25">
      <c r="C115" s="1">
        <f>[1]Surface!C40</f>
        <v>44007</v>
      </c>
      <c r="D115" s="11">
        <f>[1]Surface!D40</f>
        <v>0.74986464453022106</v>
      </c>
      <c r="E115" s="11">
        <f>[1]Surface!E40</f>
        <v>-0.17964082926112879</v>
      </c>
      <c r="F115" s="11">
        <f>[1]Surface!F40</f>
        <v>-0.38362891375948771</v>
      </c>
      <c r="G115" s="11">
        <f>[1]Surface!G40</f>
        <v>-0.55591755390346842</v>
      </c>
      <c r="H115" s="11">
        <f>[1]Surface!H40</f>
        <v>1.8591549109074679E-2</v>
      </c>
      <c r="I115" s="11">
        <f>[1]Surface!I40</f>
        <v>0.11504929849973144</v>
      </c>
      <c r="J115" s="11">
        <f>[1]Surface!J40</f>
        <v>0.27943899944178452</v>
      </c>
      <c r="M115" s="1">
        <f>[1]Surface!L40</f>
        <v>44007</v>
      </c>
      <c r="N115" s="11">
        <f>[1]Surface!M40</f>
        <v>0.52492149382752817</v>
      </c>
      <c r="O115" s="11">
        <f>[1]Surface!N40</f>
        <v>-0.1041916809714547</v>
      </c>
      <c r="P115" s="11">
        <f>[1]Surface!O40</f>
        <v>-0.22250476998050284</v>
      </c>
      <c r="Q115" s="11">
        <f>[1]Surface!P40</f>
        <v>1.0783098483263309E-2</v>
      </c>
      <c r="R115" s="11">
        <f>[1]Surface!Q40</f>
        <v>6.6728593129844249E-2</v>
      </c>
      <c r="T115" s="11"/>
    </row>
    <row r="116" spans="2:20" x14ac:dyDescent="0.25">
      <c r="C116" s="1">
        <f>[1]Surface!C41</f>
        <v>44040</v>
      </c>
      <c r="D116" s="11">
        <f>[1]Surface!D41</f>
        <v>0.62553030730750458</v>
      </c>
      <c r="E116" s="11">
        <f>[1]Surface!E41</f>
        <v>-0.16070770140074098</v>
      </c>
      <c r="F116" s="11">
        <f>[1]Surface!F41</f>
        <v>-0.30700409210822677</v>
      </c>
      <c r="G116" s="11">
        <f>[1]Surface!G41</f>
        <v>-0.4227404493112118</v>
      </c>
      <c r="H116" s="11">
        <f>[1]Surface!H41</f>
        <v>1.750455772091708E-2</v>
      </c>
      <c r="I116" s="11">
        <f>[1]Surface!I41</f>
        <v>0.10476630238957518</v>
      </c>
      <c r="J116" s="11">
        <f>[1]Surface!J41</f>
        <v>0.25030827958096558</v>
      </c>
      <c r="M116" s="1">
        <f>[1]Surface!L41</f>
        <v>44040</v>
      </c>
      <c r="N116" s="11">
        <f>[1]Surface!M41</f>
        <v>0.4528075782383526</v>
      </c>
      <c r="O116" s="11">
        <f>[1]Surface!N41</f>
        <v>-9.3210466812429837E-2</v>
      </c>
      <c r="P116" s="11">
        <f>[1]Surface!O41</f>
        <v>-0.17806237342277142</v>
      </c>
      <c r="Q116" s="11">
        <f>[1]Surface!P41</f>
        <v>1.015264347813194E-2</v>
      </c>
      <c r="R116" s="11">
        <f>[1]Surface!Q41</f>
        <v>6.0764455385953542E-2</v>
      </c>
      <c r="T116" s="11"/>
    </row>
    <row r="117" spans="2:20" x14ac:dyDescent="0.25">
      <c r="C117" s="1">
        <f>[1]Surface!C42</f>
        <v>44068</v>
      </c>
      <c r="D117" s="11">
        <f>[1]Surface!D42</f>
        <v>0.57550963945717493</v>
      </c>
      <c r="E117" s="11">
        <f>[1]Surface!E42</f>
        <v>-0.13269454846944406</v>
      </c>
      <c r="F117" s="11">
        <f>[1]Surface!F42</f>
        <v>-0.24785710536101502</v>
      </c>
      <c r="G117" s="11">
        <f>[1]Surface!G42</f>
        <v>-0.37663664791508078</v>
      </c>
      <c r="H117" s="11">
        <f>[1]Surface!H42</f>
        <v>1.4657543097060466E-2</v>
      </c>
      <c r="I117" s="11">
        <f>[1]Surface!I42</f>
        <v>8.8349133134075442E-2</v>
      </c>
      <c r="J117" s="11">
        <f>[1]Surface!J42</f>
        <v>0.21005735097403588</v>
      </c>
      <c r="M117" s="1">
        <f>[1]Surface!L42</f>
        <v>44068</v>
      </c>
      <c r="N117" s="11">
        <f>[1]Surface!M42</f>
        <v>0.42379559088516139</v>
      </c>
      <c r="O117" s="11">
        <f>[1]Surface!N42</f>
        <v>-7.6962838112277554E-2</v>
      </c>
      <c r="P117" s="11">
        <f>[1]Surface!O42</f>
        <v>-0.14375712110938876</v>
      </c>
      <c r="Q117" s="11">
        <f>[1]Surface!P42</f>
        <v>8.501374996295108E-3</v>
      </c>
      <c r="R117" s="11">
        <f>[1]Surface!Q42</f>
        <v>5.1242497217763805E-2</v>
      </c>
      <c r="T117" s="11"/>
    </row>
    <row r="118" spans="2:20" x14ac:dyDescent="0.25">
      <c r="C118" s="1">
        <f>[1]Surface!C43</f>
        <v>44099</v>
      </c>
      <c r="D118" s="11">
        <f>[1]Surface!D43</f>
        <v>0.54478332135835073</v>
      </c>
      <c r="E118" s="11">
        <f>[1]Surface!E43</f>
        <v>-0.10668322316098489</v>
      </c>
      <c r="F118" s="11">
        <f>[1]Surface!F43</f>
        <v>-0.20370398091976827</v>
      </c>
      <c r="G118" s="11">
        <f>[1]Surface!G43</f>
        <v>-0.33086558219202844</v>
      </c>
      <c r="H118" s="11">
        <f>[1]Surface!H43</f>
        <v>1.075711397368917E-2</v>
      </c>
      <c r="I118" s="11">
        <f>[1]Surface!I43</f>
        <v>7.1770908190927907E-2</v>
      </c>
      <c r="J118" s="11">
        <f>[1]Surface!J43</f>
        <v>0.17244069450813015</v>
      </c>
      <c r="M118" s="1">
        <f>[1]Surface!L43</f>
        <v>44099</v>
      </c>
      <c r="N118" s="11">
        <f>[1]Surface!M43</f>
        <v>0.40597432638784337</v>
      </c>
      <c r="O118" s="11">
        <f>[1]Surface!N43</f>
        <v>-6.1876269433371212E-2</v>
      </c>
      <c r="P118" s="11">
        <f>[1]Surface!O43</f>
        <v>-0.11814830893346562</v>
      </c>
      <c r="Q118" s="11">
        <f>[1]Surface!P43</f>
        <v>6.2391261047397562E-3</v>
      </c>
      <c r="R118" s="11">
        <f>[1]Surface!Q43</f>
        <v>4.1627126750738208E-2</v>
      </c>
      <c r="T118" s="11"/>
    </row>
    <row r="119" spans="2:20" x14ac:dyDescent="0.25">
      <c r="C119" s="1">
        <f>[1]Surface!C44</f>
        <v>44131</v>
      </c>
      <c r="D119" s="11">
        <f>[1]Surface!D44</f>
        <v>0.51293997988147422</v>
      </c>
      <c r="E119" s="11">
        <f>[1]Surface!E44</f>
        <v>-0.10427754095857605</v>
      </c>
      <c r="F119" s="11">
        <f>[1]Surface!F44</f>
        <v>-0.18737285160809403</v>
      </c>
      <c r="G119" s="11">
        <f>[1]Surface!G44</f>
        <v>-0.26948942114063112</v>
      </c>
      <c r="H119" s="11">
        <f>[1]Surface!H44</f>
        <v>8.1680359695992522E-3</v>
      </c>
      <c r="I119" s="11">
        <f>[1]Surface!I44</f>
        <v>5.3134380566480122E-2</v>
      </c>
      <c r="J119" s="11">
        <f>[1]Surface!J44</f>
        <v>0.12472632698867248</v>
      </c>
      <c r="M119" s="1">
        <f>[1]Surface!L44</f>
        <v>44131</v>
      </c>
      <c r="N119" s="11">
        <f>[1]Surface!M44</f>
        <v>0.38750518833125502</v>
      </c>
      <c r="O119" s="11">
        <f>[1]Surface!N44</f>
        <v>-6.0480973755974166E-2</v>
      </c>
      <c r="P119" s="11">
        <f>[1]Surface!O44</f>
        <v>-0.10867625393269453</v>
      </c>
      <c r="Q119" s="11">
        <f>[1]Surface!P44</f>
        <v>4.7374608623675929E-3</v>
      </c>
      <c r="R119" s="11">
        <f>[1]Surface!Q44</f>
        <v>3.0817940728558535E-2</v>
      </c>
      <c r="T119" s="11"/>
    </row>
    <row r="120" spans="2:20" x14ac:dyDescent="0.25">
      <c r="C120" s="1">
        <f>[1]Surface!C45</f>
        <v>44160</v>
      </c>
      <c r="D120" s="11">
        <f>[1]Surface!D45</f>
        <v>0.4853806795032008</v>
      </c>
      <c r="E120" s="11">
        <f>[1]Surface!E45</f>
        <v>-9.0249290307133578E-2</v>
      </c>
      <c r="F120" s="11">
        <f>[1]Surface!F45</f>
        <v>-0.17041186134514097</v>
      </c>
      <c r="G120" s="11">
        <f>[1]Surface!G45</f>
        <v>-0.27282968906420563</v>
      </c>
      <c r="H120" s="11">
        <f>[1]Surface!H45</f>
        <v>1.1697271414938482E-2</v>
      </c>
      <c r="I120" s="11">
        <f>[1]Surface!I45</f>
        <v>5.978235530285686E-2</v>
      </c>
      <c r="J120" s="11">
        <f>[1]Surface!J45</f>
        <v>0.13991804367279365</v>
      </c>
      <c r="M120" s="1">
        <f>[1]Surface!L45</f>
        <v>44160</v>
      </c>
      <c r="N120" s="11">
        <f>[1]Surface!M45</f>
        <v>0.37152079411185646</v>
      </c>
      <c r="O120" s="11">
        <f>[1]Surface!N45</f>
        <v>-5.2344588378137491E-2</v>
      </c>
      <c r="P120" s="11">
        <f>[1]Surface!O45</f>
        <v>-9.8838879580181782E-2</v>
      </c>
      <c r="Q120" s="11">
        <f>[1]Surface!P45</f>
        <v>6.7844174206642682E-3</v>
      </c>
      <c r="R120" s="11">
        <f>[1]Surface!Q45</f>
        <v>3.4673766075656975E-2</v>
      </c>
      <c r="T120" s="11"/>
    </row>
    <row r="121" spans="2:20" x14ac:dyDescent="0.25">
      <c r="C121" s="1">
        <f>[1]Surface!C46</f>
        <v>44189</v>
      </c>
      <c r="D121" s="11">
        <f>[1]Surface!D46</f>
        <v>0.46262475141452275</v>
      </c>
      <c r="E121" s="11">
        <f>[1]Surface!E46</f>
        <v>-8.3260664407303508E-2</v>
      </c>
      <c r="F121" s="11">
        <f>[1]Surface!F46</f>
        <v>-0.13385459345144585</v>
      </c>
      <c r="G121" s="11">
        <f>[1]Surface!G46</f>
        <v>-0.39758270693947134</v>
      </c>
      <c r="H121" s="11">
        <f>[1]Surface!H46</f>
        <v>1.3921603286779938E-2</v>
      </c>
      <c r="I121" s="11">
        <f>[1]Surface!I46</f>
        <v>5.0527772609631816E-2</v>
      </c>
      <c r="J121" s="11">
        <f>[1]Surface!J46</f>
        <v>0.20934144910965746</v>
      </c>
      <c r="M121" s="1">
        <f>[1]Surface!L46</f>
        <v>44189</v>
      </c>
      <c r="N121" s="11">
        <f>[1]Surface!M46</f>
        <v>0.35832235582042316</v>
      </c>
      <c r="O121" s="11">
        <f>[1]Surface!N46</f>
        <v>-4.8291185356235999E-2</v>
      </c>
      <c r="P121" s="11">
        <f>[1]Surface!O46</f>
        <v>-7.7635664201838539E-2</v>
      </c>
      <c r="Q121" s="11">
        <f>[1]Surface!P46</f>
        <v>8.074529906332395E-3</v>
      </c>
      <c r="R121" s="11">
        <f>[1]Surface!Q46</f>
        <v>2.9306108113586471E-2</v>
      </c>
      <c r="T121" s="11"/>
    </row>
    <row r="122" spans="2:20" x14ac:dyDescent="0.25">
      <c r="C122" s="1">
        <f>[1]Surface!C47</f>
        <v>44222</v>
      </c>
      <c r="D122" s="11">
        <f>[1]Surface!D47</f>
        <v>0.4463506842701126</v>
      </c>
      <c r="E122" s="11">
        <f>[1]Surface!E47</f>
        <v>-7.0883938465342411E-2</v>
      </c>
      <c r="F122" s="11">
        <f>[1]Surface!F47</f>
        <v>-0.12545320032459115</v>
      </c>
      <c r="G122" s="11">
        <f>[1]Surface!G47</f>
        <v>-0.2398378026646111</v>
      </c>
      <c r="H122" s="11">
        <f>[1]Surface!H47</f>
        <v>1.1811240650795529E-2</v>
      </c>
      <c r="I122" s="11">
        <f>[1]Surface!I47</f>
        <v>5.7136991347803603E-2</v>
      </c>
      <c r="J122" s="11">
        <f>[1]Surface!J47</f>
        <v>0.16569613708819758</v>
      </c>
      <c r="M122" s="1">
        <f>[1]Surface!L47</f>
        <v>44222</v>
      </c>
      <c r="N122" s="11">
        <f>[1]Surface!M47</f>
        <v>0.34888339687666525</v>
      </c>
      <c r="O122" s="11">
        <f>[1]Surface!N47</f>
        <v>-4.1112684309898617E-2</v>
      </c>
      <c r="P122" s="11">
        <f>[1]Surface!O47</f>
        <v>-7.2762856188262878E-2</v>
      </c>
      <c r="Q122" s="11">
        <f>[1]Surface!P47</f>
        <v>6.8505195774615224E-3</v>
      </c>
      <c r="R122" s="11">
        <f>[1]Surface!Q47</f>
        <v>3.3139454981726657E-2</v>
      </c>
      <c r="T122" s="11"/>
    </row>
    <row r="123" spans="2:20" x14ac:dyDescent="0.25">
      <c r="C123" s="1">
        <f>[1]Surface!C48</f>
        <v>44313</v>
      </c>
      <c r="D123" s="11">
        <f>[1]Surface!D48</f>
        <v>0.41792020964713761</v>
      </c>
      <c r="E123" s="11">
        <f>[1]Surface!E48</f>
        <v>-5.5874503863171443E-2</v>
      </c>
      <c r="F123" s="11">
        <f>[1]Surface!F48</f>
        <v>-0.11872935813870195</v>
      </c>
      <c r="G123" s="11">
        <f>[1]Surface!G48</f>
        <v>-0.21664802382837478</v>
      </c>
      <c r="H123" s="11">
        <f>[1]Surface!H48</f>
        <v>1.1269798917016405E-2</v>
      </c>
      <c r="I123" s="11">
        <f>[1]Surface!I48</f>
        <v>5.8071995201284254E-2</v>
      </c>
      <c r="J123" s="11">
        <f>[1]Surface!J48</f>
        <v>0.12591857401085293</v>
      </c>
      <c r="M123" s="1">
        <f>[1]Surface!L48</f>
        <v>44313</v>
      </c>
      <c r="N123" s="11">
        <f>[1]Surface!M48</f>
        <v>0.33239372159533975</v>
      </c>
      <c r="O123" s="11">
        <f>[1]Surface!N48</f>
        <v>-3.2407212240639471E-2</v>
      </c>
      <c r="P123" s="11">
        <f>[1]Surface!O48</f>
        <v>-6.8863027720447056E-2</v>
      </c>
      <c r="Q123" s="11">
        <f>[1]Surface!P48</f>
        <v>6.5364833718695725E-3</v>
      </c>
      <c r="R123" s="11">
        <f>[1]Surface!Q48</f>
        <v>3.3681757216744879E-2</v>
      </c>
      <c r="T123" s="11"/>
    </row>
    <row r="124" spans="2:20" x14ac:dyDescent="0.25">
      <c r="C124" s="1">
        <f>[1]Surface!C49</f>
        <v>44495</v>
      </c>
      <c r="D124" s="11">
        <f>[1]Surface!D49</f>
        <v>0.3581017683611003</v>
      </c>
      <c r="E124" s="11">
        <f>[1]Surface!E49</f>
        <v>-3.3529173497648002E-2</v>
      </c>
      <c r="F124" s="11">
        <f>[1]Surface!F49</f>
        <v>-8.0224044970632458E-2</v>
      </c>
      <c r="G124" s="11">
        <f>[1]Surface!G49</f>
        <v>-0.17053393440000275</v>
      </c>
      <c r="H124" s="11">
        <f>[1]Surface!H49</f>
        <v>5.5049266812450259E-3</v>
      </c>
      <c r="I124" s="11">
        <f>[1]Surface!I49</f>
        <v>3.4473837958196252E-2</v>
      </c>
      <c r="J124" s="11">
        <f>[1]Surface!J49</f>
        <v>9.2667614596322445E-2</v>
      </c>
      <c r="M124" s="1">
        <f>[1]Surface!L49</f>
        <v>44495</v>
      </c>
      <c r="N124" s="11">
        <f>[1]Surface!M49</f>
        <v>0.29769902564943818</v>
      </c>
      <c r="O124" s="11">
        <f>[1]Surface!N49</f>
        <v>-1.9446920628635844E-2</v>
      </c>
      <c r="P124" s="11">
        <f>[1]Surface!O49</f>
        <v>-4.6529946082966789E-2</v>
      </c>
      <c r="Q124" s="11">
        <f>[1]Surface!P49</f>
        <v>3.1928574751221017E-3</v>
      </c>
      <c r="R124" s="11">
        <f>[1]Surface!Q49</f>
        <v>1.9994826015753808E-2</v>
      </c>
      <c r="T124" s="11"/>
    </row>
    <row r="125" spans="2:20" x14ac:dyDescent="0.25">
      <c r="C125" s="1">
        <f>[1]Surface!C50</f>
        <v>44677</v>
      </c>
      <c r="D125" s="11">
        <f>[1]Surface!D50</f>
        <v>0.32525280036972593</v>
      </c>
      <c r="E125" s="11">
        <f>[1]Surface!E50</f>
        <v>-4.4342256712065209E-2</v>
      </c>
      <c r="F125" s="11">
        <f>[1]Surface!F50</f>
        <v>-8.9744431061706403E-2</v>
      </c>
      <c r="G125" s="11">
        <f>[1]Surface!G50</f>
        <v>-0.1734598837081</v>
      </c>
      <c r="H125" s="11">
        <f>[1]Surface!H50</f>
        <v>3.8564773005734798E-3</v>
      </c>
      <c r="I125" s="11">
        <f>[1]Surface!I50</f>
        <v>2.019341973501099E-2</v>
      </c>
      <c r="J125" s="11">
        <f>[1]Surface!J50</f>
        <v>5.1842783733248146E-2</v>
      </c>
      <c r="M125" s="1">
        <f>[1]Surface!L50</f>
        <v>44677</v>
      </c>
      <c r="N125" s="11">
        <f>[1]Surface!M50</f>
        <v>0.27864662421444103</v>
      </c>
      <c r="O125" s="11">
        <f>[1]Surface!N50</f>
        <v>-2.5718508892997816E-2</v>
      </c>
      <c r="P125" s="11">
        <f>[1]Surface!O50</f>
        <v>-5.2051770015789638E-2</v>
      </c>
      <c r="Q125" s="11">
        <f>[1]Surface!P50</f>
        <v>2.2367568343326094E-3</v>
      </c>
      <c r="R125" s="11">
        <f>[1]Surface!Q50</f>
        <v>1.171218344630629E-2</v>
      </c>
      <c r="T125" s="11"/>
    </row>
    <row r="126" spans="2:20" x14ac:dyDescent="0.25">
      <c r="C126" s="1">
        <f>[1]Surface!C51</f>
        <v>44860</v>
      </c>
      <c r="D126" s="11">
        <f>[1]Surface!D51</f>
        <v>0.30123213728768461</v>
      </c>
      <c r="E126" s="11">
        <f>[1]Surface!E51</f>
        <v>-4.0505695973004352E-2</v>
      </c>
      <c r="F126" s="11">
        <f>[1]Surface!F51</f>
        <v>-8.7433736061272915E-2</v>
      </c>
      <c r="G126" s="11">
        <f>[1]Surface!G51</f>
        <v>-0.16979348311888706</v>
      </c>
      <c r="H126" s="11">
        <f>[1]Surface!H51</f>
        <v>1.0140499671354442E-2</v>
      </c>
      <c r="I126" s="11">
        <f>[1]Surface!I51</f>
        <v>5.5412782402033227E-2</v>
      </c>
      <c r="J126" s="11">
        <f>[1]Surface!J51</f>
        <v>0.13291929310130754</v>
      </c>
      <c r="M126" s="1">
        <f>[1]Surface!L51</f>
        <v>44860</v>
      </c>
      <c r="N126" s="11">
        <f>[1]Surface!M51</f>
        <v>0.26471463962685704</v>
      </c>
      <c r="O126" s="11">
        <f>[1]Surface!N51</f>
        <v>-2.3493303664342491E-2</v>
      </c>
      <c r="P126" s="11">
        <f>[1]Surface!O51</f>
        <v>-5.0711566915538152E-2</v>
      </c>
      <c r="Q126" s="11">
        <f>[1]Surface!P51</f>
        <v>5.8814898093856316E-3</v>
      </c>
      <c r="R126" s="11">
        <f>[1]Surface!Q51</f>
        <v>3.2139413793179444E-2</v>
      </c>
      <c r="T126" s="11"/>
    </row>
    <row r="127" spans="2:20" x14ac:dyDescent="0.25">
      <c r="C127" s="1">
        <f>[1]Surface!C52</f>
        <v>45225</v>
      </c>
      <c r="D127" s="11">
        <f>[1]Surface!D52</f>
        <v>0.25941436415626884</v>
      </c>
      <c r="E127" s="11">
        <f>[1]Surface!E52</f>
        <v>-4.0469929896682189E-2</v>
      </c>
      <c r="F127" s="11">
        <f>[1]Surface!F52</f>
        <v>-8.7998837398708729E-2</v>
      </c>
      <c r="G127" s="11">
        <f>[1]Surface!G52</f>
        <v>-0.1756499480344495</v>
      </c>
      <c r="H127" s="11">
        <f>[1]Surface!H52</f>
        <v>1.1525418949069666E-2</v>
      </c>
      <c r="I127" s="11">
        <f>[1]Surface!I52</f>
        <v>6.505614029231517E-2</v>
      </c>
      <c r="J127" s="11">
        <f>[1]Surface!J52</f>
        <v>0.16395801556181738</v>
      </c>
      <c r="M127" s="1">
        <f>[1]Surface!L52</f>
        <v>45225</v>
      </c>
      <c r="N127" s="11">
        <f>[1]Surface!M52</f>
        <v>0.24046033121063592</v>
      </c>
      <c r="O127" s="11">
        <f>[1]Surface!N52</f>
        <v>-2.3472559340075666E-2</v>
      </c>
      <c r="P127" s="11">
        <f>[1]Surface!O52</f>
        <v>-5.1039325691251004E-2</v>
      </c>
      <c r="Q127" s="11">
        <f>[1]Surface!P52</f>
        <v>6.6847429904604017E-3</v>
      </c>
      <c r="R127" s="11">
        <f>[1]Surface!Q52</f>
        <v>3.77325613695427E-2</v>
      </c>
      <c r="T127" s="11"/>
    </row>
    <row r="128" spans="2:20" x14ac:dyDescent="0.25">
      <c r="D128" s="86" t="str" cm="1">
        <f t="array" aca="1" ref="D128" ca="1">_xll.QInterp_Create1dInterpolator($B$111&amp;"_"&amp;D113,$C$114:$C$127,D114:D127,"Linear")</f>
        <v>CO_ATM¬0</v>
      </c>
      <c r="E128" s="86" t="str" cm="1">
        <f t="array" aca="1" ref="E128" ca="1">_xll.QInterp_Create1dInterpolator($B$111&amp;"_RR"&amp;E113,$C$114:$C$127,E114:E127,"Linear")</f>
        <v>CO_RR0.25¬0</v>
      </c>
      <c r="F128" s="86" t="str" cm="1">
        <f t="array" aca="1" ref="F128" ca="1">_xll.QInterp_Create1dInterpolator($B$111&amp;"_RR"&amp;F113,$C$114:$C$127,F114:F127,"Linear")</f>
        <v>CO_RR0.1¬0</v>
      </c>
      <c r="G128" s="86" t="str" cm="1">
        <f t="array" aca="1" ref="G128" ca="1">_xll.QInterp_Create1dInterpolator($B$111&amp;"_RR"&amp;G113,$C$114:$C$127,G114:G127,"Linear")</f>
        <v>CO_RR0.05¬0</v>
      </c>
      <c r="H128" s="86" t="str" cm="1">
        <f t="array" aca="1" ref="H128" ca="1">_xll.QInterp_Create1dInterpolator($B$111&amp;"_BF"&amp;H113,$C$114:$C$127,H114:H127,"Linear")</f>
        <v>CO_BF0.25¬0</v>
      </c>
      <c r="I128" s="86" t="str" cm="1">
        <f t="array" aca="1" ref="I128" ca="1">_xll.QInterp_Create1dInterpolator($B$111&amp;"_BF"&amp;I113,$C$114:$C$127,I114:I127,"Linear")</f>
        <v>CO_BF0.1¬0</v>
      </c>
      <c r="J128" s="86" t="str" cm="1">
        <f t="array" aca="1" ref="J128" ca="1">_xll.QInterp_Create1dInterpolator($B$111&amp;"_BF"&amp;J113,$C$114:$C$127,J114:J127,"Linear")</f>
        <v>CO_BF0.05¬0</v>
      </c>
      <c r="N128" s="86" t="str" cm="1">
        <f t="array" aca="1" ref="N128" ca="1">_xll.QInterp_Create1dInterpolator($L$111&amp;"_"&amp;N113,$M$114:$M$127,N114:N127,"LinearFlatExtrap")</f>
        <v>QS_ATM¬0</v>
      </c>
      <c r="O128" s="86" t="str" cm="1">
        <f t="array" aca="1" ref="O128" ca="1">_xll.QInterp_Create1dInterpolator($L$111&amp;"_RR"&amp;O113,$M$114:$M$127,O114:O127,"Linear")</f>
        <v>QS_RR0.25¬0</v>
      </c>
      <c r="P128" s="86" t="str" cm="1">
        <f t="array" aca="1" ref="P128" ca="1">_xll.QInterp_Create1dInterpolator($L$111&amp;"_RR"&amp;P113,$M$114:$M$127,P114:P127,"Linear")</f>
        <v>QS_RR0.1¬0</v>
      </c>
      <c r="Q128" s="86" t="str" cm="1">
        <f t="array" aca="1" ref="Q128" ca="1">_xll.QInterp_Create1dInterpolator($L$111&amp;"_BF"&amp;Q113,$M$114:$M$127,Q114:Q127,"Linear")</f>
        <v>QS_BF0.25¬0</v>
      </c>
      <c r="R128" s="86" t="str" cm="1">
        <f t="array" aca="1" ref="R128" ca="1">_xll.QInterp_Create1dInterpolator($L$111&amp;"_BF"&amp;R113,$M$114:$M$127,R114:R127,"Linear")</f>
        <v>QS_BF0.1¬0</v>
      </c>
      <c r="T128" s="86"/>
    </row>
    <row r="129" spans="2:18" x14ac:dyDescent="0.25">
      <c r="C129" s="86"/>
      <c r="M129" s="86"/>
    </row>
    <row r="130" spans="2:18" x14ac:dyDescent="0.25">
      <c r="C130" s="86"/>
      <c r="E130" s="114" t="str">
        <f>E112</f>
        <v>RR</v>
      </c>
      <c r="F130" s="117"/>
      <c r="G130" s="115"/>
      <c r="H130" s="114" t="str">
        <f>H112</f>
        <v>BF</v>
      </c>
      <c r="I130" s="117"/>
      <c r="J130" s="115"/>
      <c r="M130" s="86"/>
      <c r="O130" s="114" t="str">
        <f>O112</f>
        <v>RR</v>
      </c>
      <c r="P130" s="115"/>
      <c r="Q130" s="114" t="str">
        <f>Q112</f>
        <v>BF</v>
      </c>
      <c r="R130" s="115"/>
    </row>
    <row r="131" spans="2:18" x14ac:dyDescent="0.25">
      <c r="B131" s="24" t="s">
        <v>158</v>
      </c>
      <c r="C131" s="91" t="s">
        <v>131</v>
      </c>
      <c r="D131" s="98" t="s">
        <v>86</v>
      </c>
      <c r="E131" s="54">
        <f>E113</f>
        <v>0.25</v>
      </c>
      <c r="F131" s="55">
        <f>F113</f>
        <v>0.1</v>
      </c>
      <c r="G131" s="56">
        <f>G113</f>
        <v>0.05</v>
      </c>
      <c r="H131" s="54">
        <f>H113</f>
        <v>0.25</v>
      </c>
      <c r="I131" s="55">
        <f>I113</f>
        <v>0.1</v>
      </c>
      <c r="J131" s="56">
        <f>J113</f>
        <v>0.05</v>
      </c>
      <c r="L131" s="24" t="s">
        <v>158</v>
      </c>
      <c r="M131" s="91" t="s">
        <v>131</v>
      </c>
      <c r="N131" s="98" t="s">
        <v>86</v>
      </c>
      <c r="O131" s="54">
        <f>O113</f>
        <v>0.25</v>
      </c>
      <c r="P131" s="56">
        <f>P113</f>
        <v>0.1</v>
      </c>
      <c r="Q131" s="54">
        <f>Q113</f>
        <v>0.25</v>
      </c>
      <c r="R131" s="56">
        <f>R113</f>
        <v>0.1</v>
      </c>
    </row>
    <row r="132" spans="2:18" x14ac:dyDescent="0.25">
      <c r="B132" s="8" t="str">
        <f ca="1">B11</f>
        <v>CON0</v>
      </c>
      <c r="C132" s="1">
        <f ca="1">C11</f>
        <v>43980</v>
      </c>
      <c r="D132" s="99" cm="1">
        <f t="array" aca="1" ref="D132" ca="1">_xll.QInterp_Interpolate1d(D$128,$C132)+E$111</f>
        <v>0.93956640831717442</v>
      </c>
      <c r="E132" s="92" cm="1">
        <f t="array" aca="1" ref="E132" ca="1">_xll.QInterp_Interpolate1d(E$128,$C132)*$H$111</f>
        <v>-0.22919581945639567</v>
      </c>
      <c r="F132" s="93" cm="1">
        <f t="array" aca="1" ref="F132" ca="1">_xll.QInterp_Interpolate1d(F$128,$C132)*$H$111</f>
        <v>-0.41690164107158278</v>
      </c>
      <c r="G132" s="94" cm="1">
        <f t="array" aca="1" ref="G132" ca="1">_xll.QInterp_Interpolate1d(G$128,$C132)*$H$111</f>
        <v>-0.58654622128312894</v>
      </c>
      <c r="H132" s="92" cm="1">
        <f t="array" aca="1" ref="H132" ca="1">_xll.QInterp_Interpolate1d(H$128,$C132)*$H$111</f>
        <v>9.5763674125122766E-3</v>
      </c>
      <c r="I132" s="93" cm="1">
        <f t="array" aca="1" ref="I132" ca="1">_xll.QInterp_Interpolate1d(I$128,$C132)*$H$111</f>
        <v>7.2495390695199308E-2</v>
      </c>
      <c r="J132" s="94" cm="1">
        <f t="array" aca="1" ref="J132" ca="1">_xll.QInterp_Interpolate1d(J$128,$C132)*$H$111</f>
        <v>0.20668430498210505</v>
      </c>
      <c r="L132" s="8" t="str">
        <f ca="1">K11</f>
        <v>QSM0</v>
      </c>
      <c r="M132" s="1">
        <f ca="1">L11</f>
        <v>43993</v>
      </c>
      <c r="N132" s="99" cm="1">
        <f t="array" aca="1" ref="N132" ca="1">_xll.QInterp_Interpolate1d(N$128,$M132)+N$111</f>
        <v>0.58896513538123418</v>
      </c>
      <c r="O132" s="92" cm="1">
        <f t="array" aca="1" ref="O132" ca="1">_xll.QInterp_Interpolate1d(O$128,$M132)*$P$111</f>
        <v>-0.1190948854301794</v>
      </c>
      <c r="P132" s="94" cm="1">
        <f t="array" aca="1" ref="P132" ca="1">_xll.QInterp_Interpolate1d(P$128,$M132)*$P$111</f>
        <v>-0.23251123463880705</v>
      </c>
      <c r="Q132" s="92" cm="1">
        <f t="array" aca="1" ref="Q132" ca="1">_xll.QInterp_Interpolate1d(Q$128,$M132)*$P$111</f>
        <v>8.0718660619267801E-3</v>
      </c>
      <c r="R132" s="94" cm="1">
        <f t="array" aca="1" ref="R132" ca="1">_xll.QInterp_Interpolate1d(R$128,$M132)*$P$111</f>
        <v>5.3930899375296146E-2</v>
      </c>
    </row>
    <row r="133" spans="2:18" x14ac:dyDescent="0.25">
      <c r="B133" s="8" t="str">
        <f t="shared" ref="B133:B173" ca="1" si="16">B12</f>
        <v>COQ0</v>
      </c>
      <c r="C133" s="1">
        <f t="shared" ref="C133:C173" ca="1" si="17">C12</f>
        <v>44012</v>
      </c>
      <c r="D133" s="99" cm="1">
        <f t="array" aca="1" ref="D133" ca="1">_xll.QInterp_Interpolate1d(D$128,$C133)+E$111</f>
        <v>0.74102610858738527</v>
      </c>
      <c r="E133" s="92" cm="1">
        <f t="array" aca="1" ref="E133" ca="1">_xll.QInterp_Interpolate1d(E$128,$C133)*$H$111</f>
        <v>-0.17677217352470639</v>
      </c>
      <c r="F133" s="93" cm="1">
        <f t="array" aca="1" ref="F133" ca="1">_xll.QInterp_Interpolate1d(F$128,$C133)*$H$111</f>
        <v>-0.37201909229717545</v>
      </c>
      <c r="G133" s="94" cm="1">
        <f t="array" aca="1" ref="G133" ca="1">_xll.QInterp_Interpolate1d(G$128,$C133)*$H$111</f>
        <v>-0.53573920472282344</v>
      </c>
      <c r="H133" s="92" cm="1">
        <f t="array" aca="1" ref="H133" ca="1">_xll.QInterp_Interpolate1d(H$128,$C133)*$H$111</f>
        <v>1.8426853444202314E-2</v>
      </c>
      <c r="I133" s="93" cm="1">
        <f t="array" aca="1" ref="I133" ca="1">_xll.QInterp_Interpolate1d(I$128,$C133)*$H$111</f>
        <v>0.11349126878607141</v>
      </c>
      <c r="J133" s="94" cm="1">
        <f t="array" aca="1" ref="J133" ca="1">_xll.QInterp_Interpolate1d(J$128,$C133)*$H$111</f>
        <v>0.27502525400832711</v>
      </c>
      <c r="L133" s="8" t="str">
        <f t="shared" ref="L133:M173" ca="1" si="18">K12</f>
        <v>QSN0</v>
      </c>
      <c r="M133" s="1">
        <f t="shared" ca="1" si="18"/>
        <v>44022</v>
      </c>
      <c r="N133" s="99" cm="1">
        <f t="array" aca="1" ref="N133" ca="1">_xll.QInterp_Interpolate1d(N$128,$M133)+N$111</f>
        <v>0.50214244128699381</v>
      </c>
      <c r="O133" s="92" cm="1">
        <f t="array" aca="1" ref="O133" ca="1">_xll.QInterp_Interpolate1d(O$128,$M133)*$P$111</f>
        <v>-9.920021999007976E-2</v>
      </c>
      <c r="P133" s="94" cm="1">
        <f t="array" aca="1" ref="P133" ca="1">_xll.QInterp_Interpolate1d(P$128,$M133)*$P$111</f>
        <v>-0.20230368063607945</v>
      </c>
      <c r="Q133" s="92" cm="1">
        <f t="array" aca="1" ref="Q133" ca="1">_xll.QInterp_Interpolate1d(Q$128,$M133)*$P$111</f>
        <v>1.0496528026385414E-2</v>
      </c>
      <c r="R133" s="94" cm="1">
        <f t="array" aca="1" ref="R133" ca="1">_xll.QInterp_Interpolate1d(R$128,$M133)*$P$111</f>
        <v>6.4017621428075752E-2</v>
      </c>
    </row>
    <row r="134" spans="2:18" x14ac:dyDescent="0.25">
      <c r="B134" s="8" t="str">
        <f t="shared" ca="1" si="16"/>
        <v>COU0</v>
      </c>
      <c r="C134" s="1">
        <f t="shared" ca="1" si="17"/>
        <v>44043</v>
      </c>
      <c r="D134" s="99" cm="1">
        <f t="array" aca="1" ref="D134" ca="1">_xll.QInterp_Interpolate1d(D$128,$C134)+E$111</f>
        <v>0.63017095003782642</v>
      </c>
      <c r="E134" s="92" cm="1">
        <f t="array" aca="1" ref="E134" ca="1">_xll.QInterp_Interpolate1d(E$128,$C134)*$H$111</f>
        <v>-0.15770629215810203</v>
      </c>
      <c r="F134" s="93" cm="1">
        <f t="array" aca="1" ref="F134" ca="1">_xll.QInterp_Interpolate1d(F$128,$C134)*$H$111</f>
        <v>-0.30066691495673981</v>
      </c>
      <c r="G134" s="94" cm="1">
        <f t="array" aca="1" ref="G134" ca="1">_xll.QInterp_Interpolate1d(G$128,$C134)*$H$111</f>
        <v>-0.41780075630448349</v>
      </c>
      <c r="H134" s="92" cm="1">
        <f t="array" aca="1" ref="H134" ca="1">_xll.QInterp_Interpolate1d(H$128,$C134)*$H$111</f>
        <v>1.7199520439789586E-2</v>
      </c>
      <c r="I134" s="93" cm="1">
        <f t="array" aca="1" ref="I134" ca="1">_xll.QInterp_Interpolate1d(I$128,$C134)*$H$111</f>
        <v>0.10300731996934306</v>
      </c>
      <c r="J134" s="94" cm="1">
        <f t="array" aca="1" ref="J134" ca="1">_xll.QInterp_Interpolate1d(J$128,$C134)*$H$111</f>
        <v>0.24599568008736597</v>
      </c>
      <c r="L134" s="8" t="str">
        <f t="shared" ca="1" si="18"/>
        <v>QSQ0</v>
      </c>
      <c r="M134" s="1">
        <f t="shared" ca="1" si="18"/>
        <v>44055</v>
      </c>
      <c r="N134" s="99" cm="1">
        <f t="array" aca="1" ref="N134" ca="1">_xll.QInterp_Interpolate1d(N$128,$M134)+N$111</f>
        <v>0.44726544215628589</v>
      </c>
      <c r="O134" s="92" cm="1">
        <f t="array" aca="1" ref="O134" ca="1">_xll.QInterp_Interpolate1d(O$128,$M134)*$P$111</f>
        <v>-8.4506380008776832E-2</v>
      </c>
      <c r="P134" s="94" cm="1">
        <f t="array" aca="1" ref="P134" ca="1">_xll.QInterp_Interpolate1d(P$128,$M134)*$P$111</f>
        <v>-0.15968455968345929</v>
      </c>
      <c r="Q134" s="92" cm="1">
        <f t="array" aca="1" ref="Q134" ca="1">_xll.QInterp_Interpolate1d(Q$128,$M134)*$P$111</f>
        <v>9.2680353628622082E-3</v>
      </c>
      <c r="R134" s="94" cm="1">
        <f t="array" aca="1" ref="R134" ca="1">_xll.QInterp_Interpolate1d(R$128,$M134)*$P$111</f>
        <v>5.5663406367280469E-2</v>
      </c>
    </row>
    <row r="135" spans="2:18" x14ac:dyDescent="0.25">
      <c r="B135" s="8" t="str">
        <f t="shared" ca="1" si="16"/>
        <v>COV0</v>
      </c>
      <c r="C135" s="1">
        <f t="shared" ca="1" si="17"/>
        <v>44071</v>
      </c>
      <c r="D135" s="99" cm="1">
        <f t="array" aca="1" ref="D135" ca="1">_xll.QInterp_Interpolate1d(D$128,$C135)+E$111</f>
        <v>0.58253612480244998</v>
      </c>
      <c r="E135" s="92" cm="1">
        <f t="array" aca="1" ref="E135" ca="1">_xll.QInterp_Interpolate1d(E$128,$C135)*$H$111</f>
        <v>-0.13017732343959318</v>
      </c>
      <c r="F135" s="93" cm="1">
        <f t="array" aca="1" ref="F135" ca="1">_xll.QInterp_Interpolate1d(F$128,$C135)*$H$111</f>
        <v>-0.24358422235057178</v>
      </c>
      <c r="G135" s="94" cm="1">
        <f t="array" aca="1" ref="G135" ca="1">_xll.QInterp_Interpolate1d(G$128,$C135)*$H$111</f>
        <v>-0.37220718994188218</v>
      </c>
      <c r="H135" s="92" cm="1">
        <f t="array" aca="1" ref="H135" ca="1">_xll.QInterp_Interpolate1d(H$128,$C135)*$H$111</f>
        <v>1.4280082214153566E-2</v>
      </c>
      <c r="I135" s="93" cm="1">
        <f t="array" aca="1" ref="I135" ca="1">_xll.QInterp_Interpolate1d(I$128,$C135)*$H$111</f>
        <v>8.6744788784738583E-2</v>
      </c>
      <c r="J135" s="94" cm="1">
        <f t="array" aca="1" ref="J135" ca="1">_xll.QInterp_Interpolate1d(J$128,$C135)*$H$111</f>
        <v>0.20641702938056114</v>
      </c>
      <c r="L135" s="8" t="str">
        <f t="shared" ca="1" si="18"/>
        <v>QSU0</v>
      </c>
      <c r="M135" s="1">
        <f t="shared" ca="1" si="18"/>
        <v>44084</v>
      </c>
      <c r="N135" s="99" cm="1">
        <f t="array" aca="1" ref="N135" ca="1">_xll.QInterp_Interpolate1d(N$128,$M135)+N$111</f>
        <v>0.42459751888654562</v>
      </c>
      <c r="O135" s="92" cm="1">
        <f t="array" aca="1" ref="O135" ca="1">_xll.QInterp_Interpolate1d(O$128,$M135)*$P$111</f>
        <v>-6.9176222019938796E-2</v>
      </c>
      <c r="P135" s="94" cm="1">
        <f t="array" aca="1" ref="P135" ca="1">_xll.QInterp_Interpolate1d(P$128,$M135)*$P$111</f>
        <v>-0.13053966966375102</v>
      </c>
      <c r="Q135" s="92" cm="1">
        <f t="array" aca="1" ref="Q135" ca="1">_xll.QInterp_Interpolate1d(Q$128,$M135)*$P$111</f>
        <v>7.3337626651697654E-3</v>
      </c>
      <c r="R135" s="94" cm="1">
        <f t="array" aca="1" ref="R135" ca="1">_xll.QInterp_Interpolate1d(R$128,$M135)*$P$111</f>
        <v>4.6279725363815111E-2</v>
      </c>
    </row>
    <row r="136" spans="2:18" x14ac:dyDescent="0.25">
      <c r="B136" s="8" t="str">
        <f t="shared" ca="1" si="16"/>
        <v>COX0</v>
      </c>
      <c r="C136" s="1">
        <f t="shared" ca="1" si="17"/>
        <v>44104</v>
      </c>
      <c r="D136" s="99" cm="1">
        <f t="array" aca="1" ref="D136" ca="1">_xll.QInterp_Interpolate1d(D$128,$C136)+E$111</f>
        <v>0.54980779925258882</v>
      </c>
      <c r="E136" s="92" cm="1">
        <f t="array" aca="1" ref="E136" ca="1">_xll.QInterp_Interpolate1d(E$128,$C136)*$H$111</f>
        <v>-0.1063073353168585</v>
      </c>
      <c r="F136" s="93" cm="1">
        <f t="array" aca="1" ref="F136" ca="1">_xll.QInterp_Interpolate1d(F$128,$C136)*$H$111</f>
        <v>-0.20115224196481918</v>
      </c>
      <c r="G136" s="94" cm="1">
        <f t="array" aca="1" ref="G136" ca="1">_xll.QInterp_Interpolate1d(G$128,$C136)*$H$111</f>
        <v>-0.32127555702774763</v>
      </c>
      <c r="H136" s="92" cm="1">
        <f t="array" aca="1" ref="H136" ca="1">_xll.QInterp_Interpolate1d(H$128,$C136)*$H$111</f>
        <v>1.035257053555012E-2</v>
      </c>
      <c r="I136" s="93" cm="1">
        <f t="array" aca="1" ref="I136" ca="1">_xll.QInterp_Interpolate1d(I$128,$C136)*$H$111</f>
        <v>6.8858950749607933E-2</v>
      </c>
      <c r="J136" s="94" cm="1">
        <f t="array" aca="1" ref="J136" ca="1">_xll.QInterp_Interpolate1d(J$128,$C136)*$H$111</f>
        <v>0.16498532458321488</v>
      </c>
      <c r="L136" s="8" t="str">
        <f t="shared" ca="1" si="18"/>
        <v>QSV0</v>
      </c>
      <c r="M136" s="1">
        <f t="shared" ca="1" si="18"/>
        <v>44116</v>
      </c>
      <c r="N136" s="99" cm="1">
        <f t="array" aca="1" ref="N136" ca="1">_xll.QInterp_Interpolate1d(N$128,$M136)+N$111</f>
        <v>0.40616259679528083</v>
      </c>
      <c r="O136" s="92" cm="1">
        <f t="array" aca="1" ref="O136" ca="1">_xll.QInterp_Interpolate1d(O$128,$M136)*$P$111</f>
        <v>-6.1135018604754031E-2</v>
      </c>
      <c r="P136" s="94" cm="1">
        <f t="array" aca="1" ref="P136" ca="1">_xll.QInterp_Interpolate1d(P$128,$M136)*$P$111</f>
        <v>-0.11311627971430598</v>
      </c>
      <c r="Q136" s="92" cm="1">
        <f t="array" aca="1" ref="Q136" ca="1">_xll.QInterp_Interpolate1d(Q$128,$M136)*$P$111</f>
        <v>5.4413664447295444E-3</v>
      </c>
      <c r="R136" s="94" cm="1">
        <f t="array" aca="1" ref="R136" ca="1">_xll.QInterp_Interpolate1d(R$128,$M136)*$P$111</f>
        <v>3.5884746676455255E-2</v>
      </c>
    </row>
    <row r="137" spans="2:18" x14ac:dyDescent="0.25">
      <c r="B137" s="8" t="str">
        <f t="shared" ca="1" si="16"/>
        <v>COZ0</v>
      </c>
      <c r="C137" s="1">
        <f t="shared" ca="1" si="17"/>
        <v>44134</v>
      </c>
      <c r="D137" s="99" cm="1">
        <f t="array" aca="1" ref="D137" ca="1">_xll.QInterp_Interpolate1d(D$128,$C137)+E$111</f>
        <v>0.52008901777337702</v>
      </c>
      <c r="E137" s="92" cm="1">
        <f t="array" aca="1" ref="E137" ca="1">_xll.QInterp_Interpolate1d(E$128,$C137)*$H$111</f>
        <v>-0.10282634261532339</v>
      </c>
      <c r="F137" s="93" cm="1">
        <f t="array" aca="1" ref="F137" ca="1">_xll.QInterp_Interpolate1d(F$128,$C137)*$H$111</f>
        <v>-0.1856182664084782</v>
      </c>
      <c r="G137" s="94" cm="1">
        <f t="array" aca="1" ref="G137" ca="1">_xll.QInterp_Interpolate1d(G$128,$C137)*$H$111</f>
        <v>-0.26983496609824226</v>
      </c>
      <c r="H137" s="92" cm="1">
        <f t="array" aca="1" ref="H137" ca="1">_xll.QInterp_Interpolate1d(H$128,$C137)*$H$111</f>
        <v>8.5331292915308971E-3</v>
      </c>
      <c r="I137" s="93" cm="1">
        <f t="array" aca="1" ref="I137" ca="1">_xll.QInterp_Interpolate1d(I$128,$C137)*$H$111</f>
        <v>5.382210209093289E-2</v>
      </c>
      <c r="J137" s="94" cm="1">
        <f t="array" aca="1" ref="J137" ca="1">_xll.QInterp_Interpolate1d(J$128,$C137)*$H$111</f>
        <v>0.12629788388702984</v>
      </c>
      <c r="L137" s="8" t="str">
        <f t="shared" ca="1" si="18"/>
        <v>QSX0</v>
      </c>
      <c r="M137" s="1">
        <f t="shared" ca="1" si="18"/>
        <v>44147</v>
      </c>
      <c r="N137" s="99" cm="1">
        <f t="array" aca="1" ref="N137" ca="1">_xll.QInterp_Interpolate1d(N$128,$M137)+N$111</f>
        <v>0.38868621221020755</v>
      </c>
      <c r="O137" s="92" cm="1">
        <f t="array" aca="1" ref="O137" ca="1">_xll.QInterp_Interpolate1d(O$128,$M137)*$P$111</f>
        <v>-5.599193354751255E-2</v>
      </c>
      <c r="P137" s="94" cm="1">
        <f t="array" aca="1" ref="P137" ca="1">_xll.QInterp_Interpolate1d(P$128,$M137)*$P$111</f>
        <v>-0.10324873704854956</v>
      </c>
      <c r="Q137" s="92" cm="1">
        <f t="array" aca="1" ref="Q137" ca="1">_xll.QInterp_Interpolate1d(Q$128,$M137)*$P$111</f>
        <v>5.8668162048761035E-3</v>
      </c>
      <c r="R137" s="94" cm="1">
        <f t="array" aca="1" ref="R137" ca="1">_xll.QInterp_Interpolate1d(R$128,$M137)*$P$111</f>
        <v>3.2945292644199056E-2</v>
      </c>
    </row>
    <row r="138" spans="2:18" x14ac:dyDescent="0.25">
      <c r="B138" s="8" t="str">
        <f t="shared" ca="1" si="16"/>
        <v>COF1</v>
      </c>
      <c r="C138" s="1">
        <f t="shared" ca="1" si="17"/>
        <v>44165</v>
      </c>
      <c r="D138" s="99" cm="1">
        <f t="array" aca="1" ref="D138" ca="1">_xll.QInterp_Interpolate1d(D$128,$C138)+E$111</f>
        <v>0.49145724362584253</v>
      </c>
      <c r="E138" s="92" cm="1">
        <f t="array" aca="1" ref="E138" ca="1">_xll.QInterp_Interpolate1d(E$128,$C138)*$H$111</f>
        <v>-8.904435480716287E-2</v>
      </c>
      <c r="F138" s="93" cm="1">
        <f t="array" aca="1" ref="F138" ca="1">_xll.QInterp_Interpolate1d(F$128,$C138)*$H$111</f>
        <v>-0.1641088841220901</v>
      </c>
      <c r="G138" s="94" cm="1">
        <f t="array" aca="1" ref="G138" ca="1">_xll.QInterp_Interpolate1d(G$128,$C138)*$H$111</f>
        <v>-0.29433883007718248</v>
      </c>
      <c r="H138" s="92" cm="1">
        <f t="array" aca="1" ref="H138" ca="1">_xll.QInterp_Interpolate1d(H$128,$C138)*$H$111</f>
        <v>1.208077691008356E-2</v>
      </c>
      <c r="I138" s="93" cm="1">
        <f t="array" aca="1" ref="I138" ca="1">_xll.QInterp_Interpolate1d(I$128,$C138)*$H$111</f>
        <v>5.8186737597128405E-2</v>
      </c>
      <c r="J138" s="94" cm="1">
        <f t="array" aca="1" ref="J138" ca="1">_xll.QInterp_Interpolate1d(J$128,$C138)*$H$111</f>
        <v>0.15188759633432189</v>
      </c>
      <c r="L138" s="8" t="str">
        <f t="shared" ca="1" si="18"/>
        <v>QSZ0</v>
      </c>
      <c r="M138" s="1">
        <f t="shared" ca="1" si="18"/>
        <v>44175</v>
      </c>
      <c r="N138" s="99" cm="1">
        <f t="array" aca="1" ref="N138" ca="1">_xll.QInterp_Interpolate1d(N$128,$M138)+N$111</f>
        <v>0.37469401568525301</v>
      </c>
      <c r="O138" s="92" cm="1">
        <f t="array" aca="1" ref="O138" ca="1">_xll.QInterp_Interpolate1d(O$128,$M138)*$P$111</f>
        <v>-5.0248000608188445E-2</v>
      </c>
      <c r="P138" s="94" cm="1">
        <f t="array" aca="1" ref="P138" ca="1">_xll.QInterp_Interpolate1d(P$128,$M138)*$P$111</f>
        <v>-8.7871699212073204E-2</v>
      </c>
      <c r="Q138" s="92" cm="1">
        <f t="array" aca="1" ref="Q138" ca="1">_xll.QInterp_Interpolate1d(Q$128,$M138)*$P$111</f>
        <v>7.4517169822167478E-3</v>
      </c>
      <c r="R138" s="94" cm="1">
        <f t="array" aca="1" ref="R138" ca="1">_xll.QInterp_Interpolate1d(R$128,$M138)*$P$111</f>
        <v>3.1897391267689472E-2</v>
      </c>
    </row>
    <row r="139" spans="2:18" x14ac:dyDescent="0.25">
      <c r="B139" s="8" t="str">
        <f t="shared" ca="1" si="16"/>
        <v>COG1</v>
      </c>
      <c r="C139" s="1">
        <f t="shared" ca="1" si="17"/>
        <v>44196</v>
      </c>
      <c r="D139" s="99" cm="1">
        <f t="array" aca="1" ref="D139" ca="1">_xll.QInterp_Interpolate1d(D$128,$C139)+E$111</f>
        <v>0.46917267656570849</v>
      </c>
      <c r="E139" s="92" cm="1">
        <f t="array" aca="1" ref="E139" ca="1">_xll.QInterp_Interpolate1d(E$128,$C139)*$H$111</f>
        <v>-8.0635298298402672E-2</v>
      </c>
      <c r="F139" s="93" cm="1">
        <f t="array" aca="1" ref="F139" ca="1">_xll.QInterp_Interpolate1d(F$128,$C139)*$H$111</f>
        <v>-0.13207247975787062</v>
      </c>
      <c r="G139" s="94" cm="1">
        <f t="array" aca="1" ref="G139" ca="1">_xll.QInterp_Interpolate1d(G$128,$C139)*$H$111</f>
        <v>-0.3641216666387434</v>
      </c>
      <c r="H139" s="92" cm="1">
        <f t="array" aca="1" ref="H139" ca="1">_xll.QInterp_Interpolate1d(H$128,$C139)*$H$111</f>
        <v>1.3473950606419609E-2</v>
      </c>
      <c r="I139" s="93" cm="1">
        <f t="array" aca="1" ref="I139" ca="1">_xll.QInterp_Interpolate1d(I$128,$C139)*$H$111</f>
        <v>5.1929728099547046E-2</v>
      </c>
      <c r="J139" s="94" cm="1">
        <f t="array" aca="1" ref="J139" ca="1">_xll.QInterp_Interpolate1d(J$128,$C139)*$H$111</f>
        <v>0.20008335262025689</v>
      </c>
      <c r="L139" s="8" t="str">
        <f t="shared" ca="1" si="18"/>
        <v>QSF1</v>
      </c>
      <c r="M139" s="1">
        <f t="shared" ca="1" si="18"/>
        <v>44208</v>
      </c>
      <c r="N139" s="99" cm="1">
        <f t="array" aca="1" ref="N139" ca="1">_xll.QInterp_Interpolate1d(N$128,$M139)+N$111</f>
        <v>0.36288780370128981</v>
      </c>
      <c r="O139" s="92" cm="1">
        <f t="array" aca="1" ref="O139" ca="1">_xll.QInterp_Interpolate1d(O$128,$M139)*$P$111</f>
        <v>-4.4158108996223563E-2</v>
      </c>
      <c r="P139" s="94" cm="1">
        <f t="array" aca="1" ref="P139" ca="1">_xll.QInterp_Interpolate1d(P$128,$M139)*$P$111</f>
        <v>-7.4830108072810125E-2</v>
      </c>
      <c r="Q139" s="92" cm="1">
        <f t="array" aca="1" ref="Q139" ca="1">_xll.QInterp_Interpolate1d(Q$128,$M139)*$P$111</f>
        <v>7.3697966866794681E-3</v>
      </c>
      <c r="R139" s="94" cm="1">
        <f t="array" aca="1" ref="R139" ca="1">_xll.QInterp_Interpolate1d(R$128,$M139)*$P$111</f>
        <v>3.1513186613424761E-2</v>
      </c>
    </row>
    <row r="140" spans="2:18" x14ac:dyDescent="0.25">
      <c r="B140" s="8" t="str">
        <f t="shared" ca="1" si="16"/>
        <v>COH1</v>
      </c>
      <c r="C140" s="1">
        <f t="shared" ca="1" si="17"/>
        <v>44225</v>
      </c>
      <c r="D140" s="99" cm="1">
        <f t="array" aca="1" ref="D140" ca="1">_xll.QInterp_Interpolate1d(D$128,$C140)+E$111</f>
        <v>0.45541341587594858</v>
      </c>
      <c r="E140" s="92" cm="1">
        <f t="array" aca="1" ref="E140" ca="1">_xll.QInterp_Interpolate1d(E$128,$C140)*$H$111</f>
        <v>-7.0389121939996122E-2</v>
      </c>
      <c r="F140" s="93" cm="1">
        <f t="array" aca="1" ref="F140" ca="1">_xll.QInterp_Interpolate1d(F$128,$C140)*$H$111</f>
        <v>-0.12523153519758382</v>
      </c>
      <c r="G140" s="94" cm="1">
        <f t="array" aca="1" ref="G140" ca="1">_xll.QInterp_Interpolate1d(G$128,$C140)*$H$111</f>
        <v>-0.23907330446121869</v>
      </c>
      <c r="H140" s="92" cm="1">
        <f t="array" aca="1" ref="H140" ca="1">_xll.QInterp_Interpolate1d(H$128,$C140)*$H$111</f>
        <v>1.1793390923308306E-2</v>
      </c>
      <c r="I140" s="93" cm="1">
        <f t="array" aca="1" ref="I140" ca="1">_xll.QInterp_Interpolate1d(I$128,$C140)*$H$111</f>
        <v>5.7167815650665602E-2</v>
      </c>
      <c r="J140" s="94" cm="1">
        <f t="array" aca="1" ref="J140" ca="1">_xll.QInterp_Interpolate1d(J$128,$C140)*$H$111</f>
        <v>0.16438478885487853</v>
      </c>
      <c r="L140" s="8" t="str">
        <f t="shared" ca="1" si="18"/>
        <v>QSG1</v>
      </c>
      <c r="M140" s="1">
        <f t="shared" ca="1" si="18"/>
        <v>44238</v>
      </c>
      <c r="N140" s="99" cm="1">
        <f t="array" aca="1" ref="N140" ca="1">_xll.QInterp_Interpolate1d(N$128,$M140)+N$111</f>
        <v>0.35598411331071794</v>
      </c>
      <c r="O140" s="92" cm="1">
        <f t="array" aca="1" ref="O140" ca="1">_xll.QInterp_Interpolate1d(O$128,$M140)*$P$111</f>
        <v>-3.9582051858160744E-2</v>
      </c>
      <c r="P140" s="94" cm="1">
        <f t="array" aca="1" ref="P140" ca="1">_xll.QInterp_Interpolate1d(P$128,$M140)*$P$111</f>
        <v>-7.2077172062053496E-2</v>
      </c>
      <c r="Q140" s="92" cm="1">
        <f t="array" aca="1" ref="Q140" ca="1">_xll.QInterp_Interpolate1d(Q$128,$M140)*$P$111</f>
        <v>6.7953044204343664E-3</v>
      </c>
      <c r="R140" s="94" cm="1">
        <f t="array" aca="1" ref="R140" ca="1">_xll.QInterp_Interpolate1d(R$128,$M140)*$P$111</f>
        <v>3.3234804825246343E-2</v>
      </c>
    </row>
    <row r="141" spans="2:18" x14ac:dyDescent="0.25">
      <c r="B141" s="8" t="str">
        <f t="shared" ca="1" si="16"/>
        <v>COJ1</v>
      </c>
      <c r="C141" s="1">
        <f t="shared" ca="1" si="17"/>
        <v>44253</v>
      </c>
      <c r="D141" s="99" cm="1">
        <f t="array" aca="1" ref="D141" ca="1">_xll.QInterp_Interpolate1d(D$128,$C141)+E$111</f>
        <v>0.4466655775304178</v>
      </c>
      <c r="E141" s="92" cm="1">
        <f t="array" aca="1" ref="E141" ca="1">_xll.QInterp_Interpolate1d(E$128,$C141)*$H$111</f>
        <v>-6.5770834370097356E-2</v>
      </c>
      <c r="F141" s="93" cm="1">
        <f t="array" aca="1" ref="F141" ca="1">_xll.QInterp_Interpolate1d(F$128,$C141)*$H$111</f>
        <v>-0.12316266067884866</v>
      </c>
      <c r="G141" s="94" cm="1">
        <f t="array" aca="1" ref="G141" ca="1">_xll.QInterp_Interpolate1d(G$128,$C141)*$H$111</f>
        <v>-0.23193798789622291</v>
      </c>
      <c r="H141" s="92" cm="1">
        <f t="array" aca="1" ref="H141" ca="1">_xll.QInterp_Interpolate1d(H$128,$C141)*$H$111</f>
        <v>1.1626793466760883E-2</v>
      </c>
      <c r="I141" s="93" cm="1">
        <f t="array" aca="1" ref="I141" ca="1">_xll.QInterp_Interpolate1d(I$128,$C141)*$H$111</f>
        <v>5.7455509144044264E-2</v>
      </c>
      <c r="J141" s="94" cm="1">
        <f t="array" aca="1" ref="J141" ca="1">_xll.QInterp_Interpolate1d(J$128,$C141)*$H$111</f>
        <v>0.15214553867723402</v>
      </c>
      <c r="L141" s="8" t="str">
        <f t="shared" ca="1" si="18"/>
        <v>QSH1</v>
      </c>
      <c r="M141" s="1">
        <f t="shared" ca="1" si="18"/>
        <v>44266</v>
      </c>
      <c r="N141" s="99" cm="1">
        <f t="array" aca="1" ref="N141" ca="1">_xll.QInterp_Interpolate1d(N$128,$M141)+N$111</f>
        <v>0.35091036707031009</v>
      </c>
      <c r="O141" s="92" cm="1">
        <f t="array" aca="1" ref="O141" ca="1">_xll.QInterp_Interpolate1d(O$128,$M141)*$P$111</f>
        <v>-3.6903445067619473E-2</v>
      </c>
      <c r="P141" s="94" cm="1">
        <f t="array" aca="1" ref="P141" ca="1">_xll.QInterp_Interpolate1d(P$128,$M141)*$P$111</f>
        <v>-7.0877224841187095E-2</v>
      </c>
      <c r="Q141" s="92" cm="1">
        <f t="array" aca="1" ref="Q141" ca="1">_xll.QInterp_Interpolate1d(Q$128,$M141)*$P$111</f>
        <v>6.6986778956368434E-3</v>
      </c>
      <c r="R141" s="94" cm="1">
        <f t="array" aca="1" ref="R141" ca="1">_xll.QInterp_Interpolate1d(R$128,$M141)*$P$111</f>
        <v>3.3401667051405799E-2</v>
      </c>
    </row>
    <row r="142" spans="2:18" x14ac:dyDescent="0.25">
      <c r="B142" s="8" t="str">
        <f t="shared" ca="1" si="16"/>
        <v>COK1</v>
      </c>
      <c r="C142" s="1">
        <f t="shared" ca="1" si="17"/>
        <v>44286</v>
      </c>
      <c r="D142" s="99" cm="1">
        <f t="array" aca="1" ref="D142" ca="1">_xll.QInterp_Interpolate1d(D$128,$C142)+E$111</f>
        <v>0.43635562519461368</v>
      </c>
      <c r="E142" s="92" cm="1">
        <f t="array" aca="1" ref="E142" ca="1">_xll.QInterp_Interpolate1d(E$128,$C142)*$H$111</f>
        <v>-6.0327852591288103E-2</v>
      </c>
      <c r="F142" s="93" cm="1">
        <f t="array" aca="1" ref="F142" ca="1">_xll.QInterp_Interpolate1d(F$128,$C142)*$H$111</f>
        <v>-0.12072434428176797</v>
      </c>
      <c r="G142" s="94" cm="1">
        <f t="array" aca="1" ref="G142" ca="1">_xll.QInterp_Interpolate1d(G$128,$C142)*$H$111</f>
        <v>-0.22352850765890644</v>
      </c>
      <c r="H142" s="92" cm="1">
        <f t="array" aca="1" ref="H142" ca="1">_xll.QInterp_Interpolate1d(H$128,$C142)*$H$111</f>
        <v>1.143044646440142E-2</v>
      </c>
      <c r="I142" s="93" cm="1">
        <f t="array" aca="1" ref="I142" ca="1">_xll.QInterp_Interpolate1d(I$128,$C142)*$H$111</f>
        <v>5.7794576475526258E-2</v>
      </c>
      <c r="J142" s="94" cm="1">
        <f t="array" aca="1" ref="J142" ca="1">_xll.QInterp_Interpolate1d(J$128,$C142)*$H$111</f>
        <v>0.13772070811072443</v>
      </c>
      <c r="L142" s="8" t="str">
        <f t="shared" ca="1" si="18"/>
        <v>QSJ1</v>
      </c>
      <c r="M142" s="1">
        <f t="shared" ca="1" si="18"/>
        <v>44298</v>
      </c>
      <c r="N142" s="99" cm="1">
        <f t="array" aca="1" ref="N142" ca="1">_xll.QInterp_Interpolate1d(N$128,$M142)+N$111</f>
        <v>0.3451117999384154</v>
      </c>
      <c r="O142" s="92" cm="1">
        <f t="array" aca="1" ref="O142" ca="1">_xll.QInterp_Interpolate1d(O$128,$M142)*$P$111</f>
        <v>-3.3842180164143726E-2</v>
      </c>
      <c r="P142" s="94" cm="1">
        <f t="array" aca="1" ref="P142" ca="1">_xll.QInterp_Interpolate1d(P$128,$M142)*$P$111</f>
        <v>-6.9505856588768344E-2</v>
      </c>
      <c r="Q142" s="92" cm="1">
        <f t="array" aca="1" ref="Q142" ca="1">_xll.QInterp_Interpolate1d(Q$128,$M142)*$P$111</f>
        <v>6.5882475815825315E-3</v>
      </c>
      <c r="R142" s="94" cm="1">
        <f t="array" aca="1" ref="R142" ca="1">_xll.QInterp_Interpolate1d(R$128,$M142)*$P$111</f>
        <v>3.3592366738445172E-2</v>
      </c>
    </row>
    <row r="143" spans="2:18" x14ac:dyDescent="0.25">
      <c r="B143" s="8" t="str">
        <f t="shared" ca="1" si="16"/>
        <v>COM1</v>
      </c>
      <c r="C143" s="1">
        <f t="shared" ca="1" si="17"/>
        <v>44316</v>
      </c>
      <c r="D143" s="99" cm="1">
        <f t="array" aca="1" ref="D143" ca="1">_xll.QInterp_Interpolate1d(D$128,$C143)+E$111</f>
        <v>0.42693419138418098</v>
      </c>
      <c r="E143" s="92" cm="1">
        <f t="array" aca="1" ref="E143" ca="1">_xll.QInterp_Interpolate1d(E$128,$C143)*$H$111</f>
        <v>-5.5506174241761713E-2</v>
      </c>
      <c r="F143" s="93" cm="1">
        <f t="array" aca="1" ref="F143" ca="1">_xll.QInterp_Interpolate1d(F$128,$C143)*$H$111</f>
        <v>-0.1180946551743931</v>
      </c>
      <c r="G143" s="94" cm="1">
        <f t="array" aca="1" ref="G143" ca="1">_xll.QInterp_Interpolate1d(G$128,$C143)*$H$111</f>
        <v>-0.21588790147515985</v>
      </c>
      <c r="H143" s="92" cm="1">
        <f t="array" aca="1" ref="H143" ca="1">_xll.QInterp_Interpolate1d(H$128,$C143)*$H$111</f>
        <v>1.1174773550492701E-2</v>
      </c>
      <c r="I143" s="93" cm="1">
        <f t="array" aca="1" ref="I143" ca="1">_xll.QInterp_Interpolate1d(I$128,$C143)*$H$111</f>
        <v>5.7683014587387199E-2</v>
      </c>
      <c r="J143" s="94" cm="1">
        <f t="array" aca="1" ref="J143" ca="1">_xll.QInterp_Interpolate1d(J$128,$C143)*$H$111</f>
        <v>0.12537048127325079</v>
      </c>
      <c r="L143" s="8" t="str">
        <f t="shared" ca="1" si="18"/>
        <v>QSK1</v>
      </c>
      <c r="M143" s="1">
        <f t="shared" ca="1" si="18"/>
        <v>44328</v>
      </c>
      <c r="N143" s="99" cm="1">
        <f t="array" aca="1" ref="N143" ca="1">_xll.QInterp_Interpolate1d(N$128,$M143)+N$111</f>
        <v>0.33953426863276548</v>
      </c>
      <c r="O143" s="92" cm="1">
        <f t="array" aca="1" ref="O143" ca="1">_xll.QInterp_Interpolate1d(O$128,$M143)*$P$111</f>
        <v>-3.133905633855126E-2</v>
      </c>
      <c r="P143" s="94" cm="1">
        <f t="array" aca="1" ref="P143" ca="1">_xll.QInterp_Interpolate1d(P$128,$M143)*$P$111</f>
        <v>-6.7022389123951434E-2</v>
      </c>
      <c r="Q143" s="92" cm="1">
        <f t="array" aca="1" ref="Q143" ca="1">_xll.QInterp_Interpolate1d(Q$128,$M143)*$P$111</f>
        <v>6.260909808950825E-3</v>
      </c>
      <c r="R143" s="94" cm="1">
        <f t="array" aca="1" ref="R143" ca="1">_xll.QInterp_Interpolate1d(R$128,$M143)*$P$111</f>
        <v>3.2553713436443414E-2</v>
      </c>
    </row>
    <row r="144" spans="2:18" x14ac:dyDescent="0.25">
      <c r="B144" s="8" t="str">
        <f t="shared" ca="1" si="16"/>
        <v>CON1</v>
      </c>
      <c r="C144" s="1">
        <f t="shared" ca="1" si="17"/>
        <v>44344</v>
      </c>
      <c r="D144" s="99" cm="1">
        <f t="array" aca="1" ref="D144" ca="1">_xll.QInterp_Interpolate1d(D$128,$C144)+E$111</f>
        <v>0.41773135426325214</v>
      </c>
      <c r="E144" s="92" cm="1">
        <f t="array" aca="1" ref="E144" ca="1">_xll.QInterp_Interpolate1d(E$128,$C144)*$H$111</f>
        <v>-5.2068431108604263E-2</v>
      </c>
      <c r="F144" s="93" cm="1">
        <f t="array" aca="1" ref="F144" ca="1">_xll.QInterp_Interpolate1d(F$128,$C144)*$H$111</f>
        <v>-0.11217076084084396</v>
      </c>
      <c r="G144" s="94" cm="1">
        <f t="array" aca="1" ref="G144" ca="1">_xll.QInterp_Interpolate1d(G$128,$C144)*$H$111</f>
        <v>-0.20879342617848723</v>
      </c>
      <c r="H144" s="92" cm="1">
        <f t="array" aca="1" ref="H144" ca="1">_xll.QInterp_Interpolate1d(H$128,$C144)*$H$111</f>
        <v>1.0287870129604797E-2</v>
      </c>
      <c r="I144" s="93" cm="1">
        <f t="array" aca="1" ref="I144" ca="1">_xll.QInterp_Interpolate1d(I$128,$C144)*$H$111</f>
        <v>5.4052528857681352E-2</v>
      </c>
      <c r="J144" s="94" cm="1">
        <f t="array" aca="1" ref="J144" ca="1">_xll.QInterp_Interpolate1d(J$128,$C144)*$H$111</f>
        <v>0.12025494905563071</v>
      </c>
      <c r="L144" s="8" t="str">
        <f t="shared" ca="1" si="18"/>
        <v>QSM1</v>
      </c>
      <c r="M144" s="1">
        <f t="shared" ca="1" si="18"/>
        <v>44357</v>
      </c>
      <c r="N144" s="99" cm="1">
        <f t="array" aca="1" ref="N144" ca="1">_xll.QInterp_Interpolate1d(N$128,$M144)+N$111</f>
        <v>0.33400599290512178</v>
      </c>
      <c r="O144" s="92" cm="1">
        <f t="array" aca="1" ref="O144" ca="1">_xll.QInterp_Interpolate1d(O$128,$M144)*$P$111</f>
        <v>-2.9273954927847387E-2</v>
      </c>
      <c r="P144" s="94" cm="1">
        <f t="array" aca="1" ref="P144" ca="1">_xll.QInterp_Interpolate1d(P$128,$M144)*$P$111</f>
        <v>-6.3463821170726548E-2</v>
      </c>
      <c r="Q144" s="92" cm="1">
        <f t="array" aca="1" ref="Q144" ca="1">_xll.QInterp_Interpolate1d(Q$128,$M144)*$P$111</f>
        <v>5.7281342539745794E-3</v>
      </c>
      <c r="R144" s="94" cm="1">
        <f t="array" aca="1" ref="R144" ca="1">_xll.QInterp_Interpolate1d(R$128,$M144)*$P$111</f>
        <v>3.0372828794527258E-2</v>
      </c>
    </row>
    <row r="145" spans="2:18" x14ac:dyDescent="0.25">
      <c r="B145" s="8" t="str">
        <f t="shared" ca="1" si="16"/>
        <v>COQ1</v>
      </c>
      <c r="C145" s="1">
        <f t="shared" ca="1" si="17"/>
        <v>44377</v>
      </c>
      <c r="D145" s="99" cm="1">
        <f t="array" aca="1" ref="D145" ca="1">_xll.QInterp_Interpolate1d(D$128,$C145)+E$111</f>
        <v>0.40688515337072889</v>
      </c>
      <c r="E145" s="92" cm="1">
        <f t="array" aca="1" ref="E145" ca="1">_xll.QInterp_Interpolate1d(E$128,$C145)*$H$111</f>
        <v>-4.8016805273097263E-2</v>
      </c>
      <c r="F145" s="93" cm="1">
        <f t="array" aca="1" ref="F145" ca="1">_xll.QInterp_Interpolate1d(F$128,$C145)*$H$111</f>
        <v>-0.10518902823344674</v>
      </c>
      <c r="G145" s="94" cm="1">
        <f t="array" aca="1" ref="G145" ca="1">_xll.QInterp_Interpolate1d(G$128,$C145)*$H$111</f>
        <v>-0.20043208029312307</v>
      </c>
      <c r="H145" s="92" cm="1">
        <f t="array" aca="1" ref="H145" ca="1">_xll.QInterp_Interpolate1d(H$128,$C145)*$H$111</f>
        <v>9.242591097844052E-3</v>
      </c>
      <c r="I145" s="93" cm="1">
        <f t="array" aca="1" ref="I145" ca="1">_xll.QInterp_Interpolate1d(I$128,$C145)*$H$111</f>
        <v>4.9773742104813751E-2</v>
      </c>
      <c r="J145" s="94" cm="1">
        <f t="array" aca="1" ref="J145" ca="1">_xll.QInterp_Interpolate1d(J$128,$C145)*$H$111</f>
        <v>0.11422592894200705</v>
      </c>
      <c r="L145" s="8" t="str">
        <f t="shared" ca="1" si="18"/>
        <v>QSN1</v>
      </c>
      <c r="M145" s="1">
        <f t="shared" ca="1" si="18"/>
        <v>44389</v>
      </c>
      <c r="N145" s="99" cm="1">
        <f t="array" aca="1" ref="N145" ca="1">_xll.QInterp_Interpolate1d(N$128,$M145)+N$111</f>
        <v>0.32790582658496326</v>
      </c>
      <c r="O145" s="92" cm="1">
        <f t="array" aca="1" ref="O145" ca="1">_xll.QInterp_Interpolate1d(O$128,$M145)*$P$111</f>
        <v>-2.6995222336725869E-2</v>
      </c>
      <c r="P145" s="94" cm="1">
        <f t="array" aca="1" ref="P145" ca="1">_xll.QInterp_Interpolate1d(P$128,$M145)*$P$111</f>
        <v>-5.9537125498202545E-2</v>
      </c>
      <c r="Q145" s="92" cm="1">
        <f t="array" aca="1" ref="Q145" ca="1">_xll.QInterp_Interpolate1d(Q$128,$M145)*$P$111</f>
        <v>5.1402439864145846E-3</v>
      </c>
      <c r="R145" s="94" cm="1">
        <f t="array" aca="1" ref="R145" ca="1">_xll.QInterp_Interpolate1d(R$128,$M145)*$P$111</f>
        <v>2.7966335396550804E-2</v>
      </c>
    </row>
    <row r="146" spans="2:18" x14ac:dyDescent="0.25">
      <c r="B146" s="8" t="str">
        <f t="shared" ca="1" si="16"/>
        <v>COU1</v>
      </c>
      <c r="C146" s="1">
        <f t="shared" ca="1" si="17"/>
        <v>44407</v>
      </c>
      <c r="D146" s="99" cm="1">
        <f t="array" aca="1" ref="D146" ca="1">_xll.QInterp_Interpolate1d(D$128,$C146)+E$111</f>
        <v>0.39702497074116233</v>
      </c>
      <c r="E146" s="92" cm="1">
        <f t="array" aca="1" ref="E146" ca="1">_xll.QInterp_Interpolate1d(E$128,$C146)*$H$111</f>
        <v>-4.4333509058999993E-2</v>
      </c>
      <c r="F146" s="93" cm="1">
        <f t="array" aca="1" ref="F146" ca="1">_xll.QInterp_Interpolate1d(F$128,$C146)*$H$111</f>
        <v>-9.884199859035836E-2</v>
      </c>
      <c r="G146" s="94" cm="1">
        <f t="array" aca="1" ref="G146" ca="1">_xll.QInterp_Interpolate1d(G$128,$C146)*$H$111</f>
        <v>-0.19283085676097383</v>
      </c>
      <c r="H146" s="92" cm="1">
        <f t="array" aca="1" ref="H146" ca="1">_xll.QInterp_Interpolate1d(H$128,$C146)*$H$111</f>
        <v>8.2923374326070113E-3</v>
      </c>
      <c r="I146" s="93" cm="1">
        <f t="array" aca="1" ref="I146" ca="1">_xll.QInterp_Interpolate1d(I$128,$C146)*$H$111</f>
        <v>4.5883935965843198E-2</v>
      </c>
      <c r="J146" s="94" cm="1">
        <f t="array" aca="1" ref="J146" ca="1">_xll.QInterp_Interpolate1d(J$128,$C146)*$H$111</f>
        <v>0.10874500156598554</v>
      </c>
      <c r="L146" s="8" t="str">
        <f t="shared" ca="1" si="18"/>
        <v>QSQ1</v>
      </c>
      <c r="M146" s="1">
        <f t="shared" ca="1" si="18"/>
        <v>44420</v>
      </c>
      <c r="N146" s="99" cm="1">
        <f t="array" aca="1" ref="N146" ca="1">_xll.QInterp_Interpolate1d(N$128,$M146)+N$111</f>
        <v>0.32199629046230971</v>
      </c>
      <c r="O146" s="92" cm="1">
        <f t="array" aca="1" ref="O146" ca="1">_xll.QInterp_Interpolate1d(O$128,$M146)*$P$111</f>
        <v>-2.4787700139076899E-2</v>
      </c>
      <c r="P146" s="94" cm="1">
        <f t="array" aca="1" ref="P146" ca="1">_xll.QInterp_Interpolate1d(P$128,$M146)*$P$111</f>
        <v>-5.5733139065444921E-2</v>
      </c>
      <c r="Q146" s="92" cm="1">
        <f t="array" aca="1" ref="Q146" ca="1">_xll.QInterp_Interpolate1d(Q$128,$M146)*$P$111</f>
        <v>4.5707252897158393E-3</v>
      </c>
      <c r="R146" s="94" cm="1">
        <f t="array" aca="1" ref="R146" ca="1">_xll.QInterp_Interpolate1d(R$128,$M146)*$P$111</f>
        <v>2.5635044917261117E-2</v>
      </c>
    </row>
    <row r="147" spans="2:18" x14ac:dyDescent="0.25">
      <c r="B147" s="8" t="str">
        <f t="shared" ca="1" si="16"/>
        <v>COV1</v>
      </c>
      <c r="C147" s="1">
        <f t="shared" ca="1" si="17"/>
        <v>44439</v>
      </c>
      <c r="D147" s="99" cm="1">
        <f t="array" aca="1" ref="D147" ca="1">_xll.QInterp_Interpolate1d(D$128,$C147)+E$111</f>
        <v>0.38650744260295794</v>
      </c>
      <c r="E147" s="92" cm="1">
        <f t="array" aca="1" ref="E147" ca="1">_xll.QInterp_Interpolate1d(E$128,$C147)*$H$111</f>
        <v>-4.0404659763962909E-2</v>
      </c>
      <c r="F147" s="93" cm="1">
        <f t="array" aca="1" ref="F147" ca="1">_xll.QInterp_Interpolate1d(F$128,$C147)*$H$111</f>
        <v>-9.2071833637730763E-2</v>
      </c>
      <c r="G147" s="94" cm="1">
        <f t="array" aca="1" ref="G147" ca="1">_xll.QInterp_Interpolate1d(G$128,$C147)*$H$111</f>
        <v>-0.18472288499334799</v>
      </c>
      <c r="H147" s="92" cm="1">
        <f t="array" aca="1" ref="H147" ca="1">_xll.QInterp_Interpolate1d(H$128,$C147)*$H$111</f>
        <v>7.2787335230208349E-3</v>
      </c>
      <c r="I147" s="93" cm="1">
        <f t="array" aca="1" ref="I147" ca="1">_xll.QInterp_Interpolate1d(I$128,$C147)*$H$111</f>
        <v>4.1734809417607946E-2</v>
      </c>
      <c r="J147" s="94" cm="1">
        <f t="array" aca="1" ref="J147" ca="1">_xll.QInterp_Interpolate1d(J$128,$C147)*$H$111</f>
        <v>0.10289867903156259</v>
      </c>
      <c r="L147" s="8" t="str">
        <f t="shared" ca="1" si="18"/>
        <v>QSU1</v>
      </c>
      <c r="M147" s="1">
        <f t="shared" ca="1" si="18"/>
        <v>44449</v>
      </c>
      <c r="N147" s="99" cm="1">
        <f t="array" aca="1" ref="N147" ca="1">_xll.QInterp_Interpolate1d(N$128,$M147)+N$111</f>
        <v>0.31646801473466607</v>
      </c>
      <c r="O147" s="92" cm="1">
        <f t="array" aca="1" ref="O147" ca="1">_xll.QInterp_Interpolate1d(O$128,$M147)*$P$111</f>
        <v>-2.2722598728373025E-2</v>
      </c>
      <c r="P147" s="94" cm="1">
        <f t="array" aca="1" ref="P147" ca="1">_xll.QInterp_Interpolate1d(P$128,$M147)*$P$111</f>
        <v>-5.2174571112220042E-2</v>
      </c>
      <c r="Q147" s="92" cm="1">
        <f t="array" aca="1" ref="Q147" ca="1">_xll.QInterp_Interpolate1d(Q$128,$M147)*$P$111</f>
        <v>4.0379497347395946E-3</v>
      </c>
      <c r="R147" s="94" cm="1">
        <f t="array" aca="1" ref="R147" ca="1">_xll.QInterp_Interpolate1d(R$128,$M147)*$P$111</f>
        <v>2.3454160275344957E-2</v>
      </c>
    </row>
    <row r="148" spans="2:18" x14ac:dyDescent="0.25">
      <c r="B148" s="8" t="str">
        <f t="shared" ca="1" si="16"/>
        <v>COX1</v>
      </c>
      <c r="C148" s="1">
        <f t="shared" ca="1" si="17"/>
        <v>44469</v>
      </c>
      <c r="D148" s="99" cm="1">
        <f t="array" aca="1" ref="D148" ca="1">_xll.QInterp_Interpolate1d(D$128,$C148)+E$111</f>
        <v>0.37664725997339138</v>
      </c>
      <c r="E148" s="92" cm="1">
        <f t="array" aca="1" ref="E148" ca="1">_xll.QInterp_Interpolate1d(E$128,$C148)*$H$111</f>
        <v>-3.6721363549865632E-2</v>
      </c>
      <c r="F148" s="93" cm="1">
        <f t="array" aca="1" ref="F148" ca="1">_xll.QInterp_Interpolate1d(F$128,$C148)*$H$111</f>
        <v>-8.5724803994642385E-2</v>
      </c>
      <c r="G148" s="94" cm="1">
        <f t="array" aca="1" ref="G148" ca="1">_xll.QInterp_Interpolate1d(G$128,$C148)*$H$111</f>
        <v>-0.17712166146119876</v>
      </c>
      <c r="H148" s="92" cm="1">
        <f t="array" aca="1" ref="H148" ca="1">_xll.QInterp_Interpolate1d(H$128,$C148)*$H$111</f>
        <v>6.3284798577837951E-3</v>
      </c>
      <c r="I148" s="93" cm="1">
        <f t="array" aca="1" ref="I148" ca="1">_xll.QInterp_Interpolate1d(I$128,$C148)*$H$111</f>
        <v>3.7845003278637393E-2</v>
      </c>
      <c r="J148" s="94" cm="1">
        <f t="array" aca="1" ref="J148" ca="1">_xll.QInterp_Interpolate1d(J$128,$C148)*$H$111</f>
        <v>9.7417751655541091E-2</v>
      </c>
      <c r="L148" s="8" t="str">
        <f t="shared" ca="1" si="18"/>
        <v>QSV1</v>
      </c>
      <c r="M148" s="1">
        <f t="shared" ca="1" si="18"/>
        <v>44481</v>
      </c>
      <c r="N148" s="99" cm="1">
        <f t="array" aca="1" ref="N148" ca="1">_xll.QInterp_Interpolate1d(N$128,$M148)+N$111</f>
        <v>0.31036784841450754</v>
      </c>
      <c r="O148" s="92" cm="1">
        <f t="array" aca="1" ref="O148" ca="1">_xll.QInterp_Interpolate1d(O$128,$M148)*$P$111</f>
        <v>-2.0443866137251507E-2</v>
      </c>
      <c r="P148" s="94" cm="1">
        <f t="array" aca="1" ref="P148" ca="1">_xll.QInterp_Interpolate1d(P$128,$M148)*$P$111</f>
        <v>-4.8247875439696039E-2</v>
      </c>
      <c r="Q148" s="92" cm="1">
        <f t="array" aca="1" ref="Q148" ca="1">_xll.QInterp_Interpolate1d(Q$128,$M148)*$P$111</f>
        <v>3.4500594671795994E-3</v>
      </c>
      <c r="R148" s="94" cm="1">
        <f t="array" aca="1" ref="R148" ca="1">_xll.QInterp_Interpolate1d(R$128,$M148)*$P$111</f>
        <v>2.1047666877368504E-2</v>
      </c>
    </row>
    <row r="149" spans="2:18" x14ac:dyDescent="0.25">
      <c r="B149" s="8" t="str">
        <f t="shared" ca="1" si="16"/>
        <v>COZ1</v>
      </c>
      <c r="C149" s="1">
        <f t="shared" ca="1" si="17"/>
        <v>44498</v>
      </c>
      <c r="D149" s="99" cm="1">
        <f t="array" aca="1" ref="D149" ca="1">_xll.QInterp_Interpolate1d(D$128,$C149)+E$111</f>
        <v>0.36756030185574801</v>
      </c>
      <c r="E149" s="92" cm="1">
        <f t="array" aca="1" ref="E149" ca="1">_xll.QInterp_Interpolate1d(E$128,$C149)*$H$111</f>
        <v>-3.370741113305048E-2</v>
      </c>
      <c r="F149" s="93" cm="1">
        <f t="array" aca="1" ref="F149" ca="1">_xll.QInterp_Interpolate1d(F$128,$C149)*$H$111</f>
        <v>-8.0380974411694117E-2</v>
      </c>
      <c r="G149" s="94" cm="1">
        <f t="array" aca="1" ref="G149" ca="1">_xll.QInterp_Interpolate1d(G$128,$C149)*$H$111</f>
        <v>-0.1705821643336527</v>
      </c>
      <c r="H149" s="92" cm="1">
        <f t="array" aca="1" ref="H149" ca="1">_xll.QInterp_Interpolate1d(H$128,$C149)*$H$111</f>
        <v>5.4777544387064839E-3</v>
      </c>
      <c r="I149" s="93" cm="1">
        <f t="array" aca="1" ref="I149" ca="1">_xll.QInterp_Interpolate1d(I$128,$C149)*$H$111</f>
        <v>3.4238446449022866E-2</v>
      </c>
      <c r="J149" s="94" cm="1">
        <f t="array" aca="1" ref="J149" ca="1">_xll.QInterp_Interpolate1d(J$128,$C149)*$H$111</f>
        <v>9.199467782385419E-2</v>
      </c>
      <c r="L149" s="8" t="str">
        <f t="shared" ca="1" si="18"/>
        <v>QSX1</v>
      </c>
      <c r="M149" s="1">
        <f t="shared" ca="1" si="18"/>
        <v>44511</v>
      </c>
      <c r="N149" s="99" cm="1">
        <f t="array" aca="1" ref="N149" ca="1">_xll.QInterp_Interpolate1d(N$128,$M149)+N$111</f>
        <v>0.30602408925954833</v>
      </c>
      <c r="O149" s="92" cm="1">
        <f t="array" aca="1" ref="O149" ca="1">_xll.QInterp_Interpolate1d(O$128,$M149)*$P$111</f>
        <v>-1.9998269047480852E-2</v>
      </c>
      <c r="P149" s="94" cm="1">
        <f t="array" aca="1" ref="P149" ca="1">_xll.QInterp_Interpolate1d(P$128,$M149)*$P$111</f>
        <v>-4.7015381153984181E-2</v>
      </c>
      <c r="Q149" s="92" cm="1">
        <f t="array" aca="1" ref="Q149" ca="1">_xll.QInterp_Interpolate1d(Q$128,$M149)*$P$111</f>
        <v>3.1088046715362122E-3</v>
      </c>
      <c r="R149" s="94" cm="1">
        <f t="array" aca="1" ref="R149" ca="1">_xll.QInterp_Interpolate1d(R$128,$M149)*$P$111</f>
        <v>1.9266681614044136E-2</v>
      </c>
    </row>
    <row r="150" spans="2:18" x14ac:dyDescent="0.25">
      <c r="B150" s="8" t="str">
        <f t="shared" ca="1" si="16"/>
        <v>COF2</v>
      </c>
      <c r="C150" s="1">
        <f t="shared" ca="1" si="17"/>
        <v>44530</v>
      </c>
      <c r="D150" s="99" cm="1">
        <f t="array" aca="1" ref="D150" ca="1">_xll.QInterp_Interpolate1d(D$128,$C150)+E$111</f>
        <v>0.36178465913198987</v>
      </c>
      <c r="E150" s="92" cm="1">
        <f t="array" aca="1" ref="E150" ca="1">_xll.QInterp_Interpolate1d(E$128,$C150)*$H$111</f>
        <v>-3.5608612577343615E-2</v>
      </c>
      <c r="F150" s="93" cm="1">
        <f t="array" aca="1" ref="F150" ca="1">_xll.QInterp_Interpolate1d(F$128,$C150)*$H$111</f>
        <v>-8.2054888449685143E-2</v>
      </c>
      <c r="G150" s="94" cm="1">
        <f t="array" aca="1" ref="G150" ca="1">_xll.QInterp_Interpolate1d(G$128,$C150)*$H$111</f>
        <v>-0.17109661695925221</v>
      </c>
      <c r="H150" s="92" cm="1">
        <f t="array" aca="1" ref="H150" ca="1">_xll.QInterp_Interpolate1d(H$128,$C150)*$H$111</f>
        <v>5.1879171849620364E-3</v>
      </c>
      <c r="I150" s="93" cm="1">
        <f t="array" aca="1" ref="I150" ca="1">_xll.QInterp_Interpolate1d(I$128,$C150)*$H$111</f>
        <v>3.1727603684506778E-2</v>
      </c>
      <c r="J150" s="94" cm="1">
        <f t="array" aca="1" ref="J150" ca="1">_xll.QInterp_Interpolate1d(J$128,$C150)*$H$111</f>
        <v>8.4816685584192766E-2</v>
      </c>
      <c r="L150" s="8" t="str">
        <f t="shared" ca="1" si="18"/>
        <v>QSZ1</v>
      </c>
      <c r="M150" s="1">
        <f t="shared" ca="1" si="18"/>
        <v>44540</v>
      </c>
      <c r="N150" s="99" cm="1">
        <f t="array" aca="1" ref="N150" ca="1">_xll.QInterp_Interpolate1d(N$128,$M150)+N$111</f>
        <v>0.30298826705287296</v>
      </c>
      <c r="O150" s="92" cm="1">
        <f t="array" aca="1" ref="O150" ca="1">_xll.QInterp_Interpolate1d(O$128,$M150)*$P$111</f>
        <v>-2.0997588056637432E-2</v>
      </c>
      <c r="P150" s="94" cm="1">
        <f t="array" aca="1" ref="P150" ca="1">_xll.QInterp_Interpolate1d(P$128,$M150)*$P$111</f>
        <v>-4.7895232220203206E-2</v>
      </c>
      <c r="Q150" s="92" cm="1">
        <f t="array" aca="1" ref="Q150" ca="1">_xll.QInterp_Interpolate1d(Q$128,$M150)*$P$111</f>
        <v>2.9564589650367878E-3</v>
      </c>
      <c r="R150" s="94" cm="1">
        <f t="array" aca="1" ref="R150" ca="1">_xll.QInterp_Interpolate1d(R$128,$M150)*$P$111</f>
        <v>1.7946919885945357E-2</v>
      </c>
    </row>
    <row r="151" spans="2:18" x14ac:dyDescent="0.25">
      <c r="B151" s="8" t="str">
        <f t="shared" ca="1" si="16"/>
        <v>COG2</v>
      </c>
      <c r="C151" s="1">
        <f t="shared" ca="1" si="17"/>
        <v>44561</v>
      </c>
      <c r="D151" s="99" cm="1">
        <f t="array" aca="1" ref="D151" ca="1">_xll.QInterp_Interpolate1d(D$128,$C151)+E$111</f>
        <v>0.35618950524334914</v>
      </c>
      <c r="E151" s="92" cm="1">
        <f t="array" aca="1" ref="E151" ca="1">_xll.QInterp_Interpolate1d(E$128,$C151)*$H$111</f>
        <v>-3.7450401476502596E-2</v>
      </c>
      <c r="F151" s="93" cm="1">
        <f t="array" aca="1" ref="F151" ca="1">_xll.QInterp_Interpolate1d(F$128,$C151)*$H$111</f>
        <v>-8.3676492673988939E-2</v>
      </c>
      <c r="G151" s="94" cm="1">
        <f t="array" aca="1" ref="G151" ca="1">_xll.QInterp_Interpolate1d(G$128,$C151)*$H$111</f>
        <v>-0.17159499294030175</v>
      </c>
      <c r="H151" s="92" cm="1">
        <f t="array" aca="1" ref="H151" ca="1">_xll.QInterp_Interpolate1d(H$128,$C151)*$H$111</f>
        <v>4.9071373453971022E-3</v>
      </c>
      <c r="I151" s="93" cm="1">
        <f t="array" aca="1" ref="I151" ca="1">_xll.QInterp_Interpolate1d(I$128,$C151)*$H$111</f>
        <v>2.9295224756381816E-2</v>
      </c>
      <c r="J151" s="94" cm="1">
        <f t="array" aca="1" ref="J151" ca="1">_xll.QInterp_Interpolate1d(J$128,$C151)*$H$111</f>
        <v>7.7863005602020779E-2</v>
      </c>
      <c r="L151" s="8" t="str">
        <f t="shared" ca="1" si="18"/>
        <v>QSF2</v>
      </c>
      <c r="M151" s="1">
        <f t="shared" ca="1" si="18"/>
        <v>44573</v>
      </c>
      <c r="N151" s="99" cm="1">
        <f t="array" aca="1" ref="N151" ca="1">_xll.QInterp_Interpolate1d(N$128,$M151)+N$111</f>
        <v>0.29953371074872515</v>
      </c>
      <c r="O151" s="92" cm="1">
        <f t="array" aca="1" ref="O151" ca="1">_xll.QInterp_Interpolate1d(O$128,$M151)*$P$111</f>
        <v>-2.2134744170505261E-2</v>
      </c>
      <c r="P151" s="94" cm="1">
        <f t="array" aca="1" ref="P151" ca="1">_xll.QInterp_Interpolate1d(P$128,$M151)*$P$111</f>
        <v>-4.8896442054176578E-2</v>
      </c>
      <c r="Q151" s="92" cm="1">
        <f t="array" aca="1" ref="Q151" ca="1">_xll.QInterp_Interpolate1d(Q$128,$M151)*$P$111</f>
        <v>2.7831000576408909E-3</v>
      </c>
      <c r="R151" s="94" cm="1">
        <f t="array" aca="1" ref="R151" ca="1">_xll.QInterp_Interpolate1d(R$128,$M151)*$P$111</f>
        <v>1.6445122057419159E-2</v>
      </c>
    </row>
    <row r="152" spans="2:18" x14ac:dyDescent="0.25">
      <c r="B152" s="8" t="str">
        <f t="shared" ca="1" si="16"/>
        <v>COH2</v>
      </c>
      <c r="C152" s="1">
        <f t="shared" ca="1" si="17"/>
        <v>44592</v>
      </c>
      <c r="D152" s="99" cm="1">
        <f t="array" aca="1" ref="D152" ca="1">_xll.QInterp_Interpolate1d(D$128,$C152)+E$111</f>
        <v>0.35059435135470846</v>
      </c>
      <c r="E152" s="92" cm="1">
        <f t="array" aca="1" ref="E152" ca="1">_xll.QInterp_Interpolate1d(E$128,$C152)*$H$111</f>
        <v>-3.9292190375661569E-2</v>
      </c>
      <c r="F152" s="93" cm="1">
        <f t="array" aca="1" ref="F152" ca="1">_xll.QInterp_Interpolate1d(F$128,$C152)*$H$111</f>
        <v>-8.529809689829275E-2</v>
      </c>
      <c r="G152" s="94" cm="1">
        <f t="array" aca="1" ref="G152" ca="1">_xll.QInterp_Interpolate1d(G$128,$C152)*$H$111</f>
        <v>-0.1720933689213513</v>
      </c>
      <c r="H152" s="92" cm="1">
        <f t="array" aca="1" ref="H152" ca="1">_xll.QInterp_Interpolate1d(H$128,$C152)*$H$111</f>
        <v>4.6263575058321689E-3</v>
      </c>
      <c r="I152" s="93" cm="1">
        <f t="array" aca="1" ref="I152" ca="1">_xll.QInterp_Interpolate1d(I$128,$C152)*$H$111</f>
        <v>2.6862845828256855E-2</v>
      </c>
      <c r="J152" s="94" cm="1">
        <f t="array" aca="1" ref="J152" ca="1">_xll.QInterp_Interpolate1d(J$128,$C152)*$H$111</f>
        <v>7.0909325619848779E-2</v>
      </c>
      <c r="L152" s="8" t="str">
        <f t="shared" ca="1" si="18"/>
        <v>QSG2</v>
      </c>
      <c r="M152" s="1">
        <f t="shared" ca="1" si="18"/>
        <v>44602</v>
      </c>
      <c r="N152" s="99" cm="1">
        <f t="array" aca="1" ref="N152" ca="1">_xll.QInterp_Interpolate1d(N$128,$M152)+N$111</f>
        <v>0.29649788854204973</v>
      </c>
      <c r="O152" s="92" cm="1">
        <f t="array" aca="1" ref="O152" ca="1">_xll.QInterp_Interpolate1d(O$128,$M152)*$P$111</f>
        <v>-2.3134063179661837E-2</v>
      </c>
      <c r="P152" s="94" cm="1">
        <f t="array" aca="1" ref="P152" ca="1">_xll.QInterp_Interpolate1d(P$128,$M152)*$P$111</f>
        <v>-4.9776293120395609E-2</v>
      </c>
      <c r="Q152" s="92" cm="1">
        <f t="array" aca="1" ref="Q152" ca="1">_xll.QInterp_Interpolate1d(Q$128,$M152)*$P$111</f>
        <v>2.6307543511414661E-3</v>
      </c>
      <c r="R152" s="94" cm="1">
        <f t="array" aca="1" ref="R152" ca="1">_xll.QInterp_Interpolate1d(R$128,$M152)*$P$111</f>
        <v>1.5125360329320377E-2</v>
      </c>
    </row>
    <row r="153" spans="2:18" x14ac:dyDescent="0.25">
      <c r="B153" s="8" t="str">
        <f t="shared" ca="1" si="16"/>
        <v>COJ2</v>
      </c>
      <c r="C153" s="1">
        <f t="shared" ca="1" si="17"/>
        <v>44620</v>
      </c>
      <c r="D153" s="99" cm="1">
        <f t="array" aca="1" ref="D153" ca="1">_xll.QInterp_Interpolate1d(D$128,$C153)+E$111</f>
        <v>0.34554066397142008</v>
      </c>
      <c r="E153" s="92" cm="1">
        <f t="array" aca="1" ref="E153" ca="1">_xll.QInterp_Interpolate1d(E$128,$C153)*$H$111</f>
        <v>-4.0955741639418064E-2</v>
      </c>
      <c r="F153" s="93" cm="1">
        <f t="array" aca="1" ref="F153" ca="1">_xll.QInterp_Interpolate1d(F$128,$C153)*$H$111</f>
        <v>-8.6762771681534887E-2</v>
      </c>
      <c r="G153" s="94" cm="1">
        <f t="array" aca="1" ref="G153" ca="1">_xll.QInterp_Interpolate1d(G$128,$C153)*$H$111</f>
        <v>-0.17254351496875087</v>
      </c>
      <c r="H153" s="92" cm="1">
        <f t="array" aca="1" ref="H153" ca="1">_xll.QInterp_Interpolate1d(H$128,$C153)*$H$111</f>
        <v>4.3727499088057776E-3</v>
      </c>
      <c r="I153" s="93" cm="1">
        <f t="array" aca="1" ref="I153" ca="1">_xll.QInterp_Interpolate1d(I$128,$C153)*$H$111</f>
        <v>2.4665858409305276E-2</v>
      </c>
      <c r="J153" s="94" cm="1">
        <f t="array" aca="1" ref="J153" ca="1">_xll.QInterp_Interpolate1d(J$128,$C153)*$H$111</f>
        <v>6.4628582410145047E-2</v>
      </c>
      <c r="L153" s="8" t="str">
        <f t="shared" ca="1" si="18"/>
        <v>QSH2</v>
      </c>
      <c r="M153" s="1">
        <f t="shared" ca="1" si="18"/>
        <v>44630</v>
      </c>
      <c r="N153" s="99" cm="1">
        <f t="array" aca="1" ref="N153" ca="1">_xll.QInterp_Interpolate1d(N$128,$M153)+N$111</f>
        <v>0.29356674985974252</v>
      </c>
      <c r="O153" s="92" cm="1">
        <f t="array" aca="1" ref="O153" ca="1">_xll.QInterp_Interpolate1d(O$128,$M153)*$P$111</f>
        <v>-2.4098922912640604E-2</v>
      </c>
      <c r="P153" s="94" cm="1">
        <f t="array" aca="1" ref="P153" ca="1">_xll.QInterp_Interpolate1d(P$128,$M153)*$P$111</f>
        <v>-5.0625804494676047E-2</v>
      </c>
      <c r="Q153" s="92" cm="1">
        <f t="array" aca="1" ref="Q153" ca="1">_xll.QInterp_Interpolate1d(Q$128,$M153)*$P$111</f>
        <v>2.4836619448661596E-3</v>
      </c>
      <c r="R153" s="94" cm="1">
        <f t="array" aca="1" ref="R153" ca="1">_xll.QInterp_Interpolate1d(R$128,$M153)*$P$111</f>
        <v>1.3851107626328452E-2</v>
      </c>
    </row>
    <row r="154" spans="2:18" x14ac:dyDescent="0.25">
      <c r="B154" s="8" t="str">
        <f t="shared" ca="1" si="16"/>
        <v>COK2</v>
      </c>
      <c r="C154" s="1">
        <f t="shared" ca="1" si="17"/>
        <v>44651</v>
      </c>
      <c r="D154" s="99" cm="1">
        <f t="array" aca="1" ref="D154" ca="1">_xll.QInterp_Interpolate1d(D$128,$C154)+E$111</f>
        <v>0.3399455100827794</v>
      </c>
      <c r="E154" s="92" cm="1">
        <f t="array" aca="1" ref="E154" ca="1">_xll.QInterp_Interpolate1d(E$128,$C154)*$H$111</f>
        <v>-4.2797530538577037E-2</v>
      </c>
      <c r="F154" s="93" cm="1">
        <f t="array" aca="1" ref="F154" ca="1">_xll.QInterp_Interpolate1d(F$128,$C154)*$H$111</f>
        <v>-8.8384375905838697E-2</v>
      </c>
      <c r="G154" s="94" cm="1">
        <f t="array" aca="1" ref="G154" ca="1">_xll.QInterp_Interpolate1d(G$128,$C154)*$H$111</f>
        <v>-0.17304189094980041</v>
      </c>
      <c r="H154" s="92" cm="1">
        <f t="array" aca="1" ref="H154" ca="1">_xll.QInterp_Interpolate1d(H$128,$C154)*$H$111</f>
        <v>4.0919700692408434E-3</v>
      </c>
      <c r="I154" s="93" cm="1">
        <f t="array" aca="1" ref="I154" ca="1">_xll.QInterp_Interpolate1d(I$128,$C154)*$H$111</f>
        <v>2.2233479481180311E-2</v>
      </c>
      <c r="J154" s="94" cm="1">
        <f t="array" aca="1" ref="J154" ca="1">_xll.QInterp_Interpolate1d(J$128,$C154)*$H$111</f>
        <v>5.7674902427973046E-2</v>
      </c>
      <c r="L154" s="8" t="str">
        <f t="shared" ca="1" si="18"/>
        <v>QSJ2</v>
      </c>
      <c r="M154" s="1">
        <f t="shared" ca="1" si="18"/>
        <v>44663</v>
      </c>
      <c r="N154" s="99" cm="1">
        <f t="array" aca="1" ref="N154" ca="1">_xll.QInterp_Interpolate1d(N$128,$M154)+N$111</f>
        <v>0.29011219355559464</v>
      </c>
      <c r="O154" s="92" cm="1">
        <f t="array" aca="1" ref="O154" ca="1">_xll.QInterp_Interpolate1d(O$128,$M154)*$P$111</f>
        <v>-2.5236079026508432E-2</v>
      </c>
      <c r="P154" s="94" cm="1">
        <f t="array" aca="1" ref="P154" ca="1">_xll.QInterp_Interpolate1d(P$128,$M154)*$P$111</f>
        <v>-5.1627014328649419E-2</v>
      </c>
      <c r="Q154" s="92" cm="1">
        <f t="array" aca="1" ref="Q154" ca="1">_xll.QInterp_Interpolate1d(Q$128,$M154)*$P$111</f>
        <v>2.3103030374702627E-3</v>
      </c>
      <c r="R154" s="94" cm="1">
        <f t="array" aca="1" ref="R154" ca="1">_xll.QInterp_Interpolate1d(R$128,$M154)*$P$111</f>
        <v>1.2349309797802254E-2</v>
      </c>
    </row>
    <row r="155" spans="2:18" x14ac:dyDescent="0.25">
      <c r="B155" s="8" t="str">
        <f t="shared" ca="1" si="16"/>
        <v>COM2</v>
      </c>
      <c r="C155" s="1">
        <f t="shared" ca="1" si="17"/>
        <v>44680</v>
      </c>
      <c r="D155" s="99" cm="1">
        <f t="array" aca="1" ref="D155" ca="1">_xll.QInterp_Interpolate1d(D$128,$C155)+E$111</f>
        <v>0.33485901900772524</v>
      </c>
      <c r="E155" s="92" cm="1">
        <f t="array" aca="1" ref="E155" ca="1">_xll.QInterp_Interpolate1d(E$128,$C155)*$H$111</f>
        <v>-4.4279362273719952E-2</v>
      </c>
      <c r="F155" s="93" cm="1">
        <f t="array" aca="1" ref="F155" ca="1">_xll.QInterp_Interpolate1d(F$128,$C155)*$H$111</f>
        <v>-8.9706550815797662E-2</v>
      </c>
      <c r="G155" s="94" cm="1">
        <f t="array" aca="1" ref="G155" ca="1">_xll.QInterp_Interpolate1d(G$128,$C155)*$H$111</f>
        <v>-0.17339977878040799</v>
      </c>
      <c r="H155" s="92" cm="1">
        <f t="array" aca="1" ref="H155" ca="1">_xll.QInterp_Interpolate1d(H$128,$C155)*$H$111</f>
        <v>3.9594940607502165E-3</v>
      </c>
      <c r="I155" s="93" cm="1">
        <f t="array" aca="1" ref="I155" ca="1">_xll.QInterp_Interpolate1d(I$128,$C155)*$H$111</f>
        <v>2.0770786336109716E-2</v>
      </c>
      <c r="J155" s="94" cm="1">
        <f t="array" aca="1" ref="J155" ca="1">_xll.QInterp_Interpolate1d(J$128,$C155)*$H$111</f>
        <v>5.3171906837642564E-2</v>
      </c>
      <c r="L155" s="8" t="str">
        <f t="shared" ca="1" si="18"/>
        <v>QSK2</v>
      </c>
      <c r="M155" s="1">
        <f t="shared" ca="1" si="18"/>
        <v>44693</v>
      </c>
      <c r="N155" s="99" cm="1">
        <f t="array" aca="1" ref="N155" ca="1">_xll.QInterp_Interpolate1d(N$128,$M155)+N$111</f>
        <v>0.28742852720131895</v>
      </c>
      <c r="O155" s="92" cm="1">
        <f t="array" aca="1" ref="O155" ca="1">_xll.QInterp_Interpolate1d(O$128,$M155)*$P$111</f>
        <v>-2.5523955430383143E-2</v>
      </c>
      <c r="P155" s="94" cm="1">
        <f t="array" aca="1" ref="P155" ca="1">_xll.QInterp_Interpolate1d(P$128,$M155)*$P$111</f>
        <v>-5.1934593788445248E-2</v>
      </c>
      <c r="Q155" s="92" cm="1">
        <f t="array" aca="1" ref="Q155" ca="1">_xll.QInterp_Interpolate1d(Q$128,$M155)*$P$111</f>
        <v>2.5554220124793217E-3</v>
      </c>
      <c r="R155" s="94" cm="1">
        <f t="array" aca="1" ref="R155" ca="1">_xll.QInterp_Interpolate1d(R$128,$M155)*$P$111</f>
        <v>1.3498170799038369E-2</v>
      </c>
    </row>
    <row r="156" spans="2:18" x14ac:dyDescent="0.25">
      <c r="B156" s="8" t="str">
        <f t="shared" ca="1" si="16"/>
        <v>CON2</v>
      </c>
      <c r="C156" s="1">
        <f t="shared" ca="1" si="17"/>
        <v>44712</v>
      </c>
      <c r="D156" s="99" cm="1">
        <f t="array" aca="1" ref="D156" ca="1">_xll.QInterp_Interpolate1d(D$128,$C156)+E$111</f>
        <v>0.33065868447971802</v>
      </c>
      <c r="E156" s="92" cm="1">
        <f t="array" aca="1" ref="E156" ca="1">_xll.QInterp_Interpolate1d(E$128,$C156)*$H$111</f>
        <v>-4.3608488264703843E-2</v>
      </c>
      <c r="F156" s="93" cm="1">
        <f t="array" aca="1" ref="F156" ca="1">_xll.QInterp_Interpolate1d(F$128,$C156)*$H$111</f>
        <v>-8.9302494859437698E-2</v>
      </c>
      <c r="G156" s="94" cm="1">
        <f t="array" aca="1" ref="G156" ca="1">_xll.QInterp_Interpolate1d(G$128,$C156)*$H$111</f>
        <v>-0.17275865955169314</v>
      </c>
      <c r="H156" s="92" cm="1">
        <f t="array" aca="1" ref="H156" ca="1">_xll.QInterp_Interpolate1d(H$128,$C156)*$H$111</f>
        <v>5.0583395026354127E-3</v>
      </c>
      <c r="I156" s="93" cm="1">
        <f t="array" aca="1" ref="I156" ca="1">_xll.QInterp_Interpolate1d(I$128,$C156)*$H$111</f>
        <v>2.6929363414496116E-2</v>
      </c>
      <c r="J156" s="94" cm="1">
        <f t="array" aca="1" ref="J156" ca="1">_xll.QInterp_Interpolate1d(J$128,$C156)*$H$111</f>
        <v>6.7349219951183009E-2</v>
      </c>
      <c r="L156" s="8" t="str">
        <f t="shared" ca="1" si="18"/>
        <v>QSM2</v>
      </c>
      <c r="M156" s="1">
        <f t="shared" ca="1" si="18"/>
        <v>44722</v>
      </c>
      <c r="N156" s="99" cm="1">
        <f t="array" aca="1" ref="N156" ca="1">_xll.QInterp_Interpolate1d(N$128,$M156)+N$111</f>
        <v>0.28522072636503515</v>
      </c>
      <c r="O156" s="92" cm="1">
        <f t="array" aca="1" ref="O156" ca="1">_xll.QInterp_Interpolate1d(O$128,$M156)*$P$111</f>
        <v>-2.5171327279394046E-2</v>
      </c>
      <c r="P156" s="94" cm="1">
        <f t="array" aca="1" ref="P156" ca="1">_xll.QInterp_Interpolate1d(P$128,$M156)*$P$111</f>
        <v>-5.1722211876383532E-2</v>
      </c>
      <c r="Q156" s="92" cm="1">
        <f t="array" aca="1" ref="Q156" ca="1">_xll.QInterp_Interpolate1d(Q$128,$M156)*$P$111</f>
        <v>3.1330026478702377E-3</v>
      </c>
      <c r="R156" s="94" cm="1">
        <f t="array" aca="1" ref="R156" ca="1">_xll.QInterp_Interpolate1d(R$128,$M156)*$P$111</f>
        <v>1.6735272875865261E-2</v>
      </c>
    </row>
    <row r="157" spans="2:18" x14ac:dyDescent="0.25">
      <c r="B157" s="8" t="str">
        <f t="shared" ca="1" si="16"/>
        <v>COQ2</v>
      </c>
      <c r="C157" s="1">
        <f t="shared" ca="1" si="17"/>
        <v>44742</v>
      </c>
      <c r="D157" s="99" cm="1">
        <f t="array" aca="1" ref="D157" ca="1">_xll.QInterp_Interpolate1d(D$128,$C157)+E$111</f>
        <v>0.32672087085971124</v>
      </c>
      <c r="E157" s="92" cm="1">
        <f t="array" aca="1" ref="E157" ca="1">_xll.QInterp_Interpolate1d(E$128,$C157)*$H$111</f>
        <v>-4.2979543881251241E-2</v>
      </c>
      <c r="F157" s="93" cm="1">
        <f t="array" aca="1" ref="F157" ca="1">_xll.QInterp_Interpolate1d(F$128,$C157)*$H$111</f>
        <v>-8.8923692400350252E-2</v>
      </c>
      <c r="G157" s="94" cm="1">
        <f t="array" aca="1" ref="G157" ca="1">_xll.QInterp_Interpolate1d(G$128,$C157)*$H$111</f>
        <v>-0.172157610274773</v>
      </c>
      <c r="H157" s="92" cm="1">
        <f t="array" aca="1" ref="H157" ca="1">_xll.QInterp_Interpolate1d(H$128,$C157)*$H$111</f>
        <v>6.0885071044027832E-3</v>
      </c>
      <c r="I157" s="93" cm="1">
        <f t="array" aca="1" ref="I157" ca="1">_xll.QInterp_Interpolate1d(I$128,$C157)*$H$111</f>
        <v>3.2703029425483365E-2</v>
      </c>
      <c r="J157" s="94" cm="1">
        <f t="array" aca="1" ref="J157" ca="1">_xll.QInterp_Interpolate1d(J$128,$C157)*$H$111</f>
        <v>8.0640450995127164E-2</v>
      </c>
      <c r="L157" s="8" t="str">
        <f t="shared" ca="1" si="18"/>
        <v>QSN2</v>
      </c>
      <c r="M157" s="1">
        <f t="shared" ca="1" si="18"/>
        <v>44754</v>
      </c>
      <c r="N157" s="99" cm="1">
        <f t="array" aca="1" ref="N157" ca="1">_xll.QInterp_Interpolate1d(N$128,$M157)+N$111</f>
        <v>0.28278453233879097</v>
      </c>
      <c r="O157" s="92" cm="1">
        <f t="array" aca="1" ref="O157" ca="1">_xll.QInterp_Interpolate1d(O$128,$M157)*$P$111</f>
        <v>-2.4782220354164702E-2</v>
      </c>
      <c r="P157" s="94" cm="1">
        <f t="array" aca="1" ref="P157" ca="1">_xll.QInterp_Interpolate1d(P$128,$M157)*$P$111</f>
        <v>-5.1487859421694752E-2</v>
      </c>
      <c r="Q157" s="92" cm="1">
        <f t="array" aca="1" ref="Q157" ca="1">_xll.QInterp_Interpolate1d(Q$128,$M157)*$P$111</f>
        <v>3.7703330041636623E-3</v>
      </c>
      <c r="R157" s="94" cm="1">
        <f t="array" aca="1" ref="R157" ca="1">_xll.QInterp_Interpolate1d(R$128,$M157)*$P$111</f>
        <v>2.0307247581329419E-2</v>
      </c>
    </row>
    <row r="158" spans="2:18" x14ac:dyDescent="0.25">
      <c r="B158" s="8" t="str">
        <f t="shared" ca="1" si="16"/>
        <v>COU2</v>
      </c>
      <c r="C158" s="1">
        <f t="shared" ca="1" si="17"/>
        <v>44771</v>
      </c>
      <c r="D158" s="99" cm="1">
        <f t="array" aca="1" ref="D158" ca="1">_xll.QInterp_Interpolate1d(D$128,$C158)+E$111</f>
        <v>0.32291431769370471</v>
      </c>
      <c r="E158" s="92" cm="1">
        <f t="array" aca="1" ref="E158" ca="1">_xll.QInterp_Interpolate1d(E$128,$C158)*$H$111</f>
        <v>-4.2371564310580395E-2</v>
      </c>
      <c r="F158" s="93" cm="1">
        <f t="array" aca="1" ref="F158" ca="1">_xll.QInterp_Interpolate1d(F$128,$C158)*$H$111</f>
        <v>-8.8557516689899043E-2</v>
      </c>
      <c r="G158" s="94" cm="1">
        <f t="array" aca="1" ref="G158" ca="1">_xll.QInterp_Interpolate1d(G$128,$C158)*$H$111</f>
        <v>-0.17157659597375019</v>
      </c>
      <c r="H158" s="92" cm="1">
        <f t="array" aca="1" ref="H158" ca="1">_xll.QInterp_Interpolate1d(H$128,$C158)*$H$111</f>
        <v>7.0843357861112418E-3</v>
      </c>
      <c r="I158" s="93" cm="1">
        <f t="array" aca="1" ref="I158" ca="1">_xll.QInterp_Interpolate1d(I$128,$C158)*$H$111</f>
        <v>3.828423990277105E-2</v>
      </c>
      <c r="J158" s="94" cm="1">
        <f t="array" aca="1" ref="J158" ca="1">_xll.QInterp_Interpolate1d(J$128,$C158)*$H$111</f>
        <v>9.348864100427319E-2</v>
      </c>
      <c r="L158" s="8" t="str">
        <f t="shared" ca="1" si="18"/>
        <v>QSQ2</v>
      </c>
      <c r="M158" s="1">
        <f t="shared" ca="1" si="18"/>
        <v>44784</v>
      </c>
      <c r="N158" s="99" cm="1">
        <f t="array" aca="1" ref="N158" ca="1">_xll.QInterp_Interpolate1d(N$128,$M158)+N$111</f>
        <v>0.28050060043918701</v>
      </c>
      <c r="O158" s="92" cm="1">
        <f t="array" aca="1" ref="O158" ca="1">_xll.QInterp_Interpolate1d(O$128,$M158)*$P$111</f>
        <v>-2.4417432611762189E-2</v>
      </c>
      <c r="P158" s="94" cm="1">
        <f t="array" aca="1" ref="P158" ca="1">_xll.QInterp_Interpolate1d(P$128,$M158)*$P$111</f>
        <v>-5.1268153995424018E-2</v>
      </c>
      <c r="Q158" s="92" cm="1">
        <f t="array" aca="1" ref="Q158" ca="1">_xll.QInterp_Interpolate1d(Q$128,$M158)*$P$111</f>
        <v>4.3678302131887475E-3</v>
      </c>
      <c r="R158" s="94" cm="1">
        <f t="array" aca="1" ref="R158" ca="1">_xll.QInterp_Interpolate1d(R$128,$M158)*$P$111</f>
        <v>2.3655973867702067E-2</v>
      </c>
    </row>
    <row r="159" spans="2:18" x14ac:dyDescent="0.25">
      <c r="B159" s="8" t="str">
        <f t="shared" ca="1" si="16"/>
        <v>COV2</v>
      </c>
      <c r="C159" s="1">
        <f t="shared" ca="1" si="17"/>
        <v>44804</v>
      </c>
      <c r="D159" s="99" cm="1">
        <f t="array" aca="1" ref="D159" ca="1">_xll.QInterp_Interpolate1d(D$128,$C159)+E$111</f>
        <v>0.31858272271169724</v>
      </c>
      <c r="E159" s="92" cm="1">
        <f t="array" aca="1" ref="E159" ca="1">_xll.QInterp_Interpolate1d(E$128,$C159)*$H$111</f>
        <v>-4.1679725488782536E-2</v>
      </c>
      <c r="F159" s="93" cm="1">
        <f t="array" aca="1" ref="F159" ca="1">_xll.QInterp_Interpolate1d(F$128,$C159)*$H$111</f>
        <v>-8.8140833984902842E-2</v>
      </c>
      <c r="G159" s="94" cm="1">
        <f t="array" aca="1" ref="G159" ca="1">_xll.QInterp_Interpolate1d(G$128,$C159)*$H$111</f>
        <v>-0.170915441769138</v>
      </c>
      <c r="H159" s="92" cm="1">
        <f t="array" aca="1" ref="H159" ca="1">_xll.QInterp_Interpolate1d(H$128,$C159)*$H$111</f>
        <v>8.21752014805535E-3</v>
      </c>
      <c r="I159" s="93" cm="1">
        <f t="array" aca="1" ref="I159" ca="1">_xll.QInterp_Interpolate1d(I$128,$C159)*$H$111</f>
        <v>4.4635272514857022E-2</v>
      </c>
      <c r="J159" s="94" cm="1">
        <f t="array" aca="1" ref="J159" ca="1">_xll.QInterp_Interpolate1d(J$128,$C159)*$H$111</f>
        <v>0.10810899515261177</v>
      </c>
      <c r="L159" s="8" t="str">
        <f t="shared" ca="1" si="18"/>
        <v>QSU2</v>
      </c>
      <c r="M159" s="1">
        <f t="shared" ca="1" si="18"/>
        <v>44816</v>
      </c>
      <c r="N159" s="99" cm="1">
        <f t="array" aca="1" ref="N159" ca="1">_xll.QInterp_Interpolate1d(N$128,$M159)+N$111</f>
        <v>0.27806440641294283</v>
      </c>
      <c r="O159" s="92" cm="1">
        <f t="array" aca="1" ref="O159" ca="1">_xll.QInterp_Interpolate1d(O$128,$M159)*$P$111</f>
        <v>-2.4028325686532841E-2</v>
      </c>
      <c r="P159" s="94" cm="1">
        <f t="array" aca="1" ref="P159" ca="1">_xll.QInterp_Interpolate1d(P$128,$M159)*$P$111</f>
        <v>-5.1033801540735231E-2</v>
      </c>
      <c r="Q159" s="92" cm="1">
        <f t="array" aca="1" ref="Q159" ca="1">_xll.QInterp_Interpolate1d(Q$128,$M159)*$P$111</f>
        <v>5.005160569482173E-3</v>
      </c>
      <c r="R159" s="94" cm="1">
        <f t="array" aca="1" ref="R159" ca="1">_xll.QInterp_Interpolate1d(R$128,$M159)*$P$111</f>
        <v>2.7227948573166225E-2</v>
      </c>
    </row>
    <row r="160" spans="2:18" x14ac:dyDescent="0.25">
      <c r="B160" s="8" t="str">
        <f t="shared" ca="1" si="16"/>
        <v>COX2</v>
      </c>
      <c r="C160" s="1">
        <f t="shared" ca="1" si="17"/>
        <v>44834</v>
      </c>
      <c r="D160" s="99" cm="1">
        <f t="array" aca="1" ref="D160" ca="1">_xll.QInterp_Interpolate1d(D$128,$C160)+E$111</f>
        <v>0.31464490909169052</v>
      </c>
      <c r="E160" s="92" cm="1">
        <f t="array" aca="1" ref="E160" ca="1">_xll.QInterp_Interpolate1d(E$128,$C160)*$H$111</f>
        <v>-4.1050781105329941E-2</v>
      </c>
      <c r="F160" s="93" cm="1">
        <f t="array" aca="1" ref="F160" ca="1">_xll.QInterp_Interpolate1d(F$128,$C160)*$H$111</f>
        <v>-8.7762031525815382E-2</v>
      </c>
      <c r="G160" s="94" cm="1">
        <f t="array" aca="1" ref="G160" ca="1">_xll.QInterp_Interpolate1d(G$128,$C160)*$H$111</f>
        <v>-0.17031439249221786</v>
      </c>
      <c r="H160" s="92" cm="1">
        <f t="array" aca="1" ref="H160" ca="1">_xll.QInterp_Interpolate1d(H$128,$C160)*$H$111</f>
        <v>9.2476877498227205E-3</v>
      </c>
      <c r="I160" s="93" cm="1">
        <f t="array" aca="1" ref="I160" ca="1">_xll.QInterp_Interpolate1d(I$128,$C160)*$H$111</f>
        <v>5.0408938525844271E-2</v>
      </c>
      <c r="J160" s="94" cm="1">
        <f t="array" aca="1" ref="J160" ca="1">_xll.QInterp_Interpolate1d(J$128,$C160)*$H$111</f>
        <v>0.12140022619655592</v>
      </c>
      <c r="L160" s="8" t="str">
        <f t="shared" ca="1" si="18"/>
        <v>QSV2</v>
      </c>
      <c r="M160" s="1">
        <f t="shared" ca="1" si="18"/>
        <v>44846</v>
      </c>
      <c r="N160" s="99" cm="1">
        <f t="array" aca="1" ref="N160" ca="1">_xll.QInterp_Interpolate1d(N$128,$M160)+N$111</f>
        <v>0.27578047451333887</v>
      </c>
      <c r="O160" s="92" cm="1">
        <f t="array" aca="1" ref="O160" ca="1">_xll.QInterp_Interpolate1d(O$128,$M160)*$P$111</f>
        <v>-2.3663537944130331E-2</v>
      </c>
      <c r="P160" s="94" cm="1">
        <f t="array" aca="1" ref="P160" ca="1">_xll.QInterp_Interpolate1d(P$128,$M160)*$P$111</f>
        <v>-5.0814096114464496E-2</v>
      </c>
      <c r="Q160" s="92" cm="1">
        <f t="array" aca="1" ref="Q160" ca="1">_xll.QInterp_Interpolate1d(Q$128,$M160)*$P$111</f>
        <v>5.6026577785072583E-3</v>
      </c>
      <c r="R160" s="94" cm="1">
        <f t="array" aca="1" ref="R160" ca="1">_xll.QInterp_Interpolate1d(R$128,$M160)*$P$111</f>
        <v>3.0576674859538876E-2</v>
      </c>
    </row>
    <row r="161" spans="2:18" x14ac:dyDescent="0.25">
      <c r="B161" s="8" t="str">
        <f t="shared" ca="1" si="16"/>
        <v>COZ2</v>
      </c>
      <c r="C161" s="1">
        <f t="shared" ca="1" si="17"/>
        <v>44865</v>
      </c>
      <c r="D161" s="99" cm="1">
        <f t="array" aca="1" ref="D161" ca="1">_xll.QInterp_Interpolate1d(D$128,$C161)+E$111</f>
        <v>0.31065929108040496</v>
      </c>
      <c r="E161" s="92" cm="1">
        <f t="array" aca="1" ref="E161" ca="1">_xll.QInterp_Interpolate1d(E$128,$C161)*$H$111</f>
        <v>-4.0505206026753365E-2</v>
      </c>
      <c r="F161" s="93" cm="1">
        <f t="array" aca="1" ref="F161" ca="1">_xll.QInterp_Interpolate1d(F$128,$C161)*$H$111</f>
        <v>-8.7441477175484367E-2</v>
      </c>
      <c r="G161" s="94" cm="1">
        <f t="array" aca="1" ref="G161" ca="1">_xll.QInterp_Interpolate1d(G$128,$C161)*$H$111</f>
        <v>-0.16987370866567558</v>
      </c>
      <c r="H161" s="92" cm="1">
        <f t="array" aca="1" ref="H161" ca="1">_xll.QInterp_Interpolate1d(H$128,$C161)*$H$111</f>
        <v>1.0159471168309444E-2</v>
      </c>
      <c r="I161" s="93" cm="1">
        <f t="array" aca="1" ref="I161" ca="1">_xll.QInterp_Interpolate1d(I$128,$C161)*$H$111</f>
        <v>5.5544883195050784E-2</v>
      </c>
      <c r="J161" s="94" cm="1">
        <f t="array" aca="1" ref="J161" ca="1">_xll.QInterp_Interpolate1d(J$128,$C161)*$H$111</f>
        <v>0.13334448108021862</v>
      </c>
      <c r="L161" s="8" t="str">
        <f t="shared" ca="1" si="18"/>
        <v>QSX2</v>
      </c>
      <c r="M161" s="1">
        <f t="shared" ca="1" si="18"/>
        <v>44875</v>
      </c>
      <c r="N161" s="99" cm="1">
        <f t="array" aca="1" ref="N161" ca="1">_xll.QInterp_Interpolate1d(N$128,$M161)+N$111</f>
        <v>0.27371788722619045</v>
      </c>
      <c r="O161" s="92" cm="1">
        <f t="array" aca="1" ref="O161" ca="1">_xll.QInterp_Interpolate1d(O$128,$M161)*$P$111</f>
        <v>-2.3492451157865774E-2</v>
      </c>
      <c r="P161" s="94" cm="1">
        <f t="array" aca="1" ref="P161" ca="1">_xll.QInterp_Interpolate1d(P$128,$M161)*$P$111</f>
        <v>-5.0725036454266077E-2</v>
      </c>
      <c r="Q161" s="92" cm="1">
        <f t="array" aca="1" ref="Q161" ca="1">_xll.QInterp_Interpolate1d(Q$128,$M161)*$P$111</f>
        <v>5.9145002140873343E-3</v>
      </c>
      <c r="R161" s="94" cm="1">
        <f t="array" aca="1" ref="R161" ca="1">_xll.QInterp_Interpolate1d(R$128,$M161)*$P$111</f>
        <v>3.2369269173029992E-2</v>
      </c>
    </row>
    <row r="162" spans="2:18" x14ac:dyDescent="0.25">
      <c r="B162" s="8" t="str">
        <f t="shared" ca="1" si="16"/>
        <v>COF3</v>
      </c>
      <c r="C162" s="1">
        <f t="shared" ca="1" si="17"/>
        <v>44895</v>
      </c>
      <c r="D162" s="99" cm="1">
        <f t="array" aca="1" ref="D162" ca="1">_xll.QInterp_Interpolate1d(D$128,$C162)+E$111</f>
        <v>0.30722221383672693</v>
      </c>
      <c r="E162" s="92" cm="1">
        <f t="array" aca="1" ref="E162" ca="1">_xll.QInterp_Interpolate1d(E$128,$C162)*$H$111</f>
        <v>-4.0502266349247432E-2</v>
      </c>
      <c r="F162" s="93" cm="1">
        <f t="array" aca="1" ref="F162" ca="1">_xll.QInterp_Interpolate1d(F$128,$C162)*$H$111</f>
        <v>-8.7487923860753061E-2</v>
      </c>
      <c r="G162" s="94" cm="1">
        <f t="array" aca="1" ref="G162" ca="1">_xll.QInterp_Interpolate1d(G$128,$C162)*$H$111</f>
        <v>-0.17035506194640676</v>
      </c>
      <c r="H162" s="92" cm="1">
        <f t="array" aca="1" ref="H162" ca="1">_xll.QInterp_Interpolate1d(H$128,$C162)*$H$111</f>
        <v>1.0273300150039463E-2</v>
      </c>
      <c r="I162" s="93" cm="1">
        <f t="array" aca="1" ref="I162" ca="1">_xll.QInterp_Interpolate1d(I$128,$C162)*$H$111</f>
        <v>5.633748795315615E-2</v>
      </c>
      <c r="J162" s="94" cm="1">
        <f t="array" aca="1" ref="J162" ca="1">_xll.QInterp_Interpolate1d(J$128,$C162)*$H$111</f>
        <v>0.13589560895368519</v>
      </c>
      <c r="L162" s="8" t="str">
        <f t="shared" ca="1" si="18"/>
        <v>QSZ2</v>
      </c>
      <c r="M162" s="1">
        <f t="shared" ca="1" si="18"/>
        <v>44907</v>
      </c>
      <c r="N162" s="99" cm="1">
        <f t="array" aca="1" ref="N162" ca="1">_xll.QInterp_Interpolate1d(N$128,$M162)+N$111</f>
        <v>0.2715914821047683</v>
      </c>
      <c r="O162" s="92" cm="1">
        <f t="array" aca="1" ref="O162" ca="1">_xll.QInterp_Interpolate1d(O$128,$M162)*$P$111</f>
        <v>-2.3490632477382103E-2</v>
      </c>
      <c r="P162" s="94" cm="1">
        <f t="array" aca="1" ref="P162" ca="1">_xll.QInterp_Interpolate1d(P$128,$M162)*$P$111</f>
        <v>-5.0753771470218985E-2</v>
      </c>
      <c r="Q162" s="92" cm="1">
        <f t="array" aca="1" ref="Q162" ca="1">_xll.QInterp_Interpolate1d(Q$128,$M162)*$P$111</f>
        <v>5.9849224107843008E-3</v>
      </c>
      <c r="R162" s="94" cm="1">
        <f t="array" aca="1" ref="R162" ca="1">_xll.QInterp_Interpolate1d(R$128,$M162)*$P$111</f>
        <v>3.2859627316711153E-2</v>
      </c>
    </row>
    <row r="163" spans="2:18" x14ac:dyDescent="0.25">
      <c r="B163" s="8" t="str">
        <f t="shared" ca="1" si="16"/>
        <v>COG3</v>
      </c>
      <c r="C163" s="1">
        <f t="shared" ca="1" si="17"/>
        <v>44925</v>
      </c>
      <c r="D163" s="99" cm="1">
        <f t="array" aca="1" ref="D163" ca="1">_xll.QInterp_Interpolate1d(D$128,$C163)+E$111</f>
        <v>0.30378513659304895</v>
      </c>
      <c r="E163" s="92" cm="1">
        <f t="array" aca="1" ref="E163" ca="1">_xll.QInterp_Interpolate1d(E$128,$C163)*$H$111</f>
        <v>-4.0499326671741498E-2</v>
      </c>
      <c r="F163" s="93" cm="1">
        <f t="array" aca="1" ref="F163" ca="1">_xll.QInterp_Interpolate1d(F$128,$C163)*$H$111</f>
        <v>-8.7534370546021756E-2</v>
      </c>
      <c r="G163" s="94" cm="1">
        <f t="array" aca="1" ref="G163" ca="1">_xll.QInterp_Interpolate1d(G$128,$C163)*$H$111</f>
        <v>-0.17083641522713791</v>
      </c>
      <c r="H163" s="92" cm="1">
        <f t="array" aca="1" ref="H163" ca="1">_xll.QInterp_Interpolate1d(H$128,$C163)*$H$111</f>
        <v>1.0387129131769481E-2</v>
      </c>
      <c r="I163" s="93" cm="1">
        <f t="array" aca="1" ref="I163" ca="1">_xll.QInterp_Interpolate1d(I$128,$C163)*$H$111</f>
        <v>5.7130092711261515E-2</v>
      </c>
      <c r="J163" s="94" cm="1">
        <f t="array" aca="1" ref="J163" ca="1">_xll.QInterp_Interpolate1d(J$128,$C163)*$H$111</f>
        <v>0.13844673682715175</v>
      </c>
      <c r="L163" s="8" t="str">
        <f t="shared" ca="1" si="18"/>
        <v>QSF3</v>
      </c>
      <c r="M163" s="1">
        <f t="shared" ca="1" si="18"/>
        <v>44938</v>
      </c>
      <c r="N163" s="99" cm="1">
        <f t="array" aca="1" ref="N163" ca="1">_xll.QInterp_Interpolate1d(N$128,$M163)+N$111</f>
        <v>0.26953152714339063</v>
      </c>
      <c r="O163" s="92" cm="1">
        <f t="array" aca="1" ref="O163" ca="1">_xll.QInterp_Interpolate1d(O$128,$M163)*$P$111</f>
        <v>-2.3488870630663555E-2</v>
      </c>
      <c r="P163" s="94" cm="1">
        <f t="array" aca="1" ref="P163" ca="1">_xll.QInterp_Interpolate1d(P$128,$M163)*$P$111</f>
        <v>-5.0781608516923364E-2</v>
      </c>
      <c r="Q163" s="92" cm="1">
        <f t="array" aca="1" ref="Q163" ca="1">_xll.QInterp_Interpolate1d(Q$128,$M163)*$P$111</f>
        <v>6.0531439138344868E-3</v>
      </c>
      <c r="R163" s="94" cm="1">
        <f t="array" aca="1" ref="R163" ca="1">_xll.QInterp_Interpolate1d(R$128,$M163)*$P$111</f>
        <v>3.3334661768402274E-2</v>
      </c>
    </row>
    <row r="164" spans="2:18" x14ac:dyDescent="0.25">
      <c r="B164" s="8" t="str">
        <f t="shared" ca="1" si="16"/>
        <v>COH3</v>
      </c>
      <c r="C164" s="1">
        <f t="shared" ca="1" si="17"/>
        <v>44957</v>
      </c>
      <c r="D164" s="99" cm="1">
        <f t="array" aca="1" ref="D164" ca="1">_xll.QInterp_Interpolate1d(D$128,$C164)+E$111</f>
        <v>0.30011892086645908</v>
      </c>
      <c r="E164" s="92" cm="1">
        <f t="array" aca="1" ref="E164" ca="1">_xll.QInterp_Interpolate1d(E$128,$C164)*$H$111</f>
        <v>-4.0496191015735171E-2</v>
      </c>
      <c r="F164" s="93" cm="1">
        <f t="array" aca="1" ref="F164" ca="1">_xll.QInterp_Interpolate1d(F$128,$C164)*$H$111</f>
        <v>-8.7583913676975031E-2</v>
      </c>
      <c r="G164" s="94" cm="1">
        <f t="array" aca="1" ref="G164" ca="1">_xll.QInterp_Interpolate1d(G$128,$C164)*$H$111</f>
        <v>-0.17134985872658448</v>
      </c>
      <c r="H164" s="92" cm="1">
        <f t="array" aca="1" ref="H164" ca="1">_xll.QInterp_Interpolate1d(H$128,$C164)*$H$111</f>
        <v>1.0508546712281502E-2</v>
      </c>
      <c r="I164" s="93" cm="1">
        <f t="array" aca="1" ref="I164" ca="1">_xll.QInterp_Interpolate1d(I$128,$C164)*$H$111</f>
        <v>5.7975537786573911E-2</v>
      </c>
      <c r="J164" s="94" cm="1">
        <f t="array" aca="1" ref="J164" ca="1">_xll.QInterp_Interpolate1d(J$128,$C164)*$H$111</f>
        <v>0.14116793989218276</v>
      </c>
      <c r="L164" s="8" t="str">
        <f t="shared" ca="1" si="18"/>
        <v>QSG3</v>
      </c>
      <c r="M164" s="1">
        <f t="shared" ca="1" si="18"/>
        <v>44967</v>
      </c>
      <c r="N164" s="99" cm="1">
        <f t="array" aca="1" ref="N164" ca="1">_xll.QInterp_Interpolate1d(N$128,$M164)+N$111</f>
        <v>0.26760447250210184</v>
      </c>
      <c r="O164" s="92" cm="1">
        <f t="array" aca="1" ref="O164" ca="1">_xll.QInterp_Interpolate1d(O$128,$M164)*$P$111</f>
        <v>-2.3487222451475231E-2</v>
      </c>
      <c r="P164" s="94" cm="1">
        <f t="array" aca="1" ref="P164" ca="1">_xll.QInterp_Interpolate1d(P$128,$M164)*$P$111</f>
        <v>-5.0807649625130687E-2</v>
      </c>
      <c r="Q164" s="92" cm="1">
        <f t="array" aca="1" ref="Q164" ca="1">_xll.QInterp_Interpolate1d(Q$128,$M164)*$P$111</f>
        <v>6.1169640295911125E-3</v>
      </c>
      <c r="R164" s="94" cm="1">
        <f t="array" aca="1" ref="R164" ca="1">_xll.QInterp_Interpolate1d(R$128,$M164)*$P$111</f>
        <v>3.377904883611333E-2</v>
      </c>
    </row>
    <row r="165" spans="2:18" x14ac:dyDescent="0.25">
      <c r="B165" s="8" t="str">
        <f t="shared" ca="1" si="16"/>
        <v>COJ3</v>
      </c>
      <c r="C165" s="1">
        <f t="shared" ca="1" si="17"/>
        <v>44985</v>
      </c>
      <c r="D165" s="99" cm="1">
        <f t="array" aca="1" ref="D165" ca="1">_xll.QInterp_Interpolate1d(D$128,$C165)+E$111</f>
        <v>0.29691098210569289</v>
      </c>
      <c r="E165" s="92" cm="1">
        <f t="array" aca="1" ref="E165" ca="1">_xll.QInterp_Interpolate1d(E$128,$C165)*$H$111</f>
        <v>-4.0493447316729637E-2</v>
      </c>
      <c r="F165" s="93" cm="1">
        <f t="array" aca="1" ref="F165" ca="1">_xll.QInterp_Interpolate1d(F$128,$C165)*$H$111</f>
        <v>-8.7627263916559159E-2</v>
      </c>
      <c r="G165" s="94" cm="1">
        <f t="array" aca="1" ref="G165" ca="1">_xll.QInterp_Interpolate1d(G$128,$C165)*$H$111</f>
        <v>-0.17179912178860021</v>
      </c>
      <c r="H165" s="92" cm="1">
        <f t="array" aca="1" ref="H165" ca="1">_xll.QInterp_Interpolate1d(H$128,$C165)*$H$111</f>
        <v>1.0614787095229518E-2</v>
      </c>
      <c r="I165" s="93" cm="1">
        <f t="array" aca="1" ref="I165" ca="1">_xll.QInterp_Interpolate1d(I$128,$C165)*$H$111</f>
        <v>5.8715302227472246E-2</v>
      </c>
      <c r="J165" s="94" cm="1">
        <f t="array" aca="1" ref="J165" ca="1">_xll.QInterp_Interpolate1d(J$128,$C165)*$H$111</f>
        <v>0.14354899257408488</v>
      </c>
      <c r="L165" s="8" t="str">
        <f t="shared" ca="1" si="18"/>
        <v>QSH3</v>
      </c>
      <c r="M165" s="1">
        <f t="shared" ca="1" si="18"/>
        <v>44995</v>
      </c>
      <c r="N165" s="99" cm="1">
        <f t="array" aca="1" ref="N165" ca="1">_xll.QInterp_Interpolate1d(N$128,$M165)+N$111</f>
        <v>0.26574386802085748</v>
      </c>
      <c r="O165" s="92" cm="1">
        <f t="array" aca="1" ref="O165" ca="1">_xll.QInterp_Interpolate1d(O$128,$M165)*$P$111</f>
        <v>-2.3485631106052021E-2</v>
      </c>
      <c r="P165" s="94" cm="1">
        <f t="array" aca="1" ref="P165" ca="1">_xll.QInterp_Interpolate1d(P$128,$M165)*$P$111</f>
        <v>-5.0832792764089481E-2</v>
      </c>
      <c r="Q165" s="92" cm="1">
        <f t="array" aca="1" ref="Q165" ca="1">_xll.QInterp_Interpolate1d(Q$128,$M165)*$P$111</f>
        <v>6.1785834517009575E-3</v>
      </c>
      <c r="R165" s="94" cm="1">
        <f t="array" aca="1" ref="R165" ca="1">_xll.QInterp_Interpolate1d(R$128,$M165)*$P$111</f>
        <v>3.4208112211834348E-2</v>
      </c>
    </row>
    <row r="166" spans="2:18" x14ac:dyDescent="0.25">
      <c r="B166" s="8" t="str">
        <f t="shared" ca="1" si="16"/>
        <v>COK3</v>
      </c>
      <c r="C166" s="1">
        <f t="shared" ca="1" si="17"/>
        <v>45016</v>
      </c>
      <c r="D166" s="99" cm="1">
        <f t="array" aca="1" ref="D166" ca="1">_xll.QInterp_Interpolate1d(D$128,$C166)+E$111</f>
        <v>0.29335933562055899</v>
      </c>
      <c r="E166" s="92" cm="1">
        <f t="array" aca="1" ref="E166" ca="1">_xll.QInterp_Interpolate1d(E$128,$C166)*$H$111</f>
        <v>-4.0490409649973511E-2</v>
      </c>
      <c r="F166" s="93" cm="1">
        <f t="array" aca="1" ref="F166" ca="1">_xll.QInterp_Interpolate1d(F$128,$C166)*$H$111</f>
        <v>-8.7675258824670144E-2</v>
      </c>
      <c r="G166" s="94" cm="1">
        <f t="array" aca="1" ref="G166" ca="1">_xll.QInterp_Interpolate1d(G$128,$C166)*$H$111</f>
        <v>-0.1722965201786891</v>
      </c>
      <c r="H166" s="92" cm="1">
        <f t="array" aca="1" ref="H166" ca="1">_xll.QInterp_Interpolate1d(H$128,$C166)*$H$111</f>
        <v>1.0732410376350537E-2</v>
      </c>
      <c r="I166" s="93" cm="1">
        <f t="array" aca="1" ref="I166" ca="1">_xll.QInterp_Interpolate1d(I$128,$C166)*$H$111</f>
        <v>5.9534327144181123E-2</v>
      </c>
      <c r="J166" s="94" cm="1">
        <f t="array" aca="1" ref="J166" ca="1">_xll.QInterp_Interpolate1d(J$128,$C166)*$H$111</f>
        <v>0.14618515804333365</v>
      </c>
      <c r="L166" s="8" t="str">
        <f t="shared" ca="1" si="18"/>
        <v>QSJ3</v>
      </c>
      <c r="M166" s="1">
        <f t="shared" ca="1" si="18"/>
        <v>45028</v>
      </c>
      <c r="N166" s="99" cm="1">
        <f t="array" aca="1" ref="N166" ca="1">_xll.QInterp_Interpolate1d(N$128,$M166)+N$111</f>
        <v>0.26355101273939091</v>
      </c>
      <c r="O166" s="92" cm="1">
        <f t="array" aca="1" ref="O166" ca="1">_xll.QInterp_Interpolate1d(O$128,$M166)*$P$111</f>
        <v>-2.348375559180324E-2</v>
      </c>
      <c r="P166" s="94" cm="1">
        <f t="array" aca="1" ref="P166" ca="1">_xll.QInterp_Interpolate1d(P$128,$M166)*$P$111</f>
        <v>-5.0862425749290917E-2</v>
      </c>
      <c r="Q166" s="92" cm="1">
        <f t="array" aca="1" ref="Q166" ca="1">_xll.QInterp_Interpolate1d(Q$128,$M166)*$P$111</f>
        <v>6.2512063420447038E-3</v>
      </c>
      <c r="R166" s="94" cm="1">
        <f t="array" aca="1" ref="R166" ca="1">_xll.QInterp_Interpolate1d(R$128,$M166)*$P$111</f>
        <v>3.4713794047505547E-2</v>
      </c>
    </row>
    <row r="167" spans="2:18" x14ac:dyDescent="0.25">
      <c r="B167" s="8" t="str">
        <f t="shared" ca="1" si="16"/>
        <v>COM3</v>
      </c>
      <c r="C167" s="1">
        <f t="shared" ca="1" si="17"/>
        <v>45044</v>
      </c>
      <c r="D167" s="99" cm="1">
        <f t="array" aca="1" ref="D167" ca="1">_xll.QInterp_Interpolate1d(D$128,$C167)+E$111</f>
        <v>0.29015139685979285</v>
      </c>
      <c r="E167" s="92" cm="1">
        <f t="array" aca="1" ref="E167" ca="1">_xll.QInterp_Interpolate1d(E$128,$C167)*$H$111</f>
        <v>-4.0487665950967977E-2</v>
      </c>
      <c r="F167" s="93" cm="1">
        <f t="array" aca="1" ref="F167" ca="1">_xll.QInterp_Interpolate1d(F$128,$C167)*$H$111</f>
        <v>-8.7718609064254258E-2</v>
      </c>
      <c r="G167" s="94" cm="1">
        <f t="array" aca="1" ref="G167" ca="1">_xll.QInterp_Interpolate1d(G$128,$C167)*$H$111</f>
        <v>-0.17274578324070483</v>
      </c>
      <c r="H167" s="92" cm="1">
        <f t="array" aca="1" ref="H167" ca="1">_xll.QInterp_Interpolate1d(H$128,$C167)*$H$111</f>
        <v>1.0838650759298555E-2</v>
      </c>
      <c r="I167" s="93" cm="1">
        <f t="array" aca="1" ref="I167" ca="1">_xll.QInterp_Interpolate1d(I$128,$C167)*$H$111</f>
        <v>6.0274091585079466E-2</v>
      </c>
      <c r="J167" s="94" cm="1">
        <f t="array" aca="1" ref="J167" ca="1">_xll.QInterp_Interpolate1d(J$128,$C167)*$H$111</f>
        <v>0.14856621072523579</v>
      </c>
      <c r="L167" s="8" t="str">
        <f t="shared" ca="1" si="18"/>
        <v>QSK3</v>
      </c>
      <c r="M167" s="1">
        <f t="shared" ca="1" si="18"/>
        <v>45057</v>
      </c>
      <c r="N167" s="99" cm="1">
        <f t="array" aca="1" ref="N167" ca="1">_xll.QInterp_Interpolate1d(N$128,$M167)+N$111</f>
        <v>0.26162395809810207</v>
      </c>
      <c r="O167" s="92" cm="1">
        <f t="array" aca="1" ref="O167" ca="1">_xll.QInterp_Interpolate1d(O$128,$M167)*$P$111</f>
        <v>-2.3482107412614917E-2</v>
      </c>
      <c r="P167" s="94" cm="1">
        <f t="array" aca="1" ref="P167" ca="1">_xll.QInterp_Interpolate1d(P$128,$M167)*$P$111</f>
        <v>-5.0888466857498239E-2</v>
      </c>
      <c r="Q167" s="92" cm="1">
        <f t="array" aca="1" ref="Q167" ca="1">_xll.QInterp_Interpolate1d(Q$128,$M167)*$P$111</f>
        <v>6.3150264578013295E-3</v>
      </c>
      <c r="R167" s="94" cm="1">
        <f t="array" aca="1" ref="R167" ca="1">_xll.QInterp_Interpolate1d(R$128,$M167)*$P$111</f>
        <v>3.5158181115216597E-2</v>
      </c>
    </row>
    <row r="168" spans="2:18" x14ac:dyDescent="0.25">
      <c r="B168" s="8" t="str">
        <f t="shared" ca="1" si="16"/>
        <v>CON3</v>
      </c>
      <c r="C168" s="1">
        <f t="shared" ca="1" si="17"/>
        <v>45077</v>
      </c>
      <c r="D168" s="99" cm="1">
        <f t="array" aca="1" ref="D168" ca="1">_xll.QInterp_Interpolate1d(D$128,$C168)+E$111</f>
        <v>0.28637061189174701</v>
      </c>
      <c r="E168" s="92" cm="1">
        <f t="array" aca="1" ref="E168" ca="1">_xll.QInterp_Interpolate1d(E$128,$C168)*$H$111</f>
        <v>-4.048443230571145E-2</v>
      </c>
      <c r="F168" s="93" cm="1">
        <f t="array" aca="1" ref="F168" ca="1">_xll.QInterp_Interpolate1d(F$128,$C168)*$H$111</f>
        <v>-8.7769700418049823E-2</v>
      </c>
      <c r="G168" s="94" cm="1">
        <f t="array" aca="1" ref="G168" ca="1">_xll.QInterp_Interpolate1d(G$128,$C168)*$H$111</f>
        <v>-0.17327527184950911</v>
      </c>
      <c r="H168" s="92" cm="1">
        <f t="array" aca="1" ref="H168" ca="1">_xll.QInterp_Interpolate1d(H$128,$C168)*$H$111</f>
        <v>1.0963862639201575E-2</v>
      </c>
      <c r="I168" s="93" cm="1">
        <f t="array" aca="1" ref="I168" ca="1">_xll.QInterp_Interpolate1d(I$128,$C168)*$H$111</f>
        <v>6.1145956818995366E-2</v>
      </c>
      <c r="J168" s="94" cm="1">
        <f t="array" aca="1" ref="J168" ca="1">_xll.QInterp_Interpolate1d(J$128,$C168)*$H$111</f>
        <v>0.15137245138604902</v>
      </c>
      <c r="L168" s="8" t="str">
        <f t="shared" ca="1" si="18"/>
        <v>QSM3</v>
      </c>
      <c r="M168" s="1">
        <f t="shared" ca="1" si="18"/>
        <v>45089</v>
      </c>
      <c r="N168" s="99" cm="1">
        <f t="array" aca="1" ref="N168" ca="1">_xll.QInterp_Interpolate1d(N$128,$M168)+N$111</f>
        <v>0.25949755297667998</v>
      </c>
      <c r="O168" s="92" cm="1">
        <f t="array" aca="1" ref="O168" ca="1">_xll.QInterp_Interpolate1d(O$128,$M168)*$P$111</f>
        <v>-2.348028873213125E-2</v>
      </c>
      <c r="P168" s="94" cm="1">
        <f t="array" aca="1" ref="P168" ca="1">_xll.QInterp_Interpolate1d(P$128,$M168)*$P$111</f>
        <v>-5.0917201873451147E-2</v>
      </c>
      <c r="Q168" s="92" cm="1">
        <f t="array" aca="1" ref="Q168" ca="1">_xll.QInterp_Interpolate1d(Q$128,$M168)*$P$111</f>
        <v>6.385448654498296E-3</v>
      </c>
      <c r="R168" s="94" cm="1">
        <f t="array" aca="1" ref="R168" ca="1">_xll.QInterp_Interpolate1d(R$128,$M168)*$P$111</f>
        <v>3.5648539258897757E-2</v>
      </c>
    </row>
    <row r="169" spans="2:18" x14ac:dyDescent="0.25">
      <c r="B169" s="8" t="str">
        <f t="shared" ca="1" si="16"/>
        <v>COQ3</v>
      </c>
      <c r="C169" s="1">
        <f t="shared" ca="1" si="17"/>
        <v>45107</v>
      </c>
      <c r="D169" s="99" cm="1">
        <f t="array" aca="1" ref="D169" ca="1">_xll.QInterp_Interpolate1d(D$128,$C169)+E$111</f>
        <v>0.28293353464806903</v>
      </c>
      <c r="E169" s="92" cm="1">
        <f t="array" aca="1" ref="E169" ca="1">_xll.QInterp_Interpolate1d(E$128,$C169)*$H$111</f>
        <v>-4.0481492628205516E-2</v>
      </c>
      <c r="F169" s="93" cm="1">
        <f t="array" aca="1" ref="F169" ca="1">_xll.QInterp_Interpolate1d(F$128,$C169)*$H$111</f>
        <v>-8.7816147103318518E-2</v>
      </c>
      <c r="G169" s="94" cm="1">
        <f t="array" aca="1" ref="G169" ca="1">_xll.QInterp_Interpolate1d(G$128,$C169)*$H$111</f>
        <v>-0.17375662513024026</v>
      </c>
      <c r="H169" s="92" cm="1">
        <f t="array" aca="1" ref="H169" ca="1">_xll.QInterp_Interpolate1d(H$128,$C169)*$H$111</f>
        <v>1.1077691620931593E-2</v>
      </c>
      <c r="I169" s="93" cm="1">
        <f t="array" aca="1" ref="I169" ca="1">_xll.QInterp_Interpolate1d(I$128,$C169)*$H$111</f>
        <v>6.1938561577100731E-2</v>
      </c>
      <c r="J169" s="94" cm="1">
        <f t="array" aca="1" ref="J169" ca="1">_xll.QInterp_Interpolate1d(J$128,$C169)*$H$111</f>
        <v>0.15392357925951558</v>
      </c>
      <c r="L169" s="8" t="str">
        <f t="shared" ca="1" si="18"/>
        <v>QSN3</v>
      </c>
      <c r="M169" s="1">
        <f t="shared" ca="1" si="18"/>
        <v>45119</v>
      </c>
      <c r="N169" s="99" cm="1">
        <f t="array" aca="1" ref="N169" ca="1">_xll.QInterp_Interpolate1d(N$128,$M169)+N$111</f>
        <v>0.25750404817534672</v>
      </c>
      <c r="O169" s="92" cm="1">
        <f t="array" aca="1" ref="O169" ca="1">_xll.QInterp_Interpolate1d(O$128,$M169)*$P$111</f>
        <v>-2.3478583719177812E-2</v>
      </c>
      <c r="P169" s="94" cm="1">
        <f t="array" aca="1" ref="P169" ca="1">_xll.QInterp_Interpolate1d(P$128,$M169)*$P$111</f>
        <v>-5.0944140950906998E-2</v>
      </c>
      <c r="Q169" s="92" cm="1">
        <f t="array" aca="1" ref="Q169" ca="1">_xll.QInterp_Interpolate1d(Q$128,$M169)*$P$111</f>
        <v>6.4514694639017014E-3</v>
      </c>
      <c r="R169" s="94" cm="1">
        <f t="array" aca="1" ref="R169" ca="1">_xll.QInterp_Interpolate1d(R$128,$M169)*$P$111</f>
        <v>3.6108250018598853E-2</v>
      </c>
    </row>
    <row r="170" spans="2:18" x14ac:dyDescent="0.25">
      <c r="B170" s="8" t="str">
        <f t="shared" ca="1" si="16"/>
        <v>COU3</v>
      </c>
      <c r="C170" s="1">
        <f t="shared" ca="1" si="17"/>
        <v>45138</v>
      </c>
      <c r="D170" s="99" cm="1">
        <f t="array" aca="1" ref="D170" ca="1">_xll.QInterp_Interpolate1d(D$128,$C170)+E$111</f>
        <v>0.27938188816293508</v>
      </c>
      <c r="E170" s="92" cm="1">
        <f t="array" aca="1" ref="E170" ca="1">_xll.QInterp_Interpolate1d(E$128,$C170)*$H$111</f>
        <v>-4.0478454961449389E-2</v>
      </c>
      <c r="F170" s="93" cm="1">
        <f t="array" aca="1" ref="F170" ca="1">_xll.QInterp_Interpolate1d(F$128,$C170)*$H$111</f>
        <v>-8.7864142011429502E-2</v>
      </c>
      <c r="G170" s="94" cm="1">
        <f t="array" aca="1" ref="G170" ca="1">_xll.QInterp_Interpolate1d(G$128,$C170)*$H$111</f>
        <v>-0.17425402352032915</v>
      </c>
      <c r="H170" s="92" cm="1">
        <f t="array" aca="1" ref="H170" ca="1">_xll.QInterp_Interpolate1d(H$128,$C170)*$H$111</f>
        <v>1.1195314902052613E-2</v>
      </c>
      <c r="I170" s="93" cm="1">
        <f t="array" aca="1" ref="I170" ca="1">_xll.QInterp_Interpolate1d(I$128,$C170)*$H$111</f>
        <v>6.2757586493809608E-2</v>
      </c>
      <c r="J170" s="94" cm="1">
        <f t="array" aca="1" ref="J170" ca="1">_xll.QInterp_Interpolate1d(J$128,$C170)*$H$111</f>
        <v>0.15655974472876436</v>
      </c>
      <c r="L170" s="8" t="str">
        <f t="shared" ca="1" si="18"/>
        <v>QSQ3</v>
      </c>
      <c r="M170" s="1">
        <f t="shared" ca="1" si="18"/>
        <v>45148</v>
      </c>
      <c r="N170" s="99" cm="1">
        <f t="array" aca="1" ref="N170" ca="1">_xll.QInterp_Interpolate1d(N$128,$M170)+N$111</f>
        <v>0.25557699353405794</v>
      </c>
      <c r="O170" s="92" cm="1">
        <f t="array" aca="1" ref="O170" ca="1">_xll.QInterp_Interpolate1d(O$128,$M170)*$P$111</f>
        <v>-2.3476935539989488E-2</v>
      </c>
      <c r="P170" s="94" cm="1">
        <f t="array" aca="1" ref="P170" ca="1">_xll.QInterp_Interpolate1d(P$128,$M170)*$P$111</f>
        <v>-5.097018205911432E-2</v>
      </c>
      <c r="Q170" s="92" cm="1">
        <f t="array" aca="1" ref="Q170" ca="1">_xll.QInterp_Interpolate1d(Q$128,$M170)*$P$111</f>
        <v>6.515289579658327E-3</v>
      </c>
      <c r="R170" s="94" cm="1">
        <f t="array" aca="1" ref="R170" ca="1">_xll.QInterp_Interpolate1d(R$128,$M170)*$P$111</f>
        <v>3.6552637086309903E-2</v>
      </c>
    </row>
    <row r="171" spans="2:18" x14ac:dyDescent="0.25">
      <c r="B171" s="8" t="str">
        <f t="shared" ca="1" si="16"/>
        <v>COV3</v>
      </c>
      <c r="C171" s="1">
        <f t="shared" ca="1" si="17"/>
        <v>45169</v>
      </c>
      <c r="D171" s="99" cm="1">
        <f t="array" aca="1" ref="D171" ca="1">_xll.QInterp_Interpolate1d(D$128,$C171)+E$111</f>
        <v>0.27583024167780112</v>
      </c>
      <c r="E171" s="92" cm="1">
        <f t="array" aca="1" ref="E171" ca="1">_xll.QInterp_Interpolate1d(E$128,$C171)*$H$111</f>
        <v>-4.0475417294693262E-2</v>
      </c>
      <c r="F171" s="93" cm="1">
        <f t="array" aca="1" ref="F171" ca="1">_xll.QInterp_Interpolate1d(F$128,$C171)*$H$111</f>
        <v>-8.7912136919540501E-2</v>
      </c>
      <c r="G171" s="94" cm="1">
        <f t="array" aca="1" ref="G171" ca="1">_xll.QInterp_Interpolate1d(G$128,$C171)*$H$111</f>
        <v>-0.17475142191041801</v>
      </c>
      <c r="H171" s="92" cm="1">
        <f t="array" aca="1" ref="H171" ca="1">_xll.QInterp_Interpolate1d(H$128,$C171)*$H$111</f>
        <v>1.1312938183173631E-2</v>
      </c>
      <c r="I171" s="93" cm="1">
        <f t="array" aca="1" ref="I171" ca="1">_xll.QInterp_Interpolate1d(I$128,$C171)*$H$111</f>
        <v>6.3576611410518485E-2</v>
      </c>
      <c r="J171" s="94" cm="1">
        <f t="array" aca="1" ref="J171" ca="1">_xll.QInterp_Interpolate1d(J$128,$C171)*$H$111</f>
        <v>0.15919591019801313</v>
      </c>
      <c r="L171" s="8" t="str">
        <f t="shared" ca="1" si="18"/>
        <v>QSU3</v>
      </c>
      <c r="M171" s="1">
        <f t="shared" ca="1" si="18"/>
        <v>45181</v>
      </c>
      <c r="N171" s="99" cm="1">
        <f t="array" aca="1" ref="N171" ca="1">_xll.QInterp_Interpolate1d(N$128,$M171)+N$111</f>
        <v>0.25338413825259132</v>
      </c>
      <c r="O171" s="92" cm="1">
        <f t="array" aca="1" ref="O171" ca="1">_xll.QInterp_Interpolate1d(O$128,$M171)*$P$111</f>
        <v>-2.3475060025740707E-2</v>
      </c>
      <c r="P171" s="94" cm="1">
        <f t="array" aca="1" ref="P171" ca="1">_xll.QInterp_Interpolate1d(P$128,$M171)*$P$111</f>
        <v>-5.0999815044315756E-2</v>
      </c>
      <c r="Q171" s="92" cm="1">
        <f t="array" aca="1" ref="Q171" ca="1">_xll.QInterp_Interpolate1d(Q$128,$M171)*$P$111</f>
        <v>6.5879124700020733E-3</v>
      </c>
      <c r="R171" s="94" cm="1">
        <f t="array" aca="1" ref="R171" ca="1">_xll.QInterp_Interpolate1d(R$128,$M171)*$P$111</f>
        <v>3.7058318921981102E-2</v>
      </c>
    </row>
    <row r="172" spans="2:18" x14ac:dyDescent="0.25">
      <c r="B172" s="8" t="str">
        <f t="shared" ca="1" si="16"/>
        <v>COX3</v>
      </c>
      <c r="C172" s="1">
        <f t="shared" ca="1" si="17"/>
        <v>45198</v>
      </c>
      <c r="D172" s="99" cm="1">
        <f t="array" aca="1" ref="D172" ca="1">_xll.QInterp_Interpolate1d(D$128,$C172)+E$111</f>
        <v>0.27250773367557907</v>
      </c>
      <c r="E172" s="92" cm="1">
        <f t="array" aca="1" ref="E172" ca="1">_xll.QInterp_Interpolate1d(E$128,$C172)*$H$111</f>
        <v>-4.0472575606437529E-2</v>
      </c>
      <c r="F172" s="93" cm="1">
        <f t="array" aca="1" ref="F172" ca="1">_xll.QInterp_Interpolate1d(F$128,$C172)*$H$111</f>
        <v>-8.7957035381966905E-2</v>
      </c>
      <c r="G172" s="94" cm="1">
        <f t="array" aca="1" ref="G172" ca="1">_xll.QInterp_Interpolate1d(G$128,$C172)*$H$111</f>
        <v>-0.17521673008179145</v>
      </c>
      <c r="H172" s="92" cm="1">
        <f t="array" aca="1" ref="H172" ca="1">_xll.QInterp_Interpolate1d(H$128,$C172)*$H$111</f>
        <v>1.1422972865512649E-2</v>
      </c>
      <c r="I172" s="93" cm="1">
        <f t="array" aca="1" ref="I172" ca="1">_xll.QInterp_Interpolate1d(I$128,$C172)*$H$111</f>
        <v>6.4342796010020339E-2</v>
      </c>
      <c r="J172" s="94" cm="1">
        <f t="array" aca="1" ref="J172" ca="1">_xll.QInterp_Interpolate1d(J$128,$C172)*$H$111</f>
        <v>0.16166200047569748</v>
      </c>
      <c r="L172" s="8" t="str">
        <f t="shared" ca="1" si="18"/>
        <v>QSV3</v>
      </c>
      <c r="M172" s="1">
        <f t="shared" ca="1" si="18"/>
        <v>45211</v>
      </c>
      <c r="N172" s="99" cm="1">
        <f t="array" aca="1" ref="N172" ca="1">_xll.QInterp_Interpolate1d(N$128,$M172)+N$111</f>
        <v>0.25139063345125812</v>
      </c>
      <c r="O172" s="92" cm="1">
        <f t="array" aca="1" ref="O172" ca="1">_xll.QInterp_Interpolate1d(O$128,$M172)*$P$111</f>
        <v>-2.3473355012787269E-2</v>
      </c>
      <c r="P172" s="94" cm="1">
        <f t="array" aca="1" ref="P172" ca="1">_xll.QInterp_Interpolate1d(P$128,$M172)*$P$111</f>
        <v>-5.1026754121771607E-2</v>
      </c>
      <c r="Q172" s="92" cm="1">
        <f t="array" aca="1" ref="Q172" ca="1">_xll.QInterp_Interpolate1d(Q$128,$M172)*$P$111</f>
        <v>6.6539332794054787E-3</v>
      </c>
      <c r="R172" s="94" cm="1">
        <f t="array" aca="1" ref="R172" ca="1">_xll.QInterp_Interpolate1d(R$128,$M172)*$P$111</f>
        <v>3.7518029681682191E-2</v>
      </c>
    </row>
    <row r="173" spans="2:18" x14ac:dyDescent="0.25">
      <c r="B173" s="8" t="str">
        <f t="shared" ca="1" si="16"/>
        <v>COZ3</v>
      </c>
      <c r="C173" s="1">
        <f t="shared" ca="1" si="17"/>
        <v>45230</v>
      </c>
      <c r="D173" s="100" cm="1">
        <f t="array" aca="1" ref="D173" ca="1">_xll.QInterp_Interpolate1d(D$128,$C173)+E$111</f>
        <v>0.26884151794898919</v>
      </c>
      <c r="E173" s="95" cm="1">
        <f t="array" aca="1" ref="E173" ca="1">_xll.QInterp_Interpolate1d(E$128,$C173)*$H$111</f>
        <v>-4.0469439950431202E-2</v>
      </c>
      <c r="F173" s="96" cm="1">
        <f t="array" aca="1" ref="F173" ca="1">_xll.QInterp_Interpolate1d(F$128,$C173)*$H$111</f>
        <v>-8.8006578512920181E-2</v>
      </c>
      <c r="G173" s="97" cm="1">
        <f t="array" aca="1" ref="G173" ca="1">_xll.QInterp_Interpolate1d(G$128,$C173)*$H$111</f>
        <v>-0.17573017358123802</v>
      </c>
      <c r="H173" s="95" cm="1">
        <f t="array" aca="1" ref="H173" ca="1">_xll.QInterp_Interpolate1d(H$128,$C173)*$H$111</f>
        <v>1.1544390446024668E-2</v>
      </c>
      <c r="I173" s="96" cm="1">
        <f t="array" aca="1" ref="I173" ca="1">_xll.QInterp_Interpolate1d(I$128,$C173)*$H$111</f>
        <v>6.5188241085332735E-2</v>
      </c>
      <c r="J173" s="97" cm="1">
        <f t="array" aca="1" ref="J173" ca="1">_xll.QInterp_Interpolate1d(J$128,$C173)*$H$111</f>
        <v>0.16438320354072847</v>
      </c>
      <c r="L173" s="8" t="str">
        <f t="shared" ca="1" si="18"/>
        <v>QSX3</v>
      </c>
      <c r="M173" s="1">
        <f t="shared" ca="1" si="18"/>
        <v>45240</v>
      </c>
      <c r="N173" s="99" cm="1">
        <f t="array" aca="1" ref="N173" ca="1">_xll.QInterp_Interpolate1d(N$128,$M173)+N$111</f>
        <v>0.25046033121063593</v>
      </c>
      <c r="O173" s="92" cm="1">
        <f t="array" aca="1" ref="O173" ca="1">_xll.QInterp_Interpolate1d(O$128,$M173)*$P$111</f>
        <v>-2.3471706833598949E-2</v>
      </c>
      <c r="P173" s="94" cm="1">
        <f t="array" aca="1" ref="P173" ca="1">_xll.QInterp_Interpolate1d(P$128,$M173)*$P$111</f>
        <v>-5.105279522997893E-2</v>
      </c>
      <c r="Q173" s="92" cm="1">
        <f t="array" aca="1" ref="Q173" ca="1">_xll.QInterp_Interpolate1d(Q$128,$M173)*$P$111</f>
        <v>6.7177533951621043E-3</v>
      </c>
      <c r="R173" s="94" cm="1">
        <f t="array" aca="1" ref="R173" ca="1">_xll.QInterp_Interpolate1d(R$128,$M173)*$P$111</f>
        <v>3.7962416749393248E-2</v>
      </c>
    </row>
    <row r="174" spans="2:18" x14ac:dyDescent="0.25">
      <c r="C174" s="86"/>
    </row>
    <row r="175" spans="2:18" x14ac:dyDescent="0.25">
      <c r="C175" s="86"/>
    </row>
    <row r="176" spans="2:18" x14ac:dyDescent="0.25">
      <c r="C176" s="86"/>
    </row>
    <row r="177" spans="3:3" x14ac:dyDescent="0.25">
      <c r="C177" s="86"/>
    </row>
    <row r="178" spans="3:3" x14ac:dyDescent="0.25">
      <c r="C178" s="86"/>
    </row>
    <row r="179" spans="3:3" x14ac:dyDescent="0.25">
      <c r="C179" s="86"/>
    </row>
    <row r="180" spans="3:3" x14ac:dyDescent="0.25">
      <c r="C180" s="86"/>
    </row>
    <row r="181" spans="3:3" x14ac:dyDescent="0.25">
      <c r="C181" s="86"/>
    </row>
    <row r="182" spans="3:3" x14ac:dyDescent="0.25">
      <c r="C182" s="86"/>
    </row>
    <row r="183" spans="3:3" x14ac:dyDescent="0.25">
      <c r="C183" s="86"/>
    </row>
    <row r="184" spans="3:3" x14ac:dyDescent="0.25">
      <c r="C184" s="86"/>
    </row>
    <row r="185" spans="3:3" x14ac:dyDescent="0.25">
      <c r="C185" s="86"/>
    </row>
    <row r="186" spans="3:3" x14ac:dyDescent="0.25">
      <c r="C186" s="86"/>
    </row>
    <row r="187" spans="3:3" x14ac:dyDescent="0.25">
      <c r="C187" s="86"/>
    </row>
    <row r="188" spans="3:3" x14ac:dyDescent="0.25">
      <c r="C188" s="86"/>
    </row>
    <row r="189" spans="3:3" x14ac:dyDescent="0.25">
      <c r="C189" s="86"/>
    </row>
    <row r="190" spans="3:3" x14ac:dyDescent="0.25">
      <c r="C190" s="86"/>
    </row>
    <row r="191" spans="3:3" x14ac:dyDescent="0.25">
      <c r="C191" s="86"/>
    </row>
    <row r="192" spans="3:3" x14ac:dyDescent="0.25">
      <c r="C192" s="86"/>
    </row>
    <row r="193" spans="3:3" x14ac:dyDescent="0.25">
      <c r="C193" s="86"/>
    </row>
    <row r="194" spans="3:3" x14ac:dyDescent="0.25">
      <c r="C194" s="86"/>
    </row>
    <row r="195" spans="3:3" x14ac:dyDescent="0.25">
      <c r="C195" s="86"/>
    </row>
    <row r="196" spans="3:3" x14ac:dyDescent="0.25">
      <c r="C196" s="86"/>
    </row>
    <row r="197" spans="3:3" x14ac:dyDescent="0.25">
      <c r="C197" s="86"/>
    </row>
    <row r="198" spans="3:3" x14ac:dyDescent="0.25">
      <c r="C198" s="86"/>
    </row>
    <row r="199" spans="3:3" x14ac:dyDescent="0.25">
      <c r="C199" s="86"/>
    </row>
    <row r="200" spans="3:3" x14ac:dyDescent="0.25">
      <c r="C200" s="86"/>
    </row>
    <row r="201" spans="3:3" x14ac:dyDescent="0.25">
      <c r="C201" s="86"/>
    </row>
    <row r="202" spans="3:3" x14ac:dyDescent="0.25">
      <c r="C202" s="86"/>
    </row>
    <row r="203" spans="3:3" x14ac:dyDescent="0.25">
      <c r="C203" s="86"/>
    </row>
    <row r="204" spans="3:3" x14ac:dyDescent="0.25">
      <c r="C204" s="86"/>
    </row>
    <row r="205" spans="3:3" x14ac:dyDescent="0.25">
      <c r="C205" s="86"/>
    </row>
    <row r="206" spans="3:3" x14ac:dyDescent="0.25">
      <c r="C206" s="86"/>
    </row>
    <row r="207" spans="3:3" x14ac:dyDescent="0.25">
      <c r="C207" s="86"/>
    </row>
    <row r="208" spans="3:3" x14ac:dyDescent="0.25">
      <c r="C208" s="86"/>
    </row>
    <row r="209" spans="3:3" x14ac:dyDescent="0.25">
      <c r="C209" s="86"/>
    </row>
    <row r="210" spans="3:3" x14ac:dyDescent="0.25">
      <c r="C210" s="86"/>
    </row>
    <row r="211" spans="3:3" x14ac:dyDescent="0.25">
      <c r="C211" s="86"/>
    </row>
    <row r="212" spans="3:3" x14ac:dyDescent="0.25">
      <c r="C212" s="86"/>
    </row>
    <row r="213" spans="3:3" x14ac:dyDescent="0.25">
      <c r="C213" s="86"/>
    </row>
    <row r="214" spans="3:3" x14ac:dyDescent="0.25">
      <c r="C214" s="86"/>
    </row>
    <row r="215" spans="3:3" x14ac:dyDescent="0.25">
      <c r="C215" s="86"/>
    </row>
    <row r="216" spans="3:3" x14ac:dyDescent="0.25">
      <c r="C216" s="86"/>
    </row>
    <row r="217" spans="3:3" x14ac:dyDescent="0.25">
      <c r="C217" s="86"/>
    </row>
    <row r="218" spans="3:3" x14ac:dyDescent="0.25">
      <c r="C218" s="86"/>
    </row>
    <row r="219" spans="3:3" x14ac:dyDescent="0.25">
      <c r="C219" s="86"/>
    </row>
    <row r="220" spans="3:3" x14ac:dyDescent="0.25">
      <c r="C220" s="86"/>
    </row>
    <row r="221" spans="3:3" x14ac:dyDescent="0.25">
      <c r="C221" s="86"/>
    </row>
    <row r="222" spans="3:3" x14ac:dyDescent="0.25">
      <c r="C222" s="86"/>
    </row>
    <row r="223" spans="3:3" x14ac:dyDescent="0.25">
      <c r="C223" s="86"/>
    </row>
    <row r="224" spans="3:3" x14ac:dyDescent="0.25">
      <c r="C224" s="86"/>
    </row>
    <row r="225" spans="3:3" x14ac:dyDescent="0.25">
      <c r="C225" s="86"/>
    </row>
    <row r="226" spans="3:3" x14ac:dyDescent="0.25">
      <c r="C226" s="86"/>
    </row>
    <row r="227" spans="3:3" x14ac:dyDescent="0.25">
      <c r="C227" s="86"/>
    </row>
    <row r="228" spans="3:3" x14ac:dyDescent="0.25">
      <c r="C228" s="86"/>
    </row>
    <row r="229" spans="3:3" x14ac:dyDescent="0.25">
      <c r="C229" s="86"/>
    </row>
    <row r="230" spans="3:3" x14ac:dyDescent="0.25">
      <c r="C230" s="86"/>
    </row>
    <row r="231" spans="3:3" x14ac:dyDescent="0.25">
      <c r="C231" s="86"/>
    </row>
    <row r="232" spans="3:3" x14ac:dyDescent="0.25">
      <c r="C232" s="86"/>
    </row>
    <row r="233" spans="3:3" x14ac:dyDescent="0.25">
      <c r="C233" s="86"/>
    </row>
    <row r="234" spans="3:3" x14ac:dyDescent="0.25">
      <c r="C234" s="86"/>
    </row>
    <row r="235" spans="3:3" x14ac:dyDescent="0.25">
      <c r="C235" s="86"/>
    </row>
    <row r="236" spans="3:3" x14ac:dyDescent="0.25">
      <c r="C236" s="86"/>
    </row>
    <row r="237" spans="3:3" x14ac:dyDescent="0.25">
      <c r="C237" s="86"/>
    </row>
    <row r="238" spans="3:3" x14ac:dyDescent="0.25">
      <c r="C238" s="86"/>
    </row>
    <row r="239" spans="3:3" x14ac:dyDescent="0.25">
      <c r="C239" s="86"/>
    </row>
    <row r="240" spans="3:3" x14ac:dyDescent="0.25">
      <c r="C240" s="86"/>
    </row>
    <row r="241" spans="3:3" x14ac:dyDescent="0.25">
      <c r="C241" s="86"/>
    </row>
    <row r="242" spans="3:3" x14ac:dyDescent="0.25">
      <c r="C242" s="86"/>
    </row>
    <row r="243" spans="3:3" x14ac:dyDescent="0.25">
      <c r="C243" s="86"/>
    </row>
    <row r="244" spans="3:3" x14ac:dyDescent="0.25">
      <c r="C244" s="86"/>
    </row>
    <row r="245" spans="3:3" x14ac:dyDescent="0.25">
      <c r="C245" s="86"/>
    </row>
    <row r="246" spans="3:3" x14ac:dyDescent="0.25">
      <c r="C246" s="86"/>
    </row>
    <row r="247" spans="3:3" x14ac:dyDescent="0.25">
      <c r="C247" s="86"/>
    </row>
    <row r="248" spans="3:3" x14ac:dyDescent="0.25">
      <c r="C248" s="86"/>
    </row>
    <row r="249" spans="3:3" x14ac:dyDescent="0.25">
      <c r="C249" s="86"/>
    </row>
    <row r="250" spans="3:3" x14ac:dyDescent="0.25">
      <c r="C250" s="86"/>
    </row>
    <row r="251" spans="3:3" x14ac:dyDescent="0.25">
      <c r="C251" s="86"/>
    </row>
    <row r="252" spans="3:3" x14ac:dyDescent="0.25">
      <c r="C252" s="86"/>
    </row>
    <row r="253" spans="3:3" x14ac:dyDescent="0.25">
      <c r="C253" s="86"/>
    </row>
    <row r="254" spans="3:3" x14ac:dyDescent="0.25">
      <c r="C254" s="86"/>
    </row>
    <row r="255" spans="3:3" x14ac:dyDescent="0.25">
      <c r="C255" s="86"/>
    </row>
    <row r="256" spans="3:3" x14ac:dyDescent="0.25">
      <c r="C256" s="86"/>
    </row>
    <row r="257" spans="3:3" x14ac:dyDescent="0.25">
      <c r="C257" s="86"/>
    </row>
    <row r="258" spans="3:3" x14ac:dyDescent="0.25">
      <c r="C258" s="86"/>
    </row>
    <row r="259" spans="3:3" x14ac:dyDescent="0.25">
      <c r="C259" s="86"/>
    </row>
    <row r="260" spans="3:3" x14ac:dyDescent="0.25">
      <c r="C260" s="86"/>
    </row>
    <row r="261" spans="3:3" x14ac:dyDescent="0.25">
      <c r="C261" s="86"/>
    </row>
    <row r="262" spans="3:3" x14ac:dyDescent="0.25">
      <c r="C262" s="86"/>
    </row>
    <row r="263" spans="3:3" x14ac:dyDescent="0.25">
      <c r="C263" s="86"/>
    </row>
    <row r="264" spans="3:3" x14ac:dyDescent="0.25">
      <c r="C264" s="86"/>
    </row>
    <row r="265" spans="3:3" x14ac:dyDescent="0.25">
      <c r="C265" s="86"/>
    </row>
    <row r="266" spans="3:3" x14ac:dyDescent="0.25">
      <c r="C266" s="86"/>
    </row>
    <row r="267" spans="3:3" x14ac:dyDescent="0.25">
      <c r="C267" s="86"/>
    </row>
    <row r="268" spans="3:3" x14ac:dyDescent="0.25">
      <c r="C268" s="86"/>
    </row>
    <row r="269" spans="3:3" x14ac:dyDescent="0.25">
      <c r="C269" s="86"/>
    </row>
    <row r="270" spans="3:3" x14ac:dyDescent="0.25">
      <c r="C270" s="86"/>
    </row>
    <row r="271" spans="3:3" x14ac:dyDescent="0.25">
      <c r="C271" s="86"/>
    </row>
    <row r="272" spans="3:3" x14ac:dyDescent="0.25">
      <c r="C272" s="86"/>
    </row>
    <row r="273" spans="3:3" x14ac:dyDescent="0.25">
      <c r="C273" s="86"/>
    </row>
    <row r="274" spans="3:3" x14ac:dyDescent="0.25">
      <c r="C274" s="86"/>
    </row>
    <row r="275" spans="3:3" x14ac:dyDescent="0.25">
      <c r="C275" s="86"/>
    </row>
    <row r="276" spans="3:3" x14ac:dyDescent="0.25">
      <c r="C276" s="86"/>
    </row>
    <row r="277" spans="3:3" x14ac:dyDescent="0.25">
      <c r="C277" s="86"/>
    </row>
    <row r="278" spans="3:3" x14ac:dyDescent="0.25">
      <c r="C278" s="86"/>
    </row>
    <row r="279" spans="3:3" x14ac:dyDescent="0.25">
      <c r="C279" s="86"/>
    </row>
    <row r="280" spans="3:3" x14ac:dyDescent="0.25">
      <c r="C280" s="86"/>
    </row>
    <row r="281" spans="3:3" x14ac:dyDescent="0.25">
      <c r="C281" s="86"/>
    </row>
    <row r="282" spans="3:3" x14ac:dyDescent="0.25">
      <c r="C282" s="86"/>
    </row>
    <row r="283" spans="3:3" x14ac:dyDescent="0.25">
      <c r="C283" s="86"/>
    </row>
    <row r="284" spans="3:3" x14ac:dyDescent="0.25">
      <c r="C284" s="86"/>
    </row>
    <row r="285" spans="3:3" x14ac:dyDescent="0.25">
      <c r="C285" s="86"/>
    </row>
    <row r="286" spans="3:3" x14ac:dyDescent="0.25">
      <c r="C286" s="86"/>
    </row>
    <row r="287" spans="3:3" x14ac:dyDescent="0.25">
      <c r="C287" s="86"/>
    </row>
    <row r="288" spans="3:3" x14ac:dyDescent="0.25">
      <c r="C288" s="86"/>
    </row>
    <row r="289" spans="3:3" x14ac:dyDescent="0.25">
      <c r="C289" s="86"/>
    </row>
    <row r="290" spans="3:3" x14ac:dyDescent="0.25">
      <c r="C290" s="86"/>
    </row>
    <row r="291" spans="3:3" x14ac:dyDescent="0.25">
      <c r="C291" s="86"/>
    </row>
    <row r="292" spans="3:3" x14ac:dyDescent="0.25">
      <c r="C292" s="86"/>
    </row>
    <row r="293" spans="3:3" x14ac:dyDescent="0.25">
      <c r="C293" s="86"/>
    </row>
    <row r="294" spans="3:3" x14ac:dyDescent="0.25">
      <c r="C294" s="86"/>
    </row>
    <row r="295" spans="3:3" x14ac:dyDescent="0.25">
      <c r="C295" s="86"/>
    </row>
    <row r="296" spans="3:3" x14ac:dyDescent="0.25">
      <c r="C296" s="86"/>
    </row>
    <row r="297" spans="3:3" x14ac:dyDescent="0.25">
      <c r="C297" s="86"/>
    </row>
    <row r="298" spans="3:3" x14ac:dyDescent="0.25">
      <c r="C298" s="86"/>
    </row>
    <row r="299" spans="3:3" x14ac:dyDescent="0.25">
      <c r="C299" s="86"/>
    </row>
    <row r="300" spans="3:3" x14ac:dyDescent="0.25">
      <c r="C300" s="86"/>
    </row>
    <row r="301" spans="3:3" x14ac:dyDescent="0.25">
      <c r="C301" s="86"/>
    </row>
    <row r="302" spans="3:3" x14ac:dyDescent="0.25">
      <c r="C302" s="86"/>
    </row>
    <row r="303" spans="3:3" x14ac:dyDescent="0.25">
      <c r="C303" s="86"/>
    </row>
    <row r="304" spans="3:3" x14ac:dyDescent="0.25">
      <c r="C304" s="86"/>
    </row>
    <row r="305" spans="3:3" x14ac:dyDescent="0.25">
      <c r="C305" s="86"/>
    </row>
    <row r="306" spans="3:3" x14ac:dyDescent="0.25">
      <c r="C306" s="86"/>
    </row>
    <row r="307" spans="3:3" x14ac:dyDescent="0.25">
      <c r="C307" s="86"/>
    </row>
    <row r="308" spans="3:3" x14ac:dyDescent="0.25">
      <c r="C308" s="86"/>
    </row>
    <row r="309" spans="3:3" x14ac:dyDescent="0.25">
      <c r="C309" s="86"/>
    </row>
    <row r="310" spans="3:3" x14ac:dyDescent="0.25">
      <c r="C310" s="86"/>
    </row>
    <row r="311" spans="3:3" x14ac:dyDescent="0.25">
      <c r="C311" s="86"/>
    </row>
    <row r="312" spans="3:3" x14ac:dyDescent="0.25">
      <c r="C312" s="86"/>
    </row>
    <row r="313" spans="3:3" x14ac:dyDescent="0.25">
      <c r="C313" s="86"/>
    </row>
    <row r="314" spans="3:3" x14ac:dyDescent="0.25">
      <c r="C314" s="86"/>
    </row>
    <row r="315" spans="3:3" x14ac:dyDescent="0.25">
      <c r="C315" s="86"/>
    </row>
    <row r="316" spans="3:3" x14ac:dyDescent="0.25">
      <c r="C316" s="86"/>
    </row>
    <row r="317" spans="3:3" x14ac:dyDescent="0.25">
      <c r="C317" s="86"/>
    </row>
    <row r="318" spans="3:3" x14ac:dyDescent="0.25">
      <c r="C318" s="86"/>
    </row>
    <row r="319" spans="3:3" x14ac:dyDescent="0.25">
      <c r="C319" s="86"/>
    </row>
    <row r="320" spans="3:3" x14ac:dyDescent="0.25">
      <c r="C320" s="86"/>
    </row>
    <row r="321" spans="3:3" x14ac:dyDescent="0.25">
      <c r="C321" s="86"/>
    </row>
    <row r="322" spans="3:3" x14ac:dyDescent="0.25">
      <c r="C322" s="86"/>
    </row>
    <row r="323" spans="3:3" x14ac:dyDescent="0.25">
      <c r="C323" s="86"/>
    </row>
    <row r="324" spans="3:3" x14ac:dyDescent="0.25">
      <c r="C324" s="86"/>
    </row>
    <row r="325" spans="3:3" x14ac:dyDescent="0.25">
      <c r="C325" s="86"/>
    </row>
    <row r="326" spans="3:3" x14ac:dyDescent="0.25">
      <c r="C326" s="86"/>
    </row>
    <row r="327" spans="3:3" x14ac:dyDescent="0.25">
      <c r="C327" s="86"/>
    </row>
    <row r="328" spans="3:3" x14ac:dyDescent="0.25">
      <c r="C328" s="86"/>
    </row>
    <row r="329" spans="3:3" x14ac:dyDescent="0.25">
      <c r="C329" s="86"/>
    </row>
    <row r="330" spans="3:3" x14ac:dyDescent="0.25">
      <c r="C330" s="86"/>
    </row>
    <row r="331" spans="3:3" x14ac:dyDescent="0.25">
      <c r="C331" s="86"/>
    </row>
    <row r="332" spans="3:3" x14ac:dyDescent="0.25">
      <c r="C332" s="86"/>
    </row>
    <row r="333" spans="3:3" x14ac:dyDescent="0.25">
      <c r="C333" s="86"/>
    </row>
    <row r="334" spans="3:3" x14ac:dyDescent="0.25">
      <c r="C334" s="86"/>
    </row>
    <row r="335" spans="3:3" x14ac:dyDescent="0.25">
      <c r="C335" s="86"/>
    </row>
    <row r="336" spans="3:3" x14ac:dyDescent="0.25">
      <c r="C336" s="86"/>
    </row>
    <row r="337" spans="3:3" x14ac:dyDescent="0.25">
      <c r="C337" s="86"/>
    </row>
    <row r="338" spans="3:3" x14ac:dyDescent="0.25">
      <c r="C338" s="86"/>
    </row>
    <row r="339" spans="3:3" x14ac:dyDescent="0.25">
      <c r="C339" s="86"/>
    </row>
    <row r="340" spans="3:3" x14ac:dyDescent="0.25">
      <c r="C340" s="86"/>
    </row>
    <row r="341" spans="3:3" x14ac:dyDescent="0.25">
      <c r="C341" s="86"/>
    </row>
    <row r="342" spans="3:3" x14ac:dyDescent="0.25">
      <c r="C342" s="86"/>
    </row>
    <row r="343" spans="3:3" x14ac:dyDescent="0.25">
      <c r="C343" s="86"/>
    </row>
    <row r="344" spans="3:3" x14ac:dyDescent="0.25">
      <c r="C344" s="86"/>
    </row>
    <row r="345" spans="3:3" x14ac:dyDescent="0.25">
      <c r="C345" s="86"/>
    </row>
    <row r="346" spans="3:3" x14ac:dyDescent="0.25">
      <c r="C346" s="86"/>
    </row>
    <row r="347" spans="3:3" x14ac:dyDescent="0.25">
      <c r="C347" s="86"/>
    </row>
    <row r="348" spans="3:3" x14ac:dyDescent="0.25">
      <c r="C348" s="86"/>
    </row>
    <row r="349" spans="3:3" x14ac:dyDescent="0.25">
      <c r="C349" s="86"/>
    </row>
    <row r="350" spans="3:3" x14ac:dyDescent="0.25">
      <c r="C350" s="86"/>
    </row>
    <row r="351" spans="3:3" x14ac:dyDescent="0.25">
      <c r="C351" s="86"/>
    </row>
    <row r="352" spans="3:3" x14ac:dyDescent="0.25">
      <c r="C352" s="86"/>
    </row>
    <row r="353" spans="3:3" x14ac:dyDescent="0.25">
      <c r="C353" s="86"/>
    </row>
    <row r="354" spans="3:3" x14ac:dyDescent="0.25">
      <c r="C354" s="86"/>
    </row>
    <row r="355" spans="3:3" x14ac:dyDescent="0.25">
      <c r="C355" s="86"/>
    </row>
    <row r="356" spans="3:3" x14ac:dyDescent="0.25">
      <c r="C356" s="86"/>
    </row>
    <row r="357" spans="3:3" x14ac:dyDescent="0.25">
      <c r="C357" s="86"/>
    </row>
    <row r="358" spans="3:3" x14ac:dyDescent="0.25">
      <c r="C358" s="86"/>
    </row>
    <row r="359" spans="3:3" x14ac:dyDescent="0.25">
      <c r="C359" s="86"/>
    </row>
    <row r="360" spans="3:3" x14ac:dyDescent="0.25">
      <c r="C360" s="86"/>
    </row>
    <row r="361" spans="3:3" x14ac:dyDescent="0.25">
      <c r="C361" s="86"/>
    </row>
    <row r="362" spans="3:3" x14ac:dyDescent="0.25">
      <c r="C362" s="86"/>
    </row>
    <row r="363" spans="3:3" x14ac:dyDescent="0.25">
      <c r="C363" s="86"/>
    </row>
    <row r="364" spans="3:3" x14ac:dyDescent="0.25">
      <c r="C364" s="86"/>
    </row>
  </sheetData>
  <mergeCells count="8">
    <mergeCell ref="O130:P130"/>
    <mergeCell ref="Q130:R130"/>
    <mergeCell ref="E112:G112"/>
    <mergeCell ref="H112:J112"/>
    <mergeCell ref="E130:G130"/>
    <mergeCell ref="H130:J130"/>
    <mergeCell ref="O112:P112"/>
    <mergeCell ref="Q112:R112"/>
  </mergeCells>
  <dataValidations disablePrompts="1" count="1">
    <dataValidation type="list" allowBlank="1" showInputMessage="1" showErrorMessage="1" sqref="D1" xr:uid="{2561C89D-07C0-4988-A9DC-568535139B73}">
      <formula1>"PX_BID,PX_MID,PX_ASK"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5899-F0E5-489F-A882-A0F2FCCE4C34}">
  <sheetPr>
    <tabColor theme="4"/>
  </sheetPr>
  <dimension ref="A1:R41"/>
  <sheetViews>
    <sheetView workbookViewId="0">
      <selection activeCell="B8" sqref="B8:B23"/>
    </sheetView>
  </sheetViews>
  <sheetFormatPr defaultRowHeight="15" x14ac:dyDescent="0.25"/>
  <cols>
    <col min="1" max="1" width="12.85546875" style="3" customWidth="1"/>
  </cols>
  <sheetData>
    <row r="1" spans="1:5" x14ac:dyDescent="0.25">
      <c r="A1" s="3" t="s">
        <v>187</v>
      </c>
    </row>
    <row r="3" spans="1:5" x14ac:dyDescent="0.25">
      <c r="A3" s="3" t="s">
        <v>39</v>
      </c>
      <c r="B3" t="str" cm="1">
        <f t="array" aca="1" ref="B3" ca="1">_xll.QCurves_CreateCorrelationMatrix("AssetFxMatrix",B8:B23,C7:E7,C8:E23)</f>
        <v>AssetFxMatrix¬0</v>
      </c>
    </row>
    <row r="4" spans="1:5" x14ac:dyDescent="0.25">
      <c r="B4" t="str" cm="1">
        <f t="array" aca="1" ref="B4" ca="1">_xll.QCurves_CreateCorrelationMatrix("AssetAssetMatrix",B26:B41,_xlfn.ANCHORARRAY(C25),C26:R41)</f>
        <v>AssetAssetMatrix¬0</v>
      </c>
    </row>
    <row r="5" spans="1:5" x14ac:dyDescent="0.25">
      <c r="B5" t="str" cm="1">
        <f t="array" aca="1" ref="B5" ca="1">_xll.QCurves_CreateCorrelationMatrixCollection("CorrelMatrix",B3:B4)</f>
        <v>CorrelMatrix¬0</v>
      </c>
    </row>
    <row r="7" spans="1:5" x14ac:dyDescent="0.25">
      <c r="A7" s="3" t="s">
        <v>188</v>
      </c>
      <c r="C7" t="s">
        <v>7</v>
      </c>
      <c r="D7" t="s">
        <v>9</v>
      </c>
      <c r="E7" t="s">
        <v>8</v>
      </c>
    </row>
    <row r="8" spans="1:5" x14ac:dyDescent="0.25">
      <c r="B8" t="s">
        <v>130</v>
      </c>
      <c r="C8" s="119">
        <v>-0.3</v>
      </c>
      <c r="D8" s="119">
        <v>0.3</v>
      </c>
      <c r="E8" s="119">
        <v>0.3</v>
      </c>
    </row>
    <row r="9" spans="1:5" x14ac:dyDescent="0.25">
      <c r="B9" t="s">
        <v>136</v>
      </c>
      <c r="C9" s="119">
        <v>-0.3</v>
      </c>
      <c r="D9" s="119">
        <v>0.3</v>
      </c>
      <c r="E9" s="119">
        <v>0.3</v>
      </c>
    </row>
    <row r="10" spans="1:5" x14ac:dyDescent="0.25">
      <c r="B10" t="s">
        <v>137</v>
      </c>
      <c r="C10" s="119">
        <v>-0.3</v>
      </c>
      <c r="D10" s="119">
        <v>0.3</v>
      </c>
      <c r="E10" s="119">
        <v>0.3</v>
      </c>
    </row>
    <row r="11" spans="1:5" x14ac:dyDescent="0.25">
      <c r="B11" t="s">
        <v>138</v>
      </c>
      <c r="C11" s="119">
        <v>-0.3</v>
      </c>
      <c r="D11" s="119">
        <v>0.3</v>
      </c>
      <c r="E11" s="119">
        <v>0.3</v>
      </c>
    </row>
    <row r="12" spans="1:5" x14ac:dyDescent="0.25">
      <c r="B12" t="s">
        <v>155</v>
      </c>
      <c r="C12" s="119">
        <v>-0.3</v>
      </c>
      <c r="D12" s="119">
        <v>0.3</v>
      </c>
      <c r="E12" s="119">
        <v>0.3</v>
      </c>
    </row>
    <row r="13" spans="1:5" x14ac:dyDescent="0.25">
      <c r="B13" t="s">
        <v>145</v>
      </c>
      <c r="C13" s="119">
        <v>-0.3</v>
      </c>
      <c r="D13" s="119">
        <v>0.3</v>
      </c>
      <c r="E13" s="119">
        <v>0.3</v>
      </c>
    </row>
    <row r="14" spans="1:5" x14ac:dyDescent="0.25">
      <c r="B14" t="s">
        <v>10</v>
      </c>
      <c r="C14" s="119">
        <v>-0.3</v>
      </c>
      <c r="D14" s="119">
        <v>0.3</v>
      </c>
      <c r="E14" s="119">
        <v>0.3</v>
      </c>
    </row>
    <row r="15" spans="1:5" x14ac:dyDescent="0.25">
      <c r="B15" t="s">
        <v>11</v>
      </c>
      <c r="C15" s="119">
        <v>-0.3</v>
      </c>
      <c r="D15" s="119">
        <v>0.3</v>
      </c>
      <c r="E15" s="119">
        <v>0.3</v>
      </c>
    </row>
    <row r="16" spans="1:5" x14ac:dyDescent="0.25">
      <c r="B16" t="s">
        <v>13</v>
      </c>
      <c r="C16" s="119">
        <v>-0.3</v>
      </c>
      <c r="D16" s="119">
        <v>0.3</v>
      </c>
      <c r="E16" s="119">
        <v>0.3</v>
      </c>
    </row>
    <row r="17" spans="1:18" x14ac:dyDescent="0.25">
      <c r="B17" t="s">
        <v>12</v>
      </c>
      <c r="C17" s="119">
        <v>-0.3</v>
      </c>
      <c r="D17" s="119">
        <v>0.3</v>
      </c>
      <c r="E17" s="119">
        <v>0.3</v>
      </c>
    </row>
    <row r="18" spans="1:18" x14ac:dyDescent="0.25">
      <c r="B18" t="s">
        <v>105</v>
      </c>
      <c r="C18" s="119">
        <v>-0.3</v>
      </c>
      <c r="D18" s="119">
        <v>0.3</v>
      </c>
      <c r="E18" s="119">
        <v>0.3</v>
      </c>
    </row>
    <row r="19" spans="1:18" x14ac:dyDescent="0.25">
      <c r="B19" t="s">
        <v>109</v>
      </c>
      <c r="C19" s="119">
        <v>-0.3</v>
      </c>
      <c r="D19" s="119">
        <v>0.3</v>
      </c>
      <c r="E19" s="119">
        <v>0.3</v>
      </c>
    </row>
    <row r="20" spans="1:18" x14ac:dyDescent="0.25">
      <c r="B20" t="s">
        <v>110</v>
      </c>
      <c r="C20" s="119">
        <v>-0.3</v>
      </c>
      <c r="D20" s="119">
        <v>0.3</v>
      </c>
      <c r="E20" s="119">
        <v>0.3</v>
      </c>
    </row>
    <row r="21" spans="1:18" x14ac:dyDescent="0.25">
      <c r="B21" t="s">
        <v>111</v>
      </c>
      <c r="C21" s="119">
        <v>-0.3</v>
      </c>
      <c r="D21" s="119">
        <v>0.3</v>
      </c>
      <c r="E21" s="119">
        <v>0.3</v>
      </c>
    </row>
    <row r="22" spans="1:18" x14ac:dyDescent="0.25">
      <c r="B22" t="s">
        <v>112</v>
      </c>
      <c r="C22" s="119">
        <v>-0.3</v>
      </c>
      <c r="D22" s="119">
        <v>0.3</v>
      </c>
      <c r="E22" s="119">
        <v>0.3</v>
      </c>
    </row>
    <row r="23" spans="1:18" x14ac:dyDescent="0.25">
      <c r="B23" t="s">
        <v>113</v>
      </c>
      <c r="C23" s="119">
        <v>-0.3</v>
      </c>
      <c r="D23" s="119">
        <v>0.3</v>
      </c>
      <c r="E23" s="119">
        <v>0.3</v>
      </c>
    </row>
    <row r="25" spans="1:18" x14ac:dyDescent="0.25">
      <c r="A25" s="3" t="s">
        <v>189</v>
      </c>
      <c r="C25" t="str" cm="1">
        <f t="array" ref="C25:R25">TRANSPOSE(B26:B41)</f>
        <v>CO</v>
      </c>
      <c r="D25" t="str">
        <v>QS</v>
      </c>
      <c r="E25" t="str">
        <v>XB</v>
      </c>
      <c r="F25" t="str">
        <v>CL</v>
      </c>
      <c r="G25" t="str">
        <v>Sing180</v>
      </c>
      <c r="H25" t="str">
        <v>Dated</v>
      </c>
      <c r="I25" t="str">
        <v>XAU/USD</v>
      </c>
      <c r="J25" t="str">
        <v>XAG/USD</v>
      </c>
      <c r="K25" t="str">
        <v>XPT/USD</v>
      </c>
      <c r="L25" t="str">
        <v>XPD/USD</v>
      </c>
      <c r="M25" t="str">
        <v>AH</v>
      </c>
      <c r="N25" t="str">
        <v>CA</v>
      </c>
      <c r="O25" t="str">
        <v>ZS</v>
      </c>
      <c r="P25" t="str">
        <v>NI</v>
      </c>
      <c r="Q25" t="str">
        <v>PB</v>
      </c>
      <c r="R25" t="str">
        <v>SN</v>
      </c>
    </row>
    <row r="26" spans="1:18" x14ac:dyDescent="0.25">
      <c r="B26" t="str">
        <f>B8</f>
        <v>CO</v>
      </c>
      <c r="C26">
        <f>IF($B26=C$25,1,0.3)</f>
        <v>1</v>
      </c>
      <c r="D26">
        <f t="shared" ref="D26:R41" si="0">IF($B26=D$25,1,0.3)</f>
        <v>0.3</v>
      </c>
      <c r="E26">
        <f t="shared" si="0"/>
        <v>0.3</v>
      </c>
      <c r="F26">
        <f t="shared" si="0"/>
        <v>0.3</v>
      </c>
      <c r="G26">
        <f t="shared" si="0"/>
        <v>0.3</v>
      </c>
      <c r="H26">
        <f t="shared" si="0"/>
        <v>0.3</v>
      </c>
      <c r="I26">
        <f t="shared" si="0"/>
        <v>0.3</v>
      </c>
      <c r="J26">
        <f t="shared" si="0"/>
        <v>0.3</v>
      </c>
      <c r="K26">
        <f t="shared" si="0"/>
        <v>0.3</v>
      </c>
      <c r="L26">
        <f t="shared" si="0"/>
        <v>0.3</v>
      </c>
      <c r="M26">
        <f t="shared" si="0"/>
        <v>0.3</v>
      </c>
      <c r="N26">
        <f t="shared" si="0"/>
        <v>0.3</v>
      </c>
      <c r="O26">
        <f t="shared" si="0"/>
        <v>0.3</v>
      </c>
      <c r="P26">
        <f t="shared" si="0"/>
        <v>0.3</v>
      </c>
      <c r="Q26">
        <f t="shared" si="0"/>
        <v>0.3</v>
      </c>
      <c r="R26">
        <f>IF($B26=R$25,1,0.3)</f>
        <v>0.3</v>
      </c>
    </row>
    <row r="27" spans="1:18" x14ac:dyDescent="0.25">
      <c r="B27" t="str">
        <f t="shared" ref="B27:B41" si="1">B9</f>
        <v>QS</v>
      </c>
      <c r="C27">
        <f t="shared" ref="C27:C41" si="2">IF($B27=C$25,1,0.3)</f>
        <v>0.3</v>
      </c>
      <c r="D27">
        <f t="shared" si="0"/>
        <v>1</v>
      </c>
      <c r="E27">
        <f t="shared" si="0"/>
        <v>0.3</v>
      </c>
      <c r="F27">
        <f t="shared" si="0"/>
        <v>0.3</v>
      </c>
      <c r="G27">
        <f t="shared" si="0"/>
        <v>0.3</v>
      </c>
      <c r="H27">
        <f t="shared" si="0"/>
        <v>0.3</v>
      </c>
      <c r="I27">
        <f t="shared" si="0"/>
        <v>0.3</v>
      </c>
      <c r="J27">
        <f t="shared" si="0"/>
        <v>0.3</v>
      </c>
      <c r="K27">
        <f t="shared" si="0"/>
        <v>0.3</v>
      </c>
      <c r="L27">
        <f t="shared" si="0"/>
        <v>0.3</v>
      </c>
      <c r="M27">
        <f t="shared" si="0"/>
        <v>0.3</v>
      </c>
      <c r="N27">
        <f t="shared" si="0"/>
        <v>0.3</v>
      </c>
      <c r="O27">
        <f t="shared" si="0"/>
        <v>0.3</v>
      </c>
      <c r="P27">
        <f t="shared" si="0"/>
        <v>0.3</v>
      </c>
      <c r="Q27">
        <f t="shared" si="0"/>
        <v>0.3</v>
      </c>
      <c r="R27">
        <f t="shared" si="0"/>
        <v>0.3</v>
      </c>
    </row>
    <row r="28" spans="1:18" x14ac:dyDescent="0.25">
      <c r="B28" t="str">
        <f t="shared" si="1"/>
        <v>XB</v>
      </c>
      <c r="C28">
        <f t="shared" si="2"/>
        <v>0.3</v>
      </c>
      <c r="D28">
        <f t="shared" si="0"/>
        <v>0.3</v>
      </c>
      <c r="E28">
        <f t="shared" si="0"/>
        <v>1</v>
      </c>
      <c r="F28">
        <f t="shared" si="0"/>
        <v>0.3</v>
      </c>
      <c r="G28">
        <f t="shared" si="0"/>
        <v>0.3</v>
      </c>
      <c r="H28">
        <f t="shared" si="0"/>
        <v>0.3</v>
      </c>
      <c r="I28">
        <f t="shared" si="0"/>
        <v>0.3</v>
      </c>
      <c r="J28">
        <f t="shared" si="0"/>
        <v>0.3</v>
      </c>
      <c r="K28">
        <f t="shared" si="0"/>
        <v>0.3</v>
      </c>
      <c r="L28">
        <f t="shared" si="0"/>
        <v>0.3</v>
      </c>
      <c r="M28">
        <f t="shared" si="0"/>
        <v>0.3</v>
      </c>
      <c r="N28">
        <f t="shared" si="0"/>
        <v>0.3</v>
      </c>
      <c r="O28">
        <f t="shared" si="0"/>
        <v>0.3</v>
      </c>
      <c r="P28">
        <f t="shared" si="0"/>
        <v>0.3</v>
      </c>
      <c r="Q28">
        <f t="shared" si="0"/>
        <v>0.3</v>
      </c>
      <c r="R28">
        <f t="shared" si="0"/>
        <v>0.3</v>
      </c>
    </row>
    <row r="29" spans="1:18" x14ac:dyDescent="0.25">
      <c r="B29" t="str">
        <f t="shared" si="1"/>
        <v>CL</v>
      </c>
      <c r="C29">
        <f t="shared" si="2"/>
        <v>0.3</v>
      </c>
      <c r="D29">
        <f t="shared" si="0"/>
        <v>0.3</v>
      </c>
      <c r="E29">
        <f t="shared" si="0"/>
        <v>0.3</v>
      </c>
      <c r="F29">
        <f t="shared" si="0"/>
        <v>1</v>
      </c>
      <c r="G29">
        <f t="shared" si="0"/>
        <v>0.3</v>
      </c>
      <c r="H29">
        <f t="shared" si="0"/>
        <v>0.3</v>
      </c>
      <c r="I29">
        <f t="shared" si="0"/>
        <v>0.3</v>
      </c>
      <c r="J29">
        <f t="shared" si="0"/>
        <v>0.3</v>
      </c>
      <c r="K29">
        <f t="shared" si="0"/>
        <v>0.3</v>
      </c>
      <c r="L29">
        <f t="shared" si="0"/>
        <v>0.3</v>
      </c>
      <c r="M29">
        <f t="shared" si="0"/>
        <v>0.3</v>
      </c>
      <c r="N29">
        <f t="shared" si="0"/>
        <v>0.3</v>
      </c>
      <c r="O29">
        <f t="shared" si="0"/>
        <v>0.3</v>
      </c>
      <c r="P29">
        <f t="shared" si="0"/>
        <v>0.3</v>
      </c>
      <c r="Q29">
        <f t="shared" si="0"/>
        <v>0.3</v>
      </c>
      <c r="R29">
        <f t="shared" si="0"/>
        <v>0.3</v>
      </c>
    </row>
    <row r="30" spans="1:18" x14ac:dyDescent="0.25">
      <c r="B30" t="str">
        <f t="shared" si="1"/>
        <v>Sing180</v>
      </c>
      <c r="C30">
        <f t="shared" si="2"/>
        <v>0.3</v>
      </c>
      <c r="D30">
        <f t="shared" si="0"/>
        <v>0.3</v>
      </c>
      <c r="E30">
        <f t="shared" si="0"/>
        <v>0.3</v>
      </c>
      <c r="F30">
        <f t="shared" si="0"/>
        <v>0.3</v>
      </c>
      <c r="G30">
        <f t="shared" si="0"/>
        <v>1</v>
      </c>
      <c r="H30">
        <f t="shared" si="0"/>
        <v>0.3</v>
      </c>
      <c r="I30">
        <f t="shared" si="0"/>
        <v>0.3</v>
      </c>
      <c r="J30">
        <f t="shared" si="0"/>
        <v>0.3</v>
      </c>
      <c r="K30">
        <f t="shared" si="0"/>
        <v>0.3</v>
      </c>
      <c r="L30">
        <f t="shared" si="0"/>
        <v>0.3</v>
      </c>
      <c r="M30">
        <f t="shared" si="0"/>
        <v>0.3</v>
      </c>
      <c r="N30">
        <f t="shared" si="0"/>
        <v>0.3</v>
      </c>
      <c r="O30">
        <f t="shared" si="0"/>
        <v>0.3</v>
      </c>
      <c r="P30">
        <f t="shared" si="0"/>
        <v>0.3</v>
      </c>
      <c r="Q30">
        <f t="shared" si="0"/>
        <v>0.3</v>
      </c>
      <c r="R30">
        <f t="shared" si="0"/>
        <v>0.3</v>
      </c>
    </row>
    <row r="31" spans="1:18" x14ac:dyDescent="0.25">
      <c r="B31" t="str">
        <f t="shared" si="1"/>
        <v>Dated</v>
      </c>
      <c r="C31">
        <f t="shared" si="2"/>
        <v>0.3</v>
      </c>
      <c r="D31">
        <f t="shared" si="0"/>
        <v>0.3</v>
      </c>
      <c r="E31">
        <f t="shared" si="0"/>
        <v>0.3</v>
      </c>
      <c r="F31">
        <f t="shared" si="0"/>
        <v>0.3</v>
      </c>
      <c r="G31">
        <f t="shared" si="0"/>
        <v>0.3</v>
      </c>
      <c r="H31">
        <f t="shared" si="0"/>
        <v>1</v>
      </c>
      <c r="I31">
        <f t="shared" si="0"/>
        <v>0.3</v>
      </c>
      <c r="J31">
        <f t="shared" si="0"/>
        <v>0.3</v>
      </c>
      <c r="K31">
        <f t="shared" si="0"/>
        <v>0.3</v>
      </c>
      <c r="L31">
        <f t="shared" si="0"/>
        <v>0.3</v>
      </c>
      <c r="M31">
        <f t="shared" si="0"/>
        <v>0.3</v>
      </c>
      <c r="N31">
        <f t="shared" si="0"/>
        <v>0.3</v>
      </c>
      <c r="O31">
        <f t="shared" si="0"/>
        <v>0.3</v>
      </c>
      <c r="P31">
        <f t="shared" si="0"/>
        <v>0.3</v>
      </c>
      <c r="Q31">
        <f t="shared" si="0"/>
        <v>0.3</v>
      </c>
      <c r="R31">
        <f t="shared" si="0"/>
        <v>0.3</v>
      </c>
    </row>
    <row r="32" spans="1:18" x14ac:dyDescent="0.25">
      <c r="B32" t="str">
        <f t="shared" si="1"/>
        <v>XAU/USD</v>
      </c>
      <c r="C32">
        <f t="shared" si="2"/>
        <v>0.3</v>
      </c>
      <c r="D32">
        <f t="shared" si="0"/>
        <v>0.3</v>
      </c>
      <c r="E32">
        <f t="shared" si="0"/>
        <v>0.3</v>
      </c>
      <c r="F32">
        <f t="shared" si="0"/>
        <v>0.3</v>
      </c>
      <c r="G32">
        <f t="shared" si="0"/>
        <v>0.3</v>
      </c>
      <c r="H32">
        <f t="shared" si="0"/>
        <v>0.3</v>
      </c>
      <c r="I32">
        <f t="shared" si="0"/>
        <v>1</v>
      </c>
      <c r="J32">
        <f t="shared" si="0"/>
        <v>0.3</v>
      </c>
      <c r="K32">
        <f t="shared" si="0"/>
        <v>0.3</v>
      </c>
      <c r="L32">
        <f t="shared" si="0"/>
        <v>0.3</v>
      </c>
      <c r="M32">
        <f t="shared" si="0"/>
        <v>0.3</v>
      </c>
      <c r="N32">
        <f t="shared" si="0"/>
        <v>0.3</v>
      </c>
      <c r="O32">
        <f t="shared" si="0"/>
        <v>0.3</v>
      </c>
      <c r="P32">
        <f t="shared" si="0"/>
        <v>0.3</v>
      </c>
      <c r="Q32">
        <f t="shared" si="0"/>
        <v>0.3</v>
      </c>
      <c r="R32">
        <f t="shared" si="0"/>
        <v>0.3</v>
      </c>
    </row>
    <row r="33" spans="2:18" x14ac:dyDescent="0.25">
      <c r="B33" t="str">
        <f t="shared" si="1"/>
        <v>XAG/USD</v>
      </c>
      <c r="C33">
        <f t="shared" si="2"/>
        <v>0.3</v>
      </c>
      <c r="D33">
        <f t="shared" si="0"/>
        <v>0.3</v>
      </c>
      <c r="E33">
        <f t="shared" si="0"/>
        <v>0.3</v>
      </c>
      <c r="F33">
        <f t="shared" si="0"/>
        <v>0.3</v>
      </c>
      <c r="G33">
        <f t="shared" si="0"/>
        <v>0.3</v>
      </c>
      <c r="H33">
        <f t="shared" si="0"/>
        <v>0.3</v>
      </c>
      <c r="I33">
        <f t="shared" si="0"/>
        <v>0.3</v>
      </c>
      <c r="J33">
        <f t="shared" si="0"/>
        <v>1</v>
      </c>
      <c r="K33">
        <f t="shared" si="0"/>
        <v>0.3</v>
      </c>
      <c r="L33">
        <f t="shared" si="0"/>
        <v>0.3</v>
      </c>
      <c r="M33">
        <f t="shared" si="0"/>
        <v>0.3</v>
      </c>
      <c r="N33">
        <f t="shared" si="0"/>
        <v>0.3</v>
      </c>
      <c r="O33">
        <f t="shared" si="0"/>
        <v>0.3</v>
      </c>
      <c r="P33">
        <f t="shared" si="0"/>
        <v>0.3</v>
      </c>
      <c r="Q33">
        <f t="shared" si="0"/>
        <v>0.3</v>
      </c>
      <c r="R33">
        <f t="shared" si="0"/>
        <v>0.3</v>
      </c>
    </row>
    <row r="34" spans="2:18" x14ac:dyDescent="0.25">
      <c r="B34" t="str">
        <f t="shared" si="1"/>
        <v>XPT/USD</v>
      </c>
      <c r="C34">
        <f t="shared" si="2"/>
        <v>0.3</v>
      </c>
      <c r="D34">
        <f t="shared" si="0"/>
        <v>0.3</v>
      </c>
      <c r="E34">
        <f t="shared" si="0"/>
        <v>0.3</v>
      </c>
      <c r="F34">
        <f t="shared" si="0"/>
        <v>0.3</v>
      </c>
      <c r="G34">
        <f t="shared" si="0"/>
        <v>0.3</v>
      </c>
      <c r="H34">
        <f t="shared" si="0"/>
        <v>0.3</v>
      </c>
      <c r="I34">
        <f t="shared" si="0"/>
        <v>0.3</v>
      </c>
      <c r="J34">
        <f t="shared" si="0"/>
        <v>0.3</v>
      </c>
      <c r="K34">
        <f t="shared" si="0"/>
        <v>1</v>
      </c>
      <c r="L34">
        <f t="shared" si="0"/>
        <v>0.3</v>
      </c>
      <c r="M34">
        <f t="shared" si="0"/>
        <v>0.3</v>
      </c>
      <c r="N34">
        <f t="shared" si="0"/>
        <v>0.3</v>
      </c>
      <c r="O34">
        <f t="shared" si="0"/>
        <v>0.3</v>
      </c>
      <c r="P34">
        <f t="shared" si="0"/>
        <v>0.3</v>
      </c>
      <c r="Q34">
        <f t="shared" si="0"/>
        <v>0.3</v>
      </c>
      <c r="R34">
        <f t="shared" si="0"/>
        <v>0.3</v>
      </c>
    </row>
    <row r="35" spans="2:18" x14ac:dyDescent="0.25">
      <c r="B35" t="str">
        <f t="shared" si="1"/>
        <v>XPD/USD</v>
      </c>
      <c r="C35">
        <f t="shared" si="2"/>
        <v>0.3</v>
      </c>
      <c r="D35">
        <f t="shared" si="0"/>
        <v>0.3</v>
      </c>
      <c r="E35">
        <f t="shared" si="0"/>
        <v>0.3</v>
      </c>
      <c r="F35">
        <f t="shared" si="0"/>
        <v>0.3</v>
      </c>
      <c r="G35">
        <f t="shared" si="0"/>
        <v>0.3</v>
      </c>
      <c r="H35">
        <f t="shared" si="0"/>
        <v>0.3</v>
      </c>
      <c r="I35">
        <f t="shared" si="0"/>
        <v>0.3</v>
      </c>
      <c r="J35">
        <f t="shared" si="0"/>
        <v>0.3</v>
      </c>
      <c r="K35">
        <f t="shared" si="0"/>
        <v>0.3</v>
      </c>
      <c r="L35">
        <f t="shared" si="0"/>
        <v>1</v>
      </c>
      <c r="M35">
        <f t="shared" si="0"/>
        <v>0.3</v>
      </c>
      <c r="N35">
        <f t="shared" si="0"/>
        <v>0.3</v>
      </c>
      <c r="O35">
        <f t="shared" si="0"/>
        <v>0.3</v>
      </c>
      <c r="P35">
        <f t="shared" si="0"/>
        <v>0.3</v>
      </c>
      <c r="Q35">
        <f t="shared" si="0"/>
        <v>0.3</v>
      </c>
      <c r="R35">
        <f t="shared" si="0"/>
        <v>0.3</v>
      </c>
    </row>
    <row r="36" spans="2:18" x14ac:dyDescent="0.25">
      <c r="B36" t="str">
        <f t="shared" si="1"/>
        <v>AH</v>
      </c>
      <c r="C36">
        <f t="shared" si="2"/>
        <v>0.3</v>
      </c>
      <c r="D36">
        <f t="shared" si="0"/>
        <v>0.3</v>
      </c>
      <c r="E36">
        <f t="shared" si="0"/>
        <v>0.3</v>
      </c>
      <c r="F36">
        <f t="shared" si="0"/>
        <v>0.3</v>
      </c>
      <c r="G36">
        <f t="shared" si="0"/>
        <v>0.3</v>
      </c>
      <c r="H36">
        <f t="shared" si="0"/>
        <v>0.3</v>
      </c>
      <c r="I36">
        <f t="shared" si="0"/>
        <v>0.3</v>
      </c>
      <c r="J36">
        <f t="shared" si="0"/>
        <v>0.3</v>
      </c>
      <c r="K36">
        <f t="shared" si="0"/>
        <v>0.3</v>
      </c>
      <c r="L36">
        <f t="shared" si="0"/>
        <v>0.3</v>
      </c>
      <c r="M36">
        <f t="shared" si="0"/>
        <v>1</v>
      </c>
      <c r="N36">
        <f t="shared" si="0"/>
        <v>0.3</v>
      </c>
      <c r="O36">
        <f t="shared" si="0"/>
        <v>0.3</v>
      </c>
      <c r="P36">
        <f t="shared" si="0"/>
        <v>0.3</v>
      </c>
      <c r="Q36">
        <f t="shared" si="0"/>
        <v>0.3</v>
      </c>
      <c r="R36">
        <f t="shared" si="0"/>
        <v>0.3</v>
      </c>
    </row>
    <row r="37" spans="2:18" x14ac:dyDescent="0.25">
      <c r="B37" t="str">
        <f t="shared" si="1"/>
        <v>CA</v>
      </c>
      <c r="C37">
        <f t="shared" si="2"/>
        <v>0.3</v>
      </c>
      <c r="D37">
        <f t="shared" si="0"/>
        <v>0.3</v>
      </c>
      <c r="E37">
        <f t="shared" si="0"/>
        <v>0.3</v>
      </c>
      <c r="F37">
        <f t="shared" si="0"/>
        <v>0.3</v>
      </c>
      <c r="G37">
        <f t="shared" si="0"/>
        <v>0.3</v>
      </c>
      <c r="H37">
        <f t="shared" si="0"/>
        <v>0.3</v>
      </c>
      <c r="I37">
        <f t="shared" si="0"/>
        <v>0.3</v>
      </c>
      <c r="J37">
        <f t="shared" si="0"/>
        <v>0.3</v>
      </c>
      <c r="K37">
        <f t="shared" si="0"/>
        <v>0.3</v>
      </c>
      <c r="L37">
        <f t="shared" si="0"/>
        <v>0.3</v>
      </c>
      <c r="M37">
        <f t="shared" si="0"/>
        <v>0.3</v>
      </c>
      <c r="N37">
        <f t="shared" si="0"/>
        <v>1</v>
      </c>
      <c r="O37">
        <f t="shared" si="0"/>
        <v>0.3</v>
      </c>
      <c r="P37">
        <f t="shared" si="0"/>
        <v>0.3</v>
      </c>
      <c r="Q37">
        <f t="shared" si="0"/>
        <v>0.3</v>
      </c>
      <c r="R37">
        <f t="shared" si="0"/>
        <v>0.3</v>
      </c>
    </row>
    <row r="38" spans="2:18" x14ac:dyDescent="0.25">
      <c r="B38" t="str">
        <f t="shared" si="1"/>
        <v>ZS</v>
      </c>
      <c r="C38">
        <f t="shared" si="2"/>
        <v>0.3</v>
      </c>
      <c r="D38">
        <f t="shared" si="0"/>
        <v>0.3</v>
      </c>
      <c r="E38">
        <f t="shared" si="0"/>
        <v>0.3</v>
      </c>
      <c r="F38">
        <f t="shared" si="0"/>
        <v>0.3</v>
      </c>
      <c r="G38">
        <f t="shared" si="0"/>
        <v>0.3</v>
      </c>
      <c r="H38">
        <f t="shared" si="0"/>
        <v>0.3</v>
      </c>
      <c r="I38">
        <f t="shared" si="0"/>
        <v>0.3</v>
      </c>
      <c r="J38">
        <f t="shared" si="0"/>
        <v>0.3</v>
      </c>
      <c r="K38">
        <f t="shared" si="0"/>
        <v>0.3</v>
      </c>
      <c r="L38">
        <f t="shared" si="0"/>
        <v>0.3</v>
      </c>
      <c r="M38">
        <f t="shared" si="0"/>
        <v>0.3</v>
      </c>
      <c r="N38">
        <f t="shared" si="0"/>
        <v>0.3</v>
      </c>
      <c r="O38">
        <f t="shared" si="0"/>
        <v>1</v>
      </c>
      <c r="P38">
        <f t="shared" si="0"/>
        <v>0.3</v>
      </c>
      <c r="Q38">
        <f t="shared" si="0"/>
        <v>0.3</v>
      </c>
      <c r="R38">
        <f t="shared" si="0"/>
        <v>0.3</v>
      </c>
    </row>
    <row r="39" spans="2:18" x14ac:dyDescent="0.25">
      <c r="B39" t="str">
        <f t="shared" si="1"/>
        <v>NI</v>
      </c>
      <c r="C39">
        <f t="shared" si="2"/>
        <v>0.3</v>
      </c>
      <c r="D39">
        <f t="shared" si="0"/>
        <v>0.3</v>
      </c>
      <c r="E39">
        <f t="shared" si="0"/>
        <v>0.3</v>
      </c>
      <c r="F39">
        <f t="shared" si="0"/>
        <v>0.3</v>
      </c>
      <c r="G39">
        <f t="shared" si="0"/>
        <v>0.3</v>
      </c>
      <c r="H39">
        <f t="shared" si="0"/>
        <v>0.3</v>
      </c>
      <c r="I39">
        <f t="shared" si="0"/>
        <v>0.3</v>
      </c>
      <c r="J39">
        <f t="shared" si="0"/>
        <v>0.3</v>
      </c>
      <c r="K39">
        <f t="shared" si="0"/>
        <v>0.3</v>
      </c>
      <c r="L39">
        <f t="shared" si="0"/>
        <v>0.3</v>
      </c>
      <c r="M39">
        <f t="shared" si="0"/>
        <v>0.3</v>
      </c>
      <c r="N39">
        <f t="shared" si="0"/>
        <v>0.3</v>
      </c>
      <c r="O39">
        <f t="shared" si="0"/>
        <v>0.3</v>
      </c>
      <c r="P39">
        <f t="shared" si="0"/>
        <v>1</v>
      </c>
      <c r="Q39">
        <f t="shared" si="0"/>
        <v>0.3</v>
      </c>
      <c r="R39">
        <f t="shared" si="0"/>
        <v>0.3</v>
      </c>
    </row>
    <row r="40" spans="2:18" x14ac:dyDescent="0.25">
      <c r="B40" t="str">
        <f t="shared" si="1"/>
        <v>PB</v>
      </c>
      <c r="C40">
        <f t="shared" si="2"/>
        <v>0.3</v>
      </c>
      <c r="D40">
        <f t="shared" si="0"/>
        <v>0.3</v>
      </c>
      <c r="E40">
        <f t="shared" si="0"/>
        <v>0.3</v>
      </c>
      <c r="F40">
        <f t="shared" si="0"/>
        <v>0.3</v>
      </c>
      <c r="G40">
        <f t="shared" si="0"/>
        <v>0.3</v>
      </c>
      <c r="H40">
        <f t="shared" si="0"/>
        <v>0.3</v>
      </c>
      <c r="I40">
        <f t="shared" si="0"/>
        <v>0.3</v>
      </c>
      <c r="J40">
        <f t="shared" si="0"/>
        <v>0.3</v>
      </c>
      <c r="K40">
        <f t="shared" si="0"/>
        <v>0.3</v>
      </c>
      <c r="L40">
        <f t="shared" si="0"/>
        <v>0.3</v>
      </c>
      <c r="M40">
        <f t="shared" si="0"/>
        <v>0.3</v>
      </c>
      <c r="N40">
        <f t="shared" si="0"/>
        <v>0.3</v>
      </c>
      <c r="O40">
        <f t="shared" si="0"/>
        <v>0.3</v>
      </c>
      <c r="P40">
        <f t="shared" si="0"/>
        <v>0.3</v>
      </c>
      <c r="Q40">
        <f t="shared" si="0"/>
        <v>1</v>
      </c>
      <c r="R40">
        <f t="shared" si="0"/>
        <v>0.3</v>
      </c>
    </row>
    <row r="41" spans="2:18" x14ac:dyDescent="0.25">
      <c r="B41" t="str">
        <f t="shared" si="1"/>
        <v>SN</v>
      </c>
      <c r="C41">
        <f t="shared" si="2"/>
        <v>0.3</v>
      </c>
      <c r="D41">
        <f t="shared" si="0"/>
        <v>0.3</v>
      </c>
      <c r="E41">
        <f t="shared" si="0"/>
        <v>0.3</v>
      </c>
      <c r="F41">
        <f t="shared" si="0"/>
        <v>0.3</v>
      </c>
      <c r="G41">
        <f t="shared" si="0"/>
        <v>0.3</v>
      </c>
      <c r="H41">
        <f t="shared" si="0"/>
        <v>0.3</v>
      </c>
      <c r="I41">
        <f t="shared" si="0"/>
        <v>0.3</v>
      </c>
      <c r="J41">
        <f t="shared" si="0"/>
        <v>0.3</v>
      </c>
      <c r="K41">
        <f t="shared" si="0"/>
        <v>0.3</v>
      </c>
      <c r="L41">
        <f t="shared" si="0"/>
        <v>0.3</v>
      </c>
      <c r="M41">
        <f t="shared" si="0"/>
        <v>0.3</v>
      </c>
      <c r="N41">
        <f t="shared" si="0"/>
        <v>0.3</v>
      </c>
      <c r="O41">
        <f t="shared" si="0"/>
        <v>0.3</v>
      </c>
      <c r="P41">
        <f t="shared" si="0"/>
        <v>0.3</v>
      </c>
      <c r="Q41">
        <f t="shared" si="0"/>
        <v>0.3</v>
      </c>
      <c r="R41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CC6E-1790-4617-951C-4FEDC8B13CA3}">
  <sheetPr>
    <tabColor theme="5"/>
  </sheetPr>
  <dimension ref="A1:Y1269"/>
  <sheetViews>
    <sheetView workbookViewId="0">
      <selection activeCell="C9" sqref="C9"/>
    </sheetView>
  </sheetViews>
  <sheetFormatPr defaultRowHeight="15" outlineLevelCol="1" x14ac:dyDescent="0.25"/>
  <cols>
    <col min="3" max="3" width="10.7109375" style="1" bestFit="1" customWidth="1"/>
    <col min="4" max="4" width="10.7109375" style="1" customWidth="1"/>
    <col min="5" max="5" width="10.140625" style="1" customWidth="1"/>
    <col min="6" max="6" width="11.5703125" style="21" bestFit="1" customWidth="1"/>
    <col min="7" max="7" width="13.28515625" style="21" bestFit="1" customWidth="1"/>
    <col min="9" max="9" width="24" bestFit="1" customWidth="1"/>
    <col min="10" max="10" width="9.42578125" bestFit="1" customWidth="1"/>
    <col min="11" max="11" width="12.5703125" bestFit="1" customWidth="1"/>
    <col min="12" max="12" width="8.7109375" bestFit="1" customWidth="1"/>
    <col min="13" max="13" width="15.28515625" hidden="1" customWidth="1" outlineLevel="1"/>
    <col min="14" max="14" width="10.5703125" bestFit="1" customWidth="1" collapsed="1"/>
    <col min="15" max="15" width="14.7109375" hidden="1" customWidth="1" outlineLevel="1"/>
    <col min="16" max="16" width="14.28515625" style="21" bestFit="1" customWidth="1" collapsed="1"/>
    <col min="17" max="17" width="23.5703125" hidden="1" customWidth="1" outlineLevel="1"/>
    <col min="18" max="18" width="11.5703125" bestFit="1" customWidth="1" collapsed="1"/>
    <col min="20" max="20" width="9.140625" customWidth="1"/>
    <col min="21" max="21" width="13.28515625" bestFit="1" customWidth="1"/>
    <col min="23" max="23" width="9.140625" customWidth="1"/>
    <col min="24" max="24" width="11.5703125" bestFit="1" customWidth="1"/>
  </cols>
  <sheetData>
    <row r="1" spans="1:25" s="103" customFormat="1" ht="15.75" thickBot="1" x14ac:dyDescent="0.3">
      <c r="A1" s="103" t="s">
        <v>182</v>
      </c>
      <c r="B1" s="103" t="s">
        <v>159</v>
      </c>
      <c r="C1" s="104" t="s">
        <v>146</v>
      </c>
      <c r="D1" s="104" t="s">
        <v>147</v>
      </c>
      <c r="E1" s="104" t="s">
        <v>148</v>
      </c>
      <c r="F1" s="118" t="s">
        <v>160</v>
      </c>
      <c r="G1" s="118" t="s">
        <v>162</v>
      </c>
      <c r="H1" s="103" t="s">
        <v>164</v>
      </c>
      <c r="I1" s="103" t="s">
        <v>169</v>
      </c>
      <c r="J1" s="103" t="s">
        <v>191</v>
      </c>
      <c r="K1" s="103" t="s">
        <v>171</v>
      </c>
      <c r="L1" s="103" t="s">
        <v>172</v>
      </c>
      <c r="M1" s="103" t="s">
        <v>165</v>
      </c>
      <c r="N1" s="103" t="s">
        <v>152</v>
      </c>
      <c r="O1" s="103" t="s">
        <v>166</v>
      </c>
      <c r="P1" s="118" t="s">
        <v>163</v>
      </c>
      <c r="Q1" s="103" t="s">
        <v>174</v>
      </c>
      <c r="R1" s="103" t="s">
        <v>175</v>
      </c>
    </row>
    <row r="2" spans="1:25" x14ac:dyDescent="0.25">
      <c r="A2" s="6"/>
      <c r="B2" s="6" t="s">
        <v>130</v>
      </c>
      <c r="C2" s="122">
        <v>44166</v>
      </c>
      <c r="D2" s="123"/>
      <c r="E2" s="123"/>
      <c r="F2" s="124">
        <f ca="1">N2*0.9</f>
        <v>598.31778300602116</v>
      </c>
      <c r="G2" s="124">
        <v>1000000</v>
      </c>
      <c r="H2" s="6" t="s">
        <v>1</v>
      </c>
      <c r="I2" s="125" t="str">
        <f>IF(H2="USD","USD.LIBOR.3M",H2&amp;".DISC.[USD.LIBOR.3M]")</f>
        <v>ZAR.DISC.[USD.LIBOR.3M]</v>
      </c>
      <c r="J2" s="125" t="str">
        <f>VLOOKUP(B2,AssetStatic,3,FALSE)</f>
        <v>ICE</v>
      </c>
      <c r="K2" s="126" t="s">
        <v>173</v>
      </c>
      <c r="L2" s="126" t="str">
        <f>VLOOKUP(B2,AssetStatic,2,FALSE)</f>
        <v>0b</v>
      </c>
      <c r="M2" t="str" cm="1">
        <f t="array" aca="1" ref="M2" ca="1">_xll.QIns_CreateAsianSwap("AsiSwap_Fwd_"&amp;ROW(),IF(C2="",D2:E2,C2),B2,H2,0,G2,J2,H2,K2,L2,,I2,IF(H2="USD","None","ATC"))</f>
        <v>AsiSwap_Fwd_2¬1</v>
      </c>
      <c r="N2" s="14" cm="1">
        <f t="array" aca="1" ref="N2" ca="1">_xll.QIns_ProductParRate(M2,AModel)</f>
        <v>664.79753667335683</v>
      </c>
      <c r="O2" t="str" cm="1">
        <f t="array" aca="1" ref="O2" ca="1">_xll.QIns_CreateAsianSwap("AsiSwap_"&amp;ROW(),IF(C2="",D2:E2,C2),B2,H2,F2,G2,J2,H2,K2,L2,,I2,IF(H2="USD","None","ATC"))</f>
        <v>AsiSwap_2¬0</v>
      </c>
      <c r="P2" s="21" cm="1">
        <f t="array" aca="1" ref="P2" ca="1">_xll.QIns_ProductPV(O2,AModel,H2)</f>
        <v>64925923.433745675</v>
      </c>
      <c r="Q2" t="str" cm="1">
        <f t="array" aca="1" ref="Q2" ca="1">IF(VLOOKUP(B2,AssetStatic,4,FALSE),_xll.QRisk_PortfolioFxDeltaSpecific("asiOpt_DeltaA"&amp;ROW(),O2,AModel,B2,"ZAR",FALSE),_xll.QRisk_PortfolioDelta("asiOpt_DeltaA"&amp;ROW(),O2,AModel,FALSE))</f>
        <v>asiOpt_DeltaA2¬0</v>
      </c>
      <c r="R2" s="21" cm="1">
        <f t="array" aca="1" ref="R2" ca="1">_xll.QCube_SumAllRows(Q2)</f>
        <v>996568.03936255164</v>
      </c>
      <c r="S2" s="11"/>
      <c r="U2" s="21"/>
      <c r="V2" s="120"/>
      <c r="X2" s="21"/>
      <c r="Y2" s="120"/>
    </row>
    <row r="3" spans="1:25" x14ac:dyDescent="0.25">
      <c r="A3" s="6"/>
      <c r="B3" s="6" t="s">
        <v>105</v>
      </c>
      <c r="C3" s="123"/>
      <c r="D3" s="123">
        <f ca="1">TODAY()</f>
        <v>43963</v>
      </c>
      <c r="E3" s="123" cm="1">
        <f t="array" aca="1" ref="E3" ca="1">_xll.QDates_LastDay(D3)</f>
        <v>43982</v>
      </c>
      <c r="F3" s="124">
        <f t="shared" ref="F3:F7" ca="1" si="0">N3*0.9</f>
        <v>1366.2655219780222</v>
      </c>
      <c r="G3" s="124">
        <v>100</v>
      </c>
      <c r="H3" s="6" t="s">
        <v>21</v>
      </c>
      <c r="I3" s="125" t="str">
        <f>IF(H3="USD","USD.LIBOR.3M",H3&amp;".DISC.[USD.LIBOR.3M]")</f>
        <v>USD.LIBOR.3M</v>
      </c>
      <c r="J3" s="125" t="str">
        <f>VLOOKUP(B3,AssetStatic,3,FALSE)</f>
        <v>LON</v>
      </c>
      <c r="K3" s="126" t="s">
        <v>173</v>
      </c>
      <c r="L3" s="126" t="str">
        <f>VLOOKUP(B3,AssetStatic,2,FALSE)</f>
        <v>2b</v>
      </c>
      <c r="M3" t="str" cm="1">
        <f t="array" aca="1" ref="M3" ca="1">_xll.QIns_CreateAsianSwap("AsiSwap_Fwd_"&amp;ROW(),IF(C3="",D3:E3,C3),B3,H3,0,G3,J3,H3,K3,L3,,I3,IF(H3="USD","None","ATC"))</f>
        <v>AsiSwap_Fwd_3¬1</v>
      </c>
      <c r="N3" s="14" cm="1">
        <f t="array" aca="1" ref="N3" ca="1">_xll.QIns_ProductParRate(M3,AModel)</f>
        <v>1518.0728021978025</v>
      </c>
      <c r="O3" t="str" cm="1">
        <f t="array" aca="1" ref="O3" ca="1">_xll.QIns_CreateAsianSwap("AsiSwap_"&amp;ROW(),IF(C3="",D3:E3,C3),B3,H3,F3,G3,J3,H3,K3,L3,,I3,IF(H3="USD","None","ATC"))</f>
        <v>AsiSwap_3¬0</v>
      </c>
      <c r="P3" s="21" cm="1">
        <f t="array" aca="1" ref="P3" ca="1">_xll.QIns_ProductPV(O3,AModel,H3)</f>
        <v>15179.477036248127</v>
      </c>
      <c r="Q3" t="str" cm="1">
        <f t="array" aca="1" ref="Q3" ca="1">IF(VLOOKUP(B3,AssetStatic,4,FALSE),_xll.QRisk_PortfolioFxDeltaSpecific("asiOpt_DeltaA"&amp;ROW(),O3,AModel,B3,"ZAR",FALSE),_xll.QRisk_PortfolioDelta("asiOpt_DeltaA"&amp;ROW(),O3,AModel,FALSE))</f>
        <v>asiOpt_DeltaA3¬0</v>
      </c>
      <c r="R3" s="21" cm="1">
        <f t="array" aca="1" ref="R3" ca="1">_xll.QCube_SumAllRows(Q3)</f>
        <v>99.996369978240494</v>
      </c>
      <c r="S3" s="11"/>
      <c r="U3" s="21"/>
      <c r="V3" s="120"/>
      <c r="X3" s="21"/>
      <c r="Y3" s="120"/>
    </row>
    <row r="4" spans="1:25" x14ac:dyDescent="0.25">
      <c r="A4" s="6" t="s">
        <v>184</v>
      </c>
      <c r="B4" s="6" t="s">
        <v>136</v>
      </c>
      <c r="C4" s="122">
        <v>44593</v>
      </c>
      <c r="D4" s="123"/>
      <c r="E4" s="123"/>
      <c r="F4" s="124">
        <f t="shared" ca="1" si="0"/>
        <v>6413.9630713864817</v>
      </c>
      <c r="G4" s="124">
        <v>100</v>
      </c>
      <c r="H4" s="6" t="s">
        <v>1</v>
      </c>
      <c r="I4" s="125" t="str">
        <f>IF(H4="USD","USD.LIBOR.3M",H4&amp;".DISC.[USD.LIBOR.3M]")</f>
        <v>ZAR.DISC.[USD.LIBOR.3M]</v>
      </c>
      <c r="J4" s="125" t="str">
        <f>VLOOKUP(B4,AssetStatic,3,FALSE)</f>
        <v>ICE</v>
      </c>
      <c r="K4" s="126" t="s">
        <v>173</v>
      </c>
      <c r="L4" s="126" t="str">
        <f>VLOOKUP(B4,AssetStatic,2,FALSE)</f>
        <v>0b</v>
      </c>
      <c r="M4" t="str" cm="1">
        <f t="array" aca="1" ref="M4" ca="1">_xll.QIns_CreateAsianSwap("AsiSwap_Fwd_"&amp;ROW(),IF(C4="",D4:E4,C4),B4,H4,0,G4,J4,H4,K4,L4,,I4,IF(H4="USD","None","ATC"))</f>
        <v>AsiSwap_Fwd_4¬1</v>
      </c>
      <c r="N4" s="14" cm="1">
        <f t="array" aca="1" ref="N4" ca="1">_xll.QIns_ProductParRate(M4,AModel)</f>
        <v>7126.625634873868</v>
      </c>
      <c r="O4" t="str" cm="1">
        <f t="array" aca="1" ref="O4" ca="1">_xll.QIns_CreateAsianSwap("AsiSwap_"&amp;ROW(),IF(C4="",D4:E4,C4),B4,H4,F4,G4,J4,H4,K4,L4,,I4,IF(H4="USD","None","ATC"))</f>
        <v>AsiSwap_4¬0</v>
      </c>
      <c r="P4" s="21" cm="1">
        <f t="array" aca="1" ref="P4" ca="1">_xll.QIns_ProductPV(O4,AModel,H4)</f>
        <v>66544.780380963304</v>
      </c>
      <c r="Q4" t="str" cm="1">
        <f t="array" aca="1" ref="Q4" ca="1">IF(VLOOKUP(B4,AssetStatic,4,FALSE),_xll.QRisk_PortfolioFxDeltaSpecific("asiOpt_DeltaA"&amp;ROW(),O4,AModel,B4,"ZAR",FALSE),_xll.QRisk_PortfolioDelta("asiOpt_DeltaA"&amp;ROW(),O4,AModel,FALSE))</f>
        <v>asiOpt_DeltaA4¬0</v>
      </c>
      <c r="R4" s="21" cm="1">
        <f t="array" aca="1" ref="R4" ca="1">_xll.QCube_SumAllRows(Q4)</f>
        <v>99.389075931185289</v>
      </c>
      <c r="S4" s="11"/>
      <c r="U4" s="21"/>
      <c r="V4" s="120"/>
      <c r="X4" s="21"/>
      <c r="Y4" s="120"/>
    </row>
    <row r="5" spans="1:25" x14ac:dyDescent="0.25">
      <c r="A5" s="6" t="s">
        <v>184</v>
      </c>
      <c r="B5" s="6" t="s">
        <v>10</v>
      </c>
      <c r="C5" s="122">
        <v>44594</v>
      </c>
      <c r="D5" s="123"/>
      <c r="E5" s="123"/>
      <c r="F5" s="124">
        <f t="shared" ca="1" si="0"/>
        <v>1536.5361022553159</v>
      </c>
      <c r="G5" s="124">
        <v>101</v>
      </c>
      <c r="H5" s="6" t="s">
        <v>21</v>
      </c>
      <c r="I5" s="125" t="str">
        <f t="shared" ref="I5:I7" si="1">IF(H5="USD","USD.LIBOR.3M",H5&amp;".DISC.[USD.LIBOR.3M]")</f>
        <v>USD.LIBOR.3M</v>
      </c>
      <c r="J5" s="125" t="str">
        <f>VLOOKUP(B5,AssetStatic,3,FALSE)</f>
        <v>LON</v>
      </c>
      <c r="K5" s="126" t="s">
        <v>173</v>
      </c>
      <c r="L5" s="126" t="str">
        <f>VLOOKUP(B5,AssetStatic,2,FALSE)</f>
        <v>2b</v>
      </c>
      <c r="M5" t="str" cm="1">
        <f t="array" aca="1" ref="M5" ca="1">_xll.QIns_CreateAsianSwap("AsiSwap_Fwd_"&amp;ROW(),IF(C5="",D5:E5,C5),B5,H5,0,G5,J5,H5,K5,L5,,I5,IF(H5="USD","None","ATC"))</f>
        <v>AsiSwap_Fwd_5¬1</v>
      </c>
      <c r="N5" s="14" cm="1">
        <f t="array" aca="1" ref="N5" ca="1">_xll.QIns_ProductParRate(M5,AModel)</f>
        <v>1707.2623358392398</v>
      </c>
      <c r="O5" t="str" cm="1">
        <f t="array" aca="1" ref="O5" ca="1">_xll.QIns_CreateAsianSwap("AsiSwap_"&amp;ROW(),IF(C5="",D5:E5,C5),B5,H5,F5,G5,J5,H5,K5,L5,,I5,IF(H5="USD","None","ATC"))</f>
        <v>AsiSwap_5¬1</v>
      </c>
      <c r="P5" s="21" cm="1">
        <f t="array" aca="1" ref="P5" ca="1">_xll.QIns_ProductPV(O5,AModel,H5)</f>
        <v>17165.993019745707</v>
      </c>
      <c r="Q5" t="str" cm="1">
        <f t="array" aca="1" ref="Q5" ca="1">IF(VLOOKUP(B5,AssetStatic,4,FALSE),_xll.QRisk_PortfolioFxDeltaSpecific("asiOpt_DeltaA"&amp;ROW(),O5,AModel,B5,"ZAR",FALSE),_xll.QRisk_PortfolioDelta("asiOpt_DeltaA"&amp;ROW(),O5,AModel,FALSE))</f>
        <v>asiOpt_DeltaA5¬1</v>
      </c>
      <c r="R5" s="21" cm="1">
        <f t="array" aca="1" ref="R5" ca="1">_xll.QCube_SumAllRows(Q5)</f>
        <v>100.60431518654836</v>
      </c>
      <c r="S5" s="11"/>
      <c r="U5" s="21"/>
      <c r="V5" s="120"/>
      <c r="X5" s="21"/>
      <c r="Y5" s="120"/>
    </row>
    <row r="6" spans="1:25" x14ac:dyDescent="0.25">
      <c r="A6" s="6" t="s">
        <v>184</v>
      </c>
      <c r="B6" s="6" t="s">
        <v>10</v>
      </c>
      <c r="C6" s="122">
        <v>44595</v>
      </c>
      <c r="D6" s="123"/>
      <c r="E6" s="123"/>
      <c r="F6" s="124">
        <f t="shared" ca="1" si="0"/>
        <v>30052.243624895957</v>
      </c>
      <c r="G6" s="124">
        <v>102</v>
      </c>
      <c r="H6" s="6" t="s">
        <v>1</v>
      </c>
      <c r="I6" s="125" t="str">
        <f t="shared" si="1"/>
        <v>ZAR.DISC.[USD.LIBOR.3M]</v>
      </c>
      <c r="J6" s="125" t="str">
        <f>VLOOKUP(B6,AssetStatic,3,FALSE)</f>
        <v>LON</v>
      </c>
      <c r="K6" s="126" t="s">
        <v>173</v>
      </c>
      <c r="L6" s="126" t="str">
        <f>VLOOKUP(B6,AssetStatic,2,FALSE)</f>
        <v>2b</v>
      </c>
      <c r="M6" t="str" cm="1">
        <f t="array" aca="1" ref="M6" ca="1">_xll.QIns_CreateAsianSwap("AsiSwap_Fwd_"&amp;ROW(),IF(C6="",D6:E6,C6),B6,H6,0,G6,J6,H6,K6,L6,,I6,IF(H6="USD","None","ATC"))</f>
        <v>AsiSwap_Fwd_6¬1</v>
      </c>
      <c r="N6" s="14" cm="1">
        <f t="array" aca="1" ref="N6" ca="1">_xll.QIns_ProductParRate(M6,AModel)</f>
        <v>33391.381805439953</v>
      </c>
      <c r="O6" t="str" cm="1">
        <f t="array" aca="1" ref="O6" ca="1">_xll.QIns_CreateAsianSwap("AsiSwap_"&amp;ROW(),IF(C6="",D6:E6,C6),B6,H6,F6,G6,J6,H6,K6,L6,,I6,IF(H6="USD","None","ATC"))</f>
        <v>AsiSwap_6¬1</v>
      </c>
      <c r="P6" s="21" cm="1">
        <f t="array" aca="1" ref="P6" ca="1">_xll.QIns_ProductPV(O6,AModel,H6)</f>
        <v>318027.45483728632</v>
      </c>
      <c r="Q6" t="str" cm="1">
        <f t="array" aca="1" ref="Q6" ca="1">IF(VLOOKUP(B6,AssetStatic,4,FALSE),_xll.QRisk_PortfolioFxDeltaSpecific("asiOpt_DeltaA"&amp;ROW(),O6,AModel,B6,"ZAR",FALSE),_xll.QRisk_PortfolioDelta("asiOpt_DeltaA"&amp;ROW(),O6,AModel,FALSE))</f>
        <v>asiOpt_DeltaA6¬1</v>
      </c>
      <c r="R6" s="21" cm="1">
        <f t="array" aca="1" ref="R6" ca="1">_xll.QCube_SumAllRows(Q6)</f>
        <v>101.4347496126933</v>
      </c>
      <c r="S6" s="11"/>
      <c r="U6" s="21"/>
      <c r="V6" s="120"/>
      <c r="X6" s="21"/>
      <c r="Y6" s="120"/>
    </row>
    <row r="7" spans="1:25" x14ac:dyDescent="0.25">
      <c r="A7" s="6" t="s">
        <v>184</v>
      </c>
      <c r="B7" s="6" t="s">
        <v>10</v>
      </c>
      <c r="C7" s="122">
        <v>44596</v>
      </c>
      <c r="D7" s="123"/>
      <c r="E7" s="123"/>
      <c r="F7" s="124">
        <f t="shared" ca="1" si="0"/>
        <v>30052.243624895957</v>
      </c>
      <c r="G7" s="124">
        <v>102</v>
      </c>
      <c r="H7" s="6" t="s">
        <v>1</v>
      </c>
      <c r="I7" s="125" t="str">
        <f t="shared" si="1"/>
        <v>ZAR.DISC.[USD.LIBOR.3M]</v>
      </c>
      <c r="J7" s="125" t="str">
        <f>VLOOKUP(B7,AssetStatic,3,FALSE)</f>
        <v>LON</v>
      </c>
      <c r="K7" s="126" t="s">
        <v>173</v>
      </c>
      <c r="L7" s="126" t="str">
        <f>VLOOKUP(B7,AssetStatic,2,FALSE)</f>
        <v>2b</v>
      </c>
      <c r="M7" t="str" cm="1">
        <f t="array" aca="1" ref="M7" ca="1">_xll.QIns_CreateAsianSwap("AsiSwap_Fwd_"&amp;ROW(),IF(C7="",D7:E7,C7),B7,H7,0,G7,J7,H7,K7,L7,,I7,IF(H7="USD","None","ATC"))</f>
        <v>AsiSwap_Fwd_7¬1</v>
      </c>
      <c r="N7" s="14" cm="1">
        <f t="array" aca="1" ref="N7" ca="1">_xll.QIns_ProductParRate(M7,AModel)</f>
        <v>33391.381805439953</v>
      </c>
      <c r="O7" t="str" cm="1">
        <f t="array" aca="1" ref="O7" ca="1">_xll.QIns_CreateAsianSwap("AsiSwap_"&amp;ROW(),IF(C7="",D7:E7,C7),B7,H7,F7,G7,J7,H7,K7,L7,,I7,IF(H7="USD","None","ATC"))</f>
        <v>AsiSwap_7¬1</v>
      </c>
      <c r="P7" s="21" cm="1">
        <f t="array" aca="1" ref="P7" ca="1">_xll.QIns_ProductPV(O7,AModel,H7)</f>
        <v>318027.45483728632</v>
      </c>
      <c r="Q7" t="str" cm="1">
        <f t="array" aca="1" ref="Q7" ca="1">IF(VLOOKUP(B7,AssetStatic,4,FALSE),_xll.QRisk_PortfolioFxDeltaSpecific("asiOpt_DeltaA"&amp;ROW(),O7,AModel,B7,"ZAR",FALSE),_xll.QRisk_PortfolioDelta("asiOpt_DeltaA"&amp;ROW(),O7,AModel,FALSE))</f>
        <v>asiOpt_DeltaA7¬1</v>
      </c>
      <c r="R7" s="21" cm="1">
        <f t="array" aca="1" ref="R7" ca="1">_xll.QCube_SumAllRows(Q7)</f>
        <v>101.4347496126933</v>
      </c>
      <c r="S7" s="11"/>
      <c r="U7" s="21"/>
      <c r="V7" s="120"/>
      <c r="X7" s="21"/>
      <c r="Y7" s="120"/>
    </row>
    <row r="8" spans="1:25" x14ac:dyDescent="0.25">
      <c r="A8" s="6"/>
      <c r="B8" s="6"/>
      <c r="C8" s="123"/>
      <c r="D8" s="123"/>
      <c r="E8" s="123"/>
      <c r="F8" s="124"/>
      <c r="G8" s="124"/>
      <c r="H8" s="6"/>
      <c r="I8" s="125"/>
      <c r="J8" s="125"/>
      <c r="K8" s="125"/>
      <c r="L8" s="127"/>
    </row>
    <row r="9" spans="1:25" x14ac:dyDescent="0.25">
      <c r="A9" s="6"/>
      <c r="B9" s="6"/>
      <c r="C9" s="123"/>
      <c r="D9" s="123"/>
      <c r="E9" s="123"/>
      <c r="F9" s="124"/>
      <c r="G9" s="124"/>
      <c r="H9" s="6"/>
      <c r="I9" s="125"/>
      <c r="J9" s="125"/>
      <c r="K9" s="125"/>
      <c r="L9" s="125"/>
    </row>
    <row r="10" spans="1:25" x14ac:dyDescent="0.25">
      <c r="A10" s="6"/>
      <c r="B10" s="6"/>
      <c r="C10" s="123"/>
      <c r="D10" s="123"/>
      <c r="E10" s="123"/>
      <c r="F10" s="124"/>
      <c r="G10" s="124"/>
      <c r="H10" s="6"/>
      <c r="I10" s="125"/>
      <c r="J10" s="125"/>
      <c r="K10" s="125"/>
      <c r="L10" s="125"/>
    </row>
    <row r="11" spans="1:25" x14ac:dyDescent="0.25">
      <c r="A11" s="6"/>
      <c r="B11" s="6"/>
      <c r="C11" s="123"/>
      <c r="D11" s="123"/>
      <c r="E11" s="123"/>
      <c r="F11" s="124"/>
      <c r="G11" s="124"/>
      <c r="H11" s="6"/>
      <c r="I11" s="125"/>
      <c r="J11" s="125"/>
      <c r="K11" s="125"/>
      <c r="L11" s="125"/>
    </row>
    <row r="12" spans="1:25" x14ac:dyDescent="0.25">
      <c r="A12" s="6"/>
      <c r="B12" s="6"/>
      <c r="C12" s="123"/>
      <c r="D12" s="123"/>
      <c r="E12" s="123"/>
      <c r="F12" s="124"/>
      <c r="G12" s="124"/>
      <c r="H12" s="6"/>
      <c r="I12" s="125"/>
      <c r="J12" s="125"/>
      <c r="K12" s="125"/>
      <c r="L12" s="125"/>
    </row>
    <row r="13" spans="1:25" x14ac:dyDescent="0.25">
      <c r="A13" s="6"/>
      <c r="B13" s="6"/>
      <c r="C13" s="123"/>
      <c r="D13" s="123"/>
      <c r="E13" s="123"/>
      <c r="F13" s="124"/>
      <c r="G13" s="124"/>
      <c r="H13" s="6"/>
      <c r="I13" s="125"/>
      <c r="J13" s="125"/>
      <c r="K13" s="125"/>
      <c r="L13" s="125"/>
    </row>
    <row r="14" spans="1:25" x14ac:dyDescent="0.25">
      <c r="A14" s="6"/>
      <c r="B14" s="6"/>
      <c r="C14" s="123"/>
      <c r="D14" s="123"/>
      <c r="E14" s="123"/>
      <c r="F14" s="124"/>
      <c r="G14" s="124"/>
      <c r="H14" s="6"/>
      <c r="I14" s="125"/>
      <c r="J14" s="125"/>
      <c r="K14" s="125"/>
      <c r="L14" s="125"/>
    </row>
    <row r="15" spans="1:25" x14ac:dyDescent="0.25">
      <c r="A15" s="6"/>
      <c r="B15" s="6"/>
      <c r="C15" s="123"/>
      <c r="D15" s="123"/>
      <c r="E15" s="123"/>
      <c r="F15" s="124"/>
      <c r="G15" s="124"/>
      <c r="H15" s="6"/>
      <c r="I15" s="125"/>
      <c r="J15" s="125"/>
      <c r="K15" s="125"/>
      <c r="L15" s="125"/>
    </row>
    <row r="16" spans="1:25" x14ac:dyDescent="0.25">
      <c r="A16" s="6"/>
      <c r="B16" s="6"/>
      <c r="C16" s="123"/>
      <c r="D16" s="123"/>
      <c r="E16" s="123"/>
      <c r="F16" s="124"/>
      <c r="G16" s="124"/>
      <c r="H16" s="6"/>
      <c r="I16" s="125"/>
      <c r="J16" s="125"/>
      <c r="K16" s="125"/>
      <c r="L16" s="125"/>
    </row>
    <row r="17" spans="1:12" x14ac:dyDescent="0.25">
      <c r="A17" s="6"/>
      <c r="B17" s="6"/>
      <c r="C17" s="123"/>
      <c r="D17" s="123"/>
      <c r="E17" s="123"/>
      <c r="F17" s="124"/>
      <c r="G17" s="124"/>
      <c r="H17" s="6"/>
      <c r="I17" s="125"/>
      <c r="J17" s="125"/>
      <c r="K17" s="125"/>
      <c r="L17" s="125"/>
    </row>
    <row r="18" spans="1:12" x14ac:dyDescent="0.25">
      <c r="A18" s="6"/>
      <c r="B18" s="6"/>
      <c r="C18" s="123"/>
      <c r="D18" s="123"/>
      <c r="E18" s="123"/>
      <c r="F18" s="124"/>
      <c r="G18" s="124"/>
      <c r="H18" s="6"/>
      <c r="I18" s="125"/>
      <c r="J18" s="125"/>
      <c r="K18" s="125"/>
      <c r="L18" s="125"/>
    </row>
    <row r="19" spans="1:12" x14ac:dyDescent="0.25">
      <c r="A19" s="6"/>
      <c r="B19" s="6"/>
      <c r="C19" s="123"/>
      <c r="D19" s="123"/>
      <c r="E19" s="123"/>
      <c r="F19" s="124"/>
      <c r="G19" s="124"/>
      <c r="H19" s="6"/>
      <c r="I19" s="125"/>
      <c r="J19" s="125"/>
      <c r="K19" s="125"/>
      <c r="L19" s="125"/>
    </row>
    <row r="20" spans="1:12" x14ac:dyDescent="0.25">
      <c r="A20" s="6"/>
      <c r="B20" s="6"/>
      <c r="C20" s="123"/>
      <c r="D20" s="123"/>
      <c r="E20" s="123"/>
      <c r="F20" s="124"/>
      <c r="G20" s="124"/>
      <c r="H20" s="6"/>
      <c r="I20" s="125"/>
      <c r="J20" s="125"/>
      <c r="K20" s="125"/>
      <c r="L20" s="125"/>
    </row>
    <row r="21" spans="1:12" x14ac:dyDescent="0.25">
      <c r="A21" s="6"/>
      <c r="B21" s="6"/>
      <c r="C21" s="123"/>
      <c r="D21" s="123"/>
      <c r="E21" s="123"/>
      <c r="F21" s="124"/>
      <c r="G21" s="124"/>
      <c r="H21" s="6"/>
      <c r="I21" s="125"/>
      <c r="J21" s="125"/>
      <c r="K21" s="125"/>
      <c r="L21" s="125"/>
    </row>
    <row r="22" spans="1:12" x14ac:dyDescent="0.25">
      <c r="A22" s="6"/>
      <c r="B22" s="6"/>
      <c r="C22" s="123"/>
      <c r="D22" s="123"/>
      <c r="E22" s="123"/>
      <c r="F22" s="124"/>
      <c r="G22" s="124"/>
      <c r="H22" s="6"/>
      <c r="I22" s="125"/>
      <c r="J22" s="125"/>
      <c r="K22" s="125"/>
      <c r="L22" s="125"/>
    </row>
    <row r="23" spans="1:12" x14ac:dyDescent="0.25">
      <c r="A23" s="6"/>
      <c r="B23" s="6"/>
      <c r="C23" s="123"/>
      <c r="D23" s="123"/>
      <c r="E23" s="123"/>
      <c r="F23" s="124"/>
      <c r="G23" s="124"/>
      <c r="H23" s="6"/>
      <c r="I23" s="125"/>
      <c r="J23" s="125"/>
      <c r="K23" s="125"/>
      <c r="L23" s="125"/>
    </row>
    <row r="24" spans="1:12" x14ac:dyDescent="0.25">
      <c r="A24" s="6"/>
      <c r="B24" s="6"/>
      <c r="C24" s="123"/>
      <c r="D24" s="123"/>
      <c r="E24" s="123"/>
      <c r="F24" s="124"/>
      <c r="G24" s="124"/>
      <c r="H24" s="6"/>
      <c r="I24" s="125"/>
      <c r="J24" s="125"/>
      <c r="K24" s="125"/>
      <c r="L24" s="125"/>
    </row>
    <row r="25" spans="1:12" x14ac:dyDescent="0.25">
      <c r="A25" s="6"/>
      <c r="B25" s="6"/>
      <c r="C25" s="123"/>
      <c r="D25" s="123"/>
      <c r="E25" s="123"/>
      <c r="F25" s="124"/>
      <c r="G25" s="124"/>
      <c r="H25" s="6"/>
      <c r="I25" s="125"/>
      <c r="J25" s="125"/>
      <c r="K25" s="125"/>
      <c r="L25" s="125"/>
    </row>
    <row r="26" spans="1:12" x14ac:dyDescent="0.25">
      <c r="A26" s="6"/>
      <c r="B26" s="6"/>
      <c r="C26" s="123"/>
      <c r="D26" s="123"/>
      <c r="E26" s="123"/>
      <c r="F26" s="124"/>
      <c r="G26" s="124"/>
      <c r="H26" s="6"/>
      <c r="I26" s="125"/>
      <c r="J26" s="125"/>
      <c r="K26" s="125"/>
      <c r="L26" s="125"/>
    </row>
    <row r="27" spans="1:12" x14ac:dyDescent="0.25">
      <c r="A27" s="6"/>
      <c r="B27" s="6"/>
      <c r="C27" s="123"/>
      <c r="D27" s="123"/>
      <c r="E27" s="123"/>
      <c r="F27" s="124"/>
      <c r="G27" s="124"/>
      <c r="H27" s="6"/>
      <c r="I27" s="125"/>
      <c r="J27" s="125"/>
      <c r="K27" s="125"/>
      <c r="L27" s="125"/>
    </row>
    <row r="28" spans="1:12" x14ac:dyDescent="0.25">
      <c r="A28" s="6"/>
      <c r="B28" s="6"/>
      <c r="C28" s="123"/>
      <c r="D28" s="123"/>
      <c r="E28" s="123"/>
      <c r="F28" s="124"/>
      <c r="G28" s="124"/>
      <c r="H28" s="6"/>
      <c r="I28" s="125"/>
      <c r="J28" s="125"/>
      <c r="K28" s="125"/>
      <c r="L28" s="125"/>
    </row>
    <row r="29" spans="1:12" x14ac:dyDescent="0.25">
      <c r="A29" s="6"/>
      <c r="B29" s="6"/>
      <c r="C29" s="123"/>
      <c r="D29" s="123"/>
      <c r="E29" s="123"/>
      <c r="F29" s="124"/>
      <c r="G29" s="124"/>
      <c r="H29" s="6"/>
      <c r="I29" s="125"/>
      <c r="J29" s="125"/>
      <c r="K29" s="125"/>
      <c r="L29" s="125"/>
    </row>
    <row r="30" spans="1:12" x14ac:dyDescent="0.25">
      <c r="A30" s="6"/>
      <c r="B30" s="6"/>
      <c r="C30" s="123"/>
      <c r="D30" s="123"/>
      <c r="E30" s="123"/>
      <c r="F30" s="124"/>
      <c r="G30" s="124"/>
      <c r="H30" s="6"/>
      <c r="I30" s="125"/>
      <c r="J30" s="125"/>
      <c r="K30" s="125"/>
      <c r="L30" s="125"/>
    </row>
    <row r="31" spans="1:12" x14ac:dyDescent="0.25">
      <c r="A31" s="6"/>
      <c r="B31" s="6"/>
      <c r="C31" s="123"/>
      <c r="D31" s="123"/>
      <c r="E31" s="123"/>
      <c r="F31" s="124"/>
      <c r="G31" s="124"/>
      <c r="H31" s="6"/>
      <c r="I31" s="125"/>
      <c r="J31" s="125"/>
      <c r="K31" s="125"/>
      <c r="L31" s="125"/>
    </row>
    <row r="32" spans="1:12" x14ac:dyDescent="0.25">
      <c r="A32" s="6"/>
      <c r="B32" s="6"/>
      <c r="C32" s="123"/>
      <c r="D32" s="123"/>
      <c r="E32" s="123"/>
      <c r="F32" s="124"/>
      <c r="G32" s="124"/>
      <c r="H32" s="6"/>
      <c r="I32" s="125"/>
      <c r="J32" s="125"/>
      <c r="K32" s="125"/>
      <c r="L32" s="125"/>
    </row>
    <row r="33" spans="1:12" x14ac:dyDescent="0.25">
      <c r="A33" s="6"/>
      <c r="B33" s="6"/>
      <c r="C33" s="123"/>
      <c r="D33" s="123"/>
      <c r="E33" s="123"/>
      <c r="F33" s="124"/>
      <c r="G33" s="124"/>
      <c r="H33" s="6"/>
      <c r="I33" s="125"/>
      <c r="J33" s="125"/>
      <c r="K33" s="125"/>
      <c r="L33" s="125"/>
    </row>
    <row r="34" spans="1:12" x14ac:dyDescent="0.25">
      <c r="A34" s="6"/>
      <c r="B34" s="6"/>
      <c r="C34" s="123"/>
      <c r="D34" s="123"/>
      <c r="E34" s="123"/>
      <c r="F34" s="124"/>
      <c r="G34" s="124"/>
      <c r="H34" s="6"/>
      <c r="I34" s="125"/>
      <c r="J34" s="125"/>
      <c r="K34" s="125"/>
      <c r="L34" s="125"/>
    </row>
    <row r="35" spans="1:12" x14ac:dyDescent="0.25">
      <c r="A35" s="6"/>
      <c r="B35" s="6"/>
      <c r="C35" s="123"/>
      <c r="D35" s="123"/>
      <c r="E35" s="123"/>
      <c r="F35" s="124"/>
      <c r="G35" s="124"/>
      <c r="H35" s="6"/>
      <c r="I35" s="125"/>
      <c r="J35" s="125"/>
      <c r="K35" s="125"/>
      <c r="L35" s="125"/>
    </row>
    <row r="36" spans="1:12" x14ac:dyDescent="0.25">
      <c r="A36" s="6"/>
      <c r="B36" s="6"/>
      <c r="C36" s="123"/>
      <c r="D36" s="123"/>
      <c r="E36" s="123"/>
      <c r="F36" s="124"/>
      <c r="G36" s="124"/>
      <c r="H36" s="6"/>
      <c r="I36" s="125"/>
      <c r="J36" s="125"/>
      <c r="K36" s="125"/>
      <c r="L36" s="125"/>
    </row>
    <row r="37" spans="1:12" x14ac:dyDescent="0.25">
      <c r="A37" s="6"/>
      <c r="B37" s="6"/>
      <c r="C37" s="123"/>
      <c r="D37" s="123"/>
      <c r="E37" s="123"/>
      <c r="F37" s="124"/>
      <c r="G37" s="124"/>
      <c r="H37" s="6"/>
      <c r="I37" s="125"/>
      <c r="J37" s="125"/>
      <c r="K37" s="125"/>
      <c r="L37" s="125"/>
    </row>
    <row r="38" spans="1:12" x14ac:dyDescent="0.25">
      <c r="A38" s="6"/>
      <c r="B38" s="6"/>
      <c r="C38" s="123"/>
      <c r="D38" s="123"/>
      <c r="E38" s="123"/>
      <c r="F38" s="124"/>
      <c r="G38" s="124"/>
      <c r="H38" s="6"/>
      <c r="I38" s="125"/>
      <c r="J38" s="125"/>
      <c r="K38" s="125"/>
      <c r="L38" s="125"/>
    </row>
    <row r="39" spans="1:12" x14ac:dyDescent="0.25">
      <c r="A39" s="6"/>
      <c r="B39" s="6"/>
      <c r="C39" s="123"/>
      <c r="D39" s="123"/>
      <c r="E39" s="123"/>
      <c r="F39" s="124"/>
      <c r="G39" s="124"/>
      <c r="H39" s="6"/>
      <c r="I39" s="125"/>
      <c r="J39" s="125"/>
      <c r="K39" s="125"/>
      <c r="L39" s="125"/>
    </row>
    <row r="40" spans="1:12" x14ac:dyDescent="0.25">
      <c r="A40" s="6"/>
      <c r="B40" s="6"/>
      <c r="C40" s="123"/>
      <c r="D40" s="123"/>
      <c r="E40" s="123"/>
      <c r="F40" s="124"/>
      <c r="G40" s="124"/>
      <c r="H40" s="6"/>
      <c r="I40" s="125"/>
      <c r="J40" s="125"/>
      <c r="K40" s="125"/>
      <c r="L40" s="125"/>
    </row>
    <row r="41" spans="1:12" x14ac:dyDescent="0.25">
      <c r="A41" s="6"/>
      <c r="B41" s="6"/>
      <c r="C41" s="123"/>
      <c r="D41" s="123"/>
      <c r="E41" s="123"/>
      <c r="F41" s="124"/>
      <c r="G41" s="124"/>
      <c r="H41" s="6"/>
      <c r="I41" s="125"/>
      <c r="J41" s="125"/>
      <c r="K41" s="125"/>
      <c r="L41" s="125"/>
    </row>
    <row r="42" spans="1:12" x14ac:dyDescent="0.25">
      <c r="A42" s="6"/>
      <c r="B42" s="6"/>
      <c r="C42" s="123"/>
      <c r="D42" s="123"/>
      <c r="E42" s="123"/>
      <c r="F42" s="124"/>
      <c r="G42" s="124"/>
      <c r="H42" s="6"/>
      <c r="I42" s="125"/>
      <c r="J42" s="125"/>
      <c r="K42" s="125"/>
      <c r="L42" s="125"/>
    </row>
    <row r="43" spans="1:12" x14ac:dyDescent="0.25">
      <c r="A43" s="6"/>
      <c r="B43" s="6"/>
      <c r="C43" s="123"/>
      <c r="D43" s="123"/>
      <c r="E43" s="123"/>
      <c r="F43" s="124"/>
      <c r="G43" s="124"/>
      <c r="H43" s="6"/>
      <c r="I43" s="125"/>
      <c r="J43" s="125"/>
      <c r="K43" s="125"/>
      <c r="L43" s="125"/>
    </row>
    <row r="44" spans="1:12" x14ac:dyDescent="0.25">
      <c r="A44" s="6"/>
      <c r="B44" s="6"/>
      <c r="C44" s="123"/>
      <c r="D44" s="123"/>
      <c r="E44" s="123"/>
      <c r="F44" s="124"/>
      <c r="G44" s="124"/>
      <c r="H44" s="6"/>
      <c r="I44" s="125"/>
      <c r="J44" s="125"/>
      <c r="K44" s="125"/>
      <c r="L44" s="125"/>
    </row>
    <row r="45" spans="1:12" x14ac:dyDescent="0.25">
      <c r="A45" s="6"/>
      <c r="B45" s="6"/>
      <c r="C45" s="123"/>
      <c r="D45" s="123"/>
      <c r="E45" s="123"/>
      <c r="F45" s="124"/>
      <c r="G45" s="124"/>
      <c r="H45" s="6"/>
      <c r="I45" s="125"/>
      <c r="J45" s="125"/>
      <c r="K45" s="125"/>
      <c r="L45" s="125"/>
    </row>
    <row r="46" spans="1:12" x14ac:dyDescent="0.25">
      <c r="A46" s="6"/>
      <c r="B46" s="6"/>
      <c r="C46" s="123"/>
      <c r="D46" s="123"/>
      <c r="E46" s="123"/>
      <c r="F46" s="124"/>
      <c r="G46" s="124"/>
      <c r="H46" s="6"/>
      <c r="I46" s="125"/>
      <c r="J46" s="125"/>
      <c r="K46" s="125"/>
      <c r="L46" s="125"/>
    </row>
    <row r="47" spans="1:12" x14ac:dyDescent="0.25">
      <c r="A47" s="6"/>
      <c r="B47" s="6"/>
      <c r="C47" s="123"/>
      <c r="D47" s="123"/>
      <c r="E47" s="123"/>
      <c r="F47" s="124"/>
      <c r="G47" s="124"/>
      <c r="H47" s="6"/>
      <c r="I47" s="125"/>
      <c r="J47" s="125"/>
      <c r="K47" s="125"/>
      <c r="L47" s="125"/>
    </row>
    <row r="48" spans="1:12" x14ac:dyDescent="0.25">
      <c r="A48" s="6"/>
      <c r="B48" s="6"/>
      <c r="C48" s="123"/>
      <c r="D48" s="123"/>
      <c r="E48" s="123"/>
      <c r="F48" s="124"/>
      <c r="G48" s="124"/>
      <c r="H48" s="6"/>
      <c r="I48" s="125"/>
      <c r="J48" s="125"/>
      <c r="K48" s="125"/>
      <c r="L48" s="125"/>
    </row>
    <row r="49" spans="1:12" x14ac:dyDescent="0.25">
      <c r="A49" s="6"/>
      <c r="B49" s="6"/>
      <c r="C49" s="123"/>
      <c r="D49" s="123"/>
      <c r="E49" s="123"/>
      <c r="F49" s="124"/>
      <c r="G49" s="124"/>
      <c r="H49" s="6"/>
      <c r="I49" s="125"/>
      <c r="J49" s="125"/>
      <c r="K49" s="125"/>
      <c r="L49" s="125"/>
    </row>
    <row r="50" spans="1:12" x14ac:dyDescent="0.25">
      <c r="A50" s="6"/>
      <c r="B50" s="6"/>
      <c r="C50" s="123"/>
      <c r="D50" s="123"/>
      <c r="E50" s="123"/>
      <c r="F50" s="124"/>
      <c r="G50" s="124"/>
      <c r="H50" s="6"/>
      <c r="I50" s="125"/>
      <c r="J50" s="125"/>
      <c r="K50" s="125"/>
      <c r="L50" s="125"/>
    </row>
    <row r="51" spans="1:12" x14ac:dyDescent="0.25">
      <c r="A51" s="6"/>
      <c r="B51" s="6"/>
      <c r="C51" s="123"/>
      <c r="D51" s="123"/>
      <c r="E51" s="123"/>
      <c r="F51" s="124"/>
      <c r="G51" s="124"/>
      <c r="H51" s="6"/>
      <c r="I51" s="125"/>
      <c r="J51" s="125"/>
      <c r="K51" s="125"/>
      <c r="L51" s="125"/>
    </row>
    <row r="52" spans="1:12" x14ac:dyDescent="0.25">
      <c r="A52" s="6"/>
      <c r="B52" s="6"/>
      <c r="C52" s="123"/>
      <c r="D52" s="123"/>
      <c r="E52" s="123"/>
      <c r="F52" s="124"/>
      <c r="G52" s="124"/>
      <c r="H52" s="6"/>
      <c r="I52" s="125"/>
      <c r="J52" s="125"/>
      <c r="K52" s="125"/>
      <c r="L52" s="125"/>
    </row>
    <row r="53" spans="1:12" x14ac:dyDescent="0.25">
      <c r="A53" s="6"/>
      <c r="B53" s="6"/>
      <c r="C53" s="123"/>
      <c r="D53" s="123"/>
      <c r="E53" s="123"/>
      <c r="F53" s="124"/>
      <c r="G53" s="124"/>
      <c r="H53" s="6"/>
      <c r="I53" s="125"/>
      <c r="J53" s="125"/>
      <c r="K53" s="125"/>
      <c r="L53" s="125"/>
    </row>
    <row r="54" spans="1:12" x14ac:dyDescent="0.25">
      <c r="A54" s="6"/>
      <c r="B54" s="6"/>
      <c r="C54" s="123"/>
      <c r="D54" s="123"/>
      <c r="E54" s="123"/>
      <c r="F54" s="124"/>
      <c r="G54" s="124"/>
      <c r="H54" s="6"/>
      <c r="I54" s="125"/>
      <c r="J54" s="125"/>
      <c r="K54" s="125"/>
      <c r="L54" s="125"/>
    </row>
    <row r="55" spans="1:12" x14ac:dyDescent="0.25">
      <c r="A55" s="6"/>
      <c r="B55" s="6"/>
      <c r="C55" s="123"/>
      <c r="D55" s="123"/>
      <c r="E55" s="123"/>
      <c r="F55" s="124"/>
      <c r="G55" s="124"/>
      <c r="H55" s="6"/>
      <c r="I55" s="125"/>
      <c r="J55" s="125"/>
      <c r="K55" s="125"/>
      <c r="L55" s="125"/>
    </row>
    <row r="56" spans="1:12" x14ac:dyDescent="0.25">
      <c r="A56" s="6"/>
      <c r="B56" s="6"/>
      <c r="C56" s="123"/>
      <c r="D56" s="123"/>
      <c r="E56" s="123"/>
      <c r="F56" s="124"/>
      <c r="G56" s="124"/>
      <c r="H56" s="6"/>
      <c r="I56" s="125"/>
      <c r="J56" s="125"/>
      <c r="K56" s="125"/>
      <c r="L56" s="125"/>
    </row>
    <row r="57" spans="1:12" x14ac:dyDescent="0.25">
      <c r="A57" s="6"/>
      <c r="B57" s="6"/>
      <c r="C57" s="123"/>
      <c r="D57" s="123"/>
      <c r="E57" s="123"/>
      <c r="F57" s="124"/>
      <c r="G57" s="124"/>
      <c r="H57" s="6"/>
      <c r="I57" s="125"/>
      <c r="J57" s="125"/>
      <c r="K57" s="125"/>
      <c r="L57" s="125"/>
    </row>
    <row r="58" spans="1:12" x14ac:dyDescent="0.25">
      <c r="A58" s="6"/>
      <c r="B58" s="6"/>
      <c r="C58" s="123"/>
      <c r="D58" s="123"/>
      <c r="E58" s="123"/>
      <c r="F58" s="124"/>
      <c r="G58" s="124"/>
      <c r="H58" s="6"/>
      <c r="I58" s="125"/>
      <c r="J58" s="125"/>
      <c r="K58" s="125"/>
      <c r="L58" s="125"/>
    </row>
    <row r="59" spans="1:12" x14ac:dyDescent="0.25">
      <c r="A59" s="6"/>
      <c r="B59" s="6"/>
      <c r="C59" s="123"/>
      <c r="D59" s="123"/>
      <c r="E59" s="123"/>
      <c r="F59" s="124"/>
      <c r="G59" s="124"/>
      <c r="H59" s="6"/>
      <c r="I59" s="125"/>
      <c r="J59" s="125"/>
      <c r="K59" s="125"/>
      <c r="L59" s="125"/>
    </row>
    <row r="60" spans="1:12" x14ac:dyDescent="0.25">
      <c r="A60" s="6"/>
      <c r="B60" s="6"/>
      <c r="C60" s="123"/>
      <c r="D60" s="123"/>
      <c r="E60" s="123"/>
      <c r="F60" s="124"/>
      <c r="G60" s="124"/>
      <c r="H60" s="6"/>
      <c r="I60" s="125"/>
      <c r="J60" s="125"/>
      <c r="K60" s="125"/>
      <c r="L60" s="125"/>
    </row>
    <row r="61" spans="1:12" x14ac:dyDescent="0.25">
      <c r="A61" s="6"/>
      <c r="B61" s="6"/>
      <c r="C61" s="123"/>
      <c r="D61" s="123"/>
      <c r="E61" s="123"/>
      <c r="F61" s="124"/>
      <c r="G61" s="124"/>
      <c r="H61" s="6"/>
      <c r="I61" s="125"/>
      <c r="J61" s="125"/>
      <c r="K61" s="125"/>
      <c r="L61" s="125"/>
    </row>
    <row r="62" spans="1:12" x14ac:dyDescent="0.25">
      <c r="A62" s="6"/>
      <c r="B62" s="6"/>
      <c r="C62" s="123"/>
      <c r="D62" s="123"/>
      <c r="E62" s="123"/>
      <c r="F62" s="124"/>
      <c r="G62" s="124"/>
      <c r="H62" s="6"/>
      <c r="I62" s="125"/>
      <c r="J62" s="125"/>
      <c r="K62" s="125"/>
      <c r="L62" s="125"/>
    </row>
    <row r="63" spans="1:12" x14ac:dyDescent="0.25">
      <c r="A63" s="6"/>
      <c r="B63" s="6"/>
      <c r="C63" s="123"/>
      <c r="D63" s="123"/>
      <c r="E63" s="123"/>
      <c r="F63" s="124"/>
      <c r="G63" s="124"/>
      <c r="H63" s="6"/>
      <c r="I63" s="125"/>
      <c r="J63" s="125"/>
      <c r="K63" s="125"/>
      <c r="L63" s="125"/>
    </row>
    <row r="64" spans="1:12" x14ac:dyDescent="0.25">
      <c r="A64" s="6"/>
      <c r="B64" s="6"/>
      <c r="C64" s="123"/>
      <c r="D64" s="123"/>
      <c r="E64" s="123"/>
      <c r="F64" s="124"/>
      <c r="G64" s="124"/>
      <c r="H64" s="6"/>
      <c r="I64" s="125"/>
      <c r="J64" s="125"/>
      <c r="K64" s="125"/>
      <c r="L64" s="125"/>
    </row>
    <row r="65" spans="1:12" x14ac:dyDescent="0.25">
      <c r="A65" s="6"/>
      <c r="B65" s="6"/>
      <c r="C65" s="123"/>
      <c r="D65" s="123"/>
      <c r="E65" s="123"/>
      <c r="F65" s="124"/>
      <c r="G65" s="124"/>
      <c r="H65" s="6"/>
      <c r="I65" s="125"/>
      <c r="J65" s="125"/>
      <c r="K65" s="125"/>
      <c r="L65" s="125"/>
    </row>
    <row r="66" spans="1:12" x14ac:dyDescent="0.25">
      <c r="A66" s="6"/>
      <c r="B66" s="6"/>
      <c r="C66" s="123"/>
      <c r="D66" s="123"/>
      <c r="E66" s="123"/>
      <c r="F66" s="124"/>
      <c r="G66" s="124"/>
      <c r="H66" s="6"/>
      <c r="I66" s="125"/>
      <c r="J66" s="125"/>
      <c r="K66" s="125"/>
      <c r="L66" s="125"/>
    </row>
    <row r="67" spans="1:12" x14ac:dyDescent="0.25">
      <c r="A67" s="6"/>
      <c r="B67" s="6"/>
      <c r="C67" s="123"/>
      <c r="D67" s="123"/>
      <c r="E67" s="123"/>
      <c r="F67" s="124"/>
      <c r="G67" s="124"/>
      <c r="H67" s="6"/>
      <c r="I67" s="125"/>
      <c r="J67" s="125"/>
      <c r="K67" s="125"/>
      <c r="L67" s="125"/>
    </row>
    <row r="68" spans="1:12" x14ac:dyDescent="0.25">
      <c r="A68" s="6"/>
      <c r="B68" s="6"/>
      <c r="C68" s="123"/>
      <c r="D68" s="123"/>
      <c r="E68" s="123"/>
      <c r="F68" s="124"/>
      <c r="G68" s="124"/>
      <c r="H68" s="6"/>
      <c r="I68" s="125"/>
      <c r="J68" s="125"/>
      <c r="K68" s="125"/>
      <c r="L68" s="125"/>
    </row>
    <row r="69" spans="1:12" x14ac:dyDescent="0.25">
      <c r="A69" s="6"/>
      <c r="B69" s="6"/>
      <c r="C69" s="123"/>
      <c r="D69" s="123"/>
      <c r="E69" s="123"/>
      <c r="F69" s="124"/>
      <c r="G69" s="124"/>
      <c r="H69" s="6"/>
      <c r="I69" s="125"/>
      <c r="J69" s="125"/>
      <c r="K69" s="125"/>
      <c r="L69" s="125"/>
    </row>
    <row r="70" spans="1:12" x14ac:dyDescent="0.25">
      <c r="A70" s="6"/>
      <c r="B70" s="6"/>
      <c r="C70" s="123"/>
      <c r="D70" s="123"/>
      <c r="E70" s="123"/>
      <c r="F70" s="124"/>
      <c r="G70" s="124"/>
      <c r="H70" s="6"/>
      <c r="I70" s="125"/>
      <c r="J70" s="125"/>
      <c r="K70" s="125"/>
      <c r="L70" s="125"/>
    </row>
    <row r="71" spans="1:12" x14ac:dyDescent="0.25">
      <c r="A71" s="6"/>
      <c r="B71" s="6"/>
      <c r="C71" s="123"/>
      <c r="D71" s="123"/>
      <c r="E71" s="123"/>
      <c r="F71" s="124"/>
      <c r="G71" s="124"/>
      <c r="H71" s="6"/>
      <c r="I71" s="125"/>
      <c r="J71" s="125"/>
      <c r="K71" s="125"/>
      <c r="L71" s="125"/>
    </row>
    <row r="72" spans="1:12" x14ac:dyDescent="0.25">
      <c r="A72" s="6"/>
      <c r="B72" s="6"/>
      <c r="C72" s="123"/>
      <c r="D72" s="123"/>
      <c r="E72" s="123"/>
      <c r="F72" s="124"/>
      <c r="G72" s="124"/>
      <c r="H72" s="6"/>
      <c r="I72" s="125"/>
      <c r="J72" s="125"/>
      <c r="K72" s="125"/>
      <c r="L72" s="125"/>
    </row>
    <row r="73" spans="1:12" x14ac:dyDescent="0.25">
      <c r="A73" s="6"/>
      <c r="B73" s="6"/>
      <c r="C73" s="123"/>
      <c r="D73" s="123"/>
      <c r="E73" s="123"/>
      <c r="F73" s="124"/>
      <c r="G73" s="124"/>
      <c r="H73" s="6"/>
      <c r="I73" s="125"/>
      <c r="J73" s="125"/>
      <c r="K73" s="125"/>
      <c r="L73" s="125"/>
    </row>
    <row r="74" spans="1:12" x14ac:dyDescent="0.25">
      <c r="A74" s="6"/>
      <c r="B74" s="6"/>
      <c r="C74" s="123"/>
      <c r="D74" s="123"/>
      <c r="E74" s="123"/>
      <c r="F74" s="124"/>
      <c r="G74" s="124"/>
      <c r="H74" s="6"/>
      <c r="I74" s="125"/>
      <c r="J74" s="125"/>
      <c r="K74" s="125"/>
      <c r="L74" s="125"/>
    </row>
    <row r="75" spans="1:12" x14ac:dyDescent="0.25">
      <c r="A75" s="6"/>
      <c r="B75" s="6"/>
      <c r="C75" s="123"/>
      <c r="D75" s="123"/>
      <c r="E75" s="123"/>
      <c r="F75" s="124"/>
      <c r="G75" s="124"/>
      <c r="H75" s="6"/>
      <c r="I75" s="125"/>
      <c r="J75" s="125"/>
      <c r="K75" s="125"/>
      <c r="L75" s="125"/>
    </row>
    <row r="76" spans="1:12" x14ac:dyDescent="0.25">
      <c r="A76" s="6"/>
      <c r="B76" s="6"/>
      <c r="C76" s="123"/>
      <c r="D76" s="123"/>
      <c r="E76" s="123"/>
      <c r="F76" s="124"/>
      <c r="G76" s="124"/>
      <c r="H76" s="6"/>
      <c r="I76" s="125"/>
      <c r="J76" s="125"/>
      <c r="K76" s="125"/>
      <c r="L76" s="125"/>
    </row>
    <row r="77" spans="1:12" x14ac:dyDescent="0.25">
      <c r="A77" s="6"/>
      <c r="B77" s="6"/>
      <c r="C77" s="123"/>
      <c r="D77" s="123"/>
      <c r="E77" s="123"/>
      <c r="F77" s="124"/>
      <c r="G77" s="124"/>
      <c r="H77" s="6"/>
      <c r="I77" s="125"/>
      <c r="J77" s="125"/>
      <c r="K77" s="125"/>
      <c r="L77" s="125"/>
    </row>
    <row r="78" spans="1:12" x14ac:dyDescent="0.25">
      <c r="A78" s="6"/>
      <c r="B78" s="6"/>
      <c r="C78" s="123"/>
      <c r="D78" s="123"/>
      <c r="E78" s="123"/>
      <c r="F78" s="124"/>
      <c r="G78" s="124"/>
      <c r="H78" s="6"/>
      <c r="I78" s="125"/>
      <c r="J78" s="125"/>
      <c r="K78" s="125"/>
      <c r="L78" s="125"/>
    </row>
    <row r="79" spans="1:12" x14ac:dyDescent="0.25">
      <c r="A79" s="6"/>
      <c r="B79" s="6"/>
      <c r="C79" s="123"/>
      <c r="D79" s="123"/>
      <c r="E79" s="123"/>
      <c r="F79" s="124"/>
      <c r="G79" s="124"/>
      <c r="H79" s="6"/>
      <c r="I79" s="125"/>
      <c r="J79" s="125"/>
      <c r="K79" s="125"/>
      <c r="L79" s="125"/>
    </row>
    <row r="80" spans="1:12" x14ac:dyDescent="0.25">
      <c r="A80" s="6"/>
      <c r="B80" s="6"/>
      <c r="C80" s="123"/>
      <c r="D80" s="123"/>
      <c r="E80" s="123"/>
      <c r="F80" s="124"/>
      <c r="G80" s="124"/>
      <c r="H80" s="6"/>
      <c r="I80" s="125"/>
      <c r="J80" s="125"/>
      <c r="K80" s="125"/>
      <c r="L80" s="125"/>
    </row>
    <row r="81" spans="1:12" x14ac:dyDescent="0.25">
      <c r="A81" s="6"/>
      <c r="B81" s="6"/>
      <c r="C81" s="123"/>
      <c r="D81" s="123"/>
      <c r="E81" s="123"/>
      <c r="F81" s="124"/>
      <c r="G81" s="124"/>
      <c r="H81" s="6"/>
      <c r="I81" s="125"/>
      <c r="J81" s="125"/>
      <c r="K81" s="125"/>
      <c r="L81" s="125"/>
    </row>
    <row r="82" spans="1:12" x14ac:dyDescent="0.25">
      <c r="A82" s="6"/>
      <c r="B82" s="6"/>
      <c r="C82" s="123"/>
      <c r="D82" s="123"/>
      <c r="E82" s="123"/>
      <c r="F82" s="124"/>
      <c r="G82" s="124"/>
      <c r="H82" s="6"/>
      <c r="I82" s="125"/>
      <c r="J82" s="125"/>
      <c r="K82" s="125"/>
      <c r="L82" s="125"/>
    </row>
    <row r="83" spans="1:12" x14ac:dyDescent="0.25">
      <c r="A83" s="6"/>
      <c r="B83" s="6"/>
      <c r="C83" s="123"/>
      <c r="D83" s="123"/>
      <c r="E83" s="123"/>
      <c r="F83" s="124"/>
      <c r="G83" s="124"/>
      <c r="H83" s="6"/>
      <c r="I83" s="125"/>
      <c r="J83" s="125"/>
      <c r="K83" s="125"/>
      <c r="L83" s="125"/>
    </row>
    <row r="84" spans="1:12" x14ac:dyDescent="0.25">
      <c r="A84" s="6"/>
      <c r="B84" s="6"/>
      <c r="C84" s="123"/>
      <c r="D84" s="123"/>
      <c r="E84" s="123"/>
      <c r="F84" s="124"/>
      <c r="G84" s="124"/>
      <c r="H84" s="6"/>
      <c r="I84" s="125"/>
      <c r="J84" s="125"/>
      <c r="K84" s="125"/>
      <c r="L84" s="125"/>
    </row>
    <row r="85" spans="1:12" x14ac:dyDescent="0.25">
      <c r="A85" s="6"/>
      <c r="B85" s="6"/>
      <c r="C85" s="123"/>
      <c r="D85" s="123"/>
      <c r="E85" s="123"/>
      <c r="F85" s="124"/>
      <c r="G85" s="124"/>
      <c r="H85" s="6"/>
      <c r="I85" s="125"/>
      <c r="J85" s="125"/>
      <c r="K85" s="125"/>
      <c r="L85" s="125"/>
    </row>
    <row r="86" spans="1:12" x14ac:dyDescent="0.25">
      <c r="A86" s="6"/>
      <c r="B86" s="6"/>
      <c r="C86" s="123"/>
      <c r="D86" s="123"/>
      <c r="E86" s="123"/>
      <c r="F86" s="124"/>
      <c r="G86" s="124"/>
      <c r="H86" s="6"/>
      <c r="I86" s="125"/>
      <c r="J86" s="125"/>
      <c r="K86" s="125"/>
      <c r="L86" s="125"/>
    </row>
    <row r="87" spans="1:12" x14ac:dyDescent="0.25">
      <c r="A87" s="6"/>
      <c r="B87" s="6"/>
      <c r="C87" s="123"/>
      <c r="D87" s="123"/>
      <c r="E87" s="123"/>
      <c r="F87" s="124"/>
      <c r="G87" s="124"/>
      <c r="H87" s="6"/>
      <c r="I87" s="125"/>
      <c r="J87" s="125"/>
      <c r="K87" s="125"/>
      <c r="L87" s="125"/>
    </row>
    <row r="88" spans="1:12" x14ac:dyDescent="0.25">
      <c r="A88" s="6"/>
      <c r="B88" s="6"/>
      <c r="C88" s="123"/>
      <c r="D88" s="123"/>
      <c r="E88" s="123"/>
      <c r="F88" s="124"/>
      <c r="G88" s="124"/>
      <c r="H88" s="6"/>
      <c r="I88" s="125"/>
      <c r="J88" s="125"/>
      <c r="K88" s="125"/>
      <c r="L88" s="125"/>
    </row>
    <row r="89" spans="1:12" x14ac:dyDescent="0.25">
      <c r="A89" s="6"/>
      <c r="B89" s="6"/>
      <c r="C89" s="123"/>
      <c r="D89" s="123"/>
      <c r="E89" s="123"/>
      <c r="F89" s="124"/>
      <c r="G89" s="124"/>
      <c r="H89" s="6"/>
      <c r="I89" s="125"/>
      <c r="J89" s="125"/>
      <c r="K89" s="125"/>
      <c r="L89" s="125"/>
    </row>
    <row r="90" spans="1:12" x14ac:dyDescent="0.25">
      <c r="A90" s="6"/>
      <c r="B90" s="6"/>
      <c r="C90" s="123"/>
      <c r="D90" s="123"/>
      <c r="E90" s="123"/>
      <c r="F90" s="124"/>
      <c r="G90" s="124"/>
      <c r="H90" s="6"/>
      <c r="I90" s="125"/>
      <c r="J90" s="125"/>
      <c r="K90" s="125"/>
      <c r="L90" s="125"/>
    </row>
    <row r="91" spans="1:12" x14ac:dyDescent="0.25">
      <c r="A91" s="6"/>
      <c r="B91" s="6"/>
      <c r="C91" s="123"/>
      <c r="D91" s="123"/>
      <c r="E91" s="123"/>
      <c r="F91" s="124"/>
      <c r="G91" s="124"/>
      <c r="H91" s="6"/>
      <c r="I91" s="125"/>
      <c r="J91" s="125"/>
      <c r="K91" s="125"/>
      <c r="L91" s="125"/>
    </row>
    <row r="92" spans="1:12" x14ac:dyDescent="0.25">
      <c r="A92" s="6"/>
      <c r="B92" s="6"/>
      <c r="C92" s="123"/>
      <c r="D92" s="123"/>
      <c r="E92" s="123"/>
      <c r="F92" s="124"/>
      <c r="G92" s="124"/>
      <c r="H92" s="6"/>
      <c r="I92" s="125"/>
      <c r="J92" s="125"/>
      <c r="K92" s="125"/>
      <c r="L92" s="125"/>
    </row>
    <row r="93" spans="1:12" x14ac:dyDescent="0.25">
      <c r="A93" s="6"/>
      <c r="B93" s="6"/>
      <c r="C93" s="123"/>
      <c r="D93" s="123"/>
      <c r="E93" s="123"/>
      <c r="F93" s="124"/>
      <c r="G93" s="124"/>
      <c r="H93" s="6"/>
      <c r="I93" s="125"/>
      <c r="J93" s="125"/>
      <c r="K93" s="125"/>
      <c r="L93" s="125"/>
    </row>
    <row r="94" spans="1:12" x14ac:dyDescent="0.25">
      <c r="A94" s="6"/>
      <c r="B94" s="6"/>
      <c r="C94" s="123"/>
      <c r="D94" s="123"/>
      <c r="E94" s="123"/>
      <c r="F94" s="124"/>
      <c r="G94" s="124"/>
      <c r="H94" s="6"/>
      <c r="I94" s="125"/>
      <c r="J94" s="125"/>
      <c r="K94" s="125"/>
      <c r="L94" s="125"/>
    </row>
    <row r="95" spans="1:12" x14ac:dyDescent="0.25">
      <c r="A95" s="6"/>
      <c r="B95" s="6"/>
      <c r="C95" s="123"/>
      <c r="D95" s="123"/>
      <c r="E95" s="123"/>
      <c r="F95" s="124"/>
      <c r="G95" s="124"/>
      <c r="H95" s="6"/>
      <c r="I95" s="125"/>
      <c r="J95" s="125"/>
      <c r="K95" s="125"/>
      <c r="L95" s="125"/>
    </row>
    <row r="96" spans="1:12" x14ac:dyDescent="0.25">
      <c r="A96" s="6"/>
      <c r="B96" s="6"/>
      <c r="C96" s="123"/>
      <c r="D96" s="123"/>
      <c r="E96" s="123"/>
      <c r="F96" s="124"/>
      <c r="G96" s="124"/>
      <c r="H96" s="6"/>
      <c r="I96" s="125"/>
      <c r="J96" s="125"/>
      <c r="K96" s="125"/>
      <c r="L96" s="125"/>
    </row>
    <row r="97" spans="1:12" x14ac:dyDescent="0.25">
      <c r="A97" s="6"/>
      <c r="B97" s="6"/>
      <c r="C97" s="123"/>
      <c r="D97" s="123"/>
      <c r="E97" s="123"/>
      <c r="F97" s="124"/>
      <c r="G97" s="124"/>
      <c r="H97" s="6"/>
      <c r="I97" s="125"/>
      <c r="J97" s="125"/>
      <c r="K97" s="125"/>
      <c r="L97" s="125"/>
    </row>
    <row r="98" spans="1:12" x14ac:dyDescent="0.25">
      <c r="A98" s="6"/>
      <c r="B98" s="6"/>
      <c r="C98" s="123"/>
      <c r="D98" s="123"/>
      <c r="E98" s="123"/>
      <c r="F98" s="124"/>
      <c r="G98" s="124"/>
      <c r="H98" s="6"/>
      <c r="I98" s="125"/>
      <c r="J98" s="125"/>
      <c r="K98" s="125"/>
      <c r="L98" s="125"/>
    </row>
    <row r="99" spans="1:12" x14ac:dyDescent="0.25">
      <c r="A99" s="6"/>
      <c r="B99" s="6"/>
      <c r="C99" s="123"/>
      <c r="D99" s="123"/>
      <c r="E99" s="123"/>
      <c r="F99" s="124"/>
      <c r="G99" s="124"/>
      <c r="H99" s="6"/>
      <c r="I99" s="125"/>
      <c r="J99" s="125"/>
      <c r="K99" s="125"/>
      <c r="L99" s="125"/>
    </row>
    <row r="100" spans="1:12" x14ac:dyDescent="0.25">
      <c r="A100" s="6"/>
      <c r="B100" s="6"/>
      <c r="C100" s="123"/>
      <c r="D100" s="123"/>
      <c r="E100" s="123"/>
      <c r="F100" s="124"/>
      <c r="G100" s="124"/>
      <c r="H100" s="6"/>
      <c r="I100" s="125"/>
      <c r="J100" s="125"/>
      <c r="K100" s="125"/>
      <c r="L100" s="125"/>
    </row>
    <row r="101" spans="1:12" x14ac:dyDescent="0.25">
      <c r="A101" s="6"/>
      <c r="B101" s="6"/>
      <c r="C101" s="123"/>
      <c r="D101" s="123"/>
      <c r="E101" s="123"/>
      <c r="F101" s="124"/>
      <c r="G101" s="124"/>
      <c r="H101" s="6"/>
      <c r="I101" s="125"/>
      <c r="J101" s="125"/>
      <c r="K101" s="125"/>
      <c r="L101" s="125"/>
    </row>
    <row r="102" spans="1:12" x14ac:dyDescent="0.25">
      <c r="A102" s="6"/>
      <c r="B102" s="6"/>
      <c r="C102" s="123"/>
      <c r="D102" s="123"/>
      <c r="E102" s="123"/>
      <c r="F102" s="124"/>
      <c r="G102" s="124"/>
      <c r="H102" s="6"/>
      <c r="I102" s="125"/>
      <c r="J102" s="125"/>
      <c r="K102" s="125"/>
      <c r="L102" s="125"/>
    </row>
    <row r="103" spans="1:12" x14ac:dyDescent="0.25">
      <c r="A103" s="6"/>
      <c r="B103" s="6"/>
      <c r="C103" s="123"/>
      <c r="D103" s="123"/>
      <c r="E103" s="123"/>
      <c r="F103" s="124"/>
      <c r="G103" s="124"/>
      <c r="H103" s="6"/>
      <c r="I103" s="125"/>
      <c r="J103" s="125"/>
      <c r="K103" s="125"/>
      <c r="L103" s="125"/>
    </row>
    <row r="104" spans="1:12" x14ac:dyDescent="0.25">
      <c r="A104" s="6"/>
      <c r="B104" s="6"/>
      <c r="C104" s="123"/>
      <c r="D104" s="123"/>
      <c r="E104" s="123"/>
      <c r="F104" s="124"/>
      <c r="G104" s="124"/>
      <c r="H104" s="6"/>
      <c r="I104" s="125"/>
      <c r="J104" s="125"/>
      <c r="K104" s="125"/>
      <c r="L104" s="125"/>
    </row>
    <row r="105" spans="1:12" x14ac:dyDescent="0.25">
      <c r="A105" s="6"/>
      <c r="B105" s="6"/>
      <c r="C105" s="123"/>
      <c r="D105" s="123"/>
      <c r="E105" s="123"/>
      <c r="F105" s="124"/>
      <c r="G105" s="124"/>
      <c r="H105" s="6"/>
      <c r="I105" s="125"/>
      <c r="J105" s="125"/>
      <c r="K105" s="125"/>
      <c r="L105" s="125"/>
    </row>
    <row r="106" spans="1:12" x14ac:dyDescent="0.25">
      <c r="A106" s="6"/>
      <c r="B106" s="6"/>
      <c r="C106" s="123"/>
      <c r="D106" s="123"/>
      <c r="E106" s="123"/>
      <c r="F106" s="124"/>
      <c r="G106" s="124"/>
      <c r="H106" s="6"/>
      <c r="I106" s="125"/>
      <c r="J106" s="125"/>
      <c r="K106" s="125"/>
      <c r="L106" s="125"/>
    </row>
    <row r="107" spans="1:12" x14ac:dyDescent="0.25">
      <c r="A107" s="6"/>
      <c r="B107" s="6"/>
      <c r="C107" s="123"/>
      <c r="D107" s="123"/>
      <c r="E107" s="123"/>
      <c r="F107" s="124"/>
      <c r="G107" s="124"/>
      <c r="H107" s="6"/>
      <c r="I107" s="125"/>
      <c r="J107" s="125"/>
      <c r="K107" s="125"/>
      <c r="L107" s="125"/>
    </row>
    <row r="108" spans="1:12" x14ac:dyDescent="0.25">
      <c r="A108" s="6"/>
      <c r="B108" s="6"/>
      <c r="C108" s="123"/>
      <c r="D108" s="123"/>
      <c r="E108" s="123"/>
      <c r="F108" s="124"/>
      <c r="G108" s="124"/>
      <c r="H108" s="6"/>
      <c r="I108" s="125"/>
      <c r="J108" s="125"/>
      <c r="K108" s="125"/>
      <c r="L108" s="125"/>
    </row>
    <row r="109" spans="1:12" x14ac:dyDescent="0.25">
      <c r="A109" s="6"/>
      <c r="B109" s="6"/>
      <c r="C109" s="123"/>
      <c r="D109" s="123"/>
      <c r="E109" s="123"/>
      <c r="F109" s="124"/>
      <c r="G109" s="124"/>
      <c r="H109" s="6"/>
      <c r="I109" s="125"/>
      <c r="J109" s="125"/>
      <c r="K109" s="125"/>
      <c r="L109" s="125"/>
    </row>
    <row r="110" spans="1:12" x14ac:dyDescent="0.25">
      <c r="A110" s="6"/>
      <c r="B110" s="6"/>
      <c r="C110" s="123"/>
      <c r="D110" s="123"/>
      <c r="E110" s="123"/>
      <c r="F110" s="124"/>
      <c r="G110" s="124"/>
      <c r="H110" s="6"/>
      <c r="I110" s="125"/>
      <c r="J110" s="125"/>
      <c r="K110" s="125"/>
      <c r="L110" s="125"/>
    </row>
    <row r="111" spans="1:12" x14ac:dyDescent="0.25">
      <c r="A111" s="6"/>
      <c r="B111" s="6"/>
      <c r="C111" s="123"/>
      <c r="D111" s="123"/>
      <c r="E111" s="123"/>
      <c r="F111" s="124"/>
      <c r="G111" s="124"/>
      <c r="H111" s="6"/>
      <c r="I111" s="125"/>
      <c r="J111" s="125"/>
      <c r="K111" s="125"/>
      <c r="L111" s="125"/>
    </row>
    <row r="112" spans="1:12" x14ac:dyDescent="0.25">
      <c r="A112" s="6"/>
      <c r="B112" s="6"/>
      <c r="C112" s="123"/>
      <c r="D112" s="123"/>
      <c r="E112" s="123"/>
      <c r="F112" s="124"/>
      <c r="G112" s="124"/>
      <c r="H112" s="6"/>
      <c r="I112" s="125"/>
      <c r="J112" s="125"/>
      <c r="K112" s="125"/>
      <c r="L112" s="125"/>
    </row>
    <row r="113" spans="1:12" x14ac:dyDescent="0.25">
      <c r="A113" s="6"/>
      <c r="B113" s="6"/>
      <c r="C113" s="123"/>
      <c r="D113" s="123"/>
      <c r="E113" s="123"/>
      <c r="F113" s="124"/>
      <c r="G113" s="124"/>
      <c r="H113" s="6"/>
      <c r="I113" s="125"/>
      <c r="J113" s="125"/>
      <c r="K113" s="125"/>
      <c r="L113" s="125"/>
    </row>
    <row r="114" spans="1:12" x14ac:dyDescent="0.25">
      <c r="A114" s="6"/>
      <c r="B114" s="6"/>
      <c r="C114" s="123"/>
      <c r="D114" s="123"/>
      <c r="E114" s="123"/>
      <c r="F114" s="124"/>
      <c r="G114" s="124"/>
      <c r="H114" s="6"/>
      <c r="I114" s="125"/>
      <c r="J114" s="125"/>
      <c r="K114" s="125"/>
      <c r="L114" s="125"/>
    </row>
    <row r="115" spans="1:12" x14ac:dyDescent="0.25">
      <c r="A115" s="6"/>
      <c r="B115" s="6"/>
      <c r="C115" s="123"/>
      <c r="D115" s="123"/>
      <c r="E115" s="123"/>
      <c r="F115" s="124"/>
      <c r="G115" s="124"/>
      <c r="H115" s="6"/>
      <c r="I115" s="125"/>
      <c r="J115" s="125"/>
      <c r="K115" s="125"/>
      <c r="L115" s="125"/>
    </row>
    <row r="116" spans="1:12" x14ac:dyDescent="0.25">
      <c r="A116" s="6"/>
      <c r="B116" s="6"/>
      <c r="C116" s="123"/>
      <c r="D116" s="123"/>
      <c r="E116" s="123"/>
      <c r="F116" s="124"/>
      <c r="G116" s="124"/>
      <c r="H116" s="6"/>
      <c r="I116" s="125"/>
      <c r="J116" s="125"/>
      <c r="K116" s="125"/>
      <c r="L116" s="125"/>
    </row>
    <row r="117" spans="1:12" x14ac:dyDescent="0.25">
      <c r="A117" s="6"/>
      <c r="B117" s="6"/>
      <c r="C117" s="123"/>
      <c r="D117" s="123"/>
      <c r="E117" s="123"/>
      <c r="F117" s="124"/>
      <c r="G117" s="124"/>
      <c r="H117" s="6"/>
      <c r="I117" s="125"/>
      <c r="J117" s="125"/>
      <c r="K117" s="125"/>
      <c r="L117" s="125"/>
    </row>
    <row r="118" spans="1:12" x14ac:dyDescent="0.25">
      <c r="A118" s="6"/>
      <c r="B118" s="6"/>
      <c r="C118" s="123"/>
      <c r="D118" s="123"/>
      <c r="E118" s="123"/>
      <c r="F118" s="124"/>
      <c r="G118" s="124"/>
      <c r="H118" s="6"/>
      <c r="I118" s="125"/>
      <c r="J118" s="125"/>
      <c r="K118" s="125"/>
      <c r="L118" s="125"/>
    </row>
    <row r="119" spans="1:12" x14ac:dyDescent="0.25">
      <c r="A119" s="6"/>
      <c r="B119" s="6"/>
      <c r="C119" s="123"/>
      <c r="D119" s="123"/>
      <c r="E119" s="123"/>
      <c r="F119" s="124"/>
      <c r="G119" s="124"/>
      <c r="H119" s="6"/>
      <c r="I119" s="125"/>
      <c r="J119" s="125"/>
      <c r="K119" s="125"/>
      <c r="L119" s="125"/>
    </row>
    <row r="120" spans="1:12" x14ac:dyDescent="0.25">
      <c r="A120" s="6"/>
      <c r="B120" s="6"/>
      <c r="C120" s="123"/>
      <c r="D120" s="123"/>
      <c r="E120" s="123"/>
      <c r="F120" s="124"/>
      <c r="G120" s="124"/>
      <c r="H120" s="6"/>
      <c r="I120" s="125"/>
      <c r="J120" s="125"/>
      <c r="K120" s="125"/>
      <c r="L120" s="125"/>
    </row>
    <row r="121" spans="1:12" x14ac:dyDescent="0.25">
      <c r="A121" s="6"/>
      <c r="B121" s="6"/>
      <c r="C121" s="123"/>
      <c r="D121" s="123"/>
      <c r="E121" s="123"/>
      <c r="F121" s="124"/>
      <c r="G121" s="124"/>
      <c r="H121" s="6"/>
      <c r="I121" s="125"/>
      <c r="J121" s="125"/>
      <c r="K121" s="125"/>
      <c r="L121" s="125"/>
    </row>
    <row r="122" spans="1:12" x14ac:dyDescent="0.25">
      <c r="A122" s="6"/>
      <c r="B122" s="6"/>
      <c r="C122" s="123"/>
      <c r="D122" s="123"/>
      <c r="E122" s="123"/>
      <c r="F122" s="124"/>
      <c r="G122" s="124"/>
      <c r="H122" s="6"/>
      <c r="I122" s="125"/>
      <c r="J122" s="125"/>
      <c r="K122" s="125"/>
      <c r="L122" s="125"/>
    </row>
    <row r="123" spans="1:12" x14ac:dyDescent="0.25">
      <c r="A123" s="6"/>
      <c r="B123" s="6"/>
      <c r="C123" s="123"/>
      <c r="D123" s="123"/>
      <c r="E123" s="123"/>
      <c r="F123" s="124"/>
      <c r="G123" s="124"/>
      <c r="H123" s="6"/>
      <c r="I123" s="125"/>
      <c r="J123" s="125"/>
      <c r="K123" s="125"/>
      <c r="L123" s="125"/>
    </row>
    <row r="124" spans="1:12" x14ac:dyDescent="0.25">
      <c r="A124" s="6"/>
      <c r="B124" s="6"/>
      <c r="C124" s="123"/>
      <c r="D124" s="123"/>
      <c r="E124" s="123"/>
      <c r="F124" s="124"/>
      <c r="G124" s="124"/>
      <c r="H124" s="6"/>
      <c r="I124" s="125"/>
      <c r="J124" s="125"/>
      <c r="K124" s="125"/>
      <c r="L124" s="125"/>
    </row>
    <row r="125" spans="1:12" x14ac:dyDescent="0.25">
      <c r="A125" s="6"/>
      <c r="B125" s="6"/>
      <c r="C125" s="123"/>
      <c r="D125" s="123"/>
      <c r="E125" s="123"/>
      <c r="F125" s="124"/>
      <c r="G125" s="124"/>
      <c r="H125" s="6"/>
      <c r="I125" s="125"/>
      <c r="J125" s="125"/>
      <c r="K125" s="125"/>
      <c r="L125" s="125"/>
    </row>
    <row r="126" spans="1:12" x14ac:dyDescent="0.25">
      <c r="A126" s="6"/>
      <c r="B126" s="6"/>
      <c r="C126" s="123"/>
      <c r="D126" s="123"/>
      <c r="E126" s="123"/>
      <c r="F126" s="124"/>
      <c r="G126" s="124"/>
      <c r="H126" s="6"/>
      <c r="I126" s="125"/>
      <c r="J126" s="125"/>
      <c r="K126" s="125"/>
      <c r="L126" s="125"/>
    </row>
    <row r="127" spans="1:12" x14ac:dyDescent="0.25">
      <c r="A127" s="6"/>
      <c r="B127" s="6"/>
      <c r="C127" s="123"/>
      <c r="D127" s="123"/>
      <c r="E127" s="123"/>
      <c r="F127" s="124"/>
      <c r="G127" s="124"/>
      <c r="H127" s="6"/>
      <c r="I127" s="125"/>
      <c r="J127" s="125"/>
      <c r="K127" s="125"/>
      <c r="L127" s="125"/>
    </row>
    <row r="128" spans="1:12" x14ac:dyDescent="0.25">
      <c r="A128" s="6"/>
      <c r="B128" s="6"/>
      <c r="C128" s="123"/>
      <c r="D128" s="123"/>
      <c r="E128" s="123"/>
      <c r="F128" s="124"/>
      <c r="G128" s="124"/>
      <c r="H128" s="6"/>
      <c r="I128" s="125"/>
      <c r="J128" s="125"/>
      <c r="K128" s="125"/>
      <c r="L128" s="125"/>
    </row>
    <row r="129" spans="1:12" x14ac:dyDescent="0.25">
      <c r="A129" s="6"/>
      <c r="B129" s="6"/>
      <c r="C129" s="123"/>
      <c r="D129" s="123"/>
      <c r="E129" s="123"/>
      <c r="F129" s="124"/>
      <c r="G129" s="124"/>
      <c r="H129" s="6"/>
      <c r="I129" s="125"/>
      <c r="J129" s="125"/>
      <c r="K129" s="125"/>
      <c r="L129" s="125"/>
    </row>
    <row r="130" spans="1:12" x14ac:dyDescent="0.25">
      <c r="A130" s="6"/>
      <c r="B130" s="6"/>
      <c r="C130" s="123"/>
      <c r="D130" s="123"/>
      <c r="E130" s="123"/>
      <c r="F130" s="124"/>
      <c r="G130" s="124"/>
      <c r="H130" s="6"/>
      <c r="I130" s="125"/>
      <c r="J130" s="125"/>
      <c r="K130" s="125"/>
      <c r="L130" s="125"/>
    </row>
    <row r="131" spans="1:12" x14ac:dyDescent="0.25">
      <c r="A131" s="6"/>
      <c r="B131" s="6"/>
      <c r="C131" s="123"/>
      <c r="D131" s="123"/>
      <c r="E131" s="123"/>
      <c r="F131" s="124"/>
      <c r="G131" s="124"/>
      <c r="H131" s="6"/>
      <c r="I131" s="125"/>
      <c r="J131" s="125"/>
      <c r="K131" s="125"/>
      <c r="L131" s="125"/>
    </row>
    <row r="132" spans="1:12" x14ac:dyDescent="0.25">
      <c r="A132" s="6"/>
      <c r="B132" s="6"/>
      <c r="C132" s="123"/>
      <c r="D132" s="123"/>
      <c r="E132" s="123"/>
      <c r="F132" s="124"/>
      <c r="G132" s="124"/>
      <c r="H132" s="6"/>
      <c r="I132" s="125"/>
      <c r="J132" s="125"/>
      <c r="K132" s="125"/>
      <c r="L132" s="125"/>
    </row>
    <row r="133" spans="1:12" x14ac:dyDescent="0.25">
      <c r="A133" s="6"/>
      <c r="B133" s="6"/>
      <c r="C133" s="123"/>
      <c r="D133" s="123"/>
      <c r="E133" s="123"/>
      <c r="F133" s="124"/>
      <c r="G133" s="124"/>
      <c r="H133" s="6"/>
      <c r="I133" s="125"/>
      <c r="J133" s="125"/>
      <c r="K133" s="125"/>
      <c r="L133" s="125"/>
    </row>
    <row r="134" spans="1:12" x14ac:dyDescent="0.25">
      <c r="A134" s="6"/>
      <c r="B134" s="6"/>
      <c r="C134" s="123"/>
      <c r="D134" s="123"/>
      <c r="E134" s="123"/>
      <c r="F134" s="124"/>
      <c r="G134" s="124"/>
      <c r="H134" s="6"/>
      <c r="I134" s="125"/>
      <c r="J134" s="125"/>
      <c r="K134" s="125"/>
      <c r="L134" s="125"/>
    </row>
    <row r="135" spans="1:12" x14ac:dyDescent="0.25">
      <c r="A135" s="6"/>
      <c r="B135" s="6"/>
      <c r="C135" s="123"/>
      <c r="D135" s="123"/>
      <c r="E135" s="123"/>
      <c r="F135" s="124"/>
      <c r="G135" s="124"/>
      <c r="H135" s="6"/>
      <c r="I135" s="125"/>
      <c r="J135" s="125"/>
      <c r="K135" s="125"/>
      <c r="L135" s="125"/>
    </row>
    <row r="136" spans="1:12" x14ac:dyDescent="0.25">
      <c r="A136" s="6"/>
      <c r="B136" s="6"/>
      <c r="C136" s="123"/>
      <c r="D136" s="123"/>
      <c r="E136" s="123"/>
      <c r="F136" s="124"/>
      <c r="G136" s="124"/>
      <c r="H136" s="6"/>
      <c r="I136" s="125"/>
      <c r="J136" s="125"/>
      <c r="K136" s="125"/>
      <c r="L136" s="125"/>
    </row>
    <row r="137" spans="1:12" x14ac:dyDescent="0.25">
      <c r="A137" s="6"/>
      <c r="B137" s="6"/>
      <c r="C137" s="123"/>
      <c r="D137" s="123"/>
      <c r="E137" s="123"/>
      <c r="F137" s="124"/>
      <c r="G137" s="124"/>
      <c r="H137" s="6"/>
      <c r="I137" s="125"/>
      <c r="J137" s="125"/>
      <c r="K137" s="125"/>
      <c r="L137" s="125"/>
    </row>
    <row r="138" spans="1:12" x14ac:dyDescent="0.25">
      <c r="A138" s="6"/>
      <c r="B138" s="6"/>
      <c r="C138" s="123"/>
      <c r="D138" s="123"/>
      <c r="E138" s="123"/>
      <c r="F138" s="124"/>
      <c r="G138" s="124"/>
      <c r="H138" s="6"/>
      <c r="I138" s="125"/>
      <c r="J138" s="125"/>
      <c r="K138" s="125"/>
      <c r="L138" s="125"/>
    </row>
    <row r="139" spans="1:12" x14ac:dyDescent="0.25">
      <c r="A139" s="6"/>
      <c r="B139" s="6"/>
      <c r="C139" s="123"/>
      <c r="D139" s="123"/>
      <c r="E139" s="123"/>
      <c r="F139" s="124"/>
      <c r="G139" s="124"/>
      <c r="H139" s="6"/>
      <c r="I139" s="125"/>
      <c r="J139" s="125"/>
      <c r="K139" s="125"/>
      <c r="L139" s="125"/>
    </row>
    <row r="140" spans="1:12" x14ac:dyDescent="0.25">
      <c r="A140" s="6"/>
      <c r="B140" s="6"/>
      <c r="C140" s="123"/>
      <c r="D140" s="123"/>
      <c r="E140" s="123"/>
      <c r="F140" s="124"/>
      <c r="G140" s="124"/>
      <c r="H140" s="6"/>
      <c r="I140" s="125"/>
      <c r="J140" s="125"/>
      <c r="K140" s="125"/>
      <c r="L140" s="125"/>
    </row>
    <row r="141" spans="1:12" x14ac:dyDescent="0.25">
      <c r="A141" s="6"/>
      <c r="B141" s="6"/>
      <c r="C141" s="123"/>
      <c r="D141" s="123"/>
      <c r="E141" s="123"/>
      <c r="F141" s="124"/>
      <c r="G141" s="124"/>
      <c r="H141" s="6"/>
      <c r="I141" s="125"/>
      <c r="J141" s="125"/>
      <c r="K141" s="125"/>
      <c r="L141" s="125"/>
    </row>
    <row r="142" spans="1:12" x14ac:dyDescent="0.25">
      <c r="A142" s="6"/>
      <c r="B142" s="6"/>
      <c r="C142" s="123"/>
      <c r="D142" s="123"/>
      <c r="E142" s="123"/>
      <c r="F142" s="124"/>
      <c r="G142" s="124"/>
      <c r="H142" s="6"/>
      <c r="I142" s="125"/>
      <c r="J142" s="125"/>
      <c r="K142" s="125"/>
      <c r="L142" s="125"/>
    </row>
    <row r="143" spans="1:12" x14ac:dyDescent="0.25">
      <c r="A143" s="6"/>
      <c r="B143" s="6"/>
      <c r="C143" s="123"/>
      <c r="D143" s="123"/>
      <c r="E143" s="123"/>
      <c r="F143" s="124"/>
      <c r="G143" s="124"/>
      <c r="H143" s="6"/>
      <c r="I143" s="125"/>
      <c r="J143" s="125"/>
      <c r="K143" s="125"/>
      <c r="L143" s="125"/>
    </row>
    <row r="144" spans="1:12" x14ac:dyDescent="0.25">
      <c r="A144" s="6"/>
      <c r="B144" s="6"/>
      <c r="C144" s="123"/>
      <c r="D144" s="123"/>
      <c r="E144" s="123"/>
      <c r="F144" s="124"/>
      <c r="G144" s="124"/>
      <c r="H144" s="6"/>
      <c r="I144" s="125"/>
      <c r="J144" s="125"/>
      <c r="K144" s="125"/>
      <c r="L144" s="125"/>
    </row>
    <row r="145" spans="1:12" x14ac:dyDescent="0.25">
      <c r="A145" s="6"/>
      <c r="B145" s="6"/>
      <c r="C145" s="123"/>
      <c r="D145" s="123"/>
      <c r="E145" s="123"/>
      <c r="F145" s="124"/>
      <c r="G145" s="124"/>
      <c r="H145" s="6"/>
      <c r="I145" s="125"/>
      <c r="J145" s="125"/>
      <c r="K145" s="125"/>
      <c r="L145" s="125"/>
    </row>
    <row r="146" spans="1:12" x14ac:dyDescent="0.25">
      <c r="A146" s="6"/>
      <c r="B146" s="6"/>
      <c r="C146" s="123"/>
      <c r="D146" s="123"/>
      <c r="E146" s="123"/>
      <c r="F146" s="124"/>
      <c r="G146" s="124"/>
      <c r="H146" s="6"/>
      <c r="I146" s="125"/>
      <c r="J146" s="125"/>
      <c r="K146" s="125"/>
      <c r="L146" s="125"/>
    </row>
    <row r="147" spans="1:12" x14ac:dyDescent="0.25">
      <c r="A147" s="6"/>
      <c r="B147" s="6"/>
      <c r="C147" s="123"/>
      <c r="D147" s="123"/>
      <c r="E147" s="123"/>
      <c r="F147" s="124"/>
      <c r="G147" s="124"/>
      <c r="H147" s="6"/>
      <c r="I147" s="125"/>
      <c r="J147" s="125"/>
      <c r="K147" s="125"/>
      <c r="L147" s="125"/>
    </row>
    <row r="148" spans="1:12" x14ac:dyDescent="0.25">
      <c r="A148" s="6"/>
      <c r="B148" s="6"/>
      <c r="C148" s="123"/>
      <c r="D148" s="123"/>
      <c r="E148" s="123"/>
      <c r="F148" s="124"/>
      <c r="G148" s="124"/>
      <c r="H148" s="6"/>
      <c r="I148" s="125"/>
      <c r="J148" s="125"/>
      <c r="K148" s="125"/>
      <c r="L148" s="125"/>
    </row>
    <row r="149" spans="1:12" x14ac:dyDescent="0.25">
      <c r="A149" s="6"/>
      <c r="B149" s="6"/>
      <c r="C149" s="123"/>
      <c r="D149" s="123"/>
      <c r="E149" s="123"/>
      <c r="F149" s="124"/>
      <c r="G149" s="124"/>
      <c r="H149" s="6"/>
      <c r="I149" s="125"/>
      <c r="J149" s="125"/>
      <c r="K149" s="125"/>
      <c r="L149" s="125"/>
    </row>
    <row r="150" spans="1:12" x14ac:dyDescent="0.25">
      <c r="A150" s="6"/>
      <c r="B150" s="6"/>
      <c r="C150" s="123"/>
      <c r="D150" s="123"/>
      <c r="E150" s="123"/>
      <c r="F150" s="124"/>
      <c r="G150" s="124"/>
      <c r="H150" s="6"/>
      <c r="I150" s="125"/>
      <c r="J150" s="125"/>
      <c r="K150" s="125"/>
      <c r="L150" s="125"/>
    </row>
    <row r="151" spans="1:12" x14ac:dyDescent="0.25">
      <c r="A151" s="6"/>
      <c r="B151" s="6"/>
      <c r="C151" s="123"/>
      <c r="D151" s="123"/>
      <c r="E151" s="123"/>
      <c r="F151" s="124"/>
      <c r="G151" s="124"/>
      <c r="H151" s="6"/>
      <c r="I151" s="125"/>
      <c r="J151" s="125"/>
      <c r="K151" s="125"/>
      <c r="L151" s="125"/>
    </row>
    <row r="152" spans="1:12" x14ac:dyDescent="0.25">
      <c r="A152" s="6"/>
      <c r="B152" s="6"/>
      <c r="C152" s="123"/>
      <c r="D152" s="123"/>
      <c r="E152" s="123"/>
      <c r="F152" s="124"/>
      <c r="G152" s="124"/>
      <c r="H152" s="6"/>
      <c r="I152" s="125"/>
      <c r="J152" s="125"/>
      <c r="K152" s="125"/>
      <c r="L152" s="125"/>
    </row>
    <row r="153" spans="1:12" x14ac:dyDescent="0.25">
      <c r="A153" s="6"/>
      <c r="B153" s="6"/>
      <c r="C153" s="123"/>
      <c r="D153" s="123"/>
      <c r="E153" s="123"/>
      <c r="F153" s="124"/>
      <c r="G153" s="124"/>
      <c r="H153" s="6"/>
      <c r="I153" s="125"/>
      <c r="J153" s="125"/>
      <c r="K153" s="125"/>
      <c r="L153" s="125"/>
    </row>
    <row r="154" spans="1:12" x14ac:dyDescent="0.25">
      <c r="A154" s="6"/>
      <c r="B154" s="6"/>
      <c r="C154" s="123"/>
      <c r="D154" s="123"/>
      <c r="E154" s="123"/>
      <c r="F154" s="124"/>
      <c r="G154" s="124"/>
      <c r="H154" s="6"/>
      <c r="I154" s="125"/>
      <c r="J154" s="125"/>
      <c r="K154" s="125"/>
      <c r="L154" s="125"/>
    </row>
    <row r="155" spans="1:12" x14ac:dyDescent="0.25">
      <c r="A155" s="6"/>
      <c r="B155" s="6"/>
      <c r="C155" s="123"/>
      <c r="D155" s="123"/>
      <c r="E155" s="123"/>
      <c r="F155" s="124"/>
      <c r="G155" s="124"/>
      <c r="H155" s="6"/>
      <c r="I155" s="125"/>
      <c r="J155" s="125"/>
      <c r="K155" s="125"/>
      <c r="L155" s="125"/>
    </row>
    <row r="156" spans="1:12" x14ac:dyDescent="0.25">
      <c r="A156" s="6"/>
      <c r="B156" s="6"/>
      <c r="C156" s="123"/>
      <c r="D156" s="123"/>
      <c r="E156" s="123"/>
      <c r="F156" s="124"/>
      <c r="G156" s="124"/>
      <c r="H156" s="6"/>
      <c r="I156" s="125"/>
      <c r="J156" s="125"/>
      <c r="K156" s="125"/>
      <c r="L156" s="125"/>
    </row>
    <row r="157" spans="1:12" x14ac:dyDescent="0.25">
      <c r="A157" s="6"/>
      <c r="B157" s="6"/>
      <c r="C157" s="123"/>
      <c r="D157" s="123"/>
      <c r="E157" s="123"/>
      <c r="F157" s="124"/>
      <c r="G157" s="124"/>
      <c r="H157" s="6"/>
      <c r="I157" s="125"/>
      <c r="J157" s="125"/>
      <c r="K157" s="125"/>
      <c r="L157" s="125"/>
    </row>
    <row r="158" spans="1:12" x14ac:dyDescent="0.25">
      <c r="A158" s="6"/>
      <c r="B158" s="6"/>
      <c r="C158" s="123"/>
      <c r="D158" s="123"/>
      <c r="E158" s="123"/>
      <c r="F158" s="124"/>
      <c r="G158" s="124"/>
      <c r="H158" s="6"/>
      <c r="I158" s="125"/>
      <c r="J158" s="125"/>
      <c r="K158" s="125"/>
      <c r="L158" s="125"/>
    </row>
    <row r="159" spans="1:12" x14ac:dyDescent="0.25">
      <c r="A159" s="6"/>
      <c r="B159" s="6"/>
      <c r="C159" s="123"/>
      <c r="D159" s="123"/>
      <c r="E159" s="123"/>
      <c r="F159" s="124"/>
      <c r="G159" s="124"/>
      <c r="H159" s="6"/>
      <c r="I159" s="125"/>
      <c r="J159" s="125"/>
      <c r="K159" s="125"/>
      <c r="L159" s="125"/>
    </row>
    <row r="160" spans="1:12" x14ac:dyDescent="0.25">
      <c r="A160" s="6"/>
      <c r="B160" s="6"/>
      <c r="C160" s="123"/>
      <c r="D160" s="123"/>
      <c r="E160" s="123"/>
      <c r="F160" s="124"/>
      <c r="G160" s="124"/>
      <c r="H160" s="6"/>
      <c r="I160" s="125"/>
      <c r="J160" s="125"/>
      <c r="K160" s="125"/>
      <c r="L160" s="125"/>
    </row>
    <row r="161" spans="1:12" x14ac:dyDescent="0.25">
      <c r="A161" s="6"/>
      <c r="B161" s="6"/>
      <c r="C161" s="123"/>
      <c r="D161" s="123"/>
      <c r="E161" s="123"/>
      <c r="F161" s="124"/>
      <c r="G161" s="124"/>
      <c r="H161" s="6"/>
      <c r="I161" s="125"/>
      <c r="J161" s="125"/>
      <c r="K161" s="125"/>
      <c r="L161" s="125"/>
    </row>
    <row r="162" spans="1:12" x14ac:dyDescent="0.25">
      <c r="A162" s="6"/>
      <c r="B162" s="6"/>
      <c r="C162" s="123"/>
      <c r="D162" s="123"/>
      <c r="E162" s="123"/>
      <c r="F162" s="124"/>
      <c r="G162" s="124"/>
      <c r="H162" s="6"/>
      <c r="I162" s="125"/>
      <c r="J162" s="125"/>
      <c r="K162" s="125"/>
      <c r="L162" s="125"/>
    </row>
    <row r="163" spans="1:12" x14ac:dyDescent="0.25">
      <c r="A163" s="6"/>
      <c r="B163" s="6"/>
      <c r="C163" s="123"/>
      <c r="D163" s="123"/>
      <c r="E163" s="123"/>
      <c r="F163" s="124"/>
      <c r="G163" s="124"/>
      <c r="H163" s="6"/>
      <c r="I163" s="125"/>
      <c r="J163" s="125"/>
      <c r="K163" s="125"/>
      <c r="L163" s="125"/>
    </row>
    <row r="164" spans="1:12" x14ac:dyDescent="0.25">
      <c r="A164" s="6"/>
      <c r="B164" s="6"/>
      <c r="C164" s="123"/>
      <c r="D164" s="123"/>
      <c r="E164" s="123"/>
      <c r="F164" s="124"/>
      <c r="G164" s="124"/>
      <c r="H164" s="6"/>
      <c r="I164" s="125"/>
      <c r="J164" s="125"/>
      <c r="K164" s="125"/>
      <c r="L164" s="125"/>
    </row>
    <row r="165" spans="1:12" x14ac:dyDescent="0.25">
      <c r="A165" s="6"/>
      <c r="B165" s="6"/>
      <c r="C165" s="123"/>
      <c r="D165" s="123"/>
      <c r="E165" s="123"/>
      <c r="F165" s="124"/>
      <c r="G165" s="124"/>
      <c r="H165" s="6"/>
      <c r="I165" s="125"/>
      <c r="J165" s="125"/>
      <c r="K165" s="125"/>
      <c r="L165" s="125"/>
    </row>
    <row r="166" spans="1:12" x14ac:dyDescent="0.25">
      <c r="A166" s="6"/>
      <c r="B166" s="6"/>
      <c r="C166" s="123"/>
      <c r="D166" s="123"/>
      <c r="E166" s="123"/>
      <c r="F166" s="124"/>
      <c r="G166" s="124"/>
      <c r="H166" s="6"/>
      <c r="I166" s="125"/>
      <c r="J166" s="125"/>
      <c r="K166" s="125"/>
      <c r="L166" s="125"/>
    </row>
    <row r="167" spans="1:12" x14ac:dyDescent="0.25">
      <c r="A167" s="6"/>
      <c r="B167" s="6"/>
      <c r="C167" s="123"/>
      <c r="D167" s="123"/>
      <c r="E167" s="123"/>
      <c r="F167" s="124"/>
      <c r="G167" s="124"/>
      <c r="H167" s="6"/>
      <c r="I167" s="125"/>
      <c r="J167" s="125"/>
      <c r="K167" s="125"/>
      <c r="L167" s="125"/>
    </row>
    <row r="168" spans="1:12" x14ac:dyDescent="0.25">
      <c r="A168" s="6"/>
      <c r="B168" s="6"/>
      <c r="C168" s="123"/>
      <c r="D168" s="123"/>
      <c r="E168" s="123"/>
      <c r="F168" s="124"/>
      <c r="G168" s="124"/>
      <c r="H168" s="6"/>
      <c r="I168" s="125"/>
      <c r="J168" s="125"/>
      <c r="K168" s="125"/>
      <c r="L168" s="125"/>
    </row>
    <row r="169" spans="1:12" x14ac:dyDescent="0.25">
      <c r="A169" s="6"/>
      <c r="B169" s="6"/>
      <c r="C169" s="123"/>
      <c r="D169" s="123"/>
      <c r="E169" s="123"/>
      <c r="F169" s="124"/>
      <c r="G169" s="124"/>
      <c r="H169" s="6"/>
      <c r="I169" s="125"/>
      <c r="J169" s="125"/>
      <c r="K169" s="125"/>
      <c r="L169" s="125"/>
    </row>
    <row r="170" spans="1:12" x14ac:dyDescent="0.25">
      <c r="A170" s="6"/>
      <c r="B170" s="6"/>
      <c r="C170" s="123"/>
      <c r="D170" s="123"/>
      <c r="E170" s="123"/>
      <c r="F170" s="124"/>
      <c r="G170" s="124"/>
      <c r="H170" s="6"/>
      <c r="I170" s="125"/>
      <c r="J170" s="125"/>
      <c r="K170" s="125"/>
      <c r="L170" s="125"/>
    </row>
    <row r="171" spans="1:12" x14ac:dyDescent="0.25">
      <c r="A171" s="6"/>
      <c r="B171" s="6"/>
      <c r="C171" s="123"/>
      <c r="D171" s="123"/>
      <c r="E171" s="123"/>
      <c r="F171" s="124"/>
      <c r="G171" s="124"/>
      <c r="H171" s="6"/>
      <c r="I171" s="125"/>
      <c r="J171" s="125"/>
      <c r="K171" s="125"/>
      <c r="L171" s="125"/>
    </row>
    <row r="172" spans="1:12" x14ac:dyDescent="0.25">
      <c r="A172" s="6"/>
      <c r="B172" s="6"/>
      <c r="C172" s="123"/>
      <c r="D172" s="123"/>
      <c r="E172" s="123"/>
      <c r="F172" s="124"/>
      <c r="G172" s="124"/>
      <c r="H172" s="6"/>
      <c r="I172" s="125"/>
      <c r="J172" s="125"/>
      <c r="K172" s="125"/>
      <c r="L172" s="125"/>
    </row>
    <row r="173" spans="1:12" x14ac:dyDescent="0.25">
      <c r="A173" s="6"/>
      <c r="B173" s="6"/>
      <c r="C173" s="123"/>
      <c r="D173" s="123"/>
      <c r="E173" s="123"/>
      <c r="F173" s="124"/>
      <c r="G173" s="124"/>
      <c r="H173" s="6"/>
      <c r="I173" s="125"/>
      <c r="J173" s="125"/>
      <c r="K173" s="125"/>
      <c r="L173" s="125"/>
    </row>
    <row r="174" spans="1:12" x14ac:dyDescent="0.25">
      <c r="A174" s="6"/>
      <c r="B174" s="6"/>
      <c r="C174" s="123"/>
      <c r="D174" s="123"/>
      <c r="E174" s="123"/>
      <c r="F174" s="124"/>
      <c r="G174" s="124"/>
      <c r="H174" s="6"/>
      <c r="I174" s="125"/>
      <c r="J174" s="125"/>
      <c r="K174" s="125"/>
      <c r="L174" s="125"/>
    </row>
    <row r="175" spans="1:12" x14ac:dyDescent="0.25">
      <c r="A175" s="6"/>
      <c r="B175" s="6"/>
      <c r="C175" s="123"/>
      <c r="D175" s="123"/>
      <c r="E175" s="123"/>
      <c r="F175" s="124"/>
      <c r="G175" s="124"/>
      <c r="H175" s="6"/>
      <c r="I175" s="125"/>
      <c r="J175" s="125"/>
      <c r="K175" s="125"/>
      <c r="L175" s="125"/>
    </row>
    <row r="176" spans="1:12" x14ac:dyDescent="0.25">
      <c r="A176" s="6"/>
      <c r="B176" s="6"/>
      <c r="C176" s="123"/>
      <c r="D176" s="123"/>
      <c r="E176" s="123"/>
      <c r="F176" s="124"/>
      <c r="G176" s="124"/>
      <c r="H176" s="6"/>
      <c r="I176" s="125"/>
      <c r="J176" s="125"/>
      <c r="K176" s="125"/>
      <c r="L176" s="125"/>
    </row>
    <row r="177" spans="1:12" x14ac:dyDescent="0.25">
      <c r="A177" s="6"/>
      <c r="B177" s="6"/>
      <c r="C177" s="123"/>
      <c r="D177" s="123"/>
      <c r="E177" s="123"/>
      <c r="F177" s="124"/>
      <c r="G177" s="124"/>
      <c r="H177" s="6"/>
      <c r="I177" s="125"/>
      <c r="J177" s="125"/>
      <c r="K177" s="125"/>
      <c r="L177" s="125"/>
    </row>
    <row r="178" spans="1:12" x14ac:dyDescent="0.25">
      <c r="A178" s="6"/>
      <c r="B178" s="6"/>
      <c r="C178" s="123"/>
      <c r="D178" s="123"/>
      <c r="E178" s="123"/>
      <c r="F178" s="124"/>
      <c r="G178" s="124"/>
      <c r="H178" s="6"/>
      <c r="I178" s="125"/>
      <c r="J178" s="125"/>
      <c r="K178" s="125"/>
      <c r="L178" s="125"/>
    </row>
    <row r="179" spans="1:12" x14ac:dyDescent="0.25">
      <c r="A179" s="6"/>
      <c r="B179" s="6"/>
      <c r="C179" s="123"/>
      <c r="D179" s="123"/>
      <c r="E179" s="123"/>
      <c r="F179" s="124"/>
      <c r="G179" s="124"/>
      <c r="H179" s="6"/>
      <c r="I179" s="125"/>
      <c r="J179" s="125"/>
      <c r="K179" s="125"/>
      <c r="L179" s="125"/>
    </row>
    <row r="180" spans="1:12" x14ac:dyDescent="0.25">
      <c r="A180" s="6"/>
      <c r="B180" s="6"/>
      <c r="C180" s="123"/>
      <c r="D180" s="123"/>
      <c r="E180" s="123"/>
      <c r="F180" s="124"/>
      <c r="G180" s="124"/>
      <c r="H180" s="6"/>
      <c r="I180" s="125"/>
      <c r="J180" s="125"/>
      <c r="K180" s="125"/>
      <c r="L180" s="125"/>
    </row>
    <row r="181" spans="1:12" x14ac:dyDescent="0.25">
      <c r="A181" s="6"/>
      <c r="B181" s="6"/>
      <c r="C181" s="123"/>
      <c r="D181" s="123"/>
      <c r="E181" s="123"/>
      <c r="F181" s="124"/>
      <c r="G181" s="124"/>
      <c r="H181" s="6"/>
      <c r="I181" s="125"/>
      <c r="J181" s="125"/>
      <c r="K181" s="125"/>
      <c r="L181" s="125"/>
    </row>
    <row r="182" spans="1:12" x14ac:dyDescent="0.25">
      <c r="A182" s="6"/>
      <c r="B182" s="6"/>
      <c r="C182" s="123"/>
      <c r="D182" s="123"/>
      <c r="E182" s="123"/>
      <c r="F182" s="124"/>
      <c r="G182" s="124"/>
      <c r="H182" s="6"/>
      <c r="I182" s="125"/>
      <c r="J182" s="125"/>
      <c r="K182" s="125"/>
      <c r="L182" s="125"/>
    </row>
    <row r="183" spans="1:12" x14ac:dyDescent="0.25">
      <c r="A183" s="6"/>
      <c r="B183" s="6"/>
      <c r="C183" s="123"/>
      <c r="D183" s="123"/>
      <c r="E183" s="123"/>
      <c r="F183" s="124"/>
      <c r="G183" s="124"/>
      <c r="H183" s="6"/>
      <c r="I183" s="125"/>
      <c r="J183" s="125"/>
      <c r="K183" s="125"/>
      <c r="L183" s="125"/>
    </row>
    <row r="184" spans="1:12" x14ac:dyDescent="0.25">
      <c r="A184" s="6"/>
      <c r="B184" s="6"/>
      <c r="C184" s="123"/>
      <c r="D184" s="123"/>
      <c r="E184" s="123"/>
      <c r="F184" s="124"/>
      <c r="G184" s="124"/>
      <c r="H184" s="6"/>
      <c r="I184" s="125"/>
      <c r="J184" s="125"/>
      <c r="K184" s="125"/>
      <c r="L184" s="125"/>
    </row>
    <row r="185" spans="1:12" x14ac:dyDescent="0.25">
      <c r="A185" s="6"/>
      <c r="B185" s="6"/>
      <c r="C185" s="123"/>
      <c r="D185" s="123"/>
      <c r="E185" s="123"/>
      <c r="F185" s="124"/>
      <c r="G185" s="124"/>
      <c r="H185" s="6"/>
      <c r="I185" s="125"/>
      <c r="J185" s="125"/>
      <c r="K185" s="125"/>
      <c r="L185" s="125"/>
    </row>
    <row r="186" spans="1:12" x14ac:dyDescent="0.25">
      <c r="A186" s="6"/>
      <c r="B186" s="6"/>
      <c r="C186" s="123"/>
      <c r="D186" s="123"/>
      <c r="E186" s="123"/>
      <c r="F186" s="124"/>
      <c r="G186" s="124"/>
      <c r="H186" s="6"/>
      <c r="I186" s="125"/>
      <c r="J186" s="125"/>
      <c r="K186" s="125"/>
      <c r="L186" s="125"/>
    </row>
    <row r="187" spans="1:12" x14ac:dyDescent="0.25">
      <c r="A187" s="6"/>
      <c r="B187" s="6"/>
      <c r="C187" s="123"/>
      <c r="D187" s="123"/>
      <c r="E187" s="123"/>
      <c r="F187" s="124"/>
      <c r="G187" s="124"/>
      <c r="H187" s="6"/>
      <c r="I187" s="125"/>
      <c r="J187" s="125"/>
      <c r="K187" s="125"/>
      <c r="L187" s="125"/>
    </row>
    <row r="188" spans="1:12" x14ac:dyDescent="0.25">
      <c r="A188" s="6"/>
      <c r="B188" s="6"/>
      <c r="C188" s="123"/>
      <c r="D188" s="123"/>
      <c r="E188" s="123"/>
      <c r="F188" s="124"/>
      <c r="G188" s="124"/>
      <c r="H188" s="6"/>
      <c r="I188" s="125"/>
      <c r="J188" s="125"/>
      <c r="K188" s="125"/>
      <c r="L188" s="125"/>
    </row>
    <row r="189" spans="1:12" x14ac:dyDescent="0.25">
      <c r="A189" s="6"/>
      <c r="B189" s="6"/>
      <c r="C189" s="123"/>
      <c r="D189" s="123"/>
      <c r="E189" s="123"/>
      <c r="F189" s="124"/>
      <c r="G189" s="124"/>
      <c r="H189" s="6"/>
      <c r="I189" s="125"/>
      <c r="J189" s="125"/>
      <c r="K189" s="125"/>
      <c r="L189" s="125"/>
    </row>
    <row r="190" spans="1:12" x14ac:dyDescent="0.25">
      <c r="A190" s="6"/>
      <c r="B190" s="6"/>
      <c r="C190" s="123"/>
      <c r="D190" s="123"/>
      <c r="E190" s="123"/>
      <c r="F190" s="124"/>
      <c r="G190" s="124"/>
      <c r="H190" s="6"/>
      <c r="I190" s="125"/>
      <c r="J190" s="125"/>
      <c r="K190" s="125"/>
      <c r="L190" s="125"/>
    </row>
    <row r="191" spans="1:12" x14ac:dyDescent="0.25">
      <c r="A191" s="6"/>
      <c r="B191" s="6"/>
      <c r="C191" s="123"/>
      <c r="D191" s="123"/>
      <c r="E191" s="123"/>
      <c r="F191" s="124"/>
      <c r="G191" s="124"/>
      <c r="H191" s="6"/>
      <c r="I191" s="125"/>
      <c r="J191" s="125"/>
      <c r="K191" s="125"/>
      <c r="L191" s="125"/>
    </row>
    <row r="192" spans="1:12" x14ac:dyDescent="0.25">
      <c r="A192" s="6"/>
      <c r="B192" s="6"/>
      <c r="C192" s="123"/>
      <c r="D192" s="123"/>
      <c r="E192" s="123"/>
      <c r="F192" s="124"/>
      <c r="G192" s="124"/>
      <c r="H192" s="6"/>
      <c r="I192" s="125"/>
      <c r="J192" s="125"/>
      <c r="K192" s="125"/>
      <c r="L192" s="125"/>
    </row>
    <row r="193" spans="1:12" x14ac:dyDescent="0.25">
      <c r="A193" s="6"/>
      <c r="B193" s="6"/>
      <c r="C193" s="123"/>
      <c r="D193" s="123"/>
      <c r="E193" s="123"/>
      <c r="F193" s="124"/>
      <c r="G193" s="124"/>
      <c r="H193" s="6"/>
      <c r="I193" s="125"/>
      <c r="J193" s="125"/>
      <c r="K193" s="125"/>
      <c r="L193" s="125"/>
    </row>
    <row r="194" spans="1:12" x14ac:dyDescent="0.25">
      <c r="A194" s="6"/>
      <c r="B194" s="6"/>
      <c r="C194" s="123"/>
      <c r="D194" s="123"/>
      <c r="E194" s="123"/>
      <c r="F194" s="124"/>
      <c r="G194" s="124"/>
      <c r="H194" s="6"/>
      <c r="I194" s="125"/>
      <c r="J194" s="125"/>
      <c r="K194" s="125"/>
      <c r="L194" s="125"/>
    </row>
    <row r="195" spans="1:12" x14ac:dyDescent="0.25">
      <c r="A195" s="6"/>
      <c r="B195" s="6"/>
      <c r="C195" s="123"/>
      <c r="D195" s="123"/>
      <c r="E195" s="123"/>
      <c r="F195" s="124"/>
      <c r="G195" s="124"/>
      <c r="H195" s="6"/>
      <c r="I195" s="125"/>
      <c r="J195" s="125"/>
      <c r="K195" s="125"/>
      <c r="L195" s="125"/>
    </row>
    <row r="196" spans="1:12" x14ac:dyDescent="0.25">
      <c r="A196" s="6"/>
      <c r="B196" s="6"/>
      <c r="C196" s="123"/>
      <c r="D196" s="123"/>
      <c r="E196" s="123"/>
      <c r="F196" s="124"/>
      <c r="G196" s="124"/>
      <c r="H196" s="6"/>
      <c r="I196" s="125"/>
      <c r="J196" s="125"/>
      <c r="K196" s="125"/>
      <c r="L196" s="125"/>
    </row>
    <row r="197" spans="1:12" x14ac:dyDescent="0.25">
      <c r="A197" s="6"/>
      <c r="B197" s="6"/>
      <c r="C197" s="123"/>
      <c r="D197" s="123"/>
      <c r="E197" s="123"/>
      <c r="F197" s="124"/>
      <c r="G197" s="124"/>
      <c r="H197" s="6"/>
      <c r="I197" s="125"/>
      <c r="J197" s="125"/>
      <c r="K197" s="125"/>
      <c r="L197" s="125"/>
    </row>
    <row r="198" spans="1:12" x14ac:dyDescent="0.25">
      <c r="A198" s="6"/>
      <c r="B198" s="6"/>
      <c r="C198" s="123"/>
      <c r="D198" s="123"/>
      <c r="E198" s="123"/>
      <c r="F198" s="124"/>
      <c r="G198" s="124"/>
      <c r="H198" s="6"/>
      <c r="I198" s="125"/>
      <c r="J198" s="125"/>
      <c r="K198" s="125"/>
      <c r="L198" s="125"/>
    </row>
    <row r="199" spans="1:12" x14ac:dyDescent="0.25">
      <c r="A199" s="6"/>
      <c r="B199" s="6"/>
      <c r="C199" s="123"/>
      <c r="D199" s="123"/>
      <c r="E199" s="123"/>
      <c r="F199" s="124"/>
      <c r="G199" s="124"/>
      <c r="H199" s="6"/>
      <c r="I199" s="125"/>
      <c r="J199" s="125"/>
      <c r="K199" s="125"/>
      <c r="L199" s="125"/>
    </row>
    <row r="200" spans="1:12" x14ac:dyDescent="0.25">
      <c r="A200" s="6"/>
      <c r="B200" s="6"/>
      <c r="C200" s="123"/>
      <c r="D200" s="123"/>
      <c r="E200" s="123"/>
      <c r="F200" s="124"/>
      <c r="G200" s="124"/>
      <c r="H200" s="6"/>
      <c r="I200" s="125"/>
      <c r="J200" s="125"/>
      <c r="K200" s="125"/>
      <c r="L200" s="125"/>
    </row>
    <row r="201" spans="1:12" x14ac:dyDescent="0.25">
      <c r="A201" s="6"/>
      <c r="B201" s="6"/>
      <c r="C201" s="123"/>
      <c r="D201" s="123"/>
      <c r="E201" s="123"/>
      <c r="F201" s="124"/>
      <c r="G201" s="124"/>
      <c r="H201" s="6"/>
      <c r="I201" s="125"/>
      <c r="J201" s="125"/>
      <c r="K201" s="125"/>
      <c r="L201" s="125"/>
    </row>
    <row r="202" spans="1:12" x14ac:dyDescent="0.25">
      <c r="A202" s="6"/>
      <c r="B202" s="6"/>
      <c r="C202" s="123"/>
      <c r="D202" s="123"/>
      <c r="E202" s="123"/>
      <c r="F202" s="124"/>
      <c r="G202" s="124"/>
      <c r="H202" s="6"/>
      <c r="I202" s="125"/>
      <c r="J202" s="125"/>
      <c r="K202" s="125"/>
      <c r="L202" s="125"/>
    </row>
    <row r="203" spans="1:12" x14ac:dyDescent="0.25">
      <c r="A203" s="6"/>
      <c r="B203" s="6"/>
      <c r="C203" s="123"/>
      <c r="D203" s="123"/>
      <c r="E203" s="123"/>
      <c r="F203" s="124"/>
      <c r="G203" s="124"/>
      <c r="H203" s="6"/>
      <c r="I203" s="125"/>
      <c r="J203" s="125"/>
      <c r="K203" s="125"/>
      <c r="L203" s="125"/>
    </row>
    <row r="204" spans="1:12" x14ac:dyDescent="0.25">
      <c r="A204" s="6"/>
      <c r="B204" s="6"/>
      <c r="C204" s="123"/>
      <c r="D204" s="123"/>
      <c r="E204" s="123"/>
      <c r="F204" s="124"/>
      <c r="G204" s="124"/>
      <c r="H204" s="6"/>
      <c r="I204" s="125"/>
      <c r="J204" s="125"/>
      <c r="K204" s="125"/>
      <c r="L204" s="125"/>
    </row>
    <row r="205" spans="1:12" x14ac:dyDescent="0.25">
      <c r="A205" s="6"/>
      <c r="B205" s="6"/>
      <c r="C205" s="123"/>
      <c r="D205" s="123"/>
      <c r="E205" s="123"/>
      <c r="F205" s="124"/>
      <c r="G205" s="124"/>
      <c r="H205" s="6"/>
      <c r="I205" s="125"/>
      <c r="J205" s="125"/>
      <c r="K205" s="125"/>
      <c r="L205" s="125"/>
    </row>
    <row r="206" spans="1:12" x14ac:dyDescent="0.25">
      <c r="A206" s="6"/>
      <c r="B206" s="6"/>
      <c r="C206" s="123"/>
      <c r="D206" s="123"/>
      <c r="E206" s="123"/>
      <c r="F206" s="124"/>
      <c r="G206" s="124"/>
      <c r="H206" s="6"/>
      <c r="I206" s="125"/>
      <c r="J206" s="125"/>
      <c r="K206" s="125"/>
      <c r="L206" s="125"/>
    </row>
    <row r="207" spans="1:12" x14ac:dyDescent="0.25">
      <c r="A207" s="6"/>
      <c r="B207" s="6"/>
      <c r="C207" s="123"/>
      <c r="D207" s="123"/>
      <c r="E207" s="123"/>
      <c r="F207" s="124"/>
      <c r="G207" s="124"/>
      <c r="H207" s="6"/>
      <c r="I207" s="125"/>
      <c r="J207" s="125"/>
      <c r="K207" s="125"/>
      <c r="L207" s="125"/>
    </row>
    <row r="208" spans="1:12" x14ac:dyDescent="0.25">
      <c r="A208" s="6"/>
      <c r="B208" s="6"/>
      <c r="C208" s="123"/>
      <c r="D208" s="123"/>
      <c r="E208" s="123"/>
      <c r="F208" s="124"/>
      <c r="G208" s="124"/>
      <c r="H208" s="6"/>
      <c r="I208" s="125"/>
      <c r="J208" s="125"/>
      <c r="K208" s="125"/>
      <c r="L208" s="125"/>
    </row>
    <row r="209" spans="1:12" x14ac:dyDescent="0.25">
      <c r="A209" s="6"/>
      <c r="B209" s="6"/>
      <c r="C209" s="123"/>
      <c r="D209" s="123"/>
      <c r="E209" s="123"/>
      <c r="F209" s="124"/>
      <c r="G209" s="124"/>
      <c r="H209" s="6"/>
      <c r="I209" s="125"/>
      <c r="J209" s="125"/>
      <c r="K209" s="125"/>
      <c r="L209" s="125"/>
    </row>
    <row r="210" spans="1:12" x14ac:dyDescent="0.25">
      <c r="A210" s="6"/>
      <c r="B210" s="6"/>
      <c r="C210" s="123"/>
      <c r="D210" s="123"/>
      <c r="E210" s="123"/>
      <c r="F210" s="124"/>
      <c r="G210" s="124"/>
      <c r="H210" s="6"/>
      <c r="I210" s="125"/>
      <c r="J210" s="125"/>
      <c r="K210" s="125"/>
      <c r="L210" s="125"/>
    </row>
    <row r="211" spans="1:12" x14ac:dyDescent="0.25">
      <c r="A211" s="6"/>
      <c r="B211" s="6"/>
      <c r="C211" s="123"/>
      <c r="D211" s="123"/>
      <c r="E211" s="123"/>
      <c r="F211" s="124"/>
      <c r="G211" s="124"/>
      <c r="H211" s="6"/>
      <c r="I211" s="125"/>
      <c r="J211" s="125"/>
      <c r="K211" s="125"/>
      <c r="L211" s="125"/>
    </row>
    <row r="212" spans="1:12" x14ac:dyDescent="0.25">
      <c r="A212" s="6"/>
      <c r="B212" s="6"/>
      <c r="C212" s="123"/>
      <c r="D212" s="123"/>
      <c r="E212" s="123"/>
      <c r="F212" s="124"/>
      <c r="G212" s="124"/>
      <c r="H212" s="6"/>
      <c r="I212" s="125"/>
      <c r="J212" s="125"/>
      <c r="K212" s="125"/>
      <c r="L212" s="125"/>
    </row>
    <row r="213" spans="1:12" x14ac:dyDescent="0.25">
      <c r="A213" s="6"/>
      <c r="B213" s="6"/>
      <c r="C213" s="123"/>
      <c r="D213" s="123"/>
      <c r="E213" s="123"/>
      <c r="F213" s="124"/>
      <c r="G213" s="124"/>
      <c r="H213" s="6"/>
      <c r="I213" s="125"/>
      <c r="J213" s="125"/>
      <c r="K213" s="125"/>
      <c r="L213" s="125"/>
    </row>
    <row r="214" spans="1:12" x14ac:dyDescent="0.25">
      <c r="A214" s="6"/>
      <c r="B214" s="6"/>
      <c r="C214" s="123"/>
      <c r="D214" s="123"/>
      <c r="E214" s="123"/>
      <c r="F214" s="124"/>
      <c r="G214" s="124"/>
      <c r="H214" s="6"/>
      <c r="I214" s="125"/>
      <c r="J214" s="125"/>
      <c r="K214" s="125"/>
      <c r="L214" s="125"/>
    </row>
    <row r="215" spans="1:12" x14ac:dyDescent="0.25">
      <c r="A215" s="6"/>
      <c r="B215" s="6"/>
      <c r="C215" s="123"/>
      <c r="D215" s="123"/>
      <c r="E215" s="123"/>
      <c r="F215" s="124"/>
      <c r="G215" s="124"/>
      <c r="H215" s="6"/>
      <c r="I215" s="125"/>
      <c r="J215" s="125"/>
      <c r="K215" s="125"/>
      <c r="L215" s="125"/>
    </row>
    <row r="216" spans="1:12" x14ac:dyDescent="0.25">
      <c r="A216" s="6"/>
      <c r="B216" s="6"/>
      <c r="C216" s="123"/>
      <c r="D216" s="123"/>
      <c r="E216" s="123"/>
      <c r="F216" s="124"/>
      <c r="G216" s="124"/>
      <c r="H216" s="6"/>
      <c r="I216" s="125"/>
      <c r="J216" s="125"/>
      <c r="K216" s="125"/>
      <c r="L216" s="125"/>
    </row>
    <row r="217" spans="1:12" x14ac:dyDescent="0.25">
      <c r="A217" s="6"/>
      <c r="B217" s="6"/>
      <c r="C217" s="123"/>
      <c r="D217" s="123"/>
      <c r="E217" s="123"/>
      <c r="F217" s="124"/>
      <c r="G217" s="124"/>
      <c r="H217" s="6"/>
      <c r="I217" s="125"/>
      <c r="J217" s="125"/>
      <c r="K217" s="125"/>
      <c r="L217" s="125"/>
    </row>
    <row r="218" spans="1:12" x14ac:dyDescent="0.25">
      <c r="A218" s="6"/>
      <c r="B218" s="6"/>
      <c r="C218" s="123"/>
      <c r="D218" s="123"/>
      <c r="E218" s="123"/>
      <c r="F218" s="124"/>
      <c r="G218" s="124"/>
      <c r="H218" s="6"/>
      <c r="I218" s="125"/>
      <c r="J218" s="125"/>
      <c r="K218" s="125"/>
      <c r="L218" s="125"/>
    </row>
    <row r="219" spans="1:12" x14ac:dyDescent="0.25">
      <c r="A219" s="6"/>
      <c r="B219" s="6"/>
      <c r="C219" s="123"/>
      <c r="D219" s="123"/>
      <c r="E219" s="123"/>
      <c r="F219" s="124"/>
      <c r="G219" s="124"/>
      <c r="H219" s="6"/>
      <c r="I219" s="125"/>
      <c r="J219" s="125"/>
      <c r="K219" s="125"/>
      <c r="L219" s="125"/>
    </row>
    <row r="220" spans="1:12" x14ac:dyDescent="0.25">
      <c r="A220" s="6"/>
      <c r="B220" s="6"/>
      <c r="C220" s="123"/>
      <c r="D220" s="123"/>
      <c r="E220" s="123"/>
      <c r="F220" s="124"/>
      <c r="G220" s="124"/>
      <c r="H220" s="6"/>
      <c r="I220" s="125"/>
      <c r="J220" s="125"/>
      <c r="K220" s="125"/>
      <c r="L220" s="125"/>
    </row>
    <row r="221" spans="1:12" x14ac:dyDescent="0.25">
      <c r="A221" s="6"/>
      <c r="B221" s="6"/>
      <c r="C221" s="123"/>
      <c r="D221" s="123"/>
      <c r="E221" s="123"/>
      <c r="F221" s="124"/>
      <c r="G221" s="124"/>
      <c r="H221" s="6"/>
      <c r="I221" s="125"/>
      <c r="J221" s="125"/>
      <c r="K221" s="125"/>
      <c r="L221" s="125"/>
    </row>
    <row r="222" spans="1:12" x14ac:dyDescent="0.25">
      <c r="A222" s="6"/>
      <c r="B222" s="6"/>
      <c r="C222" s="123"/>
      <c r="D222" s="123"/>
      <c r="E222" s="123"/>
      <c r="F222" s="124"/>
      <c r="G222" s="124"/>
      <c r="H222" s="6"/>
      <c r="I222" s="125"/>
      <c r="J222" s="125"/>
      <c r="K222" s="125"/>
      <c r="L222" s="125"/>
    </row>
    <row r="223" spans="1:12" x14ac:dyDescent="0.25">
      <c r="A223" s="6"/>
      <c r="B223" s="6"/>
      <c r="C223" s="123"/>
      <c r="D223" s="123"/>
      <c r="E223" s="123"/>
      <c r="F223" s="124"/>
      <c r="G223" s="124"/>
      <c r="H223" s="6"/>
      <c r="I223" s="125"/>
      <c r="J223" s="125"/>
      <c r="K223" s="125"/>
      <c r="L223" s="125"/>
    </row>
    <row r="224" spans="1:12" x14ac:dyDescent="0.25">
      <c r="A224" s="6"/>
      <c r="B224" s="6"/>
      <c r="C224" s="123"/>
      <c r="D224" s="123"/>
      <c r="E224" s="123"/>
      <c r="F224" s="124"/>
      <c r="G224" s="124"/>
      <c r="H224" s="6"/>
      <c r="I224" s="125"/>
      <c r="J224" s="125"/>
      <c r="K224" s="125"/>
      <c r="L224" s="125"/>
    </row>
    <row r="225" spans="1:12" x14ac:dyDescent="0.25">
      <c r="A225" s="6"/>
      <c r="B225" s="6"/>
      <c r="C225" s="123"/>
      <c r="D225" s="123"/>
      <c r="E225" s="123"/>
      <c r="F225" s="124"/>
      <c r="G225" s="124"/>
      <c r="H225" s="6"/>
      <c r="I225" s="125"/>
      <c r="J225" s="125"/>
      <c r="K225" s="125"/>
      <c r="L225" s="125"/>
    </row>
    <row r="226" spans="1:12" x14ac:dyDescent="0.25">
      <c r="A226" s="6"/>
      <c r="B226" s="6"/>
      <c r="C226" s="123"/>
      <c r="D226" s="123"/>
      <c r="E226" s="123"/>
      <c r="F226" s="124"/>
      <c r="G226" s="124"/>
      <c r="H226" s="6"/>
      <c r="I226" s="125"/>
      <c r="J226" s="125"/>
      <c r="K226" s="125"/>
      <c r="L226" s="125"/>
    </row>
    <row r="227" spans="1:12" x14ac:dyDescent="0.25">
      <c r="A227" s="6"/>
      <c r="B227" s="6"/>
      <c r="C227" s="123"/>
      <c r="D227" s="123"/>
      <c r="E227" s="123"/>
      <c r="F227" s="124"/>
      <c r="G227" s="124"/>
      <c r="H227" s="6"/>
      <c r="I227" s="125"/>
      <c r="J227" s="125"/>
      <c r="K227" s="125"/>
      <c r="L227" s="125"/>
    </row>
    <row r="228" spans="1:12" x14ac:dyDescent="0.25">
      <c r="A228" s="6"/>
      <c r="B228" s="6"/>
      <c r="C228" s="123"/>
      <c r="D228" s="123"/>
      <c r="E228" s="123"/>
      <c r="F228" s="124"/>
      <c r="G228" s="124"/>
      <c r="H228" s="6"/>
      <c r="I228" s="125"/>
      <c r="J228" s="125"/>
      <c r="K228" s="125"/>
      <c r="L228" s="125"/>
    </row>
    <row r="229" spans="1:12" x14ac:dyDescent="0.25">
      <c r="A229" s="6"/>
      <c r="B229" s="6"/>
      <c r="C229" s="123"/>
      <c r="D229" s="123"/>
      <c r="E229" s="123"/>
      <c r="F229" s="124"/>
      <c r="G229" s="124"/>
      <c r="H229" s="6"/>
      <c r="I229" s="125"/>
      <c r="J229" s="125"/>
      <c r="K229" s="125"/>
      <c r="L229" s="125"/>
    </row>
    <row r="230" spans="1:12" x14ac:dyDescent="0.25">
      <c r="A230" s="6"/>
      <c r="B230" s="6"/>
      <c r="C230" s="123"/>
      <c r="D230" s="123"/>
      <c r="E230" s="123"/>
      <c r="F230" s="124"/>
      <c r="G230" s="124"/>
      <c r="H230" s="6"/>
      <c r="I230" s="125"/>
      <c r="J230" s="125"/>
      <c r="K230" s="125"/>
      <c r="L230" s="125"/>
    </row>
    <row r="231" spans="1:12" x14ac:dyDescent="0.25">
      <c r="A231" s="6"/>
      <c r="B231" s="6"/>
      <c r="C231" s="123"/>
      <c r="D231" s="123"/>
      <c r="E231" s="123"/>
      <c r="F231" s="124"/>
      <c r="G231" s="124"/>
      <c r="H231" s="6"/>
      <c r="I231" s="125"/>
      <c r="J231" s="125"/>
      <c r="K231" s="125"/>
      <c r="L231" s="125"/>
    </row>
    <row r="232" spans="1:12" x14ac:dyDescent="0.25">
      <c r="A232" s="6"/>
      <c r="B232" s="6"/>
      <c r="C232" s="123"/>
      <c r="D232" s="123"/>
      <c r="E232" s="123"/>
      <c r="F232" s="124"/>
      <c r="G232" s="124"/>
      <c r="H232" s="6"/>
      <c r="I232" s="125"/>
      <c r="J232" s="125"/>
      <c r="K232" s="125"/>
      <c r="L232" s="125"/>
    </row>
    <row r="233" spans="1:12" x14ac:dyDescent="0.25">
      <c r="A233" s="6"/>
      <c r="B233" s="6"/>
      <c r="C233" s="123"/>
      <c r="D233" s="123"/>
      <c r="E233" s="123"/>
      <c r="F233" s="124"/>
      <c r="G233" s="124"/>
      <c r="H233" s="6"/>
      <c r="I233" s="125"/>
      <c r="J233" s="125"/>
      <c r="K233" s="125"/>
      <c r="L233" s="125"/>
    </row>
    <row r="234" spans="1:12" x14ac:dyDescent="0.25">
      <c r="A234" s="6"/>
      <c r="B234" s="6"/>
      <c r="C234" s="123"/>
      <c r="D234" s="123"/>
      <c r="E234" s="123"/>
      <c r="F234" s="124"/>
      <c r="G234" s="124"/>
      <c r="H234" s="6"/>
      <c r="I234" s="125"/>
      <c r="J234" s="125"/>
      <c r="K234" s="125"/>
      <c r="L234" s="125"/>
    </row>
    <row r="235" spans="1:12" x14ac:dyDescent="0.25">
      <c r="A235" s="6"/>
      <c r="B235" s="6"/>
      <c r="C235" s="123"/>
      <c r="D235" s="123"/>
      <c r="E235" s="123"/>
      <c r="F235" s="124"/>
      <c r="G235" s="124"/>
      <c r="H235" s="6"/>
      <c r="I235" s="125"/>
      <c r="J235" s="125"/>
      <c r="K235" s="125"/>
      <c r="L235" s="125"/>
    </row>
    <row r="236" spans="1:12" x14ac:dyDescent="0.25">
      <c r="A236" s="6"/>
      <c r="B236" s="6"/>
      <c r="C236" s="123"/>
      <c r="D236" s="123"/>
      <c r="E236" s="123"/>
      <c r="F236" s="124"/>
      <c r="G236" s="124"/>
      <c r="H236" s="6"/>
      <c r="I236" s="125"/>
      <c r="J236" s="125"/>
      <c r="K236" s="125"/>
      <c r="L236" s="125"/>
    </row>
    <row r="237" spans="1:12" x14ac:dyDescent="0.25">
      <c r="A237" s="6"/>
      <c r="B237" s="6"/>
      <c r="C237" s="123"/>
      <c r="D237" s="123"/>
      <c r="E237" s="123"/>
      <c r="F237" s="124"/>
      <c r="G237" s="124"/>
      <c r="H237" s="6"/>
      <c r="I237" s="125"/>
      <c r="J237" s="125"/>
      <c r="K237" s="125"/>
      <c r="L237" s="125"/>
    </row>
    <row r="238" spans="1:12" x14ac:dyDescent="0.25">
      <c r="A238" s="6"/>
      <c r="B238" s="6"/>
      <c r="C238" s="123"/>
      <c r="D238" s="123"/>
      <c r="E238" s="123"/>
      <c r="F238" s="124"/>
      <c r="G238" s="124"/>
      <c r="H238" s="6"/>
      <c r="I238" s="125"/>
      <c r="J238" s="125"/>
      <c r="K238" s="125"/>
      <c r="L238" s="125"/>
    </row>
    <row r="239" spans="1:12" x14ac:dyDescent="0.25">
      <c r="A239" s="6"/>
      <c r="B239" s="6"/>
      <c r="C239" s="123"/>
      <c r="D239" s="123"/>
      <c r="E239" s="123"/>
      <c r="F239" s="124"/>
      <c r="G239" s="124"/>
      <c r="H239" s="6"/>
      <c r="I239" s="125"/>
      <c r="J239" s="125"/>
      <c r="K239" s="125"/>
      <c r="L239" s="125"/>
    </row>
    <row r="240" spans="1:12" x14ac:dyDescent="0.25">
      <c r="A240" s="6"/>
      <c r="B240" s="6"/>
      <c r="C240" s="123"/>
      <c r="D240" s="123"/>
      <c r="E240" s="123"/>
      <c r="F240" s="124"/>
      <c r="G240" s="124"/>
      <c r="H240" s="6"/>
      <c r="I240" s="125"/>
      <c r="J240" s="125"/>
      <c r="K240" s="125"/>
      <c r="L240" s="125"/>
    </row>
    <row r="241" spans="1:12" x14ac:dyDescent="0.25">
      <c r="A241" s="6"/>
      <c r="B241" s="6"/>
      <c r="C241" s="123"/>
      <c r="D241" s="123"/>
      <c r="E241" s="123"/>
      <c r="F241" s="124"/>
      <c r="G241" s="124"/>
      <c r="H241" s="6"/>
      <c r="I241" s="125"/>
      <c r="J241" s="125"/>
      <c r="K241" s="125"/>
      <c r="L241" s="125"/>
    </row>
    <row r="242" spans="1:12" x14ac:dyDescent="0.25">
      <c r="A242" s="6"/>
      <c r="B242" s="6"/>
      <c r="C242" s="123"/>
      <c r="D242" s="123"/>
      <c r="E242" s="123"/>
      <c r="F242" s="124"/>
      <c r="G242" s="124"/>
      <c r="H242" s="6"/>
      <c r="I242" s="125"/>
      <c r="J242" s="125"/>
      <c r="K242" s="125"/>
      <c r="L242" s="125"/>
    </row>
    <row r="243" spans="1:12" x14ac:dyDescent="0.25">
      <c r="A243" s="6"/>
      <c r="B243" s="6"/>
      <c r="C243" s="123"/>
      <c r="D243" s="123"/>
      <c r="E243" s="123"/>
      <c r="F243" s="124"/>
      <c r="G243" s="124"/>
      <c r="H243" s="6"/>
      <c r="I243" s="125"/>
      <c r="J243" s="125"/>
      <c r="K243" s="125"/>
      <c r="L243" s="125"/>
    </row>
    <row r="244" spans="1:12" x14ac:dyDescent="0.25">
      <c r="A244" s="6"/>
      <c r="B244" s="6"/>
      <c r="C244" s="123"/>
      <c r="D244" s="123"/>
      <c r="E244" s="123"/>
      <c r="F244" s="124"/>
      <c r="G244" s="124"/>
      <c r="H244" s="6"/>
      <c r="I244" s="125"/>
      <c r="J244" s="125"/>
      <c r="K244" s="125"/>
      <c r="L244" s="125"/>
    </row>
    <row r="245" spans="1:12" x14ac:dyDescent="0.25">
      <c r="A245" s="6"/>
      <c r="B245" s="6"/>
      <c r="C245" s="123"/>
      <c r="D245" s="123"/>
      <c r="E245" s="123"/>
      <c r="F245" s="124"/>
      <c r="G245" s="124"/>
      <c r="H245" s="6"/>
      <c r="I245" s="125"/>
      <c r="J245" s="125"/>
      <c r="K245" s="125"/>
      <c r="L245" s="125"/>
    </row>
    <row r="246" spans="1:12" x14ac:dyDescent="0.25">
      <c r="A246" s="6"/>
      <c r="B246" s="6"/>
      <c r="C246" s="123"/>
      <c r="D246" s="123"/>
      <c r="E246" s="123"/>
      <c r="F246" s="124"/>
      <c r="G246" s="124"/>
      <c r="H246" s="6"/>
      <c r="I246" s="125"/>
      <c r="J246" s="125"/>
      <c r="K246" s="125"/>
      <c r="L246" s="125"/>
    </row>
    <row r="247" spans="1:12" x14ac:dyDescent="0.25">
      <c r="A247" s="6"/>
      <c r="B247" s="6"/>
      <c r="C247" s="123"/>
      <c r="D247" s="123"/>
      <c r="E247" s="123"/>
      <c r="F247" s="124"/>
      <c r="G247" s="124"/>
      <c r="H247" s="6"/>
      <c r="I247" s="125"/>
      <c r="J247" s="125"/>
      <c r="K247" s="125"/>
      <c r="L247" s="125"/>
    </row>
    <row r="248" spans="1:12" x14ac:dyDescent="0.25">
      <c r="A248" s="6"/>
      <c r="B248" s="6"/>
      <c r="C248" s="123"/>
      <c r="D248" s="123"/>
      <c r="E248" s="123"/>
      <c r="F248" s="124"/>
      <c r="G248" s="124"/>
      <c r="H248" s="6"/>
      <c r="I248" s="125"/>
      <c r="J248" s="125"/>
      <c r="K248" s="125"/>
      <c r="L248" s="125"/>
    </row>
    <row r="249" spans="1:12" x14ac:dyDescent="0.25">
      <c r="A249" s="6"/>
      <c r="B249" s="6"/>
      <c r="C249" s="123"/>
      <c r="D249" s="123"/>
      <c r="E249" s="123"/>
      <c r="F249" s="124"/>
      <c r="G249" s="124"/>
      <c r="H249" s="6"/>
      <c r="I249" s="125"/>
      <c r="J249" s="125"/>
      <c r="K249" s="125"/>
      <c r="L249" s="125"/>
    </row>
    <row r="250" spans="1:12" x14ac:dyDescent="0.25">
      <c r="A250" s="6"/>
      <c r="B250" s="6"/>
      <c r="C250" s="123"/>
      <c r="D250" s="123"/>
      <c r="E250" s="123"/>
      <c r="F250" s="124"/>
      <c r="G250" s="124"/>
      <c r="H250" s="6"/>
      <c r="I250" s="125"/>
      <c r="J250" s="125"/>
      <c r="K250" s="125"/>
      <c r="L250" s="125"/>
    </row>
    <row r="251" spans="1:12" x14ac:dyDescent="0.25">
      <c r="A251" s="6"/>
      <c r="B251" s="6"/>
      <c r="C251" s="123"/>
      <c r="D251" s="123"/>
      <c r="E251" s="123"/>
      <c r="F251" s="124"/>
      <c r="G251" s="124"/>
      <c r="H251" s="6"/>
      <c r="I251" s="125"/>
      <c r="J251" s="125"/>
      <c r="K251" s="125"/>
      <c r="L251" s="125"/>
    </row>
    <row r="252" spans="1:12" x14ac:dyDescent="0.25">
      <c r="A252" s="6"/>
      <c r="B252" s="6"/>
      <c r="C252" s="123"/>
      <c r="D252" s="123"/>
      <c r="E252" s="123"/>
      <c r="F252" s="124"/>
      <c r="G252" s="124"/>
      <c r="H252" s="6"/>
      <c r="I252" s="125"/>
      <c r="J252" s="125"/>
      <c r="K252" s="125"/>
      <c r="L252" s="125"/>
    </row>
    <row r="253" spans="1:12" x14ac:dyDescent="0.25">
      <c r="A253" s="6"/>
      <c r="B253" s="6"/>
      <c r="C253" s="123"/>
      <c r="D253" s="123"/>
      <c r="E253" s="123"/>
      <c r="F253" s="124"/>
      <c r="G253" s="124"/>
      <c r="H253" s="6"/>
      <c r="I253" s="125"/>
      <c r="J253" s="125"/>
      <c r="K253" s="125"/>
      <c r="L253" s="125"/>
    </row>
    <row r="254" spans="1:12" x14ac:dyDescent="0.25">
      <c r="A254" s="6"/>
      <c r="B254" s="6"/>
      <c r="C254" s="123"/>
      <c r="D254" s="123"/>
      <c r="E254" s="123"/>
      <c r="F254" s="124"/>
      <c r="G254" s="124"/>
      <c r="H254" s="6"/>
      <c r="I254" s="125"/>
      <c r="J254" s="125"/>
      <c r="K254" s="125"/>
      <c r="L254" s="125"/>
    </row>
    <row r="255" spans="1:12" x14ac:dyDescent="0.25">
      <c r="A255" s="6"/>
      <c r="B255" s="6"/>
      <c r="C255" s="123"/>
      <c r="D255" s="123"/>
      <c r="E255" s="123"/>
      <c r="F255" s="124"/>
      <c r="G255" s="124"/>
      <c r="H255" s="6"/>
      <c r="I255" s="125"/>
      <c r="J255" s="125"/>
      <c r="K255" s="125"/>
      <c r="L255" s="125"/>
    </row>
    <row r="256" spans="1:12" x14ac:dyDescent="0.25">
      <c r="A256" s="6"/>
      <c r="B256" s="6"/>
      <c r="C256" s="123"/>
      <c r="D256" s="123"/>
      <c r="E256" s="123"/>
      <c r="F256" s="124"/>
      <c r="G256" s="124"/>
      <c r="H256" s="6"/>
      <c r="I256" s="125"/>
      <c r="J256" s="125"/>
      <c r="K256" s="125"/>
      <c r="L256" s="125"/>
    </row>
    <row r="257" spans="1:12" x14ac:dyDescent="0.25">
      <c r="A257" s="6"/>
      <c r="B257" s="6"/>
      <c r="C257" s="123"/>
      <c r="D257" s="123"/>
      <c r="E257" s="123"/>
      <c r="F257" s="124"/>
      <c r="G257" s="124"/>
      <c r="H257" s="6"/>
      <c r="I257" s="125"/>
      <c r="J257" s="125"/>
      <c r="K257" s="125"/>
      <c r="L257" s="125"/>
    </row>
    <row r="258" spans="1:12" x14ac:dyDescent="0.25">
      <c r="A258" s="6"/>
      <c r="B258" s="6"/>
      <c r="C258" s="123"/>
      <c r="D258" s="123"/>
      <c r="E258" s="123"/>
      <c r="F258" s="124"/>
      <c r="G258" s="124"/>
      <c r="H258" s="6"/>
      <c r="I258" s="125"/>
      <c r="J258" s="125"/>
      <c r="K258" s="125"/>
      <c r="L258" s="125"/>
    </row>
    <row r="259" spans="1:12" x14ac:dyDescent="0.25">
      <c r="A259" s="6"/>
      <c r="B259" s="6"/>
      <c r="C259" s="123"/>
      <c r="D259" s="123"/>
      <c r="E259" s="123"/>
      <c r="F259" s="124"/>
      <c r="G259" s="124"/>
      <c r="H259" s="6"/>
      <c r="I259" s="125"/>
      <c r="J259" s="125"/>
      <c r="K259" s="125"/>
      <c r="L259" s="125"/>
    </row>
    <row r="260" spans="1:12" x14ac:dyDescent="0.25">
      <c r="A260" s="6"/>
      <c r="B260" s="6"/>
      <c r="C260" s="123"/>
      <c r="D260" s="123"/>
      <c r="E260" s="123"/>
      <c r="F260" s="124"/>
      <c r="G260" s="124"/>
      <c r="H260" s="6"/>
      <c r="I260" s="125"/>
      <c r="J260" s="125"/>
      <c r="K260" s="125"/>
      <c r="L260" s="125"/>
    </row>
    <row r="261" spans="1:12" x14ac:dyDescent="0.25">
      <c r="A261" s="6"/>
      <c r="B261" s="6"/>
      <c r="C261" s="123"/>
      <c r="D261" s="123"/>
      <c r="E261" s="123"/>
      <c r="F261" s="124"/>
      <c r="G261" s="124"/>
      <c r="H261" s="6"/>
      <c r="I261" s="125"/>
      <c r="J261" s="125"/>
      <c r="K261" s="125"/>
      <c r="L261" s="125"/>
    </row>
    <row r="262" spans="1:12" x14ac:dyDescent="0.25">
      <c r="A262" s="6"/>
      <c r="B262" s="6"/>
      <c r="C262" s="123"/>
      <c r="D262" s="123"/>
      <c r="E262" s="123"/>
      <c r="F262" s="124"/>
      <c r="G262" s="124"/>
      <c r="H262" s="6"/>
      <c r="I262" s="125"/>
      <c r="J262" s="125"/>
      <c r="K262" s="125"/>
      <c r="L262" s="125"/>
    </row>
    <row r="263" spans="1:12" x14ac:dyDescent="0.25">
      <c r="A263" s="6"/>
      <c r="B263" s="6"/>
      <c r="C263" s="123"/>
      <c r="D263" s="123"/>
      <c r="E263" s="123"/>
      <c r="F263" s="124"/>
      <c r="G263" s="124"/>
      <c r="H263" s="6"/>
      <c r="I263" s="125"/>
      <c r="J263" s="125"/>
      <c r="K263" s="125"/>
      <c r="L263" s="125"/>
    </row>
    <row r="264" spans="1:12" x14ac:dyDescent="0.25">
      <c r="A264" s="6"/>
      <c r="B264" s="6"/>
      <c r="C264" s="123"/>
      <c r="D264" s="123"/>
      <c r="E264" s="123"/>
      <c r="F264" s="124"/>
      <c r="G264" s="124"/>
      <c r="H264" s="6"/>
      <c r="I264" s="125"/>
      <c r="J264" s="125"/>
      <c r="K264" s="125"/>
      <c r="L264" s="125"/>
    </row>
    <row r="265" spans="1:12" x14ac:dyDescent="0.25">
      <c r="A265" s="6"/>
      <c r="B265" s="6"/>
      <c r="C265" s="123"/>
      <c r="D265" s="123"/>
      <c r="E265" s="123"/>
      <c r="F265" s="124"/>
      <c r="G265" s="124"/>
      <c r="H265" s="6"/>
      <c r="I265" s="125"/>
      <c r="J265" s="125"/>
      <c r="K265" s="125"/>
      <c r="L265" s="125"/>
    </row>
    <row r="266" spans="1:12" x14ac:dyDescent="0.25">
      <c r="A266" s="6"/>
      <c r="B266" s="6"/>
      <c r="C266" s="123"/>
      <c r="D266" s="123"/>
      <c r="E266" s="123"/>
      <c r="F266" s="124"/>
      <c r="G266" s="124"/>
      <c r="H266" s="6"/>
      <c r="I266" s="125"/>
      <c r="J266" s="125"/>
      <c r="K266" s="125"/>
      <c r="L266" s="125"/>
    </row>
    <row r="267" spans="1:12" x14ac:dyDescent="0.25">
      <c r="A267" s="6"/>
      <c r="B267" s="6"/>
      <c r="C267" s="123"/>
      <c r="D267" s="123"/>
      <c r="E267" s="123"/>
      <c r="F267" s="124"/>
      <c r="G267" s="124"/>
      <c r="H267" s="6"/>
      <c r="I267" s="125"/>
      <c r="J267" s="125"/>
      <c r="K267" s="125"/>
      <c r="L267" s="125"/>
    </row>
    <row r="268" spans="1:12" x14ac:dyDescent="0.25">
      <c r="A268" s="6"/>
      <c r="B268" s="6"/>
      <c r="C268" s="123"/>
      <c r="D268" s="123"/>
      <c r="E268" s="123"/>
      <c r="F268" s="124"/>
      <c r="G268" s="124"/>
      <c r="H268" s="6"/>
      <c r="I268" s="125"/>
      <c r="J268" s="125"/>
      <c r="K268" s="125"/>
      <c r="L268" s="125"/>
    </row>
    <row r="269" spans="1:12" x14ac:dyDescent="0.25">
      <c r="A269" s="6"/>
      <c r="B269" s="6"/>
      <c r="C269" s="123"/>
      <c r="D269" s="123"/>
      <c r="E269" s="123"/>
      <c r="F269" s="124"/>
      <c r="G269" s="124"/>
      <c r="H269" s="6"/>
      <c r="I269" s="125"/>
      <c r="J269" s="125"/>
      <c r="K269" s="125"/>
      <c r="L269" s="125"/>
    </row>
    <row r="270" spans="1:12" x14ac:dyDescent="0.25">
      <c r="A270" s="6"/>
      <c r="B270" s="6"/>
      <c r="C270" s="123"/>
      <c r="D270" s="123"/>
      <c r="E270" s="123"/>
      <c r="F270" s="124"/>
      <c r="G270" s="124"/>
      <c r="H270" s="6"/>
      <c r="I270" s="125"/>
      <c r="J270" s="125"/>
      <c r="K270" s="125"/>
      <c r="L270" s="125"/>
    </row>
    <row r="271" spans="1:12" x14ac:dyDescent="0.25">
      <c r="A271" s="6"/>
      <c r="B271" s="6"/>
      <c r="C271" s="123"/>
      <c r="D271" s="123"/>
      <c r="E271" s="123"/>
      <c r="F271" s="124"/>
      <c r="G271" s="124"/>
      <c r="H271" s="6"/>
      <c r="I271" s="125"/>
      <c r="J271" s="125"/>
      <c r="K271" s="125"/>
      <c r="L271" s="125"/>
    </row>
    <row r="272" spans="1:12" x14ac:dyDescent="0.25">
      <c r="A272" s="6"/>
      <c r="B272" s="6"/>
      <c r="C272" s="123"/>
      <c r="D272" s="123"/>
      <c r="E272" s="123"/>
      <c r="F272" s="124"/>
      <c r="G272" s="124"/>
      <c r="H272" s="6"/>
      <c r="I272" s="125"/>
      <c r="J272" s="125"/>
      <c r="K272" s="125"/>
      <c r="L272" s="125"/>
    </row>
    <row r="273" spans="1:12" x14ac:dyDescent="0.25">
      <c r="A273" s="6"/>
      <c r="B273" s="6"/>
      <c r="C273" s="123"/>
      <c r="D273" s="123"/>
      <c r="E273" s="123"/>
      <c r="F273" s="124"/>
      <c r="G273" s="124"/>
      <c r="H273" s="6"/>
      <c r="I273" s="125"/>
      <c r="J273" s="125"/>
      <c r="K273" s="125"/>
      <c r="L273" s="125"/>
    </row>
    <row r="274" spans="1:12" x14ac:dyDescent="0.25">
      <c r="A274" s="6"/>
      <c r="B274" s="6"/>
      <c r="C274" s="123"/>
      <c r="D274" s="123"/>
      <c r="E274" s="123"/>
      <c r="F274" s="124"/>
      <c r="G274" s="124"/>
      <c r="H274" s="6"/>
      <c r="I274" s="125"/>
      <c r="J274" s="125"/>
      <c r="K274" s="125"/>
      <c r="L274" s="125"/>
    </row>
    <row r="275" spans="1:12" x14ac:dyDescent="0.25">
      <c r="A275" s="6"/>
      <c r="B275" s="6"/>
      <c r="C275" s="123"/>
      <c r="D275" s="123"/>
      <c r="E275" s="123"/>
      <c r="F275" s="124"/>
      <c r="G275" s="124"/>
      <c r="H275" s="6"/>
      <c r="I275" s="125"/>
      <c r="J275" s="125"/>
      <c r="K275" s="125"/>
      <c r="L275" s="125"/>
    </row>
    <row r="276" spans="1:12" x14ac:dyDescent="0.25">
      <c r="A276" s="6"/>
      <c r="B276" s="6"/>
      <c r="C276" s="123"/>
      <c r="D276" s="123"/>
      <c r="E276" s="123"/>
      <c r="F276" s="124"/>
      <c r="G276" s="124"/>
      <c r="H276" s="6"/>
      <c r="I276" s="125"/>
      <c r="J276" s="125"/>
      <c r="K276" s="125"/>
      <c r="L276" s="125"/>
    </row>
    <row r="277" spans="1:12" x14ac:dyDescent="0.25">
      <c r="A277" s="6"/>
      <c r="B277" s="6"/>
      <c r="C277" s="123"/>
      <c r="D277" s="123"/>
      <c r="E277" s="123"/>
      <c r="F277" s="124"/>
      <c r="G277" s="124"/>
      <c r="H277" s="6"/>
      <c r="I277" s="125"/>
      <c r="J277" s="125"/>
      <c r="K277" s="125"/>
      <c r="L277" s="125"/>
    </row>
    <row r="278" spans="1:12" x14ac:dyDescent="0.25">
      <c r="A278" s="6"/>
      <c r="B278" s="6"/>
      <c r="C278" s="123"/>
      <c r="D278" s="123"/>
      <c r="E278" s="123"/>
      <c r="F278" s="124"/>
      <c r="G278" s="124"/>
      <c r="H278" s="6"/>
      <c r="I278" s="125"/>
      <c r="J278" s="125"/>
      <c r="K278" s="125"/>
      <c r="L278" s="125"/>
    </row>
    <row r="279" spans="1:12" x14ac:dyDescent="0.25">
      <c r="A279" s="6"/>
      <c r="B279" s="6"/>
      <c r="C279" s="123"/>
      <c r="D279" s="123"/>
      <c r="E279" s="123"/>
      <c r="F279" s="124"/>
      <c r="G279" s="124"/>
      <c r="H279" s="6"/>
      <c r="I279" s="125"/>
      <c r="J279" s="125"/>
      <c r="K279" s="125"/>
      <c r="L279" s="125"/>
    </row>
    <row r="280" spans="1:12" x14ac:dyDescent="0.25">
      <c r="A280" s="6"/>
      <c r="B280" s="6"/>
      <c r="C280" s="123"/>
      <c r="D280" s="123"/>
      <c r="E280" s="123"/>
      <c r="F280" s="124"/>
      <c r="G280" s="124"/>
      <c r="H280" s="6"/>
      <c r="I280" s="125"/>
      <c r="J280" s="125"/>
      <c r="K280" s="125"/>
      <c r="L280" s="125"/>
    </row>
    <row r="281" spans="1:12" x14ac:dyDescent="0.25">
      <c r="A281" s="6"/>
      <c r="B281" s="6"/>
      <c r="C281" s="123"/>
      <c r="D281" s="123"/>
      <c r="E281" s="123"/>
      <c r="F281" s="124"/>
      <c r="G281" s="124"/>
      <c r="H281" s="6"/>
      <c r="I281" s="125"/>
      <c r="J281" s="125"/>
      <c r="K281" s="125"/>
      <c r="L281" s="125"/>
    </row>
    <row r="282" spans="1:12" x14ac:dyDescent="0.25">
      <c r="A282" s="6"/>
      <c r="B282" s="6"/>
      <c r="C282" s="123"/>
      <c r="D282" s="123"/>
      <c r="E282" s="123"/>
      <c r="F282" s="124"/>
      <c r="G282" s="124"/>
      <c r="H282" s="6"/>
      <c r="I282" s="125"/>
      <c r="J282" s="125"/>
      <c r="K282" s="125"/>
      <c r="L282" s="125"/>
    </row>
    <row r="283" spans="1:12" x14ac:dyDescent="0.25">
      <c r="A283" s="6"/>
      <c r="B283" s="6"/>
      <c r="C283" s="123"/>
      <c r="D283" s="123"/>
      <c r="E283" s="123"/>
      <c r="F283" s="124"/>
      <c r="G283" s="124"/>
      <c r="H283" s="6"/>
      <c r="I283" s="125"/>
      <c r="J283" s="125"/>
      <c r="K283" s="125"/>
      <c r="L283" s="125"/>
    </row>
    <row r="284" spans="1:12" x14ac:dyDescent="0.25">
      <c r="A284" s="6"/>
      <c r="B284" s="6"/>
      <c r="C284" s="123"/>
      <c r="D284" s="123"/>
      <c r="E284" s="123"/>
      <c r="F284" s="124"/>
      <c r="G284" s="124"/>
      <c r="H284" s="6"/>
      <c r="I284" s="125"/>
      <c r="J284" s="125"/>
      <c r="K284" s="125"/>
      <c r="L284" s="125"/>
    </row>
    <row r="285" spans="1:12" x14ac:dyDescent="0.25">
      <c r="A285" s="6"/>
      <c r="B285" s="6"/>
      <c r="C285" s="123"/>
      <c r="D285" s="123"/>
      <c r="E285" s="123"/>
      <c r="F285" s="124"/>
      <c r="G285" s="124"/>
      <c r="H285" s="6"/>
      <c r="I285" s="125"/>
      <c r="J285" s="125"/>
      <c r="K285" s="125"/>
      <c r="L285" s="125"/>
    </row>
    <row r="286" spans="1:12" x14ac:dyDescent="0.25">
      <c r="A286" s="6"/>
      <c r="B286" s="6"/>
      <c r="C286" s="123"/>
      <c r="D286" s="123"/>
      <c r="E286" s="123"/>
      <c r="F286" s="124"/>
      <c r="G286" s="124"/>
      <c r="H286" s="6"/>
      <c r="I286" s="125"/>
      <c r="J286" s="125"/>
      <c r="K286" s="125"/>
      <c r="L286" s="125"/>
    </row>
    <row r="287" spans="1:12" x14ac:dyDescent="0.25">
      <c r="A287" s="6"/>
      <c r="B287" s="6"/>
      <c r="C287" s="123"/>
      <c r="D287" s="123"/>
      <c r="E287" s="123"/>
      <c r="F287" s="124"/>
      <c r="G287" s="124"/>
      <c r="H287" s="6"/>
      <c r="I287" s="125"/>
      <c r="J287" s="125"/>
      <c r="K287" s="125"/>
      <c r="L287" s="125"/>
    </row>
    <row r="288" spans="1:12" x14ac:dyDescent="0.25">
      <c r="A288" s="6"/>
      <c r="B288" s="6"/>
      <c r="C288" s="123"/>
      <c r="D288" s="123"/>
      <c r="E288" s="123"/>
      <c r="F288" s="124"/>
      <c r="G288" s="124"/>
      <c r="H288" s="6"/>
      <c r="I288" s="125"/>
      <c r="J288" s="125"/>
      <c r="K288" s="125"/>
      <c r="L288" s="125"/>
    </row>
    <row r="289" spans="1:12" x14ac:dyDescent="0.25">
      <c r="A289" s="6"/>
      <c r="B289" s="6"/>
      <c r="C289" s="123"/>
      <c r="D289" s="123"/>
      <c r="E289" s="123"/>
      <c r="F289" s="124"/>
      <c r="G289" s="124"/>
      <c r="H289" s="6"/>
      <c r="I289" s="125"/>
      <c r="J289" s="125"/>
      <c r="K289" s="125"/>
      <c r="L289" s="125"/>
    </row>
    <row r="290" spans="1:12" x14ac:dyDescent="0.25">
      <c r="A290" s="6"/>
      <c r="B290" s="6"/>
      <c r="C290" s="123"/>
      <c r="D290" s="123"/>
      <c r="E290" s="123"/>
      <c r="F290" s="124"/>
      <c r="G290" s="124"/>
      <c r="H290" s="6"/>
      <c r="I290" s="125"/>
      <c r="J290" s="125"/>
      <c r="K290" s="125"/>
      <c r="L290" s="125"/>
    </row>
    <row r="291" spans="1:12" x14ac:dyDescent="0.25">
      <c r="A291" s="6"/>
      <c r="B291" s="6"/>
      <c r="C291" s="123"/>
      <c r="D291" s="123"/>
      <c r="E291" s="123"/>
      <c r="F291" s="124"/>
      <c r="G291" s="124"/>
      <c r="H291" s="6"/>
      <c r="I291" s="125"/>
      <c r="J291" s="125"/>
      <c r="K291" s="125"/>
      <c r="L291" s="125"/>
    </row>
    <row r="292" spans="1:12" x14ac:dyDescent="0.25">
      <c r="A292" s="6"/>
      <c r="B292" s="6"/>
      <c r="C292" s="123"/>
      <c r="D292" s="123"/>
      <c r="E292" s="123"/>
      <c r="F292" s="124"/>
      <c r="G292" s="124"/>
      <c r="H292" s="6"/>
      <c r="I292" s="125"/>
      <c r="J292" s="125"/>
      <c r="K292" s="125"/>
      <c r="L292" s="125"/>
    </row>
    <row r="293" spans="1:12" x14ac:dyDescent="0.25">
      <c r="A293" s="6"/>
      <c r="B293" s="6"/>
      <c r="C293" s="123"/>
      <c r="D293" s="123"/>
      <c r="E293" s="123"/>
      <c r="F293" s="124"/>
      <c r="G293" s="124"/>
      <c r="H293" s="6"/>
      <c r="I293" s="125"/>
      <c r="J293" s="125"/>
      <c r="K293" s="125"/>
      <c r="L293" s="125"/>
    </row>
    <row r="294" spans="1:12" x14ac:dyDescent="0.25">
      <c r="A294" s="6"/>
      <c r="B294" s="6"/>
      <c r="C294" s="123"/>
      <c r="D294" s="123"/>
      <c r="E294" s="123"/>
      <c r="F294" s="124"/>
      <c r="G294" s="124"/>
      <c r="H294" s="6"/>
      <c r="I294" s="125"/>
      <c r="J294" s="125"/>
      <c r="K294" s="125"/>
      <c r="L294" s="125"/>
    </row>
    <row r="295" spans="1:12" x14ac:dyDescent="0.25">
      <c r="A295" s="6"/>
      <c r="B295" s="6"/>
      <c r="C295" s="123"/>
      <c r="D295" s="123"/>
      <c r="E295" s="123"/>
      <c r="F295" s="124"/>
      <c r="G295" s="124"/>
      <c r="H295" s="6"/>
      <c r="I295" s="125"/>
      <c r="J295" s="125"/>
      <c r="K295" s="125"/>
      <c r="L295" s="125"/>
    </row>
    <row r="296" spans="1:12" x14ac:dyDescent="0.25">
      <c r="A296" s="6"/>
      <c r="B296" s="6"/>
      <c r="C296" s="123"/>
      <c r="D296" s="123"/>
      <c r="E296" s="123"/>
      <c r="F296" s="124"/>
      <c r="G296" s="124"/>
      <c r="H296" s="6"/>
      <c r="I296" s="125"/>
      <c r="J296" s="125"/>
      <c r="K296" s="125"/>
      <c r="L296" s="125"/>
    </row>
    <row r="297" spans="1:12" x14ac:dyDescent="0.25">
      <c r="A297" s="6"/>
      <c r="B297" s="6"/>
      <c r="C297" s="123"/>
      <c r="D297" s="123"/>
      <c r="E297" s="123"/>
      <c r="F297" s="124"/>
      <c r="G297" s="124"/>
      <c r="H297" s="6"/>
      <c r="I297" s="125"/>
      <c r="J297" s="125"/>
      <c r="K297" s="125"/>
      <c r="L297" s="125"/>
    </row>
    <row r="298" spans="1:12" x14ac:dyDescent="0.25">
      <c r="A298" s="6"/>
      <c r="B298" s="6"/>
      <c r="C298" s="123"/>
      <c r="D298" s="123"/>
      <c r="E298" s="123"/>
      <c r="F298" s="124"/>
      <c r="G298" s="124"/>
      <c r="H298" s="6"/>
      <c r="I298" s="125"/>
      <c r="J298" s="125"/>
      <c r="K298" s="125"/>
      <c r="L298" s="125"/>
    </row>
    <row r="299" spans="1:12" x14ac:dyDescent="0.25">
      <c r="A299" s="6"/>
      <c r="B299" s="6"/>
      <c r="C299" s="123"/>
      <c r="D299" s="123"/>
      <c r="E299" s="123"/>
      <c r="F299" s="124"/>
      <c r="G299" s="124"/>
      <c r="H299" s="6"/>
      <c r="I299" s="125"/>
      <c r="J299" s="125"/>
      <c r="K299" s="125"/>
      <c r="L299" s="125"/>
    </row>
    <row r="300" spans="1:12" x14ac:dyDescent="0.25">
      <c r="A300" s="6"/>
      <c r="B300" s="6"/>
      <c r="C300" s="123"/>
      <c r="D300" s="123"/>
      <c r="E300" s="123"/>
      <c r="F300" s="124"/>
      <c r="G300" s="124"/>
      <c r="H300" s="6"/>
      <c r="I300" s="125"/>
      <c r="J300" s="125"/>
      <c r="K300" s="125"/>
      <c r="L300" s="125"/>
    </row>
    <row r="301" spans="1:12" x14ac:dyDescent="0.25">
      <c r="A301" s="6"/>
      <c r="B301" s="6"/>
      <c r="C301" s="123"/>
      <c r="D301" s="123"/>
      <c r="E301" s="123"/>
      <c r="F301" s="124"/>
      <c r="G301" s="124"/>
      <c r="H301" s="6"/>
      <c r="I301" s="125"/>
      <c r="J301" s="125"/>
      <c r="K301" s="125"/>
      <c r="L301" s="125"/>
    </row>
    <row r="302" spans="1:12" x14ac:dyDescent="0.25">
      <c r="A302" s="6"/>
      <c r="B302" s="6"/>
      <c r="C302" s="123"/>
      <c r="D302" s="123"/>
      <c r="E302" s="123"/>
      <c r="F302" s="124"/>
      <c r="G302" s="124"/>
      <c r="H302" s="6"/>
      <c r="I302" s="125"/>
      <c r="J302" s="125"/>
      <c r="K302" s="125"/>
      <c r="L302" s="125"/>
    </row>
    <row r="303" spans="1:12" x14ac:dyDescent="0.25">
      <c r="A303" s="6"/>
      <c r="B303" s="6"/>
      <c r="C303" s="123"/>
      <c r="D303" s="123"/>
      <c r="E303" s="123"/>
      <c r="F303" s="124"/>
      <c r="G303" s="124"/>
      <c r="H303" s="6"/>
      <c r="I303" s="125"/>
      <c r="J303" s="125"/>
      <c r="K303" s="125"/>
      <c r="L303" s="125"/>
    </row>
    <row r="304" spans="1:12" x14ac:dyDescent="0.25">
      <c r="A304" s="6"/>
      <c r="B304" s="6"/>
      <c r="C304" s="123"/>
      <c r="D304" s="123"/>
      <c r="E304" s="123"/>
      <c r="F304" s="124"/>
      <c r="G304" s="124"/>
      <c r="H304" s="6"/>
      <c r="I304" s="125"/>
      <c r="J304" s="125"/>
      <c r="K304" s="125"/>
      <c r="L304" s="125"/>
    </row>
    <row r="305" spans="1:12" x14ac:dyDescent="0.25">
      <c r="A305" s="6"/>
      <c r="B305" s="6"/>
      <c r="C305" s="123"/>
      <c r="D305" s="123"/>
      <c r="E305" s="123"/>
      <c r="F305" s="124"/>
      <c r="G305" s="124"/>
      <c r="H305" s="6"/>
      <c r="I305" s="125"/>
      <c r="J305" s="125"/>
      <c r="K305" s="125"/>
      <c r="L305" s="125"/>
    </row>
    <row r="306" spans="1:12" x14ac:dyDescent="0.25">
      <c r="A306" s="6"/>
      <c r="B306" s="6"/>
      <c r="C306" s="123"/>
      <c r="D306" s="123"/>
      <c r="E306" s="123"/>
      <c r="F306" s="124"/>
      <c r="G306" s="124"/>
      <c r="H306" s="6"/>
      <c r="I306" s="125"/>
      <c r="J306" s="125"/>
      <c r="K306" s="125"/>
      <c r="L306" s="125"/>
    </row>
    <row r="307" spans="1:12" x14ac:dyDescent="0.25">
      <c r="A307" s="6"/>
      <c r="B307" s="6"/>
      <c r="C307" s="123"/>
      <c r="D307" s="123"/>
      <c r="E307" s="123"/>
      <c r="F307" s="124"/>
      <c r="G307" s="124"/>
      <c r="H307" s="6"/>
      <c r="I307" s="125"/>
      <c r="J307" s="125"/>
      <c r="K307" s="125"/>
      <c r="L307" s="125"/>
    </row>
    <row r="308" spans="1:12" x14ac:dyDescent="0.25">
      <c r="A308" s="6"/>
      <c r="B308" s="6"/>
      <c r="C308" s="123"/>
      <c r="D308" s="123"/>
      <c r="E308" s="123"/>
      <c r="F308" s="124"/>
      <c r="G308" s="124"/>
      <c r="H308" s="6"/>
      <c r="I308" s="125"/>
      <c r="J308" s="125"/>
      <c r="K308" s="125"/>
      <c r="L308" s="125"/>
    </row>
    <row r="309" spans="1:12" x14ac:dyDescent="0.25">
      <c r="A309" s="6"/>
      <c r="B309" s="6"/>
      <c r="C309" s="123"/>
      <c r="D309" s="123"/>
      <c r="E309" s="123"/>
      <c r="F309" s="124"/>
      <c r="G309" s="124"/>
      <c r="H309" s="6"/>
      <c r="I309" s="125"/>
      <c r="J309" s="125"/>
      <c r="K309" s="125"/>
      <c r="L309" s="125"/>
    </row>
    <row r="310" spans="1:12" x14ac:dyDescent="0.25">
      <c r="A310" s="6"/>
      <c r="B310" s="6"/>
      <c r="C310" s="123"/>
      <c r="D310" s="123"/>
      <c r="E310" s="123"/>
      <c r="F310" s="124"/>
      <c r="G310" s="124"/>
      <c r="H310" s="6"/>
      <c r="I310" s="125"/>
      <c r="J310" s="125"/>
      <c r="K310" s="125"/>
      <c r="L310" s="125"/>
    </row>
    <row r="311" spans="1:12" x14ac:dyDescent="0.25">
      <c r="A311" s="6"/>
      <c r="B311" s="6"/>
      <c r="C311" s="123"/>
      <c r="D311" s="123"/>
      <c r="E311" s="123"/>
      <c r="F311" s="124"/>
      <c r="G311" s="124"/>
      <c r="H311" s="6"/>
      <c r="I311" s="125"/>
      <c r="J311" s="125"/>
      <c r="K311" s="125"/>
      <c r="L311" s="125"/>
    </row>
    <row r="312" spans="1:12" x14ac:dyDescent="0.25">
      <c r="A312" s="6"/>
      <c r="B312" s="6"/>
      <c r="C312" s="123"/>
      <c r="D312" s="123"/>
      <c r="E312" s="123"/>
      <c r="F312" s="124"/>
      <c r="G312" s="124"/>
      <c r="H312" s="6"/>
      <c r="I312" s="125"/>
      <c r="J312" s="125"/>
      <c r="K312" s="125"/>
      <c r="L312" s="125"/>
    </row>
    <row r="313" spans="1:12" x14ac:dyDescent="0.25">
      <c r="A313" s="6"/>
      <c r="B313" s="6"/>
      <c r="C313" s="123"/>
      <c r="D313" s="123"/>
      <c r="E313" s="123"/>
      <c r="F313" s="124"/>
      <c r="G313" s="124"/>
      <c r="H313" s="6"/>
      <c r="I313" s="125"/>
      <c r="J313" s="125"/>
      <c r="K313" s="125"/>
      <c r="L313" s="125"/>
    </row>
    <row r="314" spans="1:12" x14ac:dyDescent="0.25">
      <c r="A314" s="6"/>
      <c r="B314" s="6"/>
      <c r="C314" s="123"/>
      <c r="D314" s="123"/>
      <c r="E314" s="123"/>
      <c r="F314" s="124"/>
      <c r="G314" s="124"/>
      <c r="H314" s="6"/>
      <c r="I314" s="125"/>
      <c r="J314" s="125"/>
      <c r="K314" s="125"/>
      <c r="L314" s="125"/>
    </row>
    <row r="315" spans="1:12" x14ac:dyDescent="0.25">
      <c r="A315" s="6"/>
      <c r="B315" s="6"/>
      <c r="C315" s="123"/>
      <c r="D315" s="123"/>
      <c r="E315" s="123"/>
      <c r="F315" s="124"/>
      <c r="G315" s="124"/>
      <c r="H315" s="6"/>
      <c r="I315" s="125"/>
      <c r="J315" s="125"/>
      <c r="K315" s="125"/>
      <c r="L315" s="125"/>
    </row>
    <row r="316" spans="1:12" x14ac:dyDescent="0.25">
      <c r="A316" s="6"/>
      <c r="B316" s="6"/>
      <c r="C316" s="123"/>
      <c r="D316" s="123"/>
      <c r="E316" s="123"/>
      <c r="F316" s="124"/>
      <c r="G316" s="124"/>
      <c r="H316" s="6"/>
      <c r="I316" s="125"/>
      <c r="J316" s="125"/>
      <c r="K316" s="125"/>
      <c r="L316" s="125"/>
    </row>
    <row r="317" spans="1:12" x14ac:dyDescent="0.25">
      <c r="A317" s="6"/>
      <c r="B317" s="6"/>
      <c r="C317" s="123"/>
      <c r="D317" s="123"/>
      <c r="E317" s="123"/>
      <c r="F317" s="124"/>
      <c r="G317" s="124"/>
      <c r="H317" s="6"/>
      <c r="I317" s="125"/>
      <c r="J317" s="125"/>
      <c r="K317" s="125"/>
      <c r="L317" s="125"/>
    </row>
    <row r="318" spans="1:12" x14ac:dyDescent="0.25">
      <c r="A318" s="6"/>
      <c r="B318" s="6"/>
      <c r="C318" s="123"/>
      <c r="D318" s="123"/>
      <c r="E318" s="123"/>
      <c r="F318" s="124"/>
      <c r="G318" s="124"/>
      <c r="H318" s="6"/>
      <c r="I318" s="125"/>
      <c r="J318" s="125"/>
      <c r="K318" s="125"/>
      <c r="L318" s="125"/>
    </row>
    <row r="319" spans="1:12" x14ac:dyDescent="0.25">
      <c r="A319" s="6"/>
      <c r="B319" s="6"/>
      <c r="C319" s="123"/>
      <c r="D319" s="123"/>
      <c r="E319" s="123"/>
      <c r="F319" s="124"/>
      <c r="G319" s="124"/>
      <c r="H319" s="6"/>
      <c r="I319" s="125"/>
      <c r="J319" s="125"/>
      <c r="K319" s="125"/>
      <c r="L319" s="125"/>
    </row>
    <row r="320" spans="1:12" x14ac:dyDescent="0.25">
      <c r="A320" s="6"/>
      <c r="B320" s="6"/>
      <c r="C320" s="123"/>
      <c r="D320" s="123"/>
      <c r="E320" s="123"/>
      <c r="F320" s="124"/>
      <c r="G320" s="124"/>
      <c r="H320" s="6"/>
      <c r="I320" s="125"/>
      <c r="J320" s="125"/>
      <c r="K320" s="125"/>
      <c r="L320" s="125"/>
    </row>
    <row r="321" spans="1:12" x14ac:dyDescent="0.25">
      <c r="A321" s="6"/>
      <c r="B321" s="6"/>
      <c r="C321" s="123"/>
      <c r="D321" s="123"/>
      <c r="E321" s="123"/>
      <c r="F321" s="124"/>
      <c r="G321" s="124"/>
      <c r="H321" s="6"/>
      <c r="I321" s="125"/>
      <c r="J321" s="125"/>
      <c r="K321" s="125"/>
      <c r="L321" s="125"/>
    </row>
    <row r="322" spans="1:12" x14ac:dyDescent="0.25">
      <c r="A322" s="6"/>
      <c r="B322" s="6"/>
      <c r="C322" s="123"/>
      <c r="D322" s="123"/>
      <c r="E322" s="123"/>
      <c r="F322" s="124"/>
      <c r="G322" s="124"/>
      <c r="H322" s="6"/>
      <c r="I322" s="125"/>
      <c r="J322" s="125"/>
      <c r="K322" s="125"/>
      <c r="L322" s="125"/>
    </row>
    <row r="323" spans="1:12" x14ac:dyDescent="0.25">
      <c r="A323" s="6"/>
      <c r="B323" s="6"/>
      <c r="C323" s="123"/>
      <c r="D323" s="123"/>
      <c r="E323" s="123"/>
      <c r="F323" s="124"/>
      <c r="G323" s="124"/>
      <c r="H323" s="6"/>
      <c r="I323" s="125"/>
      <c r="J323" s="125"/>
      <c r="K323" s="125"/>
      <c r="L323" s="125"/>
    </row>
    <row r="324" spans="1:12" x14ac:dyDescent="0.25">
      <c r="A324" s="6"/>
      <c r="B324" s="6"/>
      <c r="C324" s="123"/>
      <c r="D324" s="123"/>
      <c r="E324" s="123"/>
      <c r="F324" s="124"/>
      <c r="G324" s="124"/>
      <c r="H324" s="6"/>
      <c r="I324" s="125"/>
      <c r="J324" s="125"/>
      <c r="K324" s="125"/>
      <c r="L324" s="125"/>
    </row>
    <row r="325" spans="1:12" x14ac:dyDescent="0.25">
      <c r="A325" s="6"/>
      <c r="B325" s="6"/>
      <c r="C325" s="123"/>
      <c r="D325" s="123"/>
      <c r="E325" s="123"/>
      <c r="F325" s="124"/>
      <c r="G325" s="124"/>
      <c r="H325" s="6"/>
      <c r="I325" s="125"/>
      <c r="J325" s="125"/>
      <c r="K325" s="125"/>
      <c r="L325" s="125"/>
    </row>
    <row r="326" spans="1:12" x14ac:dyDescent="0.25">
      <c r="A326" s="6"/>
      <c r="B326" s="6"/>
      <c r="C326" s="123"/>
      <c r="D326" s="123"/>
      <c r="E326" s="123"/>
      <c r="F326" s="124"/>
      <c r="G326" s="124"/>
      <c r="H326" s="6"/>
      <c r="I326" s="125"/>
      <c r="J326" s="125"/>
      <c r="K326" s="125"/>
      <c r="L326" s="125"/>
    </row>
    <row r="327" spans="1:12" x14ac:dyDescent="0.25">
      <c r="A327" s="6"/>
      <c r="B327" s="6"/>
      <c r="C327" s="123"/>
      <c r="D327" s="123"/>
      <c r="E327" s="123"/>
      <c r="F327" s="124"/>
      <c r="G327" s="124"/>
      <c r="H327" s="6"/>
      <c r="I327" s="125"/>
      <c r="J327" s="125"/>
      <c r="K327" s="125"/>
      <c r="L327" s="125"/>
    </row>
    <row r="328" spans="1:12" x14ac:dyDescent="0.25">
      <c r="A328" s="6"/>
      <c r="B328" s="6"/>
      <c r="C328" s="123"/>
      <c r="D328" s="123"/>
      <c r="E328" s="123"/>
      <c r="F328" s="124"/>
      <c r="G328" s="124"/>
      <c r="H328" s="6"/>
      <c r="I328" s="125"/>
      <c r="J328" s="125"/>
      <c r="K328" s="125"/>
      <c r="L328" s="125"/>
    </row>
    <row r="329" spans="1:12" x14ac:dyDescent="0.25">
      <c r="A329" s="6"/>
      <c r="B329" s="6"/>
      <c r="C329" s="123"/>
      <c r="D329" s="123"/>
      <c r="E329" s="123"/>
      <c r="F329" s="124"/>
      <c r="G329" s="124"/>
      <c r="H329" s="6"/>
      <c r="I329" s="125"/>
      <c r="J329" s="125"/>
      <c r="K329" s="125"/>
      <c r="L329" s="125"/>
    </row>
    <row r="330" spans="1:12" x14ac:dyDescent="0.25">
      <c r="A330" s="6"/>
      <c r="B330" s="6"/>
      <c r="C330" s="123"/>
      <c r="D330" s="123"/>
      <c r="E330" s="123"/>
      <c r="F330" s="124"/>
      <c r="G330" s="124"/>
      <c r="H330" s="6"/>
      <c r="I330" s="125"/>
      <c r="J330" s="125"/>
      <c r="K330" s="125"/>
      <c r="L330" s="125"/>
    </row>
    <row r="331" spans="1:12" x14ac:dyDescent="0.25">
      <c r="A331" s="6"/>
      <c r="B331" s="6"/>
      <c r="C331" s="123"/>
      <c r="D331" s="123"/>
      <c r="E331" s="123"/>
      <c r="F331" s="124"/>
      <c r="G331" s="124"/>
      <c r="H331" s="6"/>
      <c r="I331" s="125"/>
      <c r="J331" s="125"/>
      <c r="K331" s="125"/>
      <c r="L331" s="125"/>
    </row>
    <row r="332" spans="1:12" x14ac:dyDescent="0.25">
      <c r="A332" s="6"/>
      <c r="B332" s="6"/>
      <c r="C332" s="123"/>
      <c r="D332" s="123"/>
      <c r="E332" s="123"/>
      <c r="F332" s="124"/>
      <c r="G332" s="124"/>
      <c r="H332" s="6"/>
      <c r="I332" s="125"/>
      <c r="J332" s="125"/>
      <c r="K332" s="125"/>
      <c r="L332" s="125"/>
    </row>
    <row r="333" spans="1:12" x14ac:dyDescent="0.25">
      <c r="A333" s="6"/>
      <c r="B333" s="6"/>
      <c r="C333" s="123"/>
      <c r="D333" s="123"/>
      <c r="E333" s="123"/>
      <c r="F333" s="124"/>
      <c r="G333" s="124"/>
      <c r="H333" s="6"/>
      <c r="I333" s="125"/>
      <c r="J333" s="125"/>
      <c r="K333" s="125"/>
      <c r="L333" s="125"/>
    </row>
    <row r="334" spans="1:12" x14ac:dyDescent="0.25">
      <c r="A334" s="6"/>
      <c r="B334" s="6"/>
      <c r="C334" s="123"/>
      <c r="D334" s="123"/>
      <c r="E334" s="123"/>
      <c r="F334" s="124"/>
      <c r="G334" s="124"/>
      <c r="H334" s="6"/>
      <c r="I334" s="125"/>
      <c r="J334" s="125"/>
      <c r="K334" s="125"/>
      <c r="L334" s="125"/>
    </row>
    <row r="335" spans="1:12" x14ac:dyDescent="0.25">
      <c r="A335" s="6"/>
      <c r="B335" s="6"/>
      <c r="C335" s="123"/>
      <c r="D335" s="123"/>
      <c r="E335" s="123"/>
      <c r="F335" s="124"/>
      <c r="G335" s="124"/>
      <c r="H335" s="6"/>
      <c r="I335" s="125"/>
      <c r="J335" s="125"/>
      <c r="K335" s="125"/>
      <c r="L335" s="125"/>
    </row>
    <row r="336" spans="1:12" x14ac:dyDescent="0.25">
      <c r="A336" s="6"/>
      <c r="B336" s="6"/>
      <c r="C336" s="123"/>
      <c r="D336" s="123"/>
      <c r="E336" s="123"/>
      <c r="F336" s="124"/>
      <c r="G336" s="124"/>
      <c r="H336" s="6"/>
      <c r="I336" s="125"/>
      <c r="J336" s="125"/>
      <c r="K336" s="125"/>
      <c r="L336" s="125"/>
    </row>
    <row r="337" spans="1:12" x14ac:dyDescent="0.25">
      <c r="A337" s="6"/>
      <c r="B337" s="6"/>
      <c r="C337" s="123"/>
      <c r="D337" s="123"/>
      <c r="E337" s="123"/>
      <c r="F337" s="124"/>
      <c r="G337" s="124"/>
      <c r="H337" s="6"/>
      <c r="I337" s="125"/>
      <c r="J337" s="125"/>
      <c r="K337" s="125"/>
      <c r="L337" s="125"/>
    </row>
    <row r="338" spans="1:12" x14ac:dyDescent="0.25">
      <c r="A338" s="6"/>
      <c r="B338" s="6"/>
      <c r="C338" s="123"/>
      <c r="D338" s="123"/>
      <c r="E338" s="123"/>
      <c r="F338" s="124"/>
      <c r="G338" s="124"/>
      <c r="H338" s="6"/>
      <c r="I338" s="125"/>
      <c r="J338" s="125"/>
      <c r="K338" s="125"/>
      <c r="L338" s="125"/>
    </row>
    <row r="339" spans="1:12" x14ac:dyDescent="0.25">
      <c r="A339" s="6"/>
      <c r="B339" s="6"/>
      <c r="C339" s="123"/>
      <c r="D339" s="123"/>
      <c r="E339" s="123"/>
      <c r="F339" s="124"/>
      <c r="G339" s="124"/>
      <c r="H339" s="6"/>
      <c r="I339" s="125"/>
      <c r="J339" s="125"/>
      <c r="K339" s="125"/>
      <c r="L339" s="125"/>
    </row>
    <row r="340" spans="1:12" x14ac:dyDescent="0.25">
      <c r="A340" s="6"/>
      <c r="B340" s="6"/>
      <c r="C340" s="123"/>
      <c r="D340" s="123"/>
      <c r="E340" s="123"/>
      <c r="F340" s="124"/>
      <c r="G340" s="124"/>
      <c r="H340" s="6"/>
      <c r="I340" s="125"/>
      <c r="J340" s="125"/>
      <c r="K340" s="125"/>
      <c r="L340" s="125"/>
    </row>
    <row r="341" spans="1:12" x14ac:dyDescent="0.25">
      <c r="A341" s="6"/>
      <c r="B341" s="6"/>
      <c r="C341" s="123"/>
      <c r="D341" s="123"/>
      <c r="E341" s="123"/>
      <c r="F341" s="124"/>
      <c r="G341" s="124"/>
      <c r="H341" s="6"/>
      <c r="I341" s="125"/>
      <c r="J341" s="125"/>
      <c r="K341" s="125"/>
      <c r="L341" s="125"/>
    </row>
    <row r="342" spans="1:12" x14ac:dyDescent="0.25">
      <c r="A342" s="6"/>
      <c r="B342" s="6"/>
      <c r="C342" s="123"/>
      <c r="D342" s="123"/>
      <c r="E342" s="123"/>
      <c r="F342" s="124"/>
      <c r="G342" s="124"/>
      <c r="H342" s="6"/>
      <c r="I342" s="125"/>
      <c r="J342" s="125"/>
      <c r="K342" s="125"/>
      <c r="L342" s="125"/>
    </row>
    <row r="343" spans="1:12" x14ac:dyDescent="0.25">
      <c r="A343" s="6"/>
      <c r="B343" s="6"/>
      <c r="C343" s="123"/>
      <c r="D343" s="123"/>
      <c r="E343" s="123"/>
      <c r="F343" s="124"/>
      <c r="G343" s="124"/>
      <c r="H343" s="6"/>
      <c r="I343" s="125"/>
      <c r="J343" s="125"/>
      <c r="K343" s="125"/>
      <c r="L343" s="125"/>
    </row>
    <row r="344" spans="1:12" x14ac:dyDescent="0.25">
      <c r="A344" s="6"/>
      <c r="B344" s="6"/>
      <c r="C344" s="123"/>
      <c r="D344" s="123"/>
      <c r="E344" s="123"/>
      <c r="F344" s="124"/>
      <c r="G344" s="124"/>
      <c r="H344" s="6"/>
      <c r="I344" s="125"/>
      <c r="J344" s="125"/>
      <c r="K344" s="125"/>
      <c r="L344" s="125"/>
    </row>
    <row r="345" spans="1:12" x14ac:dyDescent="0.25">
      <c r="A345" s="6"/>
      <c r="B345" s="6"/>
      <c r="C345" s="123"/>
      <c r="D345" s="123"/>
      <c r="E345" s="123"/>
      <c r="F345" s="124"/>
      <c r="G345" s="124"/>
      <c r="H345" s="6"/>
      <c r="I345" s="125"/>
      <c r="J345" s="125"/>
      <c r="K345" s="125"/>
      <c r="L345" s="125"/>
    </row>
    <row r="346" spans="1:12" x14ac:dyDescent="0.25">
      <c r="A346" s="6"/>
      <c r="B346" s="6"/>
      <c r="C346" s="123"/>
      <c r="D346" s="123"/>
      <c r="E346" s="123"/>
      <c r="F346" s="124"/>
      <c r="G346" s="124"/>
      <c r="H346" s="6"/>
      <c r="I346" s="125"/>
      <c r="J346" s="125"/>
      <c r="K346" s="125"/>
      <c r="L346" s="125"/>
    </row>
    <row r="347" spans="1:12" x14ac:dyDescent="0.25">
      <c r="A347" s="6"/>
      <c r="B347" s="6"/>
      <c r="C347" s="123"/>
      <c r="D347" s="123"/>
      <c r="E347" s="123"/>
      <c r="F347" s="124"/>
      <c r="G347" s="124"/>
      <c r="H347" s="6"/>
      <c r="I347" s="125"/>
      <c r="J347" s="125"/>
      <c r="K347" s="125"/>
      <c r="L347" s="125"/>
    </row>
    <row r="348" spans="1:12" x14ac:dyDescent="0.25">
      <c r="A348" s="6"/>
      <c r="B348" s="6"/>
      <c r="C348" s="123"/>
      <c r="D348" s="123"/>
      <c r="E348" s="123"/>
      <c r="F348" s="124"/>
      <c r="G348" s="124"/>
      <c r="H348" s="6"/>
      <c r="I348" s="125"/>
      <c r="J348" s="125"/>
      <c r="K348" s="125"/>
      <c r="L348" s="125"/>
    </row>
    <row r="349" spans="1:12" x14ac:dyDescent="0.25">
      <c r="A349" s="6"/>
      <c r="B349" s="6"/>
      <c r="C349" s="123"/>
      <c r="D349" s="123"/>
      <c r="E349" s="123"/>
      <c r="F349" s="124"/>
      <c r="G349" s="124"/>
      <c r="H349" s="6"/>
      <c r="I349" s="125"/>
      <c r="J349" s="125"/>
      <c r="K349" s="125"/>
      <c r="L349" s="125"/>
    </row>
    <row r="350" spans="1:12" x14ac:dyDescent="0.25">
      <c r="A350" s="6"/>
      <c r="B350" s="6"/>
      <c r="C350" s="123"/>
      <c r="D350" s="123"/>
      <c r="E350" s="123"/>
      <c r="F350" s="124"/>
      <c r="G350" s="124"/>
      <c r="H350" s="6"/>
      <c r="I350" s="125"/>
      <c r="J350" s="125"/>
      <c r="K350" s="125"/>
      <c r="L350" s="125"/>
    </row>
    <row r="351" spans="1:12" x14ac:dyDescent="0.25">
      <c r="A351" s="6"/>
      <c r="B351" s="6"/>
      <c r="C351" s="123"/>
      <c r="D351" s="123"/>
      <c r="E351" s="123"/>
      <c r="F351" s="124"/>
      <c r="G351" s="124"/>
      <c r="H351" s="6"/>
      <c r="I351" s="125"/>
      <c r="J351" s="125"/>
      <c r="K351" s="125"/>
      <c r="L351" s="125"/>
    </row>
    <row r="352" spans="1:12" x14ac:dyDescent="0.25">
      <c r="A352" s="6"/>
      <c r="B352" s="6"/>
      <c r="C352" s="123"/>
      <c r="D352" s="123"/>
      <c r="E352" s="123"/>
      <c r="F352" s="124"/>
      <c r="G352" s="124"/>
      <c r="H352" s="6"/>
      <c r="I352" s="125"/>
      <c r="J352" s="125"/>
      <c r="K352" s="125"/>
      <c r="L352" s="125"/>
    </row>
    <row r="353" spans="1:12" x14ac:dyDescent="0.25">
      <c r="A353" s="6"/>
      <c r="B353" s="6"/>
      <c r="C353" s="123"/>
      <c r="D353" s="123"/>
      <c r="E353" s="123"/>
      <c r="F353" s="124"/>
      <c r="G353" s="124"/>
      <c r="H353" s="6"/>
      <c r="I353" s="125"/>
      <c r="J353" s="125"/>
      <c r="K353" s="125"/>
      <c r="L353" s="125"/>
    </row>
    <row r="354" spans="1:12" x14ac:dyDescent="0.25">
      <c r="A354" s="6"/>
      <c r="B354" s="6"/>
      <c r="C354" s="123"/>
      <c r="D354" s="123"/>
      <c r="E354" s="123"/>
      <c r="F354" s="124"/>
      <c r="G354" s="124"/>
      <c r="H354" s="6"/>
      <c r="I354" s="125"/>
      <c r="J354" s="125"/>
      <c r="K354" s="125"/>
      <c r="L354" s="125"/>
    </row>
    <row r="355" spans="1:12" x14ac:dyDescent="0.25">
      <c r="A355" s="6"/>
      <c r="B355" s="6"/>
      <c r="C355" s="123"/>
      <c r="D355" s="123"/>
      <c r="E355" s="123"/>
      <c r="F355" s="124"/>
      <c r="G355" s="124"/>
      <c r="H355" s="6"/>
      <c r="I355" s="125"/>
      <c r="J355" s="125"/>
      <c r="K355" s="125"/>
      <c r="L355" s="125"/>
    </row>
    <row r="356" spans="1:12" x14ac:dyDescent="0.25">
      <c r="A356" s="6"/>
      <c r="B356" s="6"/>
      <c r="C356" s="123"/>
      <c r="D356" s="123"/>
      <c r="E356" s="123"/>
      <c r="F356" s="124"/>
      <c r="G356" s="124"/>
      <c r="H356" s="6"/>
      <c r="I356" s="125"/>
      <c r="J356" s="125"/>
      <c r="K356" s="125"/>
      <c r="L356" s="125"/>
    </row>
    <row r="357" spans="1:12" x14ac:dyDescent="0.25">
      <c r="A357" s="6"/>
      <c r="B357" s="6"/>
      <c r="C357" s="123"/>
      <c r="D357" s="123"/>
      <c r="E357" s="123"/>
      <c r="F357" s="124"/>
      <c r="G357" s="124"/>
      <c r="H357" s="6"/>
      <c r="I357" s="125"/>
      <c r="J357" s="125"/>
      <c r="K357" s="125"/>
      <c r="L357" s="125"/>
    </row>
    <row r="358" spans="1:12" x14ac:dyDescent="0.25">
      <c r="A358" s="6"/>
      <c r="B358" s="6"/>
      <c r="C358" s="123"/>
      <c r="D358" s="123"/>
      <c r="E358" s="123"/>
      <c r="F358" s="124"/>
      <c r="G358" s="124"/>
      <c r="H358" s="6"/>
      <c r="I358" s="125"/>
      <c r="J358" s="125"/>
      <c r="K358" s="125"/>
      <c r="L358" s="125"/>
    </row>
    <row r="359" spans="1:12" x14ac:dyDescent="0.25">
      <c r="A359" s="6"/>
      <c r="B359" s="6"/>
      <c r="C359" s="123"/>
      <c r="D359" s="123"/>
      <c r="E359" s="123"/>
      <c r="F359" s="124"/>
      <c r="G359" s="124"/>
      <c r="H359" s="6"/>
      <c r="I359" s="125"/>
      <c r="J359" s="125"/>
      <c r="K359" s="125"/>
      <c r="L359" s="125"/>
    </row>
    <row r="360" spans="1:12" x14ac:dyDescent="0.25">
      <c r="A360" s="6"/>
      <c r="B360" s="6"/>
      <c r="C360" s="123"/>
      <c r="D360" s="123"/>
      <c r="E360" s="123"/>
      <c r="F360" s="124"/>
      <c r="G360" s="124"/>
      <c r="H360" s="6"/>
      <c r="I360" s="125"/>
      <c r="J360" s="125"/>
      <c r="K360" s="125"/>
      <c r="L360" s="125"/>
    </row>
    <row r="361" spans="1:12" x14ac:dyDescent="0.25">
      <c r="A361" s="6"/>
      <c r="B361" s="6"/>
      <c r="C361" s="123"/>
      <c r="D361" s="123"/>
      <c r="E361" s="123"/>
      <c r="F361" s="124"/>
      <c r="G361" s="124"/>
      <c r="H361" s="6"/>
      <c r="I361" s="125"/>
      <c r="J361" s="125"/>
      <c r="K361" s="125"/>
      <c r="L361" s="125"/>
    </row>
    <row r="362" spans="1:12" x14ac:dyDescent="0.25">
      <c r="A362" s="6"/>
      <c r="B362" s="6"/>
      <c r="C362" s="123"/>
      <c r="D362" s="123"/>
      <c r="E362" s="123"/>
      <c r="F362" s="124"/>
      <c r="G362" s="124"/>
      <c r="H362" s="6"/>
      <c r="I362" s="125"/>
      <c r="J362" s="125"/>
      <c r="K362" s="125"/>
      <c r="L362" s="125"/>
    </row>
    <row r="363" spans="1:12" x14ac:dyDescent="0.25">
      <c r="A363" s="6"/>
      <c r="B363" s="6"/>
      <c r="C363" s="123"/>
      <c r="D363" s="123"/>
      <c r="E363" s="123"/>
      <c r="F363" s="124"/>
      <c r="G363" s="124"/>
      <c r="H363" s="6"/>
      <c r="I363" s="125"/>
      <c r="J363" s="125"/>
      <c r="K363" s="125"/>
      <c r="L363" s="125"/>
    </row>
    <row r="364" spans="1:12" x14ac:dyDescent="0.25">
      <c r="A364" s="6"/>
      <c r="B364" s="6"/>
      <c r="C364" s="123"/>
      <c r="D364" s="123"/>
      <c r="E364" s="123"/>
      <c r="F364" s="124"/>
      <c r="G364" s="124"/>
      <c r="H364" s="6"/>
      <c r="I364" s="125"/>
      <c r="J364" s="125"/>
      <c r="K364" s="125"/>
      <c r="L364" s="125"/>
    </row>
    <row r="365" spans="1:12" x14ac:dyDescent="0.25">
      <c r="A365" s="6"/>
      <c r="B365" s="6"/>
      <c r="C365" s="123"/>
      <c r="D365" s="123"/>
      <c r="E365" s="123"/>
      <c r="F365" s="124"/>
      <c r="G365" s="124"/>
      <c r="H365" s="6"/>
      <c r="I365" s="125"/>
      <c r="J365" s="125"/>
      <c r="K365" s="125"/>
      <c r="L365" s="125"/>
    </row>
    <row r="366" spans="1:12" x14ac:dyDescent="0.25">
      <c r="A366" s="6"/>
      <c r="B366" s="6"/>
      <c r="C366" s="123"/>
      <c r="D366" s="123"/>
      <c r="E366" s="123"/>
      <c r="F366" s="124"/>
      <c r="G366" s="124"/>
      <c r="H366" s="6"/>
      <c r="I366" s="125"/>
      <c r="J366" s="125"/>
      <c r="K366" s="125"/>
      <c r="L366" s="125"/>
    </row>
    <row r="367" spans="1:12" x14ac:dyDescent="0.25">
      <c r="A367" s="6"/>
      <c r="B367" s="6"/>
      <c r="C367" s="123"/>
      <c r="D367" s="123"/>
      <c r="E367" s="123"/>
      <c r="F367" s="124"/>
      <c r="G367" s="124"/>
      <c r="H367" s="6"/>
      <c r="I367" s="125"/>
      <c r="J367" s="125"/>
      <c r="K367" s="125"/>
      <c r="L367" s="125"/>
    </row>
    <row r="368" spans="1:12" x14ac:dyDescent="0.25">
      <c r="A368" s="6"/>
      <c r="B368" s="6"/>
      <c r="C368" s="123"/>
      <c r="D368" s="123"/>
      <c r="E368" s="123"/>
      <c r="F368" s="124"/>
      <c r="G368" s="124"/>
      <c r="H368" s="6"/>
      <c r="I368" s="125"/>
      <c r="J368" s="125"/>
      <c r="K368" s="125"/>
      <c r="L368" s="125"/>
    </row>
    <row r="369" spans="1:12" x14ac:dyDescent="0.25">
      <c r="A369" s="6"/>
      <c r="B369" s="6"/>
      <c r="C369" s="123"/>
      <c r="D369" s="123"/>
      <c r="E369" s="123"/>
      <c r="F369" s="124"/>
      <c r="G369" s="124"/>
      <c r="H369" s="6"/>
      <c r="I369" s="125"/>
      <c r="J369" s="125"/>
      <c r="K369" s="125"/>
      <c r="L369" s="125"/>
    </row>
    <row r="370" spans="1:12" x14ac:dyDescent="0.25">
      <c r="A370" s="6"/>
      <c r="B370" s="6"/>
      <c r="C370" s="123"/>
      <c r="D370" s="123"/>
      <c r="E370" s="123"/>
      <c r="F370" s="124"/>
      <c r="G370" s="124"/>
      <c r="H370" s="6"/>
      <c r="I370" s="125"/>
      <c r="J370" s="125"/>
      <c r="K370" s="125"/>
      <c r="L370" s="125"/>
    </row>
    <row r="371" spans="1:12" x14ac:dyDescent="0.25">
      <c r="A371" s="6"/>
      <c r="B371" s="6"/>
      <c r="C371" s="123"/>
      <c r="D371" s="123"/>
      <c r="E371" s="123"/>
      <c r="F371" s="124"/>
      <c r="G371" s="124"/>
      <c r="H371" s="6"/>
      <c r="I371" s="125"/>
      <c r="J371" s="125"/>
      <c r="K371" s="125"/>
      <c r="L371" s="125"/>
    </row>
    <row r="372" spans="1:12" x14ac:dyDescent="0.25">
      <c r="A372" s="6"/>
      <c r="B372" s="6"/>
      <c r="C372" s="123"/>
      <c r="D372" s="123"/>
      <c r="E372" s="123"/>
      <c r="F372" s="124"/>
      <c r="G372" s="124"/>
      <c r="H372" s="6"/>
      <c r="I372" s="125"/>
      <c r="J372" s="125"/>
      <c r="K372" s="125"/>
      <c r="L372" s="125"/>
    </row>
    <row r="373" spans="1:12" x14ac:dyDescent="0.25">
      <c r="A373" s="6"/>
      <c r="B373" s="6"/>
      <c r="C373" s="123"/>
      <c r="D373" s="123"/>
      <c r="E373" s="123"/>
      <c r="F373" s="124"/>
      <c r="G373" s="124"/>
      <c r="H373" s="6"/>
      <c r="I373" s="125"/>
      <c r="J373" s="125"/>
      <c r="K373" s="125"/>
      <c r="L373" s="125"/>
    </row>
    <row r="374" spans="1:12" x14ac:dyDescent="0.25">
      <c r="A374" s="6"/>
      <c r="B374" s="6"/>
      <c r="C374" s="123"/>
      <c r="D374" s="123"/>
      <c r="E374" s="123"/>
      <c r="F374" s="124"/>
      <c r="G374" s="124"/>
      <c r="H374" s="6"/>
      <c r="I374" s="125"/>
      <c r="J374" s="125"/>
      <c r="K374" s="125"/>
      <c r="L374" s="125"/>
    </row>
    <row r="375" spans="1:12" x14ac:dyDescent="0.25">
      <c r="A375" s="6"/>
      <c r="B375" s="6"/>
      <c r="C375" s="123"/>
      <c r="D375" s="123"/>
      <c r="E375" s="123"/>
      <c r="F375" s="124"/>
      <c r="G375" s="124"/>
      <c r="H375" s="6"/>
      <c r="I375" s="125"/>
      <c r="J375" s="125"/>
      <c r="K375" s="125"/>
      <c r="L375" s="125"/>
    </row>
    <row r="376" spans="1:12" x14ac:dyDescent="0.25">
      <c r="A376" s="6"/>
      <c r="B376" s="6"/>
      <c r="C376" s="123"/>
      <c r="D376" s="123"/>
      <c r="E376" s="123"/>
      <c r="F376" s="124"/>
      <c r="G376" s="124"/>
      <c r="H376" s="6"/>
      <c r="I376" s="125"/>
      <c r="J376" s="125"/>
      <c r="K376" s="125"/>
      <c r="L376" s="125"/>
    </row>
    <row r="377" spans="1:12" x14ac:dyDescent="0.25">
      <c r="A377" s="6"/>
      <c r="B377" s="6"/>
      <c r="C377" s="123"/>
      <c r="D377" s="123"/>
      <c r="E377" s="123"/>
      <c r="F377" s="124"/>
      <c r="G377" s="124"/>
      <c r="H377" s="6"/>
      <c r="I377" s="125"/>
      <c r="J377" s="125"/>
      <c r="K377" s="125"/>
      <c r="L377" s="125"/>
    </row>
    <row r="378" spans="1:12" x14ac:dyDescent="0.25">
      <c r="A378" s="6"/>
      <c r="B378" s="6"/>
      <c r="C378" s="123"/>
      <c r="D378" s="123"/>
      <c r="E378" s="123"/>
      <c r="F378" s="124"/>
      <c r="G378" s="124"/>
      <c r="H378" s="6"/>
      <c r="I378" s="125"/>
      <c r="J378" s="125"/>
      <c r="K378" s="125"/>
      <c r="L378" s="125"/>
    </row>
    <row r="379" spans="1:12" x14ac:dyDescent="0.25">
      <c r="A379" s="6"/>
      <c r="B379" s="6"/>
      <c r="C379" s="123"/>
      <c r="D379" s="123"/>
      <c r="E379" s="123"/>
      <c r="F379" s="124"/>
      <c r="G379" s="124"/>
      <c r="H379" s="6"/>
      <c r="I379" s="125"/>
      <c r="J379" s="125"/>
      <c r="K379" s="125"/>
      <c r="L379" s="125"/>
    </row>
    <row r="380" spans="1:12" x14ac:dyDescent="0.25">
      <c r="A380" s="6"/>
      <c r="B380" s="6"/>
      <c r="C380" s="123"/>
      <c r="D380" s="123"/>
      <c r="E380" s="123"/>
      <c r="F380" s="124"/>
      <c r="G380" s="124"/>
      <c r="H380" s="6"/>
      <c r="I380" s="125"/>
      <c r="J380" s="125"/>
      <c r="K380" s="125"/>
      <c r="L380" s="125"/>
    </row>
    <row r="381" spans="1:12" x14ac:dyDescent="0.25">
      <c r="A381" s="6"/>
      <c r="B381" s="6"/>
      <c r="C381" s="123"/>
      <c r="D381" s="123"/>
      <c r="E381" s="123"/>
      <c r="F381" s="124"/>
      <c r="G381" s="124"/>
      <c r="H381" s="6"/>
      <c r="I381" s="125"/>
      <c r="J381" s="125"/>
      <c r="K381" s="125"/>
      <c r="L381" s="125"/>
    </row>
    <row r="382" spans="1:12" x14ac:dyDescent="0.25">
      <c r="A382" s="6"/>
      <c r="B382" s="6"/>
      <c r="C382" s="123"/>
      <c r="D382" s="123"/>
      <c r="E382" s="123"/>
      <c r="F382" s="124"/>
      <c r="G382" s="124"/>
      <c r="H382" s="6"/>
      <c r="I382" s="125"/>
      <c r="J382" s="125"/>
      <c r="K382" s="125"/>
      <c r="L382" s="125"/>
    </row>
    <row r="383" spans="1:12" x14ac:dyDescent="0.25">
      <c r="A383" s="6"/>
      <c r="B383" s="6"/>
      <c r="C383" s="123"/>
      <c r="D383" s="123"/>
      <c r="E383" s="123"/>
      <c r="F383" s="124"/>
      <c r="G383" s="124"/>
      <c r="H383" s="6"/>
      <c r="I383" s="125"/>
      <c r="J383" s="125"/>
      <c r="K383" s="125"/>
      <c r="L383" s="125"/>
    </row>
    <row r="384" spans="1:12" x14ac:dyDescent="0.25">
      <c r="A384" s="6"/>
      <c r="B384" s="6"/>
      <c r="C384" s="123"/>
      <c r="D384" s="123"/>
      <c r="E384" s="123"/>
      <c r="F384" s="124"/>
      <c r="G384" s="124"/>
      <c r="H384" s="6"/>
      <c r="I384" s="125"/>
      <c r="J384" s="125"/>
      <c r="K384" s="125"/>
      <c r="L384" s="125"/>
    </row>
    <row r="385" spans="1:12" x14ac:dyDescent="0.25">
      <c r="A385" s="6"/>
      <c r="B385" s="6"/>
      <c r="C385" s="123"/>
      <c r="D385" s="123"/>
      <c r="E385" s="123"/>
      <c r="F385" s="124"/>
      <c r="G385" s="124"/>
      <c r="H385" s="6"/>
      <c r="I385" s="125"/>
      <c r="J385" s="125"/>
      <c r="K385" s="125"/>
      <c r="L385" s="125"/>
    </row>
    <row r="386" spans="1:12" x14ac:dyDescent="0.25">
      <c r="A386" s="6"/>
      <c r="B386" s="6"/>
      <c r="C386" s="123"/>
      <c r="D386" s="123"/>
      <c r="E386" s="123"/>
      <c r="F386" s="124"/>
      <c r="G386" s="124"/>
      <c r="H386" s="6"/>
      <c r="I386" s="125"/>
      <c r="J386" s="125"/>
      <c r="K386" s="125"/>
      <c r="L386" s="125"/>
    </row>
    <row r="387" spans="1:12" x14ac:dyDescent="0.25">
      <c r="A387" s="6"/>
      <c r="B387" s="6"/>
      <c r="C387" s="123"/>
      <c r="D387" s="123"/>
      <c r="E387" s="123"/>
      <c r="F387" s="124"/>
      <c r="G387" s="124"/>
      <c r="H387" s="6"/>
      <c r="I387" s="125"/>
      <c r="J387" s="125"/>
      <c r="K387" s="125"/>
      <c r="L387" s="125"/>
    </row>
    <row r="388" spans="1:12" x14ac:dyDescent="0.25">
      <c r="A388" s="6"/>
      <c r="B388" s="6"/>
      <c r="C388" s="123"/>
      <c r="D388" s="123"/>
      <c r="E388" s="123"/>
      <c r="F388" s="124"/>
      <c r="G388" s="124"/>
      <c r="H388" s="6"/>
      <c r="I388" s="125"/>
      <c r="J388" s="125"/>
      <c r="K388" s="125"/>
      <c r="L388" s="125"/>
    </row>
    <row r="389" spans="1:12" x14ac:dyDescent="0.25">
      <c r="A389" s="6"/>
      <c r="B389" s="6"/>
      <c r="C389" s="123"/>
      <c r="D389" s="123"/>
      <c r="E389" s="123"/>
      <c r="F389" s="124"/>
      <c r="G389" s="124"/>
      <c r="H389" s="6"/>
      <c r="I389" s="125"/>
      <c r="J389" s="125"/>
      <c r="K389" s="125"/>
      <c r="L389" s="125"/>
    </row>
    <row r="390" spans="1:12" x14ac:dyDescent="0.25">
      <c r="A390" s="6"/>
      <c r="B390" s="6"/>
      <c r="C390" s="123"/>
      <c r="D390" s="123"/>
      <c r="E390" s="123"/>
      <c r="F390" s="124"/>
      <c r="G390" s="124"/>
      <c r="H390" s="6"/>
      <c r="I390" s="125"/>
      <c r="J390" s="125"/>
      <c r="K390" s="125"/>
      <c r="L390" s="125"/>
    </row>
    <row r="391" spans="1:12" x14ac:dyDescent="0.25">
      <c r="A391" s="6"/>
      <c r="B391" s="6"/>
      <c r="C391" s="123"/>
      <c r="D391" s="123"/>
      <c r="E391" s="123"/>
      <c r="F391" s="124"/>
      <c r="G391" s="124"/>
      <c r="H391" s="6"/>
      <c r="I391" s="125"/>
      <c r="J391" s="125"/>
      <c r="K391" s="125"/>
      <c r="L391" s="125"/>
    </row>
    <row r="392" spans="1:12" x14ac:dyDescent="0.25">
      <c r="A392" s="6"/>
      <c r="B392" s="6"/>
      <c r="C392" s="123"/>
      <c r="D392" s="123"/>
      <c r="E392" s="123"/>
      <c r="F392" s="124"/>
      <c r="G392" s="124"/>
      <c r="H392" s="6"/>
      <c r="I392" s="125"/>
      <c r="J392" s="125"/>
      <c r="K392" s="125"/>
      <c r="L392" s="125"/>
    </row>
    <row r="393" spans="1:12" x14ac:dyDescent="0.25">
      <c r="A393" s="6"/>
      <c r="B393" s="6"/>
      <c r="C393" s="123"/>
      <c r="D393" s="123"/>
      <c r="E393" s="123"/>
      <c r="F393" s="124"/>
      <c r="G393" s="124"/>
      <c r="H393" s="6"/>
      <c r="I393" s="125"/>
      <c r="J393" s="125"/>
      <c r="K393" s="125"/>
      <c r="L393" s="125"/>
    </row>
    <row r="394" spans="1:12" x14ac:dyDescent="0.25">
      <c r="A394" s="6"/>
      <c r="B394" s="6"/>
      <c r="C394" s="123"/>
      <c r="D394" s="123"/>
      <c r="E394" s="123"/>
      <c r="F394" s="124"/>
      <c r="G394" s="124"/>
      <c r="H394" s="6"/>
      <c r="I394" s="125"/>
      <c r="J394" s="125"/>
      <c r="K394" s="125"/>
      <c r="L394" s="125"/>
    </row>
    <row r="395" spans="1:12" x14ac:dyDescent="0.25">
      <c r="A395" s="6"/>
      <c r="B395" s="6"/>
      <c r="C395" s="123"/>
      <c r="D395" s="123"/>
      <c r="E395" s="123"/>
      <c r="F395" s="124"/>
      <c r="G395" s="124"/>
      <c r="H395" s="6"/>
      <c r="I395" s="125"/>
      <c r="J395" s="125"/>
      <c r="K395" s="125"/>
      <c r="L395" s="125"/>
    </row>
    <row r="396" spans="1:12" x14ac:dyDescent="0.25">
      <c r="A396" s="6"/>
      <c r="B396" s="6"/>
      <c r="C396" s="123"/>
      <c r="D396" s="123"/>
      <c r="E396" s="123"/>
      <c r="F396" s="124"/>
      <c r="G396" s="124"/>
      <c r="H396" s="6"/>
      <c r="I396" s="125"/>
      <c r="J396" s="125"/>
      <c r="K396" s="125"/>
      <c r="L396" s="125"/>
    </row>
    <row r="397" spans="1:12" x14ac:dyDescent="0.25">
      <c r="A397" s="6"/>
      <c r="B397" s="6"/>
      <c r="C397" s="123"/>
      <c r="D397" s="123"/>
      <c r="E397" s="123"/>
      <c r="F397" s="124"/>
      <c r="G397" s="124"/>
      <c r="H397" s="6"/>
      <c r="I397" s="125"/>
      <c r="J397" s="125"/>
      <c r="K397" s="125"/>
      <c r="L397" s="125"/>
    </row>
    <row r="398" spans="1:12" x14ac:dyDescent="0.25">
      <c r="A398" s="6"/>
      <c r="B398" s="6"/>
      <c r="C398" s="123"/>
      <c r="D398" s="123"/>
      <c r="E398" s="123"/>
      <c r="F398" s="124"/>
      <c r="G398" s="124"/>
      <c r="H398" s="6"/>
      <c r="I398" s="125"/>
      <c r="J398" s="125"/>
      <c r="K398" s="125"/>
      <c r="L398" s="125"/>
    </row>
    <row r="399" spans="1:12" x14ac:dyDescent="0.25">
      <c r="A399" s="6"/>
      <c r="B399" s="6"/>
      <c r="C399" s="123"/>
      <c r="D399" s="123"/>
      <c r="E399" s="123"/>
      <c r="F399" s="124"/>
      <c r="G399" s="124"/>
      <c r="H399" s="6"/>
      <c r="I399" s="125"/>
      <c r="J399" s="125"/>
      <c r="K399" s="125"/>
      <c r="L399" s="125"/>
    </row>
    <row r="400" spans="1:12" x14ac:dyDescent="0.25">
      <c r="A400" s="6"/>
      <c r="B400" s="6"/>
      <c r="C400" s="123"/>
      <c r="D400" s="123"/>
      <c r="E400" s="123"/>
      <c r="F400" s="124"/>
      <c r="G400" s="124"/>
      <c r="H400" s="6"/>
      <c r="I400" s="125"/>
      <c r="J400" s="125"/>
      <c r="K400" s="125"/>
      <c r="L400" s="125"/>
    </row>
    <row r="401" spans="1:12" x14ac:dyDescent="0.25">
      <c r="A401" s="6"/>
      <c r="B401" s="6"/>
      <c r="C401" s="123"/>
      <c r="D401" s="123"/>
      <c r="E401" s="123"/>
      <c r="F401" s="124"/>
      <c r="G401" s="124"/>
      <c r="H401" s="6"/>
      <c r="I401" s="125"/>
      <c r="J401" s="125"/>
      <c r="K401" s="125"/>
      <c r="L401" s="125"/>
    </row>
    <row r="402" spans="1:12" x14ac:dyDescent="0.25">
      <c r="A402" s="6"/>
      <c r="B402" s="6"/>
      <c r="C402" s="123"/>
      <c r="D402" s="123"/>
      <c r="E402" s="123"/>
      <c r="F402" s="124"/>
      <c r="G402" s="124"/>
      <c r="H402" s="6"/>
      <c r="I402" s="125"/>
      <c r="J402" s="125"/>
      <c r="K402" s="125"/>
      <c r="L402" s="125"/>
    </row>
    <row r="403" spans="1:12" x14ac:dyDescent="0.25">
      <c r="A403" s="6"/>
      <c r="B403" s="6"/>
      <c r="C403" s="123"/>
      <c r="D403" s="123"/>
      <c r="E403" s="123"/>
      <c r="F403" s="124"/>
      <c r="G403" s="124"/>
      <c r="H403" s="6"/>
      <c r="I403" s="125"/>
      <c r="J403" s="125"/>
      <c r="K403" s="125"/>
      <c r="L403" s="125"/>
    </row>
    <row r="404" spans="1:12" x14ac:dyDescent="0.25">
      <c r="A404" s="6"/>
      <c r="B404" s="6"/>
      <c r="C404" s="123"/>
      <c r="D404" s="123"/>
      <c r="E404" s="123"/>
      <c r="F404" s="124"/>
      <c r="G404" s="124"/>
      <c r="H404" s="6"/>
      <c r="I404" s="125"/>
      <c r="J404" s="125"/>
      <c r="K404" s="125"/>
      <c r="L404" s="125"/>
    </row>
    <row r="405" spans="1:12" x14ac:dyDescent="0.25">
      <c r="A405" s="6"/>
      <c r="B405" s="6"/>
      <c r="C405" s="123"/>
      <c r="D405" s="123"/>
      <c r="E405" s="123"/>
      <c r="F405" s="124"/>
      <c r="G405" s="124"/>
      <c r="H405" s="6"/>
      <c r="I405" s="125"/>
      <c r="J405" s="125"/>
      <c r="K405" s="125"/>
      <c r="L405" s="125"/>
    </row>
    <row r="406" spans="1:12" x14ac:dyDescent="0.25">
      <c r="A406" s="6"/>
      <c r="B406" s="6"/>
      <c r="C406" s="123"/>
      <c r="D406" s="123"/>
      <c r="E406" s="123"/>
      <c r="F406" s="124"/>
      <c r="G406" s="124"/>
      <c r="H406" s="6"/>
      <c r="I406" s="125"/>
      <c r="J406" s="125"/>
      <c r="K406" s="125"/>
      <c r="L406" s="125"/>
    </row>
    <row r="407" spans="1:12" x14ac:dyDescent="0.25">
      <c r="A407" s="6"/>
      <c r="B407" s="6"/>
      <c r="C407" s="123"/>
      <c r="D407" s="123"/>
      <c r="E407" s="123"/>
      <c r="F407" s="124"/>
      <c r="G407" s="124"/>
      <c r="H407" s="6"/>
      <c r="I407" s="125"/>
      <c r="J407" s="125"/>
      <c r="K407" s="125"/>
      <c r="L407" s="125"/>
    </row>
    <row r="408" spans="1:12" x14ac:dyDescent="0.25">
      <c r="A408" s="6"/>
      <c r="B408" s="6"/>
      <c r="C408" s="123"/>
      <c r="D408" s="123"/>
      <c r="E408" s="123"/>
      <c r="F408" s="124"/>
      <c r="G408" s="124"/>
      <c r="H408" s="6"/>
      <c r="I408" s="125"/>
      <c r="J408" s="125"/>
      <c r="K408" s="125"/>
      <c r="L408" s="125"/>
    </row>
    <row r="409" spans="1:12" x14ac:dyDescent="0.25">
      <c r="A409" s="6"/>
      <c r="B409" s="6"/>
      <c r="C409" s="123"/>
      <c r="D409" s="123"/>
      <c r="E409" s="123"/>
      <c r="F409" s="124"/>
      <c r="G409" s="124"/>
      <c r="H409" s="6"/>
      <c r="I409" s="125"/>
      <c r="J409" s="125"/>
      <c r="K409" s="125"/>
      <c r="L409" s="125"/>
    </row>
    <row r="410" spans="1:12" x14ac:dyDescent="0.25">
      <c r="A410" s="6"/>
      <c r="B410" s="6"/>
      <c r="C410" s="123"/>
      <c r="D410" s="123"/>
      <c r="E410" s="123"/>
      <c r="F410" s="124"/>
      <c r="G410" s="124"/>
      <c r="H410" s="6"/>
      <c r="I410" s="125"/>
      <c r="J410" s="125"/>
      <c r="K410" s="125"/>
      <c r="L410" s="125"/>
    </row>
    <row r="411" spans="1:12" x14ac:dyDescent="0.25">
      <c r="A411" s="6"/>
      <c r="B411" s="6"/>
      <c r="C411" s="123"/>
      <c r="D411" s="123"/>
      <c r="E411" s="123"/>
      <c r="F411" s="124"/>
      <c r="G411" s="124"/>
      <c r="H411" s="6"/>
      <c r="I411" s="125"/>
      <c r="J411" s="125"/>
      <c r="K411" s="125"/>
      <c r="L411" s="125"/>
    </row>
    <row r="412" spans="1:12" x14ac:dyDescent="0.25">
      <c r="A412" s="6"/>
      <c r="B412" s="6"/>
      <c r="C412" s="123"/>
      <c r="D412" s="123"/>
      <c r="E412" s="123"/>
      <c r="F412" s="124"/>
      <c r="G412" s="124"/>
      <c r="H412" s="6"/>
      <c r="I412" s="125"/>
      <c r="J412" s="125"/>
      <c r="K412" s="125"/>
      <c r="L412" s="125"/>
    </row>
    <row r="413" spans="1:12" x14ac:dyDescent="0.25">
      <c r="A413" s="6"/>
      <c r="B413" s="6"/>
      <c r="C413" s="123"/>
      <c r="D413" s="123"/>
      <c r="E413" s="123"/>
      <c r="F413" s="124"/>
      <c r="G413" s="124"/>
      <c r="H413" s="6"/>
      <c r="I413" s="125"/>
      <c r="J413" s="125"/>
      <c r="K413" s="125"/>
      <c r="L413" s="125"/>
    </row>
    <row r="414" spans="1:12" x14ac:dyDescent="0.25">
      <c r="A414" s="6"/>
      <c r="B414" s="6"/>
      <c r="C414" s="123"/>
      <c r="D414" s="123"/>
      <c r="E414" s="123"/>
      <c r="F414" s="124"/>
      <c r="G414" s="124"/>
      <c r="H414" s="6"/>
      <c r="I414" s="125"/>
      <c r="J414" s="125"/>
      <c r="K414" s="125"/>
      <c r="L414" s="125"/>
    </row>
    <row r="415" spans="1:12" x14ac:dyDescent="0.25">
      <c r="A415" s="6"/>
      <c r="B415" s="6"/>
      <c r="C415" s="123"/>
      <c r="D415" s="123"/>
      <c r="E415" s="123"/>
      <c r="F415" s="124"/>
      <c r="G415" s="124"/>
      <c r="H415" s="6"/>
      <c r="I415" s="125"/>
      <c r="J415" s="125"/>
      <c r="K415" s="125"/>
      <c r="L415" s="125"/>
    </row>
    <row r="416" spans="1:12" x14ac:dyDescent="0.25">
      <c r="A416" s="6"/>
      <c r="B416" s="6"/>
      <c r="C416" s="123"/>
      <c r="D416" s="123"/>
      <c r="E416" s="123"/>
      <c r="F416" s="124"/>
      <c r="G416" s="124"/>
      <c r="H416" s="6"/>
      <c r="I416" s="125"/>
      <c r="J416" s="125"/>
      <c r="K416" s="125"/>
      <c r="L416" s="125"/>
    </row>
    <row r="417" spans="1:12" x14ac:dyDescent="0.25">
      <c r="A417" s="6"/>
      <c r="B417" s="6"/>
      <c r="C417" s="123"/>
      <c r="D417" s="123"/>
      <c r="E417" s="123"/>
      <c r="F417" s="124"/>
      <c r="G417" s="124"/>
      <c r="H417" s="6"/>
      <c r="I417" s="125"/>
      <c r="J417" s="125"/>
      <c r="K417" s="125"/>
      <c r="L417" s="125"/>
    </row>
    <row r="418" spans="1:12" x14ac:dyDescent="0.25">
      <c r="A418" s="6"/>
      <c r="B418" s="6"/>
      <c r="C418" s="123"/>
      <c r="D418" s="123"/>
      <c r="E418" s="123"/>
      <c r="F418" s="124"/>
      <c r="G418" s="124"/>
      <c r="H418" s="6"/>
      <c r="I418" s="125"/>
      <c r="J418" s="125"/>
      <c r="K418" s="125"/>
      <c r="L418" s="125"/>
    </row>
    <row r="419" spans="1:12" x14ac:dyDescent="0.25">
      <c r="A419" s="6"/>
      <c r="B419" s="6"/>
      <c r="C419" s="123"/>
      <c r="D419" s="123"/>
      <c r="E419" s="123"/>
      <c r="F419" s="124"/>
      <c r="G419" s="124"/>
      <c r="H419" s="6"/>
      <c r="I419" s="125"/>
      <c r="J419" s="125"/>
      <c r="K419" s="125"/>
      <c r="L419" s="125"/>
    </row>
    <row r="420" spans="1:12" x14ac:dyDescent="0.25">
      <c r="A420" s="6"/>
      <c r="B420" s="6"/>
      <c r="C420" s="123"/>
      <c r="D420" s="123"/>
      <c r="E420" s="123"/>
      <c r="F420" s="124"/>
      <c r="G420" s="124"/>
      <c r="H420" s="6"/>
      <c r="I420" s="125"/>
      <c r="J420" s="125"/>
      <c r="K420" s="125"/>
      <c r="L420" s="125"/>
    </row>
    <row r="421" spans="1:12" x14ac:dyDescent="0.25">
      <c r="A421" s="6"/>
      <c r="B421" s="6"/>
      <c r="C421" s="123"/>
      <c r="D421" s="123"/>
      <c r="E421" s="123"/>
      <c r="F421" s="124"/>
      <c r="G421" s="124"/>
      <c r="H421" s="6"/>
      <c r="I421" s="125"/>
      <c r="J421" s="125"/>
      <c r="K421" s="125"/>
      <c r="L421" s="125"/>
    </row>
    <row r="422" spans="1:12" x14ac:dyDescent="0.25">
      <c r="A422" s="6"/>
      <c r="B422" s="6"/>
      <c r="C422" s="123"/>
      <c r="D422" s="123"/>
      <c r="E422" s="123"/>
      <c r="F422" s="124"/>
      <c r="G422" s="124"/>
      <c r="H422" s="6"/>
      <c r="I422" s="125"/>
      <c r="J422" s="125"/>
      <c r="K422" s="125"/>
      <c r="L422" s="125"/>
    </row>
    <row r="423" spans="1:12" x14ac:dyDescent="0.25">
      <c r="A423" s="6"/>
      <c r="B423" s="6"/>
      <c r="C423" s="123"/>
      <c r="D423" s="123"/>
      <c r="E423" s="123"/>
      <c r="F423" s="124"/>
      <c r="G423" s="124"/>
      <c r="H423" s="6"/>
      <c r="I423" s="125"/>
      <c r="J423" s="125"/>
      <c r="K423" s="125"/>
      <c r="L423" s="125"/>
    </row>
    <row r="424" spans="1:12" x14ac:dyDescent="0.25">
      <c r="A424" s="6"/>
      <c r="B424" s="6"/>
      <c r="C424" s="123"/>
      <c r="D424" s="123"/>
      <c r="E424" s="123"/>
      <c r="F424" s="124"/>
      <c r="G424" s="124"/>
      <c r="H424" s="6"/>
      <c r="I424" s="125"/>
      <c r="J424" s="125"/>
      <c r="K424" s="125"/>
      <c r="L424" s="125"/>
    </row>
    <row r="425" spans="1:12" x14ac:dyDescent="0.25">
      <c r="A425" s="6"/>
      <c r="B425" s="6"/>
      <c r="C425" s="123"/>
      <c r="D425" s="123"/>
      <c r="E425" s="123"/>
      <c r="F425" s="124"/>
      <c r="G425" s="124"/>
      <c r="H425" s="6"/>
      <c r="I425" s="125"/>
      <c r="J425" s="125"/>
      <c r="K425" s="125"/>
      <c r="L425" s="125"/>
    </row>
    <row r="426" spans="1:12" x14ac:dyDescent="0.25">
      <c r="A426" s="6"/>
      <c r="B426" s="6"/>
      <c r="C426" s="123"/>
      <c r="D426" s="123"/>
      <c r="E426" s="123"/>
      <c r="F426" s="124"/>
      <c r="G426" s="124"/>
      <c r="H426" s="6"/>
      <c r="I426" s="125"/>
      <c r="J426" s="125"/>
      <c r="K426" s="125"/>
      <c r="L426" s="125"/>
    </row>
    <row r="427" spans="1:12" x14ac:dyDescent="0.25">
      <c r="A427" s="6"/>
      <c r="B427" s="6"/>
      <c r="C427" s="123"/>
      <c r="D427" s="123"/>
      <c r="E427" s="123"/>
      <c r="F427" s="124"/>
      <c r="G427" s="124"/>
      <c r="H427" s="6"/>
      <c r="I427" s="125"/>
      <c r="J427" s="125"/>
      <c r="K427" s="125"/>
      <c r="L427" s="125"/>
    </row>
    <row r="428" spans="1:12" x14ac:dyDescent="0.25">
      <c r="A428" s="6"/>
      <c r="B428" s="6"/>
      <c r="C428" s="123"/>
      <c r="D428" s="123"/>
      <c r="E428" s="123"/>
      <c r="F428" s="124"/>
      <c r="G428" s="124"/>
      <c r="H428" s="6"/>
      <c r="I428" s="125"/>
      <c r="J428" s="125"/>
      <c r="K428" s="125"/>
      <c r="L428" s="125"/>
    </row>
    <row r="429" spans="1:12" x14ac:dyDescent="0.25">
      <c r="A429" s="6"/>
      <c r="B429" s="6"/>
      <c r="C429" s="123"/>
      <c r="D429" s="123"/>
      <c r="E429" s="123"/>
      <c r="F429" s="124"/>
      <c r="G429" s="124"/>
      <c r="H429" s="6"/>
      <c r="I429" s="125"/>
      <c r="J429" s="125"/>
      <c r="K429" s="125"/>
      <c r="L429" s="125"/>
    </row>
    <row r="430" spans="1:12" x14ac:dyDescent="0.25">
      <c r="A430" s="6"/>
      <c r="B430" s="6"/>
      <c r="C430" s="123"/>
      <c r="D430" s="123"/>
      <c r="E430" s="123"/>
      <c r="F430" s="124"/>
      <c r="G430" s="124"/>
      <c r="H430" s="6"/>
      <c r="I430" s="125"/>
      <c r="J430" s="125"/>
      <c r="K430" s="125"/>
      <c r="L430" s="125"/>
    </row>
    <row r="431" spans="1:12" x14ac:dyDescent="0.25">
      <c r="A431" s="6"/>
      <c r="B431" s="6"/>
      <c r="C431" s="123"/>
      <c r="D431" s="123"/>
      <c r="E431" s="123"/>
      <c r="F431" s="124"/>
      <c r="G431" s="124"/>
      <c r="H431" s="6"/>
      <c r="I431" s="125"/>
      <c r="J431" s="125"/>
      <c r="K431" s="125"/>
      <c r="L431" s="125"/>
    </row>
    <row r="432" spans="1:12" x14ac:dyDescent="0.25">
      <c r="A432" s="6"/>
      <c r="B432" s="6"/>
      <c r="C432" s="123"/>
      <c r="D432" s="123"/>
      <c r="E432" s="123"/>
      <c r="F432" s="124"/>
      <c r="G432" s="124"/>
      <c r="H432" s="6"/>
      <c r="I432" s="125"/>
      <c r="J432" s="125"/>
      <c r="K432" s="125"/>
      <c r="L432" s="125"/>
    </row>
    <row r="433" spans="1:12" x14ac:dyDescent="0.25">
      <c r="A433" s="6"/>
      <c r="B433" s="6"/>
      <c r="C433" s="123"/>
      <c r="D433" s="123"/>
      <c r="E433" s="123"/>
      <c r="F433" s="124"/>
      <c r="G433" s="124"/>
      <c r="H433" s="6"/>
      <c r="I433" s="125"/>
      <c r="J433" s="125"/>
      <c r="K433" s="125"/>
      <c r="L433" s="125"/>
    </row>
    <row r="434" spans="1:12" x14ac:dyDescent="0.25">
      <c r="A434" s="6"/>
      <c r="B434" s="6"/>
      <c r="C434" s="123"/>
      <c r="D434" s="123"/>
      <c r="E434" s="123"/>
      <c r="F434" s="124"/>
      <c r="G434" s="124"/>
      <c r="H434" s="6"/>
      <c r="I434" s="125"/>
      <c r="J434" s="125"/>
      <c r="K434" s="125"/>
      <c r="L434" s="125"/>
    </row>
    <row r="435" spans="1:12" x14ac:dyDescent="0.25">
      <c r="A435" s="6"/>
      <c r="B435" s="6"/>
      <c r="C435" s="123"/>
      <c r="D435" s="123"/>
      <c r="E435" s="123"/>
      <c r="F435" s="124"/>
      <c r="G435" s="124"/>
      <c r="H435" s="6"/>
      <c r="I435" s="125"/>
      <c r="J435" s="125"/>
      <c r="K435" s="125"/>
      <c r="L435" s="125"/>
    </row>
    <row r="436" spans="1:12" x14ac:dyDescent="0.25">
      <c r="A436" s="6"/>
      <c r="B436" s="6"/>
      <c r="C436" s="123"/>
      <c r="D436" s="123"/>
      <c r="E436" s="123"/>
      <c r="F436" s="124"/>
      <c r="G436" s="124"/>
      <c r="H436" s="6"/>
      <c r="I436" s="125"/>
      <c r="J436" s="125"/>
      <c r="K436" s="125"/>
      <c r="L436" s="125"/>
    </row>
    <row r="437" spans="1:12" x14ac:dyDescent="0.25">
      <c r="A437" s="6"/>
      <c r="B437" s="6"/>
      <c r="C437" s="123"/>
      <c r="D437" s="123"/>
      <c r="E437" s="123"/>
      <c r="F437" s="124"/>
      <c r="G437" s="124"/>
      <c r="H437" s="6"/>
      <c r="I437" s="125"/>
      <c r="J437" s="125"/>
      <c r="K437" s="125"/>
      <c r="L437" s="125"/>
    </row>
    <row r="438" spans="1:12" x14ac:dyDescent="0.25">
      <c r="A438" s="6"/>
      <c r="B438" s="6"/>
      <c r="C438" s="123"/>
      <c r="D438" s="123"/>
      <c r="E438" s="123"/>
      <c r="F438" s="124"/>
      <c r="G438" s="124"/>
      <c r="H438" s="6"/>
      <c r="I438" s="125"/>
      <c r="J438" s="125"/>
      <c r="K438" s="125"/>
      <c r="L438" s="125"/>
    </row>
    <row r="439" spans="1:12" x14ac:dyDescent="0.25">
      <c r="A439" s="6"/>
      <c r="B439" s="6"/>
      <c r="C439" s="123"/>
      <c r="D439" s="123"/>
      <c r="E439" s="123"/>
      <c r="F439" s="124"/>
      <c r="G439" s="124"/>
      <c r="H439" s="6"/>
      <c r="I439" s="125"/>
      <c r="J439" s="125"/>
      <c r="K439" s="125"/>
      <c r="L439" s="125"/>
    </row>
    <row r="440" spans="1:12" x14ac:dyDescent="0.25">
      <c r="A440" s="6"/>
      <c r="B440" s="6"/>
      <c r="C440" s="123"/>
      <c r="D440" s="123"/>
      <c r="E440" s="123"/>
      <c r="F440" s="124"/>
      <c r="G440" s="124"/>
      <c r="H440" s="6"/>
      <c r="I440" s="125"/>
      <c r="J440" s="125"/>
      <c r="K440" s="125"/>
      <c r="L440" s="125"/>
    </row>
    <row r="441" spans="1:12" x14ac:dyDescent="0.25">
      <c r="A441" s="6"/>
      <c r="B441" s="6"/>
      <c r="C441" s="123"/>
      <c r="D441" s="123"/>
      <c r="E441" s="123"/>
      <c r="F441" s="124"/>
      <c r="G441" s="124"/>
      <c r="H441" s="6"/>
      <c r="I441" s="125"/>
      <c r="J441" s="125"/>
      <c r="K441" s="125"/>
      <c r="L441" s="125"/>
    </row>
    <row r="442" spans="1:12" x14ac:dyDescent="0.25">
      <c r="A442" s="6"/>
      <c r="B442" s="6"/>
      <c r="C442" s="123"/>
      <c r="D442" s="123"/>
      <c r="E442" s="123"/>
      <c r="F442" s="124"/>
      <c r="G442" s="124"/>
      <c r="H442" s="6"/>
      <c r="I442" s="125"/>
      <c r="J442" s="125"/>
      <c r="K442" s="125"/>
      <c r="L442" s="125"/>
    </row>
    <row r="443" spans="1:12" x14ac:dyDescent="0.25">
      <c r="A443" s="6"/>
      <c r="B443" s="6"/>
      <c r="C443" s="123"/>
      <c r="D443" s="123"/>
      <c r="E443" s="123"/>
      <c r="F443" s="124"/>
      <c r="G443" s="124"/>
      <c r="H443" s="6"/>
      <c r="I443" s="125"/>
      <c r="J443" s="125"/>
      <c r="K443" s="125"/>
      <c r="L443" s="125"/>
    </row>
    <row r="444" spans="1:12" x14ac:dyDescent="0.25">
      <c r="A444" s="6"/>
      <c r="B444" s="6"/>
      <c r="C444" s="123"/>
      <c r="D444" s="123"/>
      <c r="E444" s="123"/>
      <c r="F444" s="124"/>
      <c r="G444" s="124"/>
      <c r="H444" s="6"/>
      <c r="I444" s="125"/>
      <c r="J444" s="125"/>
      <c r="K444" s="125"/>
      <c r="L444" s="125"/>
    </row>
    <row r="445" spans="1:12" x14ac:dyDescent="0.25">
      <c r="A445" s="6"/>
      <c r="B445" s="6"/>
      <c r="C445" s="123"/>
      <c r="D445" s="123"/>
      <c r="E445" s="123"/>
      <c r="F445" s="124"/>
      <c r="G445" s="124"/>
      <c r="H445" s="6"/>
      <c r="I445" s="125"/>
      <c r="J445" s="125"/>
      <c r="K445" s="125"/>
      <c r="L445" s="125"/>
    </row>
    <row r="446" spans="1:12" x14ac:dyDescent="0.25">
      <c r="A446" s="6"/>
      <c r="B446" s="6"/>
      <c r="C446" s="123"/>
      <c r="D446" s="123"/>
      <c r="E446" s="123"/>
      <c r="F446" s="124"/>
      <c r="G446" s="124"/>
      <c r="H446" s="6"/>
      <c r="I446" s="125"/>
      <c r="J446" s="125"/>
      <c r="K446" s="125"/>
      <c r="L446" s="125"/>
    </row>
    <row r="447" spans="1:12" x14ac:dyDescent="0.25">
      <c r="A447" s="6"/>
      <c r="B447" s="6"/>
      <c r="C447" s="123"/>
      <c r="D447" s="123"/>
      <c r="E447" s="123"/>
      <c r="F447" s="124"/>
      <c r="G447" s="124"/>
      <c r="H447" s="6"/>
      <c r="I447" s="125"/>
      <c r="J447" s="125"/>
      <c r="K447" s="125"/>
      <c r="L447" s="125"/>
    </row>
    <row r="448" spans="1:12" x14ac:dyDescent="0.25">
      <c r="A448" s="6"/>
      <c r="B448" s="6"/>
      <c r="C448" s="123"/>
      <c r="D448" s="123"/>
      <c r="E448" s="123"/>
      <c r="F448" s="124"/>
      <c r="G448" s="124"/>
      <c r="H448" s="6"/>
      <c r="I448" s="125"/>
      <c r="J448" s="125"/>
      <c r="K448" s="125"/>
      <c r="L448" s="125"/>
    </row>
    <row r="449" spans="1:12" x14ac:dyDescent="0.25">
      <c r="A449" s="6"/>
      <c r="B449" s="6"/>
      <c r="C449" s="123"/>
      <c r="D449" s="123"/>
      <c r="E449" s="123"/>
      <c r="F449" s="124"/>
      <c r="G449" s="124"/>
      <c r="H449" s="6"/>
      <c r="I449" s="125"/>
      <c r="J449" s="125"/>
      <c r="K449" s="125"/>
      <c r="L449" s="125"/>
    </row>
    <row r="450" spans="1:12" x14ac:dyDescent="0.25">
      <c r="A450" s="6"/>
      <c r="B450" s="6"/>
      <c r="C450" s="123"/>
      <c r="D450" s="123"/>
      <c r="E450" s="123"/>
      <c r="F450" s="124"/>
      <c r="G450" s="124"/>
      <c r="H450" s="6"/>
      <c r="I450" s="125"/>
      <c r="J450" s="125"/>
      <c r="K450" s="125"/>
      <c r="L450" s="125"/>
    </row>
    <row r="451" spans="1:12" x14ac:dyDescent="0.25">
      <c r="A451" s="6"/>
      <c r="B451" s="6"/>
      <c r="C451" s="123"/>
      <c r="D451" s="123"/>
      <c r="E451" s="123"/>
      <c r="F451" s="124"/>
      <c r="G451" s="124"/>
      <c r="H451" s="6"/>
      <c r="I451" s="125"/>
      <c r="J451" s="125"/>
      <c r="K451" s="125"/>
      <c r="L451" s="125"/>
    </row>
    <row r="452" spans="1:12" x14ac:dyDescent="0.25">
      <c r="A452" s="6"/>
      <c r="B452" s="6"/>
      <c r="C452" s="123"/>
      <c r="D452" s="123"/>
      <c r="E452" s="123"/>
      <c r="F452" s="124"/>
      <c r="G452" s="124"/>
      <c r="H452" s="6"/>
      <c r="I452" s="125"/>
      <c r="J452" s="125"/>
      <c r="K452" s="125"/>
      <c r="L452" s="125"/>
    </row>
    <row r="453" spans="1:12" x14ac:dyDescent="0.25">
      <c r="A453" s="6"/>
      <c r="B453" s="6"/>
      <c r="C453" s="123"/>
      <c r="D453" s="123"/>
      <c r="E453" s="123"/>
      <c r="F453" s="124"/>
      <c r="G453" s="124"/>
      <c r="H453" s="6"/>
      <c r="I453" s="125"/>
      <c r="J453" s="125"/>
      <c r="K453" s="125"/>
      <c r="L453" s="125"/>
    </row>
    <row r="454" spans="1:12" x14ac:dyDescent="0.25">
      <c r="A454" s="6"/>
      <c r="B454" s="6"/>
      <c r="C454" s="123"/>
      <c r="D454" s="123"/>
      <c r="E454" s="123"/>
      <c r="F454" s="124"/>
      <c r="G454" s="124"/>
      <c r="H454" s="6"/>
      <c r="I454" s="125"/>
      <c r="J454" s="125"/>
      <c r="K454" s="125"/>
      <c r="L454" s="125"/>
    </row>
    <row r="455" spans="1:12" x14ac:dyDescent="0.25">
      <c r="A455" s="6"/>
      <c r="B455" s="6"/>
      <c r="C455" s="123"/>
      <c r="D455" s="123"/>
      <c r="E455" s="123"/>
      <c r="F455" s="124"/>
      <c r="G455" s="124"/>
      <c r="H455" s="6"/>
      <c r="I455" s="125"/>
      <c r="J455" s="125"/>
      <c r="K455" s="125"/>
      <c r="L455" s="125"/>
    </row>
    <row r="456" spans="1:12" x14ac:dyDescent="0.25">
      <c r="A456" s="6"/>
      <c r="B456" s="6"/>
      <c r="C456" s="123"/>
      <c r="D456" s="123"/>
      <c r="E456" s="123"/>
      <c r="F456" s="124"/>
      <c r="G456" s="124"/>
      <c r="H456" s="6"/>
      <c r="I456" s="125"/>
      <c r="J456" s="125"/>
      <c r="K456" s="125"/>
      <c r="L456" s="125"/>
    </row>
    <row r="457" spans="1:12" x14ac:dyDescent="0.25">
      <c r="A457" s="6"/>
      <c r="B457" s="6"/>
      <c r="C457" s="123"/>
      <c r="D457" s="123"/>
      <c r="E457" s="123"/>
      <c r="F457" s="124"/>
      <c r="G457" s="124"/>
      <c r="H457" s="6"/>
      <c r="I457" s="125"/>
      <c r="J457" s="125"/>
      <c r="K457" s="125"/>
      <c r="L457" s="125"/>
    </row>
    <row r="458" spans="1:12" x14ac:dyDescent="0.25">
      <c r="A458" s="6"/>
      <c r="B458" s="6"/>
      <c r="C458" s="123"/>
      <c r="D458" s="123"/>
      <c r="E458" s="123"/>
      <c r="F458" s="124"/>
      <c r="G458" s="124"/>
      <c r="H458" s="6"/>
      <c r="I458" s="125"/>
      <c r="J458" s="125"/>
      <c r="K458" s="125"/>
      <c r="L458" s="125"/>
    </row>
    <row r="459" spans="1:12" x14ac:dyDescent="0.25">
      <c r="A459" s="6"/>
      <c r="B459" s="6"/>
      <c r="C459" s="123"/>
      <c r="D459" s="123"/>
      <c r="E459" s="123"/>
      <c r="F459" s="124"/>
      <c r="G459" s="124"/>
      <c r="H459" s="6"/>
      <c r="I459" s="125"/>
      <c r="J459" s="125"/>
      <c r="K459" s="125"/>
      <c r="L459" s="125"/>
    </row>
    <row r="460" spans="1:12" x14ac:dyDescent="0.25">
      <c r="A460" s="6"/>
      <c r="B460" s="6"/>
      <c r="C460" s="123"/>
      <c r="D460" s="123"/>
      <c r="E460" s="123"/>
      <c r="F460" s="124"/>
      <c r="G460" s="124"/>
      <c r="H460" s="6"/>
      <c r="I460" s="125"/>
      <c r="J460" s="125"/>
      <c r="K460" s="125"/>
      <c r="L460" s="125"/>
    </row>
    <row r="461" spans="1:12" x14ac:dyDescent="0.25">
      <c r="A461" s="6"/>
      <c r="B461" s="6"/>
      <c r="C461" s="123"/>
      <c r="D461" s="123"/>
      <c r="E461" s="123"/>
      <c r="F461" s="124"/>
      <c r="G461" s="124"/>
      <c r="H461" s="6"/>
      <c r="I461" s="125"/>
      <c r="J461" s="125"/>
      <c r="K461" s="125"/>
      <c r="L461" s="125"/>
    </row>
    <row r="462" spans="1:12" x14ac:dyDescent="0.25">
      <c r="A462" s="6"/>
      <c r="B462" s="6"/>
      <c r="C462" s="123"/>
      <c r="D462" s="123"/>
      <c r="E462" s="123"/>
      <c r="F462" s="124"/>
      <c r="G462" s="124"/>
      <c r="H462" s="6"/>
      <c r="I462" s="125"/>
      <c r="J462" s="125"/>
      <c r="K462" s="125"/>
      <c r="L462" s="125"/>
    </row>
    <row r="463" spans="1:12" x14ac:dyDescent="0.25">
      <c r="A463" s="6"/>
      <c r="B463" s="6"/>
      <c r="C463" s="123"/>
      <c r="D463" s="123"/>
      <c r="E463" s="123"/>
      <c r="F463" s="124"/>
      <c r="G463" s="124"/>
      <c r="H463" s="6"/>
      <c r="I463" s="125"/>
      <c r="J463" s="125"/>
      <c r="K463" s="125"/>
      <c r="L463" s="125"/>
    </row>
    <row r="464" spans="1:12" x14ac:dyDescent="0.25">
      <c r="A464" s="6"/>
      <c r="B464" s="6"/>
      <c r="C464" s="123"/>
      <c r="D464" s="123"/>
      <c r="E464" s="123"/>
      <c r="F464" s="124"/>
      <c r="G464" s="124"/>
      <c r="H464" s="6"/>
      <c r="I464" s="125"/>
      <c r="J464" s="125"/>
      <c r="K464" s="125"/>
      <c r="L464" s="125"/>
    </row>
    <row r="465" spans="1:12" x14ac:dyDescent="0.25">
      <c r="A465" s="6"/>
      <c r="B465" s="6"/>
      <c r="C465" s="123"/>
      <c r="D465" s="123"/>
      <c r="E465" s="123"/>
      <c r="F465" s="124"/>
      <c r="G465" s="124"/>
      <c r="H465" s="6"/>
      <c r="I465" s="125"/>
      <c r="J465" s="125"/>
      <c r="K465" s="125"/>
      <c r="L465" s="125"/>
    </row>
    <row r="466" spans="1:12" x14ac:dyDescent="0.25">
      <c r="A466" s="6"/>
      <c r="B466" s="6"/>
      <c r="C466" s="123"/>
      <c r="D466" s="123"/>
      <c r="E466" s="123"/>
      <c r="F466" s="124"/>
      <c r="G466" s="124"/>
      <c r="H466" s="6"/>
      <c r="I466" s="125"/>
      <c r="J466" s="125"/>
      <c r="K466" s="125"/>
      <c r="L466" s="125"/>
    </row>
    <row r="467" spans="1:12" x14ac:dyDescent="0.25">
      <c r="A467" s="6"/>
      <c r="B467" s="6"/>
      <c r="C467" s="123"/>
      <c r="D467" s="123"/>
      <c r="E467" s="123"/>
      <c r="F467" s="124"/>
      <c r="G467" s="124"/>
      <c r="H467" s="6"/>
      <c r="I467" s="125"/>
      <c r="J467" s="125"/>
      <c r="K467" s="125"/>
      <c r="L467" s="125"/>
    </row>
    <row r="468" spans="1:12" x14ac:dyDescent="0.25">
      <c r="A468" s="6"/>
      <c r="B468" s="6"/>
      <c r="C468" s="123"/>
      <c r="D468" s="123"/>
      <c r="E468" s="123"/>
      <c r="F468" s="124"/>
      <c r="G468" s="124"/>
      <c r="H468" s="6"/>
      <c r="I468" s="125"/>
      <c r="J468" s="125"/>
      <c r="K468" s="125"/>
      <c r="L468" s="125"/>
    </row>
    <row r="469" spans="1:12" x14ac:dyDescent="0.25">
      <c r="A469" s="6"/>
      <c r="B469" s="6"/>
      <c r="C469" s="123"/>
      <c r="D469" s="123"/>
      <c r="E469" s="123"/>
      <c r="F469" s="124"/>
      <c r="G469" s="124"/>
      <c r="H469" s="6"/>
      <c r="I469" s="125"/>
      <c r="J469" s="125"/>
      <c r="K469" s="125"/>
      <c r="L469" s="125"/>
    </row>
    <row r="470" spans="1:12" x14ac:dyDescent="0.25">
      <c r="A470" s="6"/>
      <c r="B470" s="6"/>
      <c r="C470" s="123"/>
      <c r="D470" s="123"/>
      <c r="E470" s="123"/>
      <c r="F470" s="124"/>
      <c r="G470" s="124"/>
      <c r="H470" s="6"/>
      <c r="I470" s="125"/>
      <c r="J470" s="125"/>
      <c r="K470" s="125"/>
      <c r="L470" s="125"/>
    </row>
    <row r="471" spans="1:12" x14ac:dyDescent="0.25">
      <c r="A471" s="6"/>
      <c r="B471" s="6"/>
      <c r="C471" s="123"/>
      <c r="D471" s="123"/>
      <c r="E471" s="123"/>
      <c r="F471" s="124"/>
      <c r="G471" s="124"/>
      <c r="H471" s="6"/>
      <c r="I471" s="125"/>
      <c r="J471" s="125"/>
      <c r="K471" s="125"/>
      <c r="L471" s="125"/>
    </row>
    <row r="472" spans="1:12" x14ac:dyDescent="0.25">
      <c r="A472" s="6"/>
      <c r="B472" s="6"/>
      <c r="C472" s="123"/>
      <c r="D472" s="123"/>
      <c r="E472" s="123"/>
      <c r="F472" s="124"/>
      <c r="G472" s="124"/>
      <c r="H472" s="6"/>
      <c r="I472" s="125"/>
      <c r="J472" s="125"/>
      <c r="K472" s="125"/>
      <c r="L472" s="125"/>
    </row>
    <row r="473" spans="1:12" x14ac:dyDescent="0.25">
      <c r="A473" s="6"/>
      <c r="B473" s="6"/>
      <c r="C473" s="123"/>
      <c r="D473" s="123"/>
      <c r="E473" s="123"/>
      <c r="F473" s="124"/>
      <c r="G473" s="124"/>
      <c r="H473" s="6"/>
      <c r="I473" s="125"/>
      <c r="J473" s="125"/>
      <c r="K473" s="125"/>
      <c r="L473" s="125"/>
    </row>
    <row r="474" spans="1:12" x14ac:dyDescent="0.25">
      <c r="A474" s="6"/>
      <c r="B474" s="6"/>
      <c r="C474" s="123"/>
      <c r="D474" s="123"/>
      <c r="E474" s="123"/>
      <c r="F474" s="124"/>
      <c r="G474" s="124"/>
      <c r="H474" s="6"/>
      <c r="I474" s="125"/>
      <c r="J474" s="125"/>
      <c r="K474" s="125"/>
      <c r="L474" s="125"/>
    </row>
    <row r="475" spans="1:12" x14ac:dyDescent="0.25">
      <c r="A475" s="6"/>
      <c r="B475" s="6"/>
      <c r="C475" s="123"/>
      <c r="D475" s="123"/>
      <c r="E475" s="123"/>
      <c r="F475" s="124"/>
      <c r="G475" s="124"/>
      <c r="H475" s="6"/>
      <c r="I475" s="125"/>
      <c r="J475" s="125"/>
      <c r="K475" s="125"/>
      <c r="L475" s="125"/>
    </row>
    <row r="476" spans="1:12" x14ac:dyDescent="0.25">
      <c r="A476" s="6"/>
      <c r="B476" s="6"/>
      <c r="C476" s="123"/>
      <c r="D476" s="123"/>
      <c r="E476" s="123"/>
      <c r="F476" s="124"/>
      <c r="G476" s="124"/>
      <c r="H476" s="6"/>
      <c r="I476" s="125"/>
      <c r="J476" s="125"/>
      <c r="K476" s="125"/>
      <c r="L476" s="125"/>
    </row>
    <row r="477" spans="1:12" x14ac:dyDescent="0.25">
      <c r="A477" s="6"/>
      <c r="B477" s="6"/>
      <c r="C477" s="123"/>
      <c r="D477" s="123"/>
      <c r="E477" s="123"/>
      <c r="F477" s="124"/>
      <c r="G477" s="124"/>
      <c r="H477" s="6"/>
      <c r="I477" s="125"/>
      <c r="J477" s="125"/>
      <c r="K477" s="125"/>
      <c r="L477" s="125"/>
    </row>
    <row r="478" spans="1:12" x14ac:dyDescent="0.25">
      <c r="A478" s="6"/>
      <c r="B478" s="6"/>
      <c r="C478" s="123"/>
      <c r="D478" s="123"/>
      <c r="E478" s="123"/>
      <c r="F478" s="124"/>
      <c r="G478" s="124"/>
      <c r="H478" s="6"/>
      <c r="I478" s="125"/>
      <c r="J478" s="125"/>
      <c r="K478" s="125"/>
      <c r="L478" s="125"/>
    </row>
    <row r="479" spans="1:12" x14ac:dyDescent="0.25">
      <c r="A479" s="6"/>
      <c r="B479" s="6"/>
      <c r="C479" s="123"/>
      <c r="D479" s="123"/>
      <c r="E479" s="123"/>
      <c r="F479" s="124"/>
      <c r="G479" s="124"/>
      <c r="H479" s="6"/>
      <c r="I479" s="125"/>
      <c r="J479" s="125"/>
      <c r="K479" s="125"/>
      <c r="L479" s="125"/>
    </row>
    <row r="480" spans="1:12" x14ac:dyDescent="0.25">
      <c r="A480" s="6"/>
      <c r="B480" s="6"/>
      <c r="C480" s="123"/>
      <c r="D480" s="123"/>
      <c r="E480" s="123"/>
      <c r="F480" s="124"/>
      <c r="G480" s="124"/>
      <c r="H480" s="6"/>
      <c r="I480" s="125"/>
      <c r="J480" s="125"/>
      <c r="K480" s="125"/>
      <c r="L480" s="125"/>
    </row>
    <row r="481" spans="1:12" x14ac:dyDescent="0.25">
      <c r="A481" s="6"/>
      <c r="B481" s="6"/>
      <c r="C481" s="123"/>
      <c r="D481" s="123"/>
      <c r="E481" s="123"/>
      <c r="F481" s="124"/>
      <c r="G481" s="124"/>
      <c r="H481" s="6"/>
      <c r="I481" s="125"/>
      <c r="J481" s="125"/>
      <c r="K481" s="125"/>
      <c r="L481" s="125"/>
    </row>
    <row r="482" spans="1:12" x14ac:dyDescent="0.25">
      <c r="A482" s="6"/>
      <c r="B482" s="6"/>
      <c r="C482" s="123"/>
      <c r="D482" s="123"/>
      <c r="E482" s="123"/>
      <c r="F482" s="124"/>
      <c r="G482" s="124"/>
      <c r="H482" s="6"/>
      <c r="I482" s="125"/>
      <c r="J482" s="125"/>
      <c r="K482" s="125"/>
      <c r="L482" s="125"/>
    </row>
    <row r="483" spans="1:12" x14ac:dyDescent="0.25">
      <c r="A483" s="6"/>
      <c r="B483" s="6"/>
      <c r="C483" s="123"/>
      <c r="D483" s="123"/>
      <c r="E483" s="123"/>
      <c r="F483" s="124"/>
      <c r="G483" s="124"/>
      <c r="H483" s="6"/>
      <c r="I483" s="125"/>
      <c r="J483" s="125"/>
      <c r="K483" s="125"/>
      <c r="L483" s="125"/>
    </row>
    <row r="484" spans="1:12" x14ac:dyDescent="0.25">
      <c r="A484" s="6"/>
      <c r="B484" s="6"/>
      <c r="C484" s="123"/>
      <c r="D484" s="123"/>
      <c r="E484" s="123"/>
      <c r="F484" s="124"/>
      <c r="G484" s="124"/>
      <c r="H484" s="6"/>
      <c r="I484" s="125"/>
      <c r="J484" s="125"/>
      <c r="K484" s="125"/>
      <c r="L484" s="125"/>
    </row>
    <row r="485" spans="1:12" x14ac:dyDescent="0.25">
      <c r="A485" s="6"/>
      <c r="B485" s="6"/>
      <c r="C485" s="123"/>
      <c r="D485" s="123"/>
      <c r="E485" s="123"/>
      <c r="F485" s="124"/>
      <c r="G485" s="124"/>
      <c r="H485" s="6"/>
      <c r="I485" s="125"/>
      <c r="J485" s="125"/>
      <c r="K485" s="125"/>
      <c r="L485" s="125"/>
    </row>
    <row r="486" spans="1:12" x14ac:dyDescent="0.25">
      <c r="A486" s="6"/>
      <c r="B486" s="6"/>
      <c r="C486" s="123"/>
      <c r="D486" s="123"/>
      <c r="E486" s="123"/>
      <c r="F486" s="124"/>
      <c r="G486" s="124"/>
      <c r="H486" s="6"/>
      <c r="I486" s="125"/>
      <c r="J486" s="125"/>
      <c r="K486" s="125"/>
      <c r="L486" s="125"/>
    </row>
    <row r="487" spans="1:12" x14ac:dyDescent="0.25">
      <c r="A487" s="6"/>
      <c r="B487" s="6"/>
      <c r="C487" s="123"/>
      <c r="D487" s="123"/>
      <c r="E487" s="123"/>
      <c r="F487" s="124"/>
      <c r="G487" s="124"/>
      <c r="H487" s="6"/>
      <c r="I487" s="125"/>
      <c r="J487" s="125"/>
      <c r="K487" s="125"/>
      <c r="L487" s="125"/>
    </row>
    <row r="488" spans="1:12" x14ac:dyDescent="0.25">
      <c r="A488" s="6"/>
      <c r="B488" s="6"/>
      <c r="C488" s="123"/>
      <c r="D488" s="123"/>
      <c r="E488" s="123"/>
      <c r="F488" s="124"/>
      <c r="G488" s="124"/>
      <c r="H488" s="6"/>
      <c r="I488" s="125"/>
      <c r="J488" s="125"/>
      <c r="K488" s="125"/>
      <c r="L488" s="125"/>
    </row>
    <row r="489" spans="1:12" x14ac:dyDescent="0.25">
      <c r="A489" s="6"/>
      <c r="B489" s="6"/>
      <c r="C489" s="123"/>
      <c r="D489" s="123"/>
      <c r="E489" s="123"/>
      <c r="F489" s="124"/>
      <c r="G489" s="124"/>
      <c r="H489" s="6"/>
      <c r="I489" s="125"/>
      <c r="J489" s="125"/>
      <c r="K489" s="125"/>
      <c r="L489" s="125"/>
    </row>
    <row r="490" spans="1:12" x14ac:dyDescent="0.25">
      <c r="A490" s="6"/>
      <c r="B490" s="6"/>
      <c r="C490" s="123"/>
      <c r="D490" s="123"/>
      <c r="E490" s="123"/>
      <c r="F490" s="124"/>
      <c r="G490" s="124"/>
      <c r="H490" s="6"/>
      <c r="I490" s="125"/>
      <c r="J490" s="125"/>
      <c r="K490" s="125"/>
      <c r="L490" s="125"/>
    </row>
    <row r="491" spans="1:12" x14ac:dyDescent="0.25">
      <c r="A491" s="6"/>
      <c r="B491" s="6"/>
      <c r="C491" s="123"/>
      <c r="D491" s="123"/>
      <c r="E491" s="123"/>
      <c r="F491" s="124"/>
      <c r="G491" s="124"/>
      <c r="H491" s="6"/>
      <c r="I491" s="125"/>
      <c r="J491" s="125"/>
      <c r="K491" s="125"/>
      <c r="L491" s="125"/>
    </row>
    <row r="492" spans="1:12" x14ac:dyDescent="0.25">
      <c r="A492" s="6"/>
      <c r="B492" s="6"/>
      <c r="C492" s="123"/>
      <c r="D492" s="123"/>
      <c r="E492" s="123"/>
      <c r="F492" s="124"/>
      <c r="G492" s="124"/>
      <c r="H492" s="6"/>
      <c r="I492" s="125"/>
      <c r="J492" s="125"/>
      <c r="K492" s="125"/>
      <c r="L492" s="125"/>
    </row>
    <row r="493" spans="1:12" x14ac:dyDescent="0.25">
      <c r="A493" s="6"/>
      <c r="B493" s="6"/>
      <c r="C493" s="123"/>
      <c r="D493" s="123"/>
      <c r="E493" s="123"/>
      <c r="F493" s="124"/>
      <c r="G493" s="124"/>
      <c r="H493" s="6"/>
      <c r="I493" s="125"/>
      <c r="J493" s="125"/>
      <c r="K493" s="125"/>
      <c r="L493" s="125"/>
    </row>
    <row r="494" spans="1:12" x14ac:dyDescent="0.25">
      <c r="A494" s="6"/>
      <c r="B494" s="6"/>
      <c r="C494" s="123"/>
      <c r="D494" s="123"/>
      <c r="E494" s="123"/>
      <c r="F494" s="124"/>
      <c r="G494" s="124"/>
      <c r="H494" s="6"/>
      <c r="I494" s="125"/>
      <c r="J494" s="125"/>
      <c r="K494" s="125"/>
      <c r="L494" s="125"/>
    </row>
    <row r="495" spans="1:12" x14ac:dyDescent="0.25">
      <c r="A495" s="6"/>
      <c r="B495" s="6"/>
      <c r="C495" s="123"/>
      <c r="D495" s="123"/>
      <c r="E495" s="123"/>
      <c r="F495" s="124"/>
      <c r="G495" s="124"/>
      <c r="H495" s="6"/>
      <c r="I495" s="125"/>
      <c r="J495" s="125"/>
      <c r="K495" s="125"/>
      <c r="L495" s="125"/>
    </row>
    <row r="496" spans="1:12" x14ac:dyDescent="0.25">
      <c r="A496" s="6"/>
      <c r="B496" s="6"/>
      <c r="C496" s="123"/>
      <c r="D496" s="123"/>
      <c r="E496" s="123"/>
      <c r="F496" s="124"/>
      <c r="G496" s="124"/>
      <c r="H496" s="6"/>
      <c r="I496" s="125"/>
      <c r="J496" s="125"/>
      <c r="K496" s="125"/>
      <c r="L496" s="125"/>
    </row>
    <row r="497" spans="1:12" x14ac:dyDescent="0.25">
      <c r="A497" s="6"/>
      <c r="B497" s="6"/>
      <c r="C497" s="123"/>
      <c r="D497" s="123"/>
      <c r="E497" s="123"/>
      <c r="F497" s="124"/>
      <c r="G497" s="124"/>
      <c r="H497" s="6"/>
      <c r="I497" s="125"/>
      <c r="J497" s="125"/>
      <c r="K497" s="125"/>
      <c r="L497" s="125"/>
    </row>
    <row r="498" spans="1:12" x14ac:dyDescent="0.25">
      <c r="A498" s="6"/>
      <c r="B498" s="6"/>
      <c r="C498" s="123"/>
      <c r="D498" s="123"/>
      <c r="E498" s="123"/>
      <c r="F498" s="124"/>
      <c r="G498" s="124"/>
      <c r="H498" s="6"/>
      <c r="I498" s="125"/>
      <c r="J498" s="125"/>
      <c r="K498" s="125"/>
      <c r="L498" s="125"/>
    </row>
    <row r="499" spans="1:12" x14ac:dyDescent="0.25">
      <c r="A499" s="6"/>
      <c r="B499" s="6"/>
      <c r="C499" s="123"/>
      <c r="D499" s="123"/>
      <c r="E499" s="123"/>
      <c r="F499" s="124"/>
      <c r="G499" s="124"/>
      <c r="H499" s="6"/>
      <c r="I499" s="125"/>
      <c r="J499" s="125"/>
      <c r="K499" s="125"/>
      <c r="L499" s="125"/>
    </row>
    <row r="500" spans="1:12" x14ac:dyDescent="0.25">
      <c r="A500" s="6"/>
      <c r="B500" s="6"/>
      <c r="C500" s="123"/>
      <c r="D500" s="123"/>
      <c r="E500" s="123"/>
      <c r="F500" s="124"/>
      <c r="G500" s="124"/>
      <c r="H500" s="6"/>
      <c r="I500" s="125"/>
      <c r="J500" s="125"/>
      <c r="K500" s="125"/>
      <c r="L500" s="125"/>
    </row>
    <row r="501" spans="1:12" x14ac:dyDescent="0.25">
      <c r="A501" s="6"/>
      <c r="B501" s="6"/>
      <c r="C501" s="123"/>
      <c r="D501" s="123"/>
      <c r="E501" s="123"/>
      <c r="F501" s="124"/>
      <c r="G501" s="124"/>
      <c r="H501" s="6"/>
      <c r="I501" s="125"/>
      <c r="J501" s="125"/>
      <c r="K501" s="125"/>
      <c r="L501" s="125"/>
    </row>
    <row r="502" spans="1:12" x14ac:dyDescent="0.25">
      <c r="A502" s="6"/>
      <c r="B502" s="6"/>
      <c r="C502" s="123"/>
      <c r="D502" s="123"/>
      <c r="E502" s="123"/>
      <c r="F502" s="124"/>
      <c r="G502" s="124"/>
      <c r="H502" s="6"/>
      <c r="I502" s="125"/>
      <c r="J502" s="125"/>
      <c r="K502" s="125"/>
      <c r="L502" s="125"/>
    </row>
    <row r="503" spans="1:12" x14ac:dyDescent="0.25">
      <c r="A503" s="6"/>
      <c r="B503" s="6"/>
      <c r="C503" s="123"/>
      <c r="D503" s="123"/>
      <c r="E503" s="123"/>
      <c r="F503" s="124"/>
      <c r="G503" s="124"/>
      <c r="H503" s="6"/>
      <c r="I503" s="125"/>
      <c r="J503" s="125"/>
      <c r="K503" s="125"/>
      <c r="L503" s="125"/>
    </row>
    <row r="504" spans="1:12" x14ac:dyDescent="0.25">
      <c r="A504" s="6"/>
      <c r="B504" s="6"/>
      <c r="C504" s="123"/>
      <c r="D504" s="123"/>
      <c r="E504" s="123"/>
      <c r="F504" s="124"/>
      <c r="G504" s="124"/>
      <c r="H504" s="6"/>
      <c r="I504" s="125"/>
      <c r="J504" s="125"/>
      <c r="K504" s="125"/>
      <c r="L504" s="125"/>
    </row>
    <row r="505" spans="1:12" x14ac:dyDescent="0.25">
      <c r="A505" s="6"/>
      <c r="B505" s="6"/>
      <c r="C505" s="123"/>
      <c r="D505" s="123"/>
      <c r="E505" s="123"/>
      <c r="F505" s="124"/>
      <c r="G505" s="124"/>
      <c r="H505" s="6"/>
      <c r="I505" s="125"/>
      <c r="J505" s="125"/>
      <c r="K505" s="125"/>
      <c r="L505" s="125"/>
    </row>
    <row r="506" spans="1:12" x14ac:dyDescent="0.25">
      <c r="A506" s="6"/>
      <c r="B506" s="6"/>
      <c r="C506" s="123"/>
      <c r="D506" s="123"/>
      <c r="E506" s="123"/>
      <c r="F506" s="124"/>
      <c r="G506" s="124"/>
      <c r="H506" s="6"/>
      <c r="I506" s="125"/>
      <c r="J506" s="125"/>
      <c r="K506" s="125"/>
      <c r="L506" s="125"/>
    </row>
    <row r="507" spans="1:12" x14ac:dyDescent="0.25">
      <c r="A507" s="6"/>
      <c r="B507" s="6"/>
      <c r="C507" s="123"/>
      <c r="D507" s="123"/>
      <c r="E507" s="123"/>
      <c r="F507" s="124"/>
      <c r="G507" s="124"/>
      <c r="H507" s="6"/>
      <c r="I507" s="125"/>
      <c r="J507" s="125"/>
      <c r="K507" s="125"/>
      <c r="L507" s="125"/>
    </row>
    <row r="508" spans="1:12" x14ac:dyDescent="0.25">
      <c r="A508" s="6"/>
      <c r="B508" s="6"/>
      <c r="C508" s="123"/>
      <c r="D508" s="123"/>
      <c r="E508" s="123"/>
      <c r="F508" s="124"/>
      <c r="G508" s="124"/>
      <c r="H508" s="6"/>
      <c r="I508" s="125"/>
      <c r="J508" s="125"/>
      <c r="K508" s="125"/>
      <c r="L508" s="125"/>
    </row>
    <row r="509" spans="1:12" x14ac:dyDescent="0.25">
      <c r="A509" s="6"/>
      <c r="B509" s="6"/>
      <c r="C509" s="123"/>
      <c r="D509" s="123"/>
      <c r="E509" s="123"/>
      <c r="F509" s="124"/>
      <c r="G509" s="124"/>
      <c r="H509" s="6"/>
      <c r="I509" s="125"/>
      <c r="J509" s="125"/>
      <c r="K509" s="125"/>
      <c r="L509" s="125"/>
    </row>
    <row r="510" spans="1:12" x14ac:dyDescent="0.25">
      <c r="A510" s="6"/>
      <c r="B510" s="6"/>
      <c r="C510" s="123"/>
      <c r="D510" s="123"/>
      <c r="E510" s="123"/>
      <c r="F510" s="124"/>
      <c r="G510" s="124"/>
      <c r="H510" s="6"/>
      <c r="I510" s="125"/>
      <c r="J510" s="125"/>
      <c r="K510" s="125"/>
      <c r="L510" s="125"/>
    </row>
    <row r="511" spans="1:12" x14ac:dyDescent="0.25">
      <c r="A511" s="6"/>
      <c r="B511" s="6"/>
      <c r="C511" s="123"/>
      <c r="D511" s="123"/>
      <c r="E511" s="123"/>
      <c r="F511" s="124"/>
      <c r="G511" s="124"/>
      <c r="H511" s="6"/>
      <c r="I511" s="125"/>
      <c r="J511" s="125"/>
      <c r="K511" s="125"/>
      <c r="L511" s="125"/>
    </row>
    <row r="512" spans="1:12" x14ac:dyDescent="0.25">
      <c r="A512" s="6"/>
      <c r="B512" s="6"/>
      <c r="C512" s="123"/>
      <c r="D512" s="123"/>
      <c r="E512" s="123"/>
      <c r="F512" s="124"/>
      <c r="G512" s="124"/>
      <c r="H512" s="6"/>
      <c r="I512" s="125"/>
      <c r="J512" s="125"/>
      <c r="K512" s="125"/>
      <c r="L512" s="125"/>
    </row>
    <row r="513" spans="1:12" x14ac:dyDescent="0.25">
      <c r="A513" s="6"/>
      <c r="B513" s="6"/>
      <c r="C513" s="123"/>
      <c r="D513" s="123"/>
      <c r="E513" s="123"/>
      <c r="F513" s="124"/>
      <c r="G513" s="124"/>
      <c r="H513" s="6"/>
      <c r="I513" s="125"/>
      <c r="J513" s="125"/>
      <c r="K513" s="125"/>
      <c r="L513" s="125"/>
    </row>
    <row r="514" spans="1:12" x14ac:dyDescent="0.25">
      <c r="A514" s="6"/>
      <c r="B514" s="6"/>
      <c r="C514" s="123"/>
      <c r="D514" s="123"/>
      <c r="E514" s="123"/>
      <c r="F514" s="124"/>
      <c r="G514" s="124"/>
      <c r="H514" s="6"/>
      <c r="I514" s="125"/>
      <c r="J514" s="125"/>
      <c r="K514" s="125"/>
      <c r="L514" s="125"/>
    </row>
    <row r="515" spans="1:12" x14ac:dyDescent="0.25">
      <c r="A515" s="6"/>
      <c r="B515" s="6"/>
      <c r="C515" s="123"/>
      <c r="D515" s="123"/>
      <c r="E515" s="123"/>
      <c r="F515" s="124"/>
      <c r="G515" s="124"/>
      <c r="H515" s="6"/>
      <c r="I515" s="125"/>
      <c r="J515" s="125"/>
      <c r="K515" s="125"/>
      <c r="L515" s="125"/>
    </row>
    <row r="516" spans="1:12" x14ac:dyDescent="0.25">
      <c r="A516" s="6"/>
      <c r="B516" s="6"/>
      <c r="C516" s="123"/>
      <c r="D516" s="123"/>
      <c r="E516" s="123"/>
      <c r="F516" s="124"/>
      <c r="G516" s="124"/>
      <c r="H516" s="6"/>
      <c r="I516" s="125"/>
      <c r="J516" s="125"/>
      <c r="K516" s="125"/>
      <c r="L516" s="125"/>
    </row>
    <row r="517" spans="1:12" x14ac:dyDescent="0.25">
      <c r="A517" s="6"/>
      <c r="B517" s="6"/>
      <c r="C517" s="123"/>
      <c r="D517" s="123"/>
      <c r="E517" s="123"/>
      <c r="F517" s="124"/>
      <c r="G517" s="124"/>
      <c r="H517" s="6"/>
      <c r="I517" s="125"/>
      <c r="J517" s="125"/>
      <c r="K517" s="125"/>
      <c r="L517" s="125"/>
    </row>
    <row r="518" spans="1:12" x14ac:dyDescent="0.25">
      <c r="A518" s="6"/>
      <c r="B518" s="6"/>
      <c r="C518" s="123"/>
      <c r="D518" s="123"/>
      <c r="E518" s="123"/>
      <c r="F518" s="124"/>
      <c r="G518" s="124"/>
      <c r="H518" s="6"/>
      <c r="I518" s="125"/>
      <c r="J518" s="125"/>
      <c r="K518" s="125"/>
      <c r="L518" s="125"/>
    </row>
    <row r="519" spans="1:12" x14ac:dyDescent="0.25">
      <c r="A519" s="6"/>
      <c r="B519" s="6"/>
      <c r="C519" s="123"/>
      <c r="D519" s="123"/>
      <c r="E519" s="123"/>
      <c r="F519" s="124"/>
      <c r="G519" s="124"/>
      <c r="H519" s="6"/>
      <c r="I519" s="125"/>
      <c r="J519" s="125"/>
      <c r="K519" s="125"/>
      <c r="L519" s="125"/>
    </row>
    <row r="520" spans="1:12" x14ac:dyDescent="0.25">
      <c r="A520" s="6"/>
      <c r="B520" s="6"/>
      <c r="C520" s="123"/>
      <c r="D520" s="123"/>
      <c r="E520" s="123"/>
      <c r="F520" s="124"/>
      <c r="G520" s="124"/>
      <c r="H520" s="6"/>
      <c r="I520" s="125"/>
      <c r="J520" s="125"/>
      <c r="K520" s="125"/>
      <c r="L520" s="125"/>
    </row>
    <row r="521" spans="1:12" x14ac:dyDescent="0.25">
      <c r="A521" s="6"/>
      <c r="B521" s="6"/>
      <c r="C521" s="123"/>
      <c r="D521" s="123"/>
      <c r="E521" s="123"/>
      <c r="F521" s="124"/>
      <c r="G521" s="124"/>
      <c r="H521" s="6"/>
      <c r="I521" s="125"/>
      <c r="J521" s="125"/>
      <c r="K521" s="125"/>
      <c r="L521" s="125"/>
    </row>
    <row r="522" spans="1:12" x14ac:dyDescent="0.25">
      <c r="A522" s="6"/>
      <c r="B522" s="6"/>
      <c r="C522" s="123"/>
      <c r="D522" s="123"/>
      <c r="E522" s="123"/>
      <c r="F522" s="124"/>
      <c r="G522" s="124"/>
      <c r="H522" s="6"/>
      <c r="I522" s="125"/>
      <c r="J522" s="125"/>
      <c r="K522" s="125"/>
      <c r="L522" s="125"/>
    </row>
    <row r="523" spans="1:12" x14ac:dyDescent="0.25">
      <c r="A523" s="6"/>
      <c r="B523" s="6"/>
      <c r="C523" s="123"/>
      <c r="D523" s="123"/>
      <c r="E523" s="123"/>
      <c r="F523" s="124"/>
      <c r="G523" s="124"/>
      <c r="H523" s="6"/>
      <c r="I523" s="125"/>
      <c r="J523" s="125"/>
      <c r="K523" s="125"/>
      <c r="L523" s="125"/>
    </row>
    <row r="524" spans="1:12" x14ac:dyDescent="0.25">
      <c r="A524" s="6"/>
      <c r="B524" s="6"/>
      <c r="C524" s="123"/>
      <c r="D524" s="123"/>
      <c r="E524" s="123"/>
      <c r="F524" s="124"/>
      <c r="G524" s="124"/>
      <c r="H524" s="6"/>
      <c r="I524" s="125"/>
      <c r="J524" s="125"/>
      <c r="K524" s="125"/>
      <c r="L524" s="125"/>
    </row>
    <row r="525" spans="1:12" x14ac:dyDescent="0.25">
      <c r="A525" s="6"/>
      <c r="B525" s="6"/>
      <c r="C525" s="123"/>
      <c r="D525" s="123"/>
      <c r="E525" s="123"/>
      <c r="F525" s="124"/>
      <c r="G525" s="124"/>
      <c r="H525" s="6"/>
      <c r="I525" s="125"/>
      <c r="J525" s="125"/>
      <c r="K525" s="125"/>
      <c r="L525" s="125"/>
    </row>
    <row r="526" spans="1:12" x14ac:dyDescent="0.25">
      <c r="A526" s="6"/>
      <c r="B526" s="6"/>
      <c r="C526" s="123"/>
      <c r="D526" s="123"/>
      <c r="E526" s="123"/>
      <c r="F526" s="124"/>
      <c r="G526" s="124"/>
      <c r="H526" s="6"/>
      <c r="I526" s="125"/>
      <c r="J526" s="125"/>
      <c r="K526" s="125"/>
      <c r="L526" s="125"/>
    </row>
    <row r="527" spans="1:12" x14ac:dyDescent="0.25">
      <c r="A527" s="6"/>
      <c r="B527" s="6"/>
      <c r="C527" s="123"/>
      <c r="D527" s="123"/>
      <c r="E527" s="123"/>
      <c r="F527" s="124"/>
      <c r="G527" s="124"/>
      <c r="H527" s="6"/>
      <c r="I527" s="125"/>
      <c r="J527" s="125"/>
      <c r="K527" s="125"/>
      <c r="L527" s="125"/>
    </row>
    <row r="528" spans="1:12" x14ac:dyDescent="0.25">
      <c r="A528" s="6"/>
      <c r="B528" s="6"/>
      <c r="C528" s="123"/>
      <c r="D528" s="123"/>
      <c r="E528" s="123"/>
      <c r="F528" s="124"/>
      <c r="G528" s="124"/>
      <c r="H528" s="6"/>
      <c r="I528" s="125"/>
      <c r="J528" s="125"/>
      <c r="K528" s="125"/>
      <c r="L528" s="125"/>
    </row>
    <row r="529" spans="1:12" x14ac:dyDescent="0.25">
      <c r="A529" s="6"/>
      <c r="B529" s="6"/>
      <c r="C529" s="123"/>
      <c r="D529" s="123"/>
      <c r="E529" s="123"/>
      <c r="F529" s="124"/>
      <c r="G529" s="124"/>
      <c r="H529" s="6"/>
      <c r="I529" s="125"/>
      <c r="J529" s="125"/>
      <c r="K529" s="125"/>
      <c r="L529" s="125"/>
    </row>
    <row r="530" spans="1:12" x14ac:dyDescent="0.25">
      <c r="A530" s="6"/>
      <c r="B530" s="6"/>
      <c r="C530" s="123"/>
      <c r="D530" s="123"/>
      <c r="E530" s="123"/>
      <c r="F530" s="124"/>
      <c r="G530" s="124"/>
      <c r="H530" s="6"/>
      <c r="I530" s="125"/>
      <c r="J530" s="125"/>
      <c r="K530" s="125"/>
      <c r="L530" s="125"/>
    </row>
    <row r="531" spans="1:12" x14ac:dyDescent="0.25">
      <c r="A531" s="6"/>
      <c r="B531" s="6"/>
      <c r="C531" s="123"/>
      <c r="D531" s="123"/>
      <c r="E531" s="123"/>
      <c r="F531" s="124"/>
      <c r="G531" s="124"/>
      <c r="H531" s="6"/>
      <c r="I531" s="125"/>
      <c r="J531" s="125"/>
      <c r="K531" s="125"/>
      <c r="L531" s="125"/>
    </row>
    <row r="532" spans="1:12" x14ac:dyDescent="0.25">
      <c r="A532" s="6"/>
      <c r="B532" s="6"/>
      <c r="C532" s="123"/>
      <c r="D532" s="123"/>
      <c r="E532" s="123"/>
      <c r="F532" s="124"/>
      <c r="G532" s="124"/>
      <c r="H532" s="6"/>
      <c r="I532" s="125"/>
      <c r="J532" s="125"/>
      <c r="K532" s="125"/>
      <c r="L532" s="125"/>
    </row>
    <row r="533" spans="1:12" x14ac:dyDescent="0.25">
      <c r="A533" s="6"/>
      <c r="B533" s="6"/>
      <c r="C533" s="123"/>
      <c r="D533" s="123"/>
      <c r="E533" s="123"/>
      <c r="F533" s="124"/>
      <c r="G533" s="124"/>
      <c r="H533" s="6"/>
      <c r="I533" s="125"/>
      <c r="J533" s="125"/>
      <c r="K533" s="125"/>
      <c r="L533" s="125"/>
    </row>
    <row r="534" spans="1:12" x14ac:dyDescent="0.25">
      <c r="A534" s="6"/>
      <c r="B534" s="6"/>
      <c r="C534" s="123"/>
      <c r="D534" s="123"/>
      <c r="E534" s="123"/>
      <c r="F534" s="124"/>
      <c r="G534" s="124"/>
      <c r="H534" s="6"/>
      <c r="I534" s="125"/>
      <c r="J534" s="125"/>
      <c r="K534" s="125"/>
      <c r="L534" s="125"/>
    </row>
    <row r="535" spans="1:12" x14ac:dyDescent="0.25">
      <c r="A535" s="6"/>
      <c r="B535" s="6"/>
      <c r="C535" s="123"/>
      <c r="D535" s="123"/>
      <c r="E535" s="123"/>
      <c r="F535" s="124"/>
      <c r="G535" s="124"/>
      <c r="H535" s="6"/>
      <c r="I535" s="125"/>
      <c r="J535" s="125"/>
      <c r="K535" s="125"/>
      <c r="L535" s="125"/>
    </row>
    <row r="536" spans="1:12" x14ac:dyDescent="0.25">
      <c r="A536" s="6"/>
      <c r="B536" s="6"/>
      <c r="C536" s="123"/>
      <c r="D536" s="123"/>
      <c r="E536" s="123"/>
      <c r="F536" s="124"/>
      <c r="G536" s="124"/>
      <c r="H536" s="6"/>
      <c r="I536" s="125"/>
      <c r="J536" s="125"/>
      <c r="K536" s="125"/>
      <c r="L536" s="125"/>
    </row>
    <row r="537" spans="1:12" x14ac:dyDescent="0.25">
      <c r="A537" s="6"/>
      <c r="B537" s="6"/>
      <c r="C537" s="123"/>
      <c r="D537" s="123"/>
      <c r="E537" s="123"/>
      <c r="F537" s="124"/>
      <c r="G537" s="124"/>
      <c r="H537" s="6"/>
      <c r="I537" s="125"/>
      <c r="J537" s="125"/>
      <c r="K537" s="125"/>
      <c r="L537" s="125"/>
    </row>
    <row r="538" spans="1:12" x14ac:dyDescent="0.25">
      <c r="A538" s="6"/>
      <c r="B538" s="6"/>
      <c r="C538" s="123"/>
      <c r="D538" s="123"/>
      <c r="E538" s="123"/>
      <c r="F538" s="124"/>
      <c r="G538" s="124"/>
      <c r="H538" s="6"/>
      <c r="I538" s="125"/>
      <c r="J538" s="125"/>
      <c r="K538" s="125"/>
      <c r="L538" s="125"/>
    </row>
    <row r="539" spans="1:12" x14ac:dyDescent="0.25">
      <c r="A539" s="6"/>
      <c r="B539" s="6"/>
      <c r="C539" s="123"/>
      <c r="D539" s="123"/>
      <c r="E539" s="123"/>
      <c r="F539" s="124"/>
      <c r="G539" s="124"/>
      <c r="H539" s="6"/>
      <c r="I539" s="125"/>
      <c r="J539" s="125"/>
      <c r="K539" s="125"/>
      <c r="L539" s="125"/>
    </row>
    <row r="540" spans="1:12" x14ac:dyDescent="0.25">
      <c r="A540" s="6"/>
      <c r="B540" s="6"/>
      <c r="C540" s="123"/>
      <c r="D540" s="123"/>
      <c r="E540" s="123"/>
      <c r="F540" s="124"/>
      <c r="G540" s="124"/>
      <c r="H540" s="6"/>
      <c r="I540" s="125"/>
      <c r="J540" s="125"/>
      <c r="K540" s="125"/>
      <c r="L540" s="125"/>
    </row>
    <row r="541" spans="1:12" x14ac:dyDescent="0.25">
      <c r="A541" s="6"/>
      <c r="B541" s="6"/>
      <c r="C541" s="123"/>
      <c r="D541" s="123"/>
      <c r="E541" s="123"/>
      <c r="F541" s="124"/>
      <c r="G541" s="124"/>
      <c r="H541" s="6"/>
      <c r="I541" s="125"/>
      <c r="J541" s="125"/>
      <c r="K541" s="125"/>
      <c r="L541" s="125"/>
    </row>
    <row r="542" spans="1:12" x14ac:dyDescent="0.25">
      <c r="A542" s="6"/>
      <c r="B542" s="6"/>
      <c r="C542" s="123"/>
      <c r="D542" s="123"/>
      <c r="E542" s="123"/>
      <c r="F542" s="124"/>
      <c r="G542" s="124"/>
      <c r="H542" s="6"/>
      <c r="I542" s="125"/>
      <c r="J542" s="125"/>
      <c r="K542" s="125"/>
      <c r="L542" s="125"/>
    </row>
    <row r="543" spans="1:12" x14ac:dyDescent="0.25">
      <c r="A543" s="6"/>
      <c r="B543" s="6"/>
      <c r="C543" s="123"/>
      <c r="D543" s="123"/>
      <c r="E543" s="123"/>
      <c r="F543" s="124"/>
      <c r="G543" s="124"/>
      <c r="H543" s="6"/>
      <c r="I543" s="125"/>
      <c r="J543" s="125"/>
      <c r="K543" s="125"/>
      <c r="L543" s="125"/>
    </row>
    <row r="544" spans="1:12" x14ac:dyDescent="0.25">
      <c r="A544" s="6"/>
      <c r="B544" s="6"/>
      <c r="C544" s="123"/>
      <c r="D544" s="123"/>
      <c r="E544" s="123"/>
      <c r="F544" s="124"/>
      <c r="G544" s="124"/>
      <c r="H544" s="6"/>
      <c r="I544" s="125"/>
      <c r="J544" s="125"/>
      <c r="K544" s="125"/>
      <c r="L544" s="125"/>
    </row>
    <row r="545" spans="1:12" x14ac:dyDescent="0.25">
      <c r="A545" s="6"/>
      <c r="B545" s="6"/>
      <c r="C545" s="123"/>
      <c r="D545" s="123"/>
      <c r="E545" s="123"/>
      <c r="F545" s="124"/>
      <c r="G545" s="124"/>
      <c r="H545" s="6"/>
      <c r="I545" s="125"/>
      <c r="J545" s="125"/>
      <c r="K545" s="125"/>
      <c r="L545" s="125"/>
    </row>
    <row r="546" spans="1:12" x14ac:dyDescent="0.25">
      <c r="A546" s="6"/>
      <c r="B546" s="6"/>
      <c r="C546" s="123"/>
      <c r="D546" s="123"/>
      <c r="E546" s="123"/>
      <c r="F546" s="124"/>
      <c r="G546" s="124"/>
      <c r="H546" s="6"/>
      <c r="I546" s="125"/>
      <c r="J546" s="125"/>
      <c r="K546" s="125"/>
      <c r="L546" s="125"/>
    </row>
    <row r="547" spans="1:12" x14ac:dyDescent="0.25">
      <c r="A547" s="6"/>
      <c r="B547" s="6"/>
      <c r="C547" s="123"/>
      <c r="D547" s="123"/>
      <c r="E547" s="123"/>
      <c r="F547" s="124"/>
      <c r="G547" s="124"/>
      <c r="H547" s="6"/>
      <c r="I547" s="125"/>
      <c r="J547" s="125"/>
      <c r="K547" s="125"/>
      <c r="L547" s="125"/>
    </row>
    <row r="548" spans="1:12" x14ac:dyDescent="0.25">
      <c r="A548" s="6"/>
      <c r="B548" s="6"/>
      <c r="C548" s="123"/>
      <c r="D548" s="123"/>
      <c r="E548" s="123"/>
      <c r="F548" s="124"/>
      <c r="G548" s="124"/>
      <c r="H548" s="6"/>
      <c r="I548" s="125"/>
      <c r="J548" s="125"/>
      <c r="K548" s="125"/>
      <c r="L548" s="125"/>
    </row>
    <row r="549" spans="1:12" x14ac:dyDescent="0.25">
      <c r="A549" s="6"/>
      <c r="B549" s="6"/>
      <c r="C549" s="123"/>
      <c r="D549" s="123"/>
      <c r="E549" s="123"/>
      <c r="F549" s="124"/>
      <c r="G549" s="124"/>
      <c r="H549" s="6"/>
      <c r="I549" s="125"/>
      <c r="J549" s="125"/>
      <c r="K549" s="125"/>
      <c r="L549" s="125"/>
    </row>
    <row r="550" spans="1:12" x14ac:dyDescent="0.25">
      <c r="A550" s="6"/>
      <c r="B550" s="6"/>
      <c r="C550" s="123"/>
      <c r="D550" s="123"/>
      <c r="E550" s="123"/>
      <c r="F550" s="124"/>
      <c r="G550" s="124"/>
      <c r="H550" s="6"/>
      <c r="I550" s="125"/>
      <c r="J550" s="125"/>
      <c r="K550" s="125"/>
      <c r="L550" s="125"/>
    </row>
    <row r="551" spans="1:12" x14ac:dyDescent="0.25">
      <c r="A551" s="6"/>
      <c r="B551" s="6"/>
      <c r="C551" s="123"/>
      <c r="D551" s="123"/>
      <c r="E551" s="123"/>
      <c r="F551" s="124"/>
      <c r="G551" s="124"/>
      <c r="H551" s="6"/>
      <c r="I551" s="125"/>
      <c r="J551" s="125"/>
      <c r="K551" s="125"/>
      <c r="L551" s="125"/>
    </row>
    <row r="552" spans="1:12" x14ac:dyDescent="0.25">
      <c r="A552" s="6"/>
      <c r="B552" s="6"/>
      <c r="C552" s="123"/>
      <c r="D552" s="123"/>
      <c r="E552" s="123"/>
      <c r="F552" s="124"/>
      <c r="G552" s="124"/>
      <c r="H552" s="6"/>
      <c r="I552" s="125"/>
      <c r="J552" s="125"/>
      <c r="K552" s="125"/>
      <c r="L552" s="125"/>
    </row>
    <row r="553" spans="1:12" x14ac:dyDescent="0.25">
      <c r="A553" s="6"/>
      <c r="B553" s="6"/>
      <c r="C553" s="123"/>
      <c r="D553" s="123"/>
      <c r="E553" s="123"/>
      <c r="F553" s="124"/>
      <c r="G553" s="124"/>
      <c r="H553" s="6"/>
      <c r="I553" s="125"/>
      <c r="J553" s="125"/>
      <c r="K553" s="125"/>
      <c r="L553" s="125"/>
    </row>
    <row r="554" spans="1:12" x14ac:dyDescent="0.25">
      <c r="A554" s="6"/>
      <c r="B554" s="6"/>
      <c r="C554" s="123"/>
      <c r="D554" s="123"/>
      <c r="E554" s="123"/>
      <c r="F554" s="124"/>
      <c r="G554" s="124"/>
      <c r="H554" s="6"/>
      <c r="I554" s="125"/>
      <c r="J554" s="125"/>
      <c r="K554" s="125"/>
      <c r="L554" s="125"/>
    </row>
    <row r="555" spans="1:12" x14ac:dyDescent="0.25">
      <c r="A555" s="6"/>
      <c r="B555" s="6"/>
      <c r="C555" s="123"/>
      <c r="D555" s="123"/>
      <c r="E555" s="123"/>
      <c r="F555" s="124"/>
      <c r="G555" s="124"/>
      <c r="H555" s="6"/>
      <c r="I555" s="125"/>
      <c r="J555" s="125"/>
      <c r="K555" s="125"/>
      <c r="L555" s="125"/>
    </row>
    <row r="556" spans="1:12" x14ac:dyDescent="0.25">
      <c r="A556" s="6"/>
      <c r="B556" s="6"/>
      <c r="C556" s="123"/>
      <c r="D556" s="123"/>
      <c r="E556" s="123"/>
      <c r="F556" s="124"/>
      <c r="G556" s="124"/>
      <c r="H556" s="6"/>
      <c r="I556" s="125"/>
      <c r="J556" s="125"/>
      <c r="K556" s="125"/>
      <c r="L556" s="125"/>
    </row>
    <row r="557" spans="1:12" x14ac:dyDescent="0.25">
      <c r="A557" s="6"/>
      <c r="B557" s="6"/>
      <c r="C557" s="123"/>
      <c r="D557" s="123"/>
      <c r="E557" s="123"/>
      <c r="F557" s="124"/>
      <c r="G557" s="124"/>
      <c r="H557" s="6"/>
      <c r="I557" s="125"/>
      <c r="J557" s="125"/>
      <c r="K557" s="125"/>
      <c r="L557" s="125"/>
    </row>
    <row r="558" spans="1:12" x14ac:dyDescent="0.25">
      <c r="A558" s="6"/>
      <c r="B558" s="6"/>
      <c r="C558" s="123"/>
      <c r="D558" s="123"/>
      <c r="E558" s="123"/>
      <c r="F558" s="124"/>
      <c r="G558" s="124"/>
      <c r="H558" s="6"/>
      <c r="I558" s="125"/>
      <c r="J558" s="125"/>
      <c r="K558" s="125"/>
      <c r="L558" s="125"/>
    </row>
    <row r="559" spans="1:12" x14ac:dyDescent="0.25">
      <c r="A559" s="6"/>
      <c r="B559" s="6"/>
      <c r="C559" s="123"/>
      <c r="D559" s="123"/>
      <c r="E559" s="123"/>
      <c r="F559" s="124"/>
      <c r="G559" s="124"/>
      <c r="H559" s="6"/>
      <c r="I559" s="125"/>
      <c r="J559" s="125"/>
      <c r="K559" s="125"/>
      <c r="L559" s="125"/>
    </row>
    <row r="560" spans="1:12" x14ac:dyDescent="0.25">
      <c r="A560" s="6"/>
      <c r="B560" s="6"/>
      <c r="C560" s="123"/>
      <c r="D560" s="123"/>
      <c r="E560" s="123"/>
      <c r="F560" s="124"/>
      <c r="G560" s="124"/>
      <c r="H560" s="6"/>
      <c r="I560" s="125"/>
      <c r="J560" s="125"/>
      <c r="K560" s="125"/>
      <c r="L560" s="125"/>
    </row>
    <row r="561" spans="1:12" x14ac:dyDescent="0.25">
      <c r="A561" s="6"/>
      <c r="B561" s="6"/>
      <c r="C561" s="123"/>
      <c r="D561" s="123"/>
      <c r="E561" s="123"/>
      <c r="F561" s="124"/>
      <c r="G561" s="124"/>
      <c r="H561" s="6"/>
      <c r="I561" s="125"/>
      <c r="J561" s="125"/>
      <c r="K561" s="125"/>
      <c r="L561" s="125"/>
    </row>
    <row r="562" spans="1:12" x14ac:dyDescent="0.25">
      <c r="A562" s="6"/>
      <c r="B562" s="6"/>
      <c r="C562" s="123"/>
      <c r="D562" s="123"/>
      <c r="E562" s="123"/>
      <c r="F562" s="124"/>
      <c r="G562" s="124"/>
      <c r="H562" s="6"/>
      <c r="I562" s="125"/>
      <c r="J562" s="125"/>
      <c r="K562" s="125"/>
      <c r="L562" s="125"/>
    </row>
    <row r="563" spans="1:12" x14ac:dyDescent="0.25">
      <c r="A563" s="6"/>
      <c r="B563" s="6"/>
      <c r="C563" s="123"/>
      <c r="D563" s="123"/>
      <c r="E563" s="123"/>
      <c r="F563" s="124"/>
      <c r="G563" s="124"/>
      <c r="H563" s="6"/>
      <c r="I563" s="125"/>
      <c r="J563" s="125"/>
      <c r="K563" s="125"/>
      <c r="L563" s="125"/>
    </row>
    <row r="564" spans="1:12" x14ac:dyDescent="0.25">
      <c r="A564" s="6"/>
      <c r="B564" s="6"/>
      <c r="C564" s="123"/>
      <c r="D564" s="123"/>
      <c r="E564" s="123"/>
      <c r="F564" s="124"/>
      <c r="G564" s="124"/>
      <c r="H564" s="6"/>
      <c r="I564" s="125"/>
      <c r="J564" s="125"/>
      <c r="K564" s="125"/>
      <c r="L564" s="125"/>
    </row>
    <row r="565" spans="1:12" x14ac:dyDescent="0.25">
      <c r="A565" s="6"/>
      <c r="B565" s="6"/>
      <c r="C565" s="123"/>
      <c r="D565" s="123"/>
      <c r="E565" s="123"/>
      <c r="F565" s="124"/>
      <c r="G565" s="124"/>
      <c r="H565" s="6"/>
      <c r="I565" s="125"/>
      <c r="J565" s="125"/>
      <c r="K565" s="125"/>
      <c r="L565" s="125"/>
    </row>
    <row r="566" spans="1:12" x14ac:dyDescent="0.25">
      <c r="A566" s="6"/>
      <c r="B566" s="6"/>
      <c r="C566" s="123"/>
      <c r="D566" s="123"/>
      <c r="E566" s="123"/>
      <c r="F566" s="124"/>
      <c r="G566" s="124"/>
      <c r="H566" s="6"/>
      <c r="I566" s="125"/>
      <c r="J566" s="125"/>
      <c r="K566" s="125"/>
      <c r="L566" s="125"/>
    </row>
    <row r="567" spans="1:12" x14ac:dyDescent="0.25">
      <c r="A567" s="6"/>
      <c r="B567" s="6"/>
      <c r="C567" s="123"/>
      <c r="D567" s="123"/>
      <c r="E567" s="123"/>
      <c r="F567" s="124"/>
      <c r="G567" s="124"/>
      <c r="H567" s="6"/>
      <c r="I567" s="125"/>
      <c r="J567" s="125"/>
      <c r="K567" s="125"/>
      <c r="L567" s="125"/>
    </row>
    <row r="568" spans="1:12" x14ac:dyDescent="0.25">
      <c r="A568" s="6"/>
      <c r="B568" s="6"/>
      <c r="C568" s="123"/>
      <c r="D568" s="123"/>
      <c r="E568" s="123"/>
      <c r="F568" s="124"/>
      <c r="G568" s="124"/>
      <c r="H568" s="6"/>
      <c r="I568" s="125"/>
      <c r="J568" s="125"/>
      <c r="K568" s="125"/>
      <c r="L568" s="125"/>
    </row>
    <row r="569" spans="1:12" x14ac:dyDescent="0.25">
      <c r="A569" s="6"/>
      <c r="B569" s="6"/>
      <c r="C569" s="123"/>
      <c r="D569" s="123"/>
      <c r="E569" s="123"/>
      <c r="F569" s="124"/>
      <c r="G569" s="124"/>
      <c r="H569" s="6"/>
      <c r="I569" s="125"/>
      <c r="J569" s="125"/>
      <c r="K569" s="125"/>
      <c r="L569" s="125"/>
    </row>
    <row r="570" spans="1:12" x14ac:dyDescent="0.25">
      <c r="A570" s="6"/>
      <c r="B570" s="6"/>
      <c r="C570" s="123"/>
      <c r="D570" s="123"/>
      <c r="E570" s="123"/>
      <c r="F570" s="124"/>
      <c r="G570" s="124"/>
      <c r="H570" s="6"/>
      <c r="I570" s="125"/>
      <c r="J570" s="125"/>
      <c r="K570" s="125"/>
      <c r="L570" s="125"/>
    </row>
    <row r="571" spans="1:12" x14ac:dyDescent="0.25">
      <c r="A571" s="6"/>
      <c r="B571" s="6"/>
      <c r="C571" s="123"/>
      <c r="D571" s="123"/>
      <c r="E571" s="123"/>
      <c r="F571" s="124"/>
      <c r="G571" s="124"/>
      <c r="H571" s="6"/>
      <c r="I571" s="125"/>
      <c r="J571" s="125"/>
      <c r="K571" s="125"/>
      <c r="L571" s="125"/>
    </row>
    <row r="572" spans="1:12" x14ac:dyDescent="0.25">
      <c r="A572" s="6"/>
      <c r="B572" s="6"/>
      <c r="C572" s="123"/>
      <c r="D572" s="123"/>
      <c r="E572" s="123"/>
      <c r="F572" s="124"/>
      <c r="G572" s="124"/>
      <c r="H572" s="6"/>
      <c r="I572" s="125"/>
      <c r="J572" s="125"/>
      <c r="K572" s="125"/>
      <c r="L572" s="125"/>
    </row>
    <row r="573" spans="1:12" x14ac:dyDescent="0.25">
      <c r="A573" s="6"/>
      <c r="B573" s="6"/>
      <c r="C573" s="123"/>
      <c r="D573" s="123"/>
      <c r="E573" s="123"/>
      <c r="F573" s="124"/>
      <c r="G573" s="124"/>
      <c r="H573" s="6"/>
      <c r="I573" s="125"/>
      <c r="J573" s="125"/>
      <c r="K573" s="125"/>
      <c r="L573" s="125"/>
    </row>
    <row r="574" spans="1:12" x14ac:dyDescent="0.25">
      <c r="A574" s="6"/>
      <c r="B574" s="6"/>
      <c r="C574" s="123"/>
      <c r="D574" s="123"/>
      <c r="E574" s="123"/>
      <c r="F574" s="124"/>
      <c r="G574" s="124"/>
      <c r="H574" s="6"/>
      <c r="I574" s="125"/>
      <c r="J574" s="125"/>
      <c r="K574" s="125"/>
      <c r="L574" s="125"/>
    </row>
    <row r="575" spans="1:12" x14ac:dyDescent="0.25">
      <c r="A575" s="6"/>
      <c r="B575" s="6"/>
      <c r="C575" s="123"/>
      <c r="D575" s="123"/>
      <c r="E575" s="123"/>
      <c r="F575" s="124"/>
      <c r="G575" s="124"/>
      <c r="H575" s="6"/>
      <c r="I575" s="125"/>
      <c r="J575" s="125"/>
      <c r="K575" s="125"/>
      <c r="L575" s="125"/>
    </row>
    <row r="576" spans="1:12" x14ac:dyDescent="0.25">
      <c r="A576" s="6"/>
      <c r="B576" s="6"/>
      <c r="C576" s="123"/>
      <c r="D576" s="123"/>
      <c r="E576" s="123"/>
      <c r="F576" s="124"/>
      <c r="G576" s="124"/>
      <c r="H576" s="6"/>
      <c r="I576" s="125"/>
      <c r="J576" s="125"/>
      <c r="K576" s="125"/>
      <c r="L576" s="125"/>
    </row>
    <row r="577" spans="1:12" x14ac:dyDescent="0.25">
      <c r="A577" s="6"/>
      <c r="B577" s="6"/>
      <c r="C577" s="123"/>
      <c r="D577" s="123"/>
      <c r="E577" s="123"/>
      <c r="F577" s="124"/>
      <c r="G577" s="124"/>
      <c r="H577" s="6"/>
      <c r="I577" s="125"/>
      <c r="J577" s="125"/>
      <c r="K577" s="125"/>
      <c r="L577" s="125"/>
    </row>
    <row r="578" spans="1:12" x14ac:dyDescent="0.25">
      <c r="A578" s="6"/>
      <c r="B578" s="6"/>
      <c r="C578" s="123"/>
      <c r="D578" s="123"/>
      <c r="E578" s="123"/>
      <c r="F578" s="124"/>
      <c r="G578" s="124"/>
      <c r="H578" s="6"/>
      <c r="I578" s="125"/>
      <c r="J578" s="125"/>
      <c r="K578" s="125"/>
      <c r="L578" s="125"/>
    </row>
    <row r="579" spans="1:12" x14ac:dyDescent="0.25">
      <c r="A579" s="6"/>
      <c r="B579" s="6"/>
      <c r="C579" s="123"/>
      <c r="D579" s="123"/>
      <c r="E579" s="123"/>
      <c r="F579" s="124"/>
      <c r="G579" s="124"/>
      <c r="H579" s="6"/>
      <c r="I579" s="125"/>
      <c r="J579" s="125"/>
      <c r="K579" s="125"/>
      <c r="L579" s="125"/>
    </row>
    <row r="580" spans="1:12" x14ac:dyDescent="0.25">
      <c r="A580" s="6"/>
      <c r="B580" s="6"/>
      <c r="C580" s="123"/>
      <c r="D580" s="123"/>
      <c r="E580" s="123"/>
      <c r="F580" s="124"/>
      <c r="G580" s="124"/>
      <c r="H580" s="6"/>
      <c r="I580" s="125"/>
      <c r="J580" s="125"/>
      <c r="K580" s="125"/>
      <c r="L580" s="125"/>
    </row>
    <row r="581" spans="1:12" x14ac:dyDescent="0.25">
      <c r="A581" s="6"/>
      <c r="B581" s="6"/>
      <c r="C581" s="123"/>
      <c r="D581" s="123"/>
      <c r="E581" s="123"/>
      <c r="F581" s="124"/>
      <c r="G581" s="124"/>
      <c r="H581" s="6"/>
      <c r="I581" s="125"/>
      <c r="J581" s="125"/>
      <c r="K581" s="125"/>
      <c r="L581" s="125"/>
    </row>
    <row r="582" spans="1:12" x14ac:dyDescent="0.25">
      <c r="A582" s="6"/>
      <c r="B582" s="6"/>
      <c r="C582" s="123"/>
      <c r="D582" s="123"/>
      <c r="E582" s="123"/>
      <c r="F582" s="124"/>
      <c r="G582" s="124"/>
      <c r="H582" s="6"/>
      <c r="I582" s="125"/>
      <c r="J582" s="125"/>
      <c r="K582" s="125"/>
      <c r="L582" s="125"/>
    </row>
    <row r="583" spans="1:12" x14ac:dyDescent="0.25">
      <c r="A583" s="6"/>
      <c r="B583" s="6"/>
      <c r="C583" s="123"/>
      <c r="D583" s="123"/>
      <c r="E583" s="123"/>
      <c r="F583" s="124"/>
      <c r="G583" s="124"/>
      <c r="H583" s="6"/>
      <c r="I583" s="125"/>
      <c r="J583" s="125"/>
      <c r="K583" s="125"/>
      <c r="L583" s="125"/>
    </row>
    <row r="584" spans="1:12" x14ac:dyDescent="0.25">
      <c r="A584" s="6"/>
      <c r="B584" s="6"/>
      <c r="C584" s="123"/>
      <c r="D584" s="123"/>
      <c r="E584" s="123"/>
      <c r="F584" s="124"/>
      <c r="G584" s="124"/>
      <c r="H584" s="6"/>
      <c r="I584" s="125"/>
      <c r="J584" s="125"/>
      <c r="K584" s="125"/>
      <c r="L584" s="125"/>
    </row>
    <row r="585" spans="1:12" x14ac:dyDescent="0.25">
      <c r="A585" s="6"/>
      <c r="B585" s="6"/>
      <c r="C585" s="123"/>
      <c r="D585" s="123"/>
      <c r="E585" s="123"/>
      <c r="F585" s="124"/>
      <c r="G585" s="124"/>
      <c r="H585" s="6"/>
      <c r="I585" s="125"/>
      <c r="J585" s="125"/>
      <c r="K585" s="125"/>
      <c r="L585" s="125"/>
    </row>
    <row r="586" spans="1:12" x14ac:dyDescent="0.25">
      <c r="A586" s="6"/>
      <c r="B586" s="6"/>
      <c r="C586" s="123"/>
      <c r="D586" s="123"/>
      <c r="E586" s="123"/>
      <c r="F586" s="124"/>
      <c r="G586" s="124"/>
      <c r="H586" s="6"/>
      <c r="I586" s="125"/>
      <c r="J586" s="125"/>
      <c r="K586" s="125"/>
      <c r="L586" s="125"/>
    </row>
    <row r="587" spans="1:12" x14ac:dyDescent="0.25">
      <c r="A587" s="6"/>
      <c r="B587" s="6"/>
      <c r="C587" s="123"/>
      <c r="D587" s="123"/>
      <c r="E587" s="123"/>
      <c r="F587" s="124"/>
      <c r="G587" s="124"/>
      <c r="H587" s="6"/>
      <c r="I587" s="125"/>
      <c r="J587" s="125"/>
      <c r="K587" s="125"/>
      <c r="L587" s="125"/>
    </row>
    <row r="588" spans="1:12" x14ac:dyDescent="0.25">
      <c r="A588" s="6"/>
      <c r="B588" s="6"/>
      <c r="C588" s="123"/>
      <c r="D588" s="123"/>
      <c r="E588" s="123"/>
      <c r="F588" s="124"/>
      <c r="G588" s="124"/>
      <c r="H588" s="6"/>
      <c r="I588" s="125"/>
      <c r="J588" s="125"/>
      <c r="K588" s="125"/>
      <c r="L588" s="125"/>
    </row>
    <row r="589" spans="1:12" x14ac:dyDescent="0.25">
      <c r="A589" s="6"/>
      <c r="B589" s="6"/>
      <c r="C589" s="123"/>
      <c r="D589" s="123"/>
      <c r="E589" s="123"/>
      <c r="F589" s="124"/>
      <c r="G589" s="124"/>
      <c r="H589" s="6"/>
      <c r="I589" s="125"/>
      <c r="J589" s="125"/>
      <c r="K589" s="125"/>
      <c r="L589" s="125"/>
    </row>
    <row r="590" spans="1:12" x14ac:dyDescent="0.25">
      <c r="A590" s="6"/>
      <c r="B590" s="6"/>
      <c r="C590" s="123"/>
      <c r="D590" s="123"/>
      <c r="E590" s="123"/>
      <c r="F590" s="124"/>
      <c r="G590" s="124"/>
      <c r="H590" s="6"/>
      <c r="I590" s="125"/>
      <c r="J590" s="125"/>
      <c r="K590" s="125"/>
      <c r="L590" s="125"/>
    </row>
    <row r="591" spans="1:12" x14ac:dyDescent="0.25">
      <c r="A591" s="6"/>
      <c r="B591" s="6"/>
      <c r="C591" s="123"/>
      <c r="D591" s="123"/>
      <c r="E591" s="123"/>
      <c r="F591" s="124"/>
      <c r="G591" s="124"/>
      <c r="H591" s="6"/>
      <c r="I591" s="125"/>
      <c r="J591" s="125"/>
      <c r="K591" s="125"/>
      <c r="L591" s="125"/>
    </row>
    <row r="592" spans="1:12" x14ac:dyDescent="0.25">
      <c r="A592" s="6"/>
      <c r="B592" s="6"/>
      <c r="C592" s="123"/>
      <c r="D592" s="123"/>
      <c r="E592" s="123"/>
      <c r="F592" s="124"/>
      <c r="G592" s="124"/>
      <c r="H592" s="6"/>
      <c r="I592" s="125"/>
      <c r="J592" s="125"/>
      <c r="K592" s="125"/>
      <c r="L592" s="125"/>
    </row>
    <row r="593" spans="1:12" x14ac:dyDescent="0.25">
      <c r="A593" s="6"/>
      <c r="B593" s="6"/>
      <c r="C593" s="123"/>
      <c r="D593" s="123"/>
      <c r="E593" s="123"/>
      <c r="F593" s="124"/>
      <c r="G593" s="124"/>
      <c r="H593" s="6"/>
      <c r="I593" s="125"/>
      <c r="J593" s="125"/>
      <c r="K593" s="125"/>
      <c r="L593" s="125"/>
    </row>
    <row r="594" spans="1:12" x14ac:dyDescent="0.25">
      <c r="A594" s="6"/>
      <c r="B594" s="6"/>
      <c r="C594" s="123"/>
      <c r="D594" s="123"/>
      <c r="E594" s="123"/>
      <c r="F594" s="124"/>
      <c r="G594" s="124"/>
      <c r="H594" s="6"/>
      <c r="I594" s="125"/>
      <c r="J594" s="125"/>
      <c r="K594" s="125"/>
      <c r="L594" s="125"/>
    </row>
    <row r="595" spans="1:12" x14ac:dyDescent="0.25">
      <c r="A595" s="6"/>
      <c r="B595" s="6"/>
      <c r="C595" s="123"/>
      <c r="D595" s="123"/>
      <c r="E595" s="123"/>
      <c r="F595" s="124"/>
      <c r="G595" s="124"/>
      <c r="H595" s="6"/>
      <c r="I595" s="125"/>
      <c r="J595" s="125"/>
      <c r="K595" s="125"/>
      <c r="L595" s="125"/>
    </row>
    <row r="596" spans="1:12" x14ac:dyDescent="0.25">
      <c r="A596" s="6"/>
      <c r="B596" s="6"/>
      <c r="C596" s="123"/>
      <c r="D596" s="123"/>
      <c r="E596" s="123"/>
      <c r="F596" s="124"/>
      <c r="G596" s="124"/>
      <c r="H596" s="6"/>
      <c r="I596" s="125"/>
      <c r="J596" s="125"/>
      <c r="K596" s="125"/>
      <c r="L596" s="125"/>
    </row>
    <row r="597" spans="1:12" x14ac:dyDescent="0.25">
      <c r="A597" s="6"/>
      <c r="B597" s="6"/>
      <c r="C597" s="123"/>
      <c r="D597" s="123"/>
      <c r="E597" s="123"/>
      <c r="F597" s="124"/>
      <c r="G597" s="124"/>
      <c r="H597" s="6"/>
      <c r="I597" s="125"/>
      <c r="J597" s="125"/>
      <c r="K597" s="125"/>
      <c r="L597" s="125"/>
    </row>
    <row r="598" spans="1:12" x14ac:dyDescent="0.25">
      <c r="A598" s="6"/>
      <c r="B598" s="6"/>
      <c r="C598" s="123"/>
      <c r="D598" s="123"/>
      <c r="E598" s="123"/>
      <c r="F598" s="124"/>
      <c r="G598" s="124"/>
      <c r="H598" s="6"/>
      <c r="I598" s="125"/>
      <c r="J598" s="125"/>
      <c r="K598" s="125"/>
      <c r="L598" s="125"/>
    </row>
    <row r="599" spans="1:12" x14ac:dyDescent="0.25">
      <c r="A599" s="6"/>
      <c r="B599" s="6"/>
      <c r="C599" s="123"/>
      <c r="D599" s="123"/>
      <c r="E599" s="123"/>
      <c r="F599" s="124"/>
      <c r="G599" s="124"/>
      <c r="H599" s="6"/>
      <c r="I599" s="125"/>
      <c r="J599" s="125"/>
      <c r="K599" s="125"/>
      <c r="L599" s="125"/>
    </row>
    <row r="600" spans="1:12" x14ac:dyDescent="0.25">
      <c r="A600" s="6"/>
      <c r="B600" s="6"/>
      <c r="C600" s="123"/>
      <c r="D600" s="123"/>
      <c r="E600" s="123"/>
      <c r="F600" s="124"/>
      <c r="G600" s="124"/>
      <c r="H600" s="6"/>
      <c r="I600" s="125"/>
      <c r="J600" s="125"/>
      <c r="K600" s="125"/>
      <c r="L600" s="125"/>
    </row>
    <row r="601" spans="1:12" x14ac:dyDescent="0.25">
      <c r="A601" s="6"/>
      <c r="B601" s="6"/>
      <c r="C601" s="123"/>
      <c r="D601" s="123"/>
      <c r="E601" s="123"/>
      <c r="F601" s="124"/>
      <c r="G601" s="124"/>
      <c r="H601" s="6"/>
      <c r="I601" s="125"/>
      <c r="J601" s="125"/>
      <c r="K601" s="125"/>
      <c r="L601" s="125"/>
    </row>
    <row r="602" spans="1:12" x14ac:dyDescent="0.25">
      <c r="A602" s="6"/>
      <c r="B602" s="6"/>
      <c r="C602" s="123"/>
      <c r="D602" s="123"/>
      <c r="E602" s="123"/>
      <c r="F602" s="124"/>
      <c r="G602" s="124"/>
      <c r="H602" s="6"/>
      <c r="I602" s="125"/>
      <c r="J602" s="125"/>
      <c r="K602" s="125"/>
      <c r="L602" s="125"/>
    </row>
    <row r="603" spans="1:12" x14ac:dyDescent="0.25">
      <c r="A603" s="6"/>
      <c r="B603" s="6"/>
      <c r="C603" s="123"/>
      <c r="D603" s="123"/>
      <c r="E603" s="123"/>
      <c r="F603" s="124"/>
      <c r="G603" s="124"/>
      <c r="H603" s="6"/>
      <c r="I603" s="125"/>
      <c r="J603" s="125"/>
      <c r="K603" s="125"/>
      <c r="L603" s="125"/>
    </row>
    <row r="604" spans="1:12" x14ac:dyDescent="0.25">
      <c r="A604" s="6"/>
      <c r="B604" s="6"/>
      <c r="C604" s="123"/>
      <c r="D604" s="123"/>
      <c r="E604" s="123"/>
      <c r="F604" s="124"/>
      <c r="G604" s="124"/>
      <c r="H604" s="6"/>
      <c r="I604" s="125"/>
      <c r="J604" s="125"/>
      <c r="K604" s="125"/>
      <c r="L604" s="125"/>
    </row>
    <row r="605" spans="1:12" x14ac:dyDescent="0.25">
      <c r="A605" s="6"/>
      <c r="B605" s="6"/>
      <c r="C605" s="123"/>
      <c r="D605" s="123"/>
      <c r="E605" s="123"/>
      <c r="F605" s="124"/>
      <c r="G605" s="124"/>
      <c r="H605" s="6"/>
      <c r="I605" s="125"/>
      <c r="J605" s="125"/>
      <c r="K605" s="125"/>
      <c r="L605" s="125"/>
    </row>
    <row r="606" spans="1:12" x14ac:dyDescent="0.25">
      <c r="A606" s="6"/>
      <c r="B606" s="6"/>
      <c r="C606" s="123"/>
      <c r="D606" s="123"/>
      <c r="E606" s="123"/>
      <c r="F606" s="124"/>
      <c r="G606" s="124"/>
      <c r="H606" s="6"/>
      <c r="I606" s="125"/>
      <c r="J606" s="125"/>
      <c r="K606" s="125"/>
      <c r="L606" s="125"/>
    </row>
    <row r="607" spans="1:12" x14ac:dyDescent="0.25">
      <c r="A607" s="6"/>
      <c r="B607" s="6"/>
      <c r="C607" s="123"/>
      <c r="D607" s="123"/>
      <c r="E607" s="123"/>
      <c r="F607" s="124"/>
      <c r="G607" s="124"/>
      <c r="H607" s="6"/>
      <c r="I607" s="125"/>
      <c r="J607" s="125"/>
      <c r="K607" s="125"/>
      <c r="L607" s="125"/>
    </row>
    <row r="608" spans="1:12" x14ac:dyDescent="0.25">
      <c r="A608" s="6"/>
      <c r="B608" s="6"/>
      <c r="C608" s="123"/>
      <c r="D608" s="123"/>
      <c r="E608" s="123"/>
      <c r="F608" s="124"/>
      <c r="G608" s="124"/>
      <c r="H608" s="6"/>
      <c r="I608" s="125"/>
      <c r="J608" s="125"/>
      <c r="K608" s="125"/>
      <c r="L608" s="125"/>
    </row>
    <row r="609" spans="1:12" x14ac:dyDescent="0.25">
      <c r="A609" s="6"/>
      <c r="B609" s="6"/>
      <c r="C609" s="123"/>
      <c r="D609" s="123"/>
      <c r="E609" s="123"/>
      <c r="F609" s="124"/>
      <c r="G609" s="124"/>
      <c r="H609" s="6"/>
      <c r="I609" s="125"/>
      <c r="J609" s="125"/>
      <c r="K609" s="125"/>
      <c r="L609" s="125"/>
    </row>
    <row r="610" spans="1:12" x14ac:dyDescent="0.25">
      <c r="A610" s="6"/>
      <c r="B610" s="6"/>
      <c r="C610" s="123"/>
      <c r="D610" s="123"/>
      <c r="E610" s="123"/>
      <c r="F610" s="124"/>
      <c r="G610" s="124"/>
      <c r="H610" s="6"/>
      <c r="I610" s="125"/>
      <c r="J610" s="125"/>
      <c r="K610" s="125"/>
      <c r="L610" s="125"/>
    </row>
    <row r="611" spans="1:12" x14ac:dyDescent="0.25">
      <c r="A611" s="6"/>
      <c r="B611" s="6"/>
      <c r="C611" s="123"/>
      <c r="D611" s="123"/>
      <c r="E611" s="123"/>
      <c r="F611" s="124"/>
      <c r="G611" s="124"/>
      <c r="H611" s="6"/>
      <c r="I611" s="125"/>
      <c r="J611" s="125"/>
      <c r="K611" s="125"/>
      <c r="L611" s="125"/>
    </row>
    <row r="612" spans="1:12" x14ac:dyDescent="0.25">
      <c r="A612" s="6"/>
      <c r="B612" s="6"/>
      <c r="C612" s="123"/>
      <c r="D612" s="123"/>
      <c r="E612" s="123"/>
      <c r="F612" s="124"/>
      <c r="G612" s="124"/>
      <c r="H612" s="6"/>
      <c r="I612" s="125"/>
      <c r="J612" s="125"/>
      <c r="K612" s="125"/>
      <c r="L612" s="125"/>
    </row>
    <row r="613" spans="1:12" x14ac:dyDescent="0.25">
      <c r="A613" s="6"/>
      <c r="B613" s="6"/>
      <c r="C613" s="123"/>
      <c r="D613" s="123"/>
      <c r="E613" s="123"/>
      <c r="F613" s="124"/>
      <c r="G613" s="124"/>
      <c r="H613" s="6"/>
      <c r="I613" s="125"/>
      <c r="J613" s="125"/>
      <c r="K613" s="125"/>
      <c r="L613" s="125"/>
    </row>
    <row r="614" spans="1:12" x14ac:dyDescent="0.25">
      <c r="A614" s="6"/>
      <c r="B614" s="6"/>
      <c r="C614" s="123"/>
      <c r="D614" s="123"/>
      <c r="E614" s="123"/>
      <c r="F614" s="124"/>
      <c r="G614" s="124"/>
      <c r="H614" s="6"/>
      <c r="I614" s="125"/>
      <c r="J614" s="125"/>
      <c r="K614" s="125"/>
      <c r="L614" s="125"/>
    </row>
    <row r="615" spans="1:12" x14ac:dyDescent="0.25">
      <c r="A615" s="6"/>
      <c r="B615" s="6"/>
      <c r="C615" s="123"/>
      <c r="D615" s="123"/>
      <c r="E615" s="123"/>
      <c r="F615" s="124"/>
      <c r="G615" s="124"/>
      <c r="H615" s="6"/>
      <c r="I615" s="125"/>
      <c r="J615" s="125"/>
      <c r="K615" s="125"/>
      <c r="L615" s="125"/>
    </row>
    <row r="616" spans="1:12" x14ac:dyDescent="0.25">
      <c r="A616" s="6"/>
      <c r="B616" s="6"/>
      <c r="C616" s="123"/>
      <c r="D616" s="123"/>
      <c r="E616" s="123"/>
      <c r="F616" s="124"/>
      <c r="G616" s="124"/>
      <c r="H616" s="6"/>
      <c r="I616" s="125"/>
      <c r="J616" s="125"/>
      <c r="K616" s="125"/>
      <c r="L616" s="125"/>
    </row>
    <row r="617" spans="1:12" x14ac:dyDescent="0.25">
      <c r="A617" s="6"/>
      <c r="B617" s="6"/>
      <c r="C617" s="123"/>
      <c r="D617" s="123"/>
      <c r="E617" s="123"/>
      <c r="F617" s="124"/>
      <c r="G617" s="124"/>
      <c r="H617" s="6"/>
      <c r="I617" s="125"/>
      <c r="J617" s="125"/>
      <c r="K617" s="125"/>
      <c r="L617" s="125"/>
    </row>
    <row r="618" spans="1:12" x14ac:dyDescent="0.25">
      <c r="A618" s="6"/>
      <c r="B618" s="6"/>
      <c r="C618" s="123"/>
      <c r="D618" s="123"/>
      <c r="E618" s="123"/>
      <c r="F618" s="124"/>
      <c r="G618" s="124"/>
      <c r="H618" s="6"/>
      <c r="I618" s="125"/>
      <c r="J618" s="125"/>
      <c r="K618" s="125"/>
      <c r="L618" s="125"/>
    </row>
    <row r="619" spans="1:12" x14ac:dyDescent="0.25">
      <c r="A619" s="6"/>
      <c r="B619" s="6"/>
      <c r="C619" s="123"/>
      <c r="D619" s="123"/>
      <c r="E619" s="123"/>
      <c r="F619" s="124"/>
      <c r="G619" s="124"/>
      <c r="H619" s="6"/>
      <c r="I619" s="125"/>
      <c r="J619" s="125"/>
      <c r="K619" s="125"/>
      <c r="L619" s="125"/>
    </row>
    <row r="620" spans="1:12" x14ac:dyDescent="0.25">
      <c r="A620" s="6"/>
      <c r="B620" s="6"/>
      <c r="C620" s="123"/>
      <c r="D620" s="123"/>
      <c r="E620" s="123"/>
      <c r="F620" s="124"/>
      <c r="G620" s="124"/>
      <c r="H620" s="6"/>
      <c r="I620" s="125"/>
      <c r="J620" s="125"/>
      <c r="K620" s="125"/>
      <c r="L620" s="125"/>
    </row>
    <row r="621" spans="1:12" x14ac:dyDescent="0.25">
      <c r="A621" s="6"/>
      <c r="B621" s="6"/>
      <c r="C621" s="123"/>
      <c r="D621" s="123"/>
      <c r="E621" s="123"/>
      <c r="F621" s="124"/>
      <c r="G621" s="124"/>
      <c r="H621" s="6"/>
      <c r="I621" s="125"/>
      <c r="J621" s="125"/>
      <c r="K621" s="125"/>
      <c r="L621" s="125"/>
    </row>
    <row r="622" spans="1:12" x14ac:dyDescent="0.25">
      <c r="A622" s="6"/>
      <c r="B622" s="6"/>
      <c r="C622" s="123"/>
      <c r="D622" s="123"/>
      <c r="E622" s="123"/>
      <c r="F622" s="124"/>
      <c r="G622" s="124"/>
      <c r="H622" s="6"/>
      <c r="I622" s="125"/>
      <c r="J622" s="125"/>
      <c r="K622" s="125"/>
      <c r="L622" s="125"/>
    </row>
    <row r="623" spans="1:12" x14ac:dyDescent="0.25">
      <c r="A623" s="6"/>
      <c r="B623" s="6"/>
      <c r="C623" s="123"/>
      <c r="D623" s="123"/>
      <c r="E623" s="123"/>
      <c r="F623" s="124"/>
      <c r="G623" s="124"/>
      <c r="H623" s="6"/>
      <c r="I623" s="125"/>
      <c r="J623" s="125"/>
      <c r="K623" s="125"/>
      <c r="L623" s="125"/>
    </row>
    <row r="624" spans="1:12" x14ac:dyDescent="0.25">
      <c r="A624" s="6"/>
      <c r="B624" s="6"/>
      <c r="C624" s="123"/>
      <c r="D624" s="123"/>
      <c r="E624" s="123"/>
      <c r="F624" s="124"/>
      <c r="G624" s="124"/>
      <c r="H624" s="6"/>
      <c r="I624" s="125"/>
      <c r="J624" s="125"/>
      <c r="K624" s="125"/>
      <c r="L624" s="125"/>
    </row>
    <row r="625" spans="1:12" x14ac:dyDescent="0.25">
      <c r="A625" s="6"/>
      <c r="B625" s="6"/>
      <c r="C625" s="123"/>
      <c r="D625" s="123"/>
      <c r="E625" s="123"/>
      <c r="F625" s="124"/>
      <c r="G625" s="124"/>
      <c r="H625" s="6"/>
      <c r="I625" s="125"/>
      <c r="J625" s="125"/>
      <c r="K625" s="125"/>
      <c r="L625" s="125"/>
    </row>
    <row r="626" spans="1:12" x14ac:dyDescent="0.25">
      <c r="A626" s="6"/>
      <c r="B626" s="6"/>
      <c r="C626" s="123"/>
      <c r="D626" s="123"/>
      <c r="E626" s="123"/>
      <c r="F626" s="124"/>
      <c r="G626" s="124"/>
      <c r="H626" s="6"/>
      <c r="I626" s="125"/>
      <c r="J626" s="125"/>
      <c r="K626" s="125"/>
      <c r="L626" s="125"/>
    </row>
    <row r="627" spans="1:12" x14ac:dyDescent="0.25">
      <c r="A627" s="6"/>
      <c r="B627" s="6"/>
      <c r="C627" s="123"/>
      <c r="D627" s="123"/>
      <c r="E627" s="123"/>
      <c r="F627" s="124"/>
      <c r="G627" s="124"/>
      <c r="H627" s="6"/>
      <c r="I627" s="125"/>
      <c r="J627" s="125"/>
      <c r="K627" s="125"/>
      <c r="L627" s="125"/>
    </row>
    <row r="628" spans="1:12" x14ac:dyDescent="0.25">
      <c r="A628" s="6"/>
      <c r="B628" s="6"/>
      <c r="C628" s="123"/>
      <c r="D628" s="123"/>
      <c r="E628" s="123"/>
      <c r="F628" s="124"/>
      <c r="G628" s="124"/>
      <c r="H628" s="6"/>
      <c r="I628" s="125"/>
      <c r="J628" s="125"/>
      <c r="K628" s="125"/>
      <c r="L628" s="125"/>
    </row>
    <row r="629" spans="1:12" x14ac:dyDescent="0.25">
      <c r="A629" s="6"/>
      <c r="B629" s="6"/>
      <c r="C629" s="123"/>
      <c r="D629" s="123"/>
      <c r="E629" s="123"/>
      <c r="F629" s="124"/>
      <c r="G629" s="124"/>
      <c r="H629" s="6"/>
      <c r="I629" s="125"/>
      <c r="J629" s="125"/>
      <c r="K629" s="125"/>
      <c r="L629" s="125"/>
    </row>
    <row r="630" spans="1:12" x14ac:dyDescent="0.25">
      <c r="A630" s="6"/>
      <c r="B630" s="6"/>
      <c r="C630" s="123"/>
      <c r="D630" s="123"/>
      <c r="E630" s="123"/>
      <c r="F630" s="124"/>
      <c r="G630" s="124"/>
      <c r="H630" s="6"/>
      <c r="I630" s="125"/>
      <c r="J630" s="125"/>
      <c r="K630" s="125"/>
      <c r="L630" s="125"/>
    </row>
    <row r="631" spans="1:12" x14ac:dyDescent="0.25">
      <c r="A631" s="6"/>
      <c r="B631" s="6"/>
      <c r="C631" s="123"/>
      <c r="D631" s="123"/>
      <c r="E631" s="123"/>
      <c r="F631" s="124"/>
      <c r="G631" s="124"/>
      <c r="H631" s="6"/>
      <c r="I631" s="125"/>
      <c r="J631" s="125"/>
      <c r="K631" s="125"/>
      <c r="L631" s="125"/>
    </row>
    <row r="632" spans="1:12" x14ac:dyDescent="0.25">
      <c r="A632" s="6"/>
      <c r="B632" s="6"/>
      <c r="C632" s="123"/>
      <c r="D632" s="123"/>
      <c r="E632" s="123"/>
      <c r="F632" s="124"/>
      <c r="G632" s="124"/>
      <c r="H632" s="6"/>
      <c r="I632" s="125"/>
      <c r="J632" s="125"/>
      <c r="K632" s="125"/>
      <c r="L632" s="125"/>
    </row>
    <row r="633" spans="1:12" x14ac:dyDescent="0.25">
      <c r="A633" s="6"/>
      <c r="B633" s="6"/>
      <c r="C633" s="123"/>
      <c r="D633" s="123"/>
      <c r="E633" s="123"/>
      <c r="F633" s="124"/>
      <c r="G633" s="124"/>
      <c r="H633" s="6"/>
      <c r="I633" s="125"/>
      <c r="J633" s="125"/>
      <c r="K633" s="125"/>
      <c r="L633" s="125"/>
    </row>
    <row r="634" spans="1:12" x14ac:dyDescent="0.25">
      <c r="A634" s="6"/>
      <c r="B634" s="6"/>
      <c r="C634" s="123"/>
      <c r="D634" s="123"/>
      <c r="E634" s="123"/>
      <c r="F634" s="124"/>
      <c r="G634" s="124"/>
      <c r="H634" s="6"/>
      <c r="I634" s="125"/>
      <c r="J634" s="125"/>
      <c r="K634" s="125"/>
      <c r="L634" s="125"/>
    </row>
    <row r="635" spans="1:12" x14ac:dyDescent="0.25">
      <c r="A635" s="6"/>
      <c r="B635" s="6"/>
      <c r="C635" s="123"/>
      <c r="D635" s="123"/>
      <c r="E635" s="123"/>
      <c r="F635" s="124"/>
      <c r="G635" s="124"/>
      <c r="H635" s="6"/>
      <c r="I635" s="125"/>
      <c r="J635" s="125"/>
      <c r="K635" s="125"/>
      <c r="L635" s="125"/>
    </row>
    <row r="636" spans="1:12" x14ac:dyDescent="0.25">
      <c r="A636" s="6"/>
      <c r="B636" s="6"/>
      <c r="C636" s="123"/>
      <c r="D636" s="123"/>
      <c r="E636" s="123"/>
      <c r="F636" s="124"/>
      <c r="G636" s="124"/>
      <c r="H636" s="6"/>
      <c r="I636" s="125"/>
      <c r="J636" s="125"/>
      <c r="K636" s="125"/>
      <c r="L636" s="125"/>
    </row>
    <row r="637" spans="1:12" x14ac:dyDescent="0.25">
      <c r="A637" s="6"/>
      <c r="B637" s="6"/>
      <c r="C637" s="123"/>
      <c r="D637" s="123"/>
      <c r="E637" s="123"/>
      <c r="F637" s="124"/>
      <c r="G637" s="124"/>
      <c r="H637" s="6"/>
      <c r="I637" s="125"/>
      <c r="J637" s="125"/>
      <c r="K637" s="125"/>
      <c r="L637" s="125"/>
    </row>
    <row r="638" spans="1:12" x14ac:dyDescent="0.25">
      <c r="A638" s="6"/>
      <c r="B638" s="6"/>
      <c r="C638" s="123"/>
      <c r="D638" s="123"/>
      <c r="E638" s="123"/>
      <c r="F638" s="124"/>
      <c r="G638" s="124"/>
      <c r="H638" s="6"/>
      <c r="I638" s="125"/>
      <c r="J638" s="125"/>
      <c r="K638" s="125"/>
      <c r="L638" s="125"/>
    </row>
    <row r="639" spans="1:12" x14ac:dyDescent="0.25">
      <c r="A639" s="6"/>
      <c r="B639" s="6"/>
      <c r="C639" s="123"/>
      <c r="D639" s="123"/>
      <c r="E639" s="123"/>
      <c r="F639" s="124"/>
      <c r="G639" s="124"/>
      <c r="H639" s="6"/>
      <c r="I639" s="125"/>
      <c r="J639" s="125"/>
      <c r="K639" s="125"/>
      <c r="L639" s="125"/>
    </row>
    <row r="640" spans="1:12" x14ac:dyDescent="0.25">
      <c r="A640" s="6"/>
      <c r="B640" s="6"/>
      <c r="C640" s="123"/>
      <c r="D640" s="123"/>
      <c r="E640" s="123"/>
      <c r="F640" s="124"/>
      <c r="G640" s="124"/>
      <c r="H640" s="6"/>
      <c r="I640" s="125"/>
      <c r="J640" s="125"/>
      <c r="K640" s="125"/>
      <c r="L640" s="125"/>
    </row>
    <row r="641" spans="1:12" x14ac:dyDescent="0.25">
      <c r="A641" s="6"/>
      <c r="B641" s="6"/>
      <c r="C641" s="123"/>
      <c r="D641" s="123"/>
      <c r="E641" s="123"/>
      <c r="F641" s="124"/>
      <c r="G641" s="124"/>
      <c r="H641" s="6"/>
      <c r="I641" s="125"/>
      <c r="J641" s="125"/>
      <c r="K641" s="125"/>
      <c r="L641" s="125"/>
    </row>
    <row r="642" spans="1:12" x14ac:dyDescent="0.25">
      <c r="A642" s="6"/>
      <c r="B642" s="6"/>
      <c r="C642" s="123"/>
      <c r="D642" s="123"/>
      <c r="E642" s="123"/>
      <c r="F642" s="124"/>
      <c r="G642" s="124"/>
      <c r="H642" s="6"/>
      <c r="I642" s="125"/>
      <c r="J642" s="125"/>
      <c r="K642" s="125"/>
      <c r="L642" s="125"/>
    </row>
    <row r="643" spans="1:12" x14ac:dyDescent="0.25">
      <c r="A643" s="6"/>
      <c r="B643" s="6"/>
      <c r="C643" s="123"/>
      <c r="D643" s="123"/>
      <c r="E643" s="123"/>
      <c r="F643" s="124"/>
      <c r="G643" s="124"/>
      <c r="H643" s="6"/>
      <c r="I643" s="125"/>
      <c r="J643" s="125"/>
      <c r="K643" s="125"/>
      <c r="L643" s="125"/>
    </row>
    <row r="644" spans="1:12" x14ac:dyDescent="0.25">
      <c r="A644" s="6"/>
      <c r="B644" s="6"/>
      <c r="C644" s="123"/>
      <c r="D644" s="123"/>
      <c r="E644" s="123"/>
      <c r="F644" s="124"/>
      <c r="G644" s="124"/>
      <c r="H644" s="6"/>
      <c r="I644" s="125"/>
      <c r="J644" s="125"/>
      <c r="K644" s="125"/>
      <c r="L644" s="125"/>
    </row>
    <row r="645" spans="1:12" x14ac:dyDescent="0.25">
      <c r="A645" s="6"/>
      <c r="B645" s="6"/>
      <c r="C645" s="123"/>
      <c r="D645" s="123"/>
      <c r="E645" s="123"/>
      <c r="F645" s="124"/>
      <c r="G645" s="124"/>
      <c r="H645" s="6"/>
      <c r="I645" s="125"/>
      <c r="J645" s="125"/>
      <c r="K645" s="125"/>
      <c r="L645" s="125"/>
    </row>
    <row r="646" spans="1:12" x14ac:dyDescent="0.25">
      <c r="A646" s="6"/>
      <c r="B646" s="6"/>
      <c r="C646" s="123"/>
      <c r="D646" s="123"/>
      <c r="E646" s="123"/>
      <c r="F646" s="124"/>
      <c r="G646" s="124"/>
      <c r="H646" s="6"/>
      <c r="I646" s="125"/>
      <c r="J646" s="125"/>
      <c r="K646" s="125"/>
      <c r="L646" s="125"/>
    </row>
    <row r="647" spans="1:12" x14ac:dyDescent="0.25">
      <c r="A647" s="6"/>
      <c r="B647" s="6"/>
      <c r="C647" s="123"/>
      <c r="D647" s="123"/>
      <c r="E647" s="123"/>
      <c r="F647" s="124"/>
      <c r="G647" s="124"/>
      <c r="H647" s="6"/>
      <c r="I647" s="125"/>
      <c r="J647" s="125"/>
      <c r="K647" s="125"/>
      <c r="L647" s="125"/>
    </row>
    <row r="648" spans="1:12" x14ac:dyDescent="0.25">
      <c r="A648" s="6"/>
      <c r="B648" s="6"/>
      <c r="C648" s="123"/>
      <c r="D648" s="123"/>
      <c r="E648" s="123"/>
      <c r="F648" s="124"/>
      <c r="G648" s="124"/>
      <c r="H648" s="6"/>
      <c r="I648" s="125"/>
      <c r="J648" s="125"/>
      <c r="K648" s="125"/>
      <c r="L648" s="125"/>
    </row>
    <row r="649" spans="1:12" x14ac:dyDescent="0.25">
      <c r="A649" s="6"/>
      <c r="B649" s="6"/>
      <c r="C649" s="123"/>
      <c r="D649" s="123"/>
      <c r="E649" s="123"/>
      <c r="F649" s="124"/>
      <c r="G649" s="124"/>
      <c r="H649" s="6"/>
      <c r="I649" s="125"/>
      <c r="J649" s="125"/>
      <c r="K649" s="125"/>
      <c r="L649" s="125"/>
    </row>
    <row r="650" spans="1:12" x14ac:dyDescent="0.25">
      <c r="A650" s="6"/>
      <c r="B650" s="6"/>
      <c r="C650" s="123"/>
      <c r="D650" s="123"/>
      <c r="E650" s="123"/>
      <c r="F650" s="124"/>
      <c r="G650" s="124"/>
      <c r="H650" s="6"/>
      <c r="I650" s="125"/>
      <c r="J650" s="125"/>
      <c r="K650" s="125"/>
      <c r="L650" s="125"/>
    </row>
    <row r="651" spans="1:12" x14ac:dyDescent="0.25">
      <c r="A651" s="6"/>
      <c r="B651" s="6"/>
      <c r="C651" s="123"/>
      <c r="D651" s="123"/>
      <c r="E651" s="123"/>
      <c r="F651" s="124"/>
      <c r="G651" s="124"/>
      <c r="H651" s="6"/>
      <c r="I651" s="125"/>
      <c r="J651" s="125"/>
      <c r="K651" s="125"/>
      <c r="L651" s="125"/>
    </row>
    <row r="652" spans="1:12" x14ac:dyDescent="0.25">
      <c r="A652" s="6"/>
      <c r="B652" s="6"/>
      <c r="C652" s="123"/>
      <c r="D652" s="123"/>
      <c r="E652" s="123"/>
      <c r="F652" s="124"/>
      <c r="G652" s="124"/>
      <c r="H652" s="6"/>
      <c r="I652" s="125"/>
      <c r="J652" s="125"/>
      <c r="K652" s="125"/>
      <c r="L652" s="125"/>
    </row>
    <row r="653" spans="1:12" x14ac:dyDescent="0.25">
      <c r="A653" s="6"/>
      <c r="B653" s="6"/>
      <c r="C653" s="123"/>
      <c r="D653" s="123"/>
      <c r="E653" s="123"/>
      <c r="F653" s="124"/>
      <c r="G653" s="124"/>
      <c r="H653" s="6"/>
      <c r="I653" s="125"/>
      <c r="J653" s="125"/>
      <c r="K653" s="125"/>
      <c r="L653" s="125"/>
    </row>
    <row r="654" spans="1:12" x14ac:dyDescent="0.25">
      <c r="A654" s="6"/>
      <c r="B654" s="6"/>
      <c r="C654" s="123"/>
      <c r="D654" s="123"/>
      <c r="E654" s="123"/>
      <c r="F654" s="124"/>
      <c r="G654" s="124"/>
      <c r="H654" s="6"/>
      <c r="I654" s="125"/>
      <c r="J654" s="125"/>
      <c r="K654" s="125"/>
      <c r="L654" s="125"/>
    </row>
    <row r="655" spans="1:12" x14ac:dyDescent="0.25">
      <c r="A655" s="6"/>
      <c r="B655" s="6"/>
      <c r="C655" s="123"/>
      <c r="D655" s="123"/>
      <c r="E655" s="123"/>
      <c r="F655" s="124"/>
      <c r="G655" s="124"/>
      <c r="H655" s="6"/>
      <c r="I655" s="125"/>
      <c r="J655" s="125"/>
      <c r="K655" s="125"/>
      <c r="L655" s="125"/>
    </row>
    <row r="656" spans="1:12" x14ac:dyDescent="0.25">
      <c r="A656" s="6"/>
      <c r="B656" s="6"/>
      <c r="C656" s="123"/>
      <c r="D656" s="123"/>
      <c r="E656" s="123"/>
      <c r="F656" s="124"/>
      <c r="G656" s="124"/>
      <c r="H656" s="6"/>
      <c r="I656" s="125"/>
      <c r="J656" s="125"/>
      <c r="K656" s="125"/>
      <c r="L656" s="125"/>
    </row>
    <row r="657" spans="1:12" x14ac:dyDescent="0.25">
      <c r="A657" s="6"/>
      <c r="B657" s="6"/>
      <c r="C657" s="123"/>
      <c r="D657" s="123"/>
      <c r="E657" s="123"/>
      <c r="F657" s="124"/>
      <c r="G657" s="124"/>
      <c r="H657" s="6"/>
      <c r="I657" s="125"/>
      <c r="J657" s="125"/>
      <c r="K657" s="125"/>
      <c r="L657" s="125"/>
    </row>
    <row r="658" spans="1:12" x14ac:dyDescent="0.25">
      <c r="A658" s="6"/>
      <c r="B658" s="6"/>
      <c r="C658" s="123"/>
      <c r="D658" s="123"/>
      <c r="E658" s="123"/>
      <c r="F658" s="124"/>
      <c r="G658" s="124"/>
      <c r="H658" s="6"/>
      <c r="I658" s="125"/>
      <c r="J658" s="125"/>
      <c r="K658" s="125"/>
      <c r="L658" s="125"/>
    </row>
    <row r="659" spans="1:12" x14ac:dyDescent="0.25">
      <c r="A659" s="6"/>
      <c r="B659" s="6"/>
      <c r="C659" s="123"/>
      <c r="D659" s="123"/>
      <c r="E659" s="123"/>
      <c r="F659" s="124"/>
      <c r="G659" s="124"/>
      <c r="H659" s="6"/>
      <c r="I659" s="125"/>
      <c r="J659" s="125"/>
      <c r="K659" s="125"/>
      <c r="L659" s="125"/>
    </row>
    <row r="660" spans="1:12" x14ac:dyDescent="0.25">
      <c r="A660" s="6"/>
      <c r="B660" s="6"/>
      <c r="C660" s="123"/>
      <c r="D660" s="123"/>
      <c r="E660" s="123"/>
      <c r="F660" s="124"/>
      <c r="G660" s="124"/>
      <c r="H660" s="6"/>
      <c r="I660" s="125"/>
      <c r="J660" s="125"/>
      <c r="K660" s="125"/>
      <c r="L660" s="125"/>
    </row>
    <row r="661" spans="1:12" x14ac:dyDescent="0.25">
      <c r="A661" s="6"/>
      <c r="B661" s="6"/>
      <c r="C661" s="123"/>
      <c r="D661" s="123"/>
      <c r="E661" s="123"/>
      <c r="F661" s="124"/>
      <c r="G661" s="124"/>
      <c r="H661" s="6"/>
      <c r="I661" s="125"/>
      <c r="J661" s="125"/>
      <c r="K661" s="125"/>
      <c r="L661" s="125"/>
    </row>
    <row r="662" spans="1:12" x14ac:dyDescent="0.25">
      <c r="A662" s="6"/>
      <c r="B662" s="6"/>
      <c r="C662" s="123"/>
      <c r="D662" s="123"/>
      <c r="E662" s="123"/>
      <c r="F662" s="124"/>
      <c r="G662" s="124"/>
      <c r="H662" s="6"/>
      <c r="I662" s="125"/>
      <c r="J662" s="125"/>
      <c r="K662" s="125"/>
      <c r="L662" s="125"/>
    </row>
    <row r="663" spans="1:12" x14ac:dyDescent="0.25">
      <c r="A663" s="6"/>
      <c r="B663" s="6"/>
      <c r="C663" s="123"/>
      <c r="D663" s="123"/>
      <c r="E663" s="123"/>
      <c r="F663" s="124"/>
      <c r="G663" s="124"/>
      <c r="H663" s="6"/>
      <c r="I663" s="125"/>
      <c r="J663" s="125"/>
      <c r="K663" s="125"/>
      <c r="L663" s="125"/>
    </row>
    <row r="664" spans="1:12" x14ac:dyDescent="0.25">
      <c r="A664" s="6"/>
      <c r="B664" s="6"/>
      <c r="C664" s="123"/>
      <c r="D664" s="123"/>
      <c r="E664" s="123"/>
      <c r="F664" s="124"/>
      <c r="G664" s="124"/>
      <c r="H664" s="6"/>
      <c r="I664" s="125"/>
      <c r="J664" s="125"/>
      <c r="K664" s="125"/>
      <c r="L664" s="125"/>
    </row>
    <row r="665" spans="1:12" x14ac:dyDescent="0.25">
      <c r="A665" s="6"/>
      <c r="B665" s="6"/>
      <c r="C665" s="123"/>
      <c r="D665" s="123"/>
      <c r="E665" s="123"/>
      <c r="F665" s="124"/>
      <c r="G665" s="124"/>
      <c r="H665" s="6"/>
      <c r="I665" s="125"/>
      <c r="J665" s="125"/>
      <c r="K665" s="125"/>
      <c r="L665" s="125"/>
    </row>
    <row r="666" spans="1:12" x14ac:dyDescent="0.25">
      <c r="A666" s="6"/>
      <c r="B666" s="6"/>
      <c r="C666" s="123"/>
      <c r="D666" s="123"/>
      <c r="E666" s="123"/>
      <c r="F666" s="124"/>
      <c r="G666" s="124"/>
      <c r="H666" s="6"/>
      <c r="I666" s="125"/>
      <c r="J666" s="125"/>
      <c r="K666" s="125"/>
      <c r="L666" s="125"/>
    </row>
    <row r="667" spans="1:12" x14ac:dyDescent="0.25">
      <c r="A667" s="6"/>
      <c r="B667" s="6"/>
      <c r="C667" s="123"/>
      <c r="D667" s="123"/>
      <c r="E667" s="123"/>
      <c r="F667" s="124"/>
      <c r="G667" s="124"/>
      <c r="H667" s="6"/>
      <c r="I667" s="125"/>
      <c r="J667" s="125"/>
      <c r="K667" s="125"/>
      <c r="L667" s="125"/>
    </row>
    <row r="668" spans="1:12" x14ac:dyDescent="0.25">
      <c r="A668" s="6"/>
      <c r="B668" s="6"/>
      <c r="C668" s="123"/>
      <c r="D668" s="123"/>
      <c r="E668" s="123"/>
      <c r="F668" s="124"/>
      <c r="G668" s="124"/>
      <c r="H668" s="6"/>
      <c r="I668" s="125"/>
      <c r="J668" s="125"/>
      <c r="K668" s="125"/>
      <c r="L668" s="125"/>
    </row>
    <row r="669" spans="1:12" x14ac:dyDescent="0.25">
      <c r="A669" s="6"/>
      <c r="B669" s="6"/>
      <c r="C669" s="123"/>
      <c r="D669" s="123"/>
      <c r="E669" s="123"/>
      <c r="F669" s="124"/>
      <c r="G669" s="124"/>
      <c r="H669" s="6"/>
      <c r="I669" s="125"/>
      <c r="J669" s="125"/>
      <c r="K669" s="125"/>
      <c r="L669" s="125"/>
    </row>
    <row r="670" spans="1:12" x14ac:dyDescent="0.25">
      <c r="A670" s="6"/>
      <c r="B670" s="6"/>
      <c r="C670" s="123"/>
      <c r="D670" s="123"/>
      <c r="E670" s="123"/>
      <c r="F670" s="124"/>
      <c r="G670" s="124"/>
      <c r="H670" s="6"/>
      <c r="I670" s="125"/>
      <c r="J670" s="125"/>
      <c r="K670" s="125"/>
      <c r="L670" s="125"/>
    </row>
    <row r="671" spans="1:12" x14ac:dyDescent="0.25">
      <c r="A671" s="6"/>
      <c r="B671" s="6"/>
      <c r="C671" s="123"/>
      <c r="D671" s="123"/>
      <c r="E671" s="123"/>
      <c r="F671" s="124"/>
      <c r="G671" s="124"/>
      <c r="H671" s="6"/>
      <c r="I671" s="125"/>
      <c r="J671" s="125"/>
      <c r="K671" s="125"/>
      <c r="L671" s="125"/>
    </row>
    <row r="672" spans="1:12" x14ac:dyDescent="0.25">
      <c r="A672" s="6"/>
      <c r="B672" s="6"/>
      <c r="C672" s="123"/>
      <c r="D672" s="123"/>
      <c r="E672" s="123"/>
      <c r="F672" s="124"/>
      <c r="G672" s="124"/>
      <c r="H672" s="6"/>
      <c r="I672" s="125"/>
      <c r="J672" s="125"/>
      <c r="K672" s="125"/>
      <c r="L672" s="125"/>
    </row>
    <row r="673" spans="1:12" x14ac:dyDescent="0.25">
      <c r="A673" s="6"/>
      <c r="B673" s="6"/>
      <c r="C673" s="123"/>
      <c r="D673" s="123"/>
      <c r="E673" s="123"/>
      <c r="F673" s="124"/>
      <c r="G673" s="124"/>
      <c r="H673" s="6"/>
      <c r="I673" s="125"/>
      <c r="J673" s="125"/>
      <c r="K673" s="125"/>
      <c r="L673" s="125"/>
    </row>
    <row r="674" spans="1:12" x14ac:dyDescent="0.25">
      <c r="A674" s="6"/>
      <c r="B674" s="6"/>
      <c r="C674" s="123"/>
      <c r="D674" s="123"/>
      <c r="E674" s="123"/>
      <c r="F674" s="124"/>
      <c r="G674" s="124"/>
      <c r="H674" s="6"/>
      <c r="I674" s="125"/>
      <c r="J674" s="125"/>
      <c r="K674" s="125"/>
      <c r="L674" s="125"/>
    </row>
    <row r="675" spans="1:12" x14ac:dyDescent="0.25">
      <c r="A675" s="6"/>
      <c r="B675" s="6"/>
      <c r="C675" s="123"/>
      <c r="D675" s="123"/>
      <c r="E675" s="123"/>
      <c r="F675" s="124"/>
      <c r="G675" s="124"/>
      <c r="H675" s="6"/>
      <c r="I675" s="125"/>
      <c r="J675" s="125"/>
      <c r="K675" s="125"/>
      <c r="L675" s="125"/>
    </row>
    <row r="676" spans="1:12" x14ac:dyDescent="0.25">
      <c r="A676" s="6"/>
      <c r="B676" s="6"/>
      <c r="C676" s="123"/>
      <c r="D676" s="123"/>
      <c r="E676" s="123"/>
      <c r="F676" s="124"/>
      <c r="G676" s="124"/>
      <c r="H676" s="6"/>
      <c r="I676" s="125"/>
      <c r="J676" s="125"/>
      <c r="K676" s="125"/>
      <c r="L676" s="125"/>
    </row>
    <row r="677" spans="1:12" x14ac:dyDescent="0.25">
      <c r="A677" s="6"/>
      <c r="B677" s="6"/>
      <c r="C677" s="123"/>
      <c r="D677" s="123"/>
      <c r="E677" s="123"/>
      <c r="F677" s="124"/>
      <c r="G677" s="124"/>
      <c r="H677" s="6"/>
      <c r="I677" s="125"/>
      <c r="J677" s="125"/>
      <c r="K677" s="125"/>
      <c r="L677" s="125"/>
    </row>
    <row r="678" spans="1:12" x14ac:dyDescent="0.25">
      <c r="A678" s="6"/>
      <c r="B678" s="6"/>
      <c r="C678" s="123"/>
      <c r="D678" s="123"/>
      <c r="E678" s="123"/>
      <c r="F678" s="124"/>
      <c r="G678" s="124"/>
      <c r="H678" s="6"/>
      <c r="I678" s="125"/>
      <c r="J678" s="125"/>
      <c r="K678" s="125"/>
      <c r="L678" s="125"/>
    </row>
    <row r="679" spans="1:12" x14ac:dyDescent="0.25">
      <c r="A679" s="6"/>
      <c r="B679" s="6"/>
      <c r="C679" s="123"/>
      <c r="D679" s="123"/>
      <c r="E679" s="123"/>
      <c r="F679" s="124"/>
      <c r="G679" s="124"/>
      <c r="H679" s="6"/>
      <c r="I679" s="125"/>
      <c r="J679" s="125"/>
      <c r="K679" s="125"/>
      <c r="L679" s="125"/>
    </row>
    <row r="680" spans="1:12" x14ac:dyDescent="0.25">
      <c r="A680" s="6"/>
      <c r="B680" s="6"/>
      <c r="C680" s="123"/>
      <c r="D680" s="123"/>
      <c r="E680" s="123"/>
      <c r="F680" s="124"/>
      <c r="G680" s="124"/>
      <c r="H680" s="6"/>
      <c r="I680" s="125"/>
      <c r="J680" s="125"/>
      <c r="K680" s="125"/>
      <c r="L680" s="125"/>
    </row>
    <row r="681" spans="1:12" x14ac:dyDescent="0.25">
      <c r="A681" s="6"/>
      <c r="B681" s="6"/>
      <c r="C681" s="123"/>
      <c r="D681" s="123"/>
      <c r="E681" s="123"/>
      <c r="F681" s="124"/>
      <c r="G681" s="124"/>
      <c r="H681" s="6"/>
      <c r="I681" s="125"/>
      <c r="J681" s="125"/>
      <c r="K681" s="125"/>
      <c r="L681" s="125"/>
    </row>
    <row r="682" spans="1:12" x14ac:dyDescent="0.25">
      <c r="A682" s="6"/>
      <c r="B682" s="6"/>
      <c r="C682" s="123"/>
      <c r="D682" s="123"/>
      <c r="E682" s="123"/>
      <c r="F682" s="124"/>
      <c r="G682" s="124"/>
      <c r="H682" s="6"/>
      <c r="I682" s="125"/>
      <c r="J682" s="125"/>
      <c r="K682" s="125"/>
      <c r="L682" s="125"/>
    </row>
    <row r="683" spans="1:12" x14ac:dyDescent="0.25">
      <c r="A683" s="6"/>
      <c r="B683" s="6"/>
      <c r="C683" s="123"/>
      <c r="D683" s="123"/>
      <c r="E683" s="123"/>
      <c r="F683" s="124"/>
      <c r="G683" s="124"/>
      <c r="H683" s="6"/>
      <c r="I683" s="125"/>
      <c r="J683" s="125"/>
      <c r="K683" s="125"/>
      <c r="L683" s="125"/>
    </row>
    <row r="684" spans="1:12" x14ac:dyDescent="0.25">
      <c r="A684" s="6"/>
      <c r="B684" s="6"/>
      <c r="C684" s="123"/>
      <c r="D684" s="123"/>
      <c r="E684" s="123"/>
      <c r="F684" s="124"/>
      <c r="G684" s="124"/>
      <c r="H684" s="6"/>
      <c r="I684" s="125"/>
      <c r="J684" s="125"/>
      <c r="K684" s="125"/>
      <c r="L684" s="125"/>
    </row>
    <row r="685" spans="1:12" x14ac:dyDescent="0.25">
      <c r="A685" s="6"/>
      <c r="B685" s="6"/>
      <c r="C685" s="123"/>
      <c r="D685" s="123"/>
      <c r="E685" s="123"/>
      <c r="F685" s="124"/>
      <c r="G685" s="124"/>
      <c r="H685" s="6"/>
      <c r="I685" s="125"/>
      <c r="J685" s="125"/>
      <c r="K685" s="125"/>
      <c r="L685" s="125"/>
    </row>
    <row r="686" spans="1:12" x14ac:dyDescent="0.25">
      <c r="A686" s="6"/>
      <c r="B686" s="6"/>
      <c r="C686" s="123"/>
      <c r="D686" s="123"/>
      <c r="E686" s="123"/>
      <c r="F686" s="124"/>
      <c r="G686" s="124"/>
      <c r="H686" s="6"/>
      <c r="I686" s="125"/>
      <c r="J686" s="125"/>
      <c r="K686" s="125"/>
      <c r="L686" s="125"/>
    </row>
    <row r="687" spans="1:12" x14ac:dyDescent="0.25">
      <c r="A687" s="6"/>
      <c r="B687" s="6"/>
      <c r="C687" s="123"/>
      <c r="D687" s="123"/>
      <c r="E687" s="123"/>
      <c r="F687" s="124"/>
      <c r="G687" s="124"/>
      <c r="H687" s="6"/>
      <c r="I687" s="125"/>
      <c r="J687" s="125"/>
      <c r="K687" s="125"/>
      <c r="L687" s="125"/>
    </row>
    <row r="688" spans="1:12" x14ac:dyDescent="0.25">
      <c r="A688" s="6"/>
      <c r="B688" s="6"/>
      <c r="C688" s="123"/>
      <c r="D688" s="123"/>
      <c r="E688" s="123"/>
      <c r="F688" s="124"/>
      <c r="G688" s="124"/>
      <c r="H688" s="6"/>
      <c r="I688" s="125"/>
      <c r="J688" s="125"/>
      <c r="K688" s="125"/>
      <c r="L688" s="125"/>
    </row>
    <row r="689" spans="1:12" x14ac:dyDescent="0.25">
      <c r="A689" s="6"/>
      <c r="B689" s="6"/>
      <c r="C689" s="123"/>
      <c r="D689" s="123"/>
      <c r="E689" s="123"/>
      <c r="F689" s="124"/>
      <c r="G689" s="124"/>
      <c r="H689" s="6"/>
      <c r="I689" s="125"/>
      <c r="J689" s="125"/>
      <c r="K689" s="125"/>
      <c r="L689" s="125"/>
    </row>
    <row r="690" spans="1:12" x14ac:dyDescent="0.25">
      <c r="A690" s="6"/>
      <c r="B690" s="6"/>
      <c r="C690" s="123"/>
      <c r="D690" s="123"/>
      <c r="E690" s="123"/>
      <c r="F690" s="124"/>
      <c r="G690" s="124"/>
      <c r="H690" s="6"/>
      <c r="I690" s="125"/>
      <c r="J690" s="125"/>
      <c r="K690" s="125"/>
      <c r="L690" s="125"/>
    </row>
    <row r="691" spans="1:12" x14ac:dyDescent="0.25">
      <c r="A691" s="6"/>
      <c r="B691" s="6"/>
      <c r="C691" s="123"/>
      <c r="D691" s="123"/>
      <c r="E691" s="123"/>
      <c r="F691" s="124"/>
      <c r="G691" s="124"/>
      <c r="H691" s="6"/>
      <c r="I691" s="125"/>
      <c r="J691" s="125"/>
      <c r="K691" s="125"/>
      <c r="L691" s="125"/>
    </row>
    <row r="692" spans="1:12" x14ac:dyDescent="0.25">
      <c r="A692" s="6"/>
      <c r="B692" s="6"/>
      <c r="C692" s="123"/>
      <c r="D692" s="123"/>
      <c r="E692" s="123"/>
      <c r="F692" s="124"/>
      <c r="G692" s="124"/>
      <c r="H692" s="6"/>
      <c r="I692" s="125"/>
      <c r="J692" s="125"/>
      <c r="K692" s="125"/>
      <c r="L692" s="125"/>
    </row>
    <row r="693" spans="1:12" x14ac:dyDescent="0.25">
      <c r="A693" s="6"/>
      <c r="B693" s="6"/>
      <c r="C693" s="123"/>
      <c r="D693" s="123"/>
      <c r="E693" s="123"/>
      <c r="F693" s="124"/>
      <c r="G693" s="124"/>
      <c r="H693" s="6"/>
      <c r="I693" s="125"/>
      <c r="J693" s="125"/>
      <c r="K693" s="125"/>
      <c r="L693" s="125"/>
    </row>
    <row r="694" spans="1:12" x14ac:dyDescent="0.25">
      <c r="A694" s="6"/>
      <c r="B694" s="6"/>
      <c r="C694" s="123"/>
      <c r="D694" s="123"/>
      <c r="E694" s="123"/>
      <c r="F694" s="124"/>
      <c r="G694" s="124"/>
      <c r="H694" s="6"/>
      <c r="I694" s="125"/>
      <c r="J694" s="125"/>
      <c r="K694" s="125"/>
      <c r="L694" s="125"/>
    </row>
    <row r="695" spans="1:12" x14ac:dyDescent="0.25">
      <c r="A695" s="6"/>
      <c r="B695" s="6"/>
      <c r="C695" s="123"/>
      <c r="D695" s="123"/>
      <c r="E695" s="123"/>
      <c r="F695" s="124"/>
      <c r="G695" s="124"/>
      <c r="H695" s="6"/>
      <c r="I695" s="125"/>
      <c r="J695" s="125"/>
      <c r="K695" s="125"/>
      <c r="L695" s="125"/>
    </row>
    <row r="696" spans="1:12" x14ac:dyDescent="0.25">
      <c r="A696" s="6"/>
      <c r="B696" s="6"/>
      <c r="C696" s="123"/>
      <c r="D696" s="123"/>
      <c r="E696" s="123"/>
      <c r="F696" s="124"/>
      <c r="G696" s="124"/>
      <c r="H696" s="6"/>
      <c r="I696" s="125"/>
      <c r="J696" s="125"/>
      <c r="K696" s="125"/>
      <c r="L696" s="125"/>
    </row>
    <row r="697" spans="1:12" x14ac:dyDescent="0.25">
      <c r="A697" s="6"/>
      <c r="B697" s="6"/>
      <c r="C697" s="123"/>
      <c r="D697" s="123"/>
      <c r="E697" s="123"/>
      <c r="F697" s="124"/>
      <c r="G697" s="124"/>
      <c r="H697" s="6"/>
      <c r="I697" s="125"/>
      <c r="J697" s="125"/>
      <c r="K697" s="125"/>
      <c r="L697" s="125"/>
    </row>
    <row r="698" spans="1:12" x14ac:dyDescent="0.25">
      <c r="A698" s="6"/>
      <c r="B698" s="6"/>
      <c r="C698" s="123"/>
      <c r="D698" s="123"/>
      <c r="E698" s="123"/>
      <c r="F698" s="124"/>
      <c r="G698" s="124"/>
      <c r="H698" s="6"/>
      <c r="I698" s="125"/>
      <c r="J698" s="125"/>
      <c r="K698" s="125"/>
      <c r="L698" s="125"/>
    </row>
    <row r="699" spans="1:12" x14ac:dyDescent="0.25">
      <c r="A699" s="6"/>
      <c r="B699" s="6"/>
      <c r="C699" s="123"/>
      <c r="D699" s="123"/>
      <c r="E699" s="123"/>
      <c r="F699" s="124"/>
      <c r="G699" s="124"/>
      <c r="H699" s="6"/>
      <c r="I699" s="125"/>
      <c r="J699" s="125"/>
      <c r="K699" s="125"/>
      <c r="L699" s="125"/>
    </row>
    <row r="700" spans="1:12" x14ac:dyDescent="0.25">
      <c r="A700" s="6"/>
      <c r="B700" s="6"/>
      <c r="C700" s="123"/>
      <c r="D700" s="123"/>
      <c r="E700" s="123"/>
      <c r="F700" s="124"/>
      <c r="G700" s="124"/>
      <c r="H700" s="6"/>
      <c r="I700" s="125"/>
      <c r="J700" s="125"/>
      <c r="K700" s="125"/>
      <c r="L700" s="125"/>
    </row>
    <row r="701" spans="1:12" x14ac:dyDescent="0.25">
      <c r="A701" s="6"/>
      <c r="B701" s="6"/>
      <c r="C701" s="123"/>
      <c r="D701" s="123"/>
      <c r="E701" s="123"/>
      <c r="F701" s="124"/>
      <c r="G701" s="124"/>
      <c r="H701" s="6"/>
      <c r="I701" s="125"/>
      <c r="J701" s="125"/>
      <c r="K701" s="125"/>
      <c r="L701" s="125"/>
    </row>
    <row r="702" spans="1:12" x14ac:dyDescent="0.25">
      <c r="A702" s="6"/>
      <c r="B702" s="6"/>
      <c r="C702" s="123"/>
      <c r="D702" s="123"/>
      <c r="E702" s="123"/>
      <c r="F702" s="124"/>
      <c r="G702" s="124"/>
      <c r="H702" s="6"/>
      <c r="I702" s="125"/>
      <c r="J702" s="125"/>
      <c r="K702" s="125"/>
      <c r="L702" s="125"/>
    </row>
    <row r="703" spans="1:12" x14ac:dyDescent="0.25">
      <c r="A703" s="6"/>
      <c r="B703" s="6"/>
      <c r="C703" s="123"/>
      <c r="D703" s="123"/>
      <c r="E703" s="123"/>
      <c r="F703" s="124"/>
      <c r="G703" s="124"/>
      <c r="H703" s="6"/>
      <c r="I703" s="125"/>
      <c r="J703" s="125"/>
      <c r="K703" s="125"/>
      <c r="L703" s="125"/>
    </row>
    <row r="704" spans="1:12" x14ac:dyDescent="0.25">
      <c r="A704" s="6"/>
      <c r="B704" s="6"/>
      <c r="C704" s="123"/>
      <c r="D704" s="123"/>
      <c r="E704" s="123"/>
      <c r="F704" s="124"/>
      <c r="G704" s="124"/>
      <c r="H704" s="6"/>
      <c r="I704" s="125"/>
      <c r="J704" s="125"/>
      <c r="K704" s="125"/>
      <c r="L704" s="125"/>
    </row>
    <row r="705" spans="1:12" x14ac:dyDescent="0.25">
      <c r="A705" s="6"/>
      <c r="B705" s="6"/>
      <c r="C705" s="123"/>
      <c r="D705" s="123"/>
      <c r="E705" s="123"/>
      <c r="F705" s="124"/>
      <c r="G705" s="124"/>
      <c r="H705" s="6"/>
      <c r="I705" s="125"/>
      <c r="J705" s="125"/>
      <c r="K705" s="125"/>
      <c r="L705" s="125"/>
    </row>
    <row r="706" spans="1:12" x14ac:dyDescent="0.25">
      <c r="A706" s="6"/>
      <c r="B706" s="6"/>
      <c r="C706" s="123"/>
      <c r="D706" s="123"/>
      <c r="E706" s="123"/>
      <c r="F706" s="124"/>
      <c r="G706" s="124"/>
      <c r="H706" s="6"/>
      <c r="I706" s="125"/>
      <c r="J706" s="125"/>
      <c r="K706" s="125"/>
      <c r="L706" s="125"/>
    </row>
    <row r="707" spans="1:12" x14ac:dyDescent="0.25">
      <c r="A707" s="6"/>
      <c r="B707" s="6"/>
      <c r="C707" s="123"/>
      <c r="D707" s="123"/>
      <c r="E707" s="123"/>
      <c r="F707" s="124"/>
      <c r="G707" s="124"/>
      <c r="H707" s="6"/>
      <c r="I707" s="125"/>
      <c r="J707" s="125"/>
      <c r="K707" s="125"/>
      <c r="L707" s="125"/>
    </row>
    <row r="708" spans="1:12" x14ac:dyDescent="0.25">
      <c r="A708" s="6"/>
      <c r="B708" s="6"/>
      <c r="C708" s="123"/>
      <c r="D708" s="123"/>
      <c r="E708" s="123"/>
      <c r="F708" s="124"/>
      <c r="G708" s="124"/>
      <c r="H708" s="6"/>
      <c r="I708" s="125"/>
      <c r="J708" s="125"/>
      <c r="K708" s="125"/>
      <c r="L708" s="125"/>
    </row>
    <row r="709" spans="1:12" x14ac:dyDescent="0.25">
      <c r="A709" s="6"/>
      <c r="B709" s="6"/>
      <c r="C709" s="123"/>
      <c r="D709" s="123"/>
      <c r="E709" s="123"/>
      <c r="F709" s="124"/>
      <c r="G709" s="124"/>
      <c r="H709" s="6"/>
      <c r="I709" s="125"/>
      <c r="J709" s="125"/>
      <c r="K709" s="125"/>
      <c r="L709" s="125"/>
    </row>
    <row r="710" spans="1:12" x14ac:dyDescent="0.25">
      <c r="A710" s="6"/>
      <c r="B710" s="6"/>
      <c r="C710" s="123"/>
      <c r="D710" s="123"/>
      <c r="E710" s="123"/>
      <c r="F710" s="124"/>
      <c r="G710" s="124"/>
      <c r="H710" s="6"/>
      <c r="I710" s="125"/>
      <c r="J710" s="125"/>
      <c r="K710" s="125"/>
      <c r="L710" s="125"/>
    </row>
    <row r="711" spans="1:12" x14ac:dyDescent="0.25">
      <c r="A711" s="6"/>
      <c r="B711" s="6"/>
      <c r="C711" s="123"/>
      <c r="D711" s="123"/>
      <c r="E711" s="123"/>
      <c r="F711" s="124"/>
      <c r="G711" s="124"/>
      <c r="H711" s="6"/>
      <c r="I711" s="125"/>
      <c r="J711" s="125"/>
      <c r="K711" s="125"/>
      <c r="L711" s="125"/>
    </row>
    <row r="712" spans="1:12" x14ac:dyDescent="0.25">
      <c r="A712" s="6"/>
      <c r="B712" s="6"/>
      <c r="C712" s="123"/>
      <c r="D712" s="123"/>
      <c r="E712" s="123"/>
      <c r="F712" s="124"/>
      <c r="G712" s="124"/>
      <c r="H712" s="6"/>
      <c r="I712" s="125"/>
      <c r="J712" s="125"/>
      <c r="K712" s="125"/>
      <c r="L712" s="125"/>
    </row>
    <row r="713" spans="1:12" x14ac:dyDescent="0.25">
      <c r="A713" s="6"/>
      <c r="B713" s="6"/>
      <c r="C713" s="123"/>
      <c r="D713" s="123"/>
      <c r="E713" s="123"/>
      <c r="F713" s="124"/>
      <c r="G713" s="124"/>
      <c r="H713" s="6"/>
      <c r="I713" s="125"/>
      <c r="J713" s="125"/>
      <c r="K713" s="125"/>
      <c r="L713" s="125"/>
    </row>
    <row r="714" spans="1:12" x14ac:dyDescent="0.25">
      <c r="A714" s="6"/>
      <c r="B714" s="6"/>
      <c r="C714" s="123"/>
      <c r="D714" s="123"/>
      <c r="E714" s="123"/>
      <c r="F714" s="124"/>
      <c r="G714" s="124"/>
      <c r="H714" s="6"/>
      <c r="I714" s="125"/>
      <c r="J714" s="125"/>
      <c r="K714" s="125"/>
      <c r="L714" s="125"/>
    </row>
    <row r="715" spans="1:12" x14ac:dyDescent="0.25">
      <c r="A715" s="6"/>
      <c r="B715" s="6"/>
      <c r="C715" s="123"/>
      <c r="D715" s="123"/>
      <c r="E715" s="123"/>
      <c r="F715" s="124"/>
      <c r="G715" s="124"/>
      <c r="H715" s="6"/>
      <c r="I715" s="125"/>
      <c r="J715" s="125"/>
      <c r="K715" s="125"/>
      <c r="L715" s="125"/>
    </row>
    <row r="716" spans="1:12" x14ac:dyDescent="0.25">
      <c r="A716" s="6"/>
      <c r="B716" s="6"/>
      <c r="C716" s="123"/>
      <c r="D716" s="123"/>
      <c r="E716" s="123"/>
      <c r="F716" s="124"/>
      <c r="G716" s="124"/>
      <c r="H716" s="6"/>
      <c r="I716" s="125"/>
      <c r="J716" s="125"/>
      <c r="K716" s="125"/>
      <c r="L716" s="125"/>
    </row>
    <row r="717" spans="1:12" x14ac:dyDescent="0.25">
      <c r="A717" s="6"/>
      <c r="B717" s="6"/>
      <c r="C717" s="123"/>
      <c r="D717" s="123"/>
      <c r="E717" s="123"/>
      <c r="F717" s="124"/>
      <c r="G717" s="124"/>
      <c r="H717" s="6"/>
      <c r="I717" s="125"/>
      <c r="J717" s="125"/>
      <c r="K717" s="125"/>
      <c r="L717" s="125"/>
    </row>
    <row r="718" spans="1:12" x14ac:dyDescent="0.25">
      <c r="A718" s="6"/>
      <c r="B718" s="6"/>
      <c r="C718" s="123"/>
      <c r="D718" s="123"/>
      <c r="E718" s="123"/>
      <c r="F718" s="124"/>
      <c r="G718" s="124"/>
      <c r="H718" s="6"/>
      <c r="I718" s="125"/>
      <c r="J718" s="125"/>
      <c r="K718" s="125"/>
      <c r="L718" s="125"/>
    </row>
    <row r="719" spans="1:12" x14ac:dyDescent="0.25">
      <c r="A719" s="6"/>
      <c r="B719" s="6"/>
      <c r="C719" s="123"/>
      <c r="D719" s="123"/>
      <c r="E719" s="123"/>
      <c r="F719" s="124"/>
      <c r="G719" s="124"/>
      <c r="H719" s="6"/>
      <c r="I719" s="125"/>
      <c r="J719" s="125"/>
      <c r="K719" s="125"/>
      <c r="L719" s="125"/>
    </row>
    <row r="720" spans="1:12" x14ac:dyDescent="0.25">
      <c r="A720" s="6"/>
      <c r="B720" s="6"/>
      <c r="C720" s="123"/>
      <c r="D720" s="123"/>
      <c r="E720" s="123"/>
      <c r="F720" s="124"/>
      <c r="G720" s="124"/>
      <c r="H720" s="6"/>
      <c r="I720" s="125"/>
      <c r="J720" s="125"/>
      <c r="K720" s="125"/>
      <c r="L720" s="125"/>
    </row>
    <row r="721" spans="1:12" x14ac:dyDescent="0.25">
      <c r="A721" s="6"/>
      <c r="B721" s="6"/>
      <c r="C721" s="123"/>
      <c r="D721" s="123"/>
      <c r="E721" s="123"/>
      <c r="F721" s="124"/>
      <c r="G721" s="124"/>
      <c r="H721" s="6"/>
      <c r="I721" s="125"/>
      <c r="J721" s="125"/>
      <c r="K721" s="125"/>
      <c r="L721" s="125"/>
    </row>
    <row r="722" spans="1:12" x14ac:dyDescent="0.25">
      <c r="A722" s="6"/>
      <c r="B722" s="6"/>
      <c r="C722" s="123"/>
      <c r="D722" s="123"/>
      <c r="E722" s="123"/>
      <c r="F722" s="124"/>
      <c r="G722" s="124"/>
      <c r="H722" s="6"/>
      <c r="I722" s="125"/>
      <c r="J722" s="125"/>
      <c r="K722" s="125"/>
      <c r="L722" s="125"/>
    </row>
    <row r="723" spans="1:12" x14ac:dyDescent="0.25">
      <c r="A723" s="6"/>
      <c r="B723" s="6"/>
      <c r="C723" s="123"/>
      <c r="D723" s="123"/>
      <c r="E723" s="123"/>
      <c r="F723" s="124"/>
      <c r="G723" s="124"/>
      <c r="H723" s="6"/>
      <c r="I723" s="125"/>
      <c r="J723" s="125"/>
      <c r="K723" s="125"/>
      <c r="L723" s="125"/>
    </row>
    <row r="724" spans="1:12" x14ac:dyDescent="0.25">
      <c r="A724" s="6"/>
      <c r="B724" s="6"/>
      <c r="C724" s="123"/>
      <c r="D724" s="123"/>
      <c r="E724" s="123"/>
      <c r="F724" s="124"/>
      <c r="G724" s="124"/>
      <c r="H724" s="6"/>
      <c r="I724" s="125"/>
      <c r="J724" s="125"/>
      <c r="K724" s="125"/>
      <c r="L724" s="125"/>
    </row>
    <row r="725" spans="1:12" x14ac:dyDescent="0.25">
      <c r="A725" s="6"/>
      <c r="B725" s="6"/>
      <c r="C725" s="123"/>
      <c r="D725" s="123"/>
      <c r="E725" s="123"/>
      <c r="F725" s="124"/>
      <c r="G725" s="124"/>
      <c r="H725" s="6"/>
      <c r="I725" s="125"/>
      <c r="J725" s="125"/>
      <c r="K725" s="125"/>
      <c r="L725" s="125"/>
    </row>
    <row r="726" spans="1:12" x14ac:dyDescent="0.25">
      <c r="A726" s="6"/>
      <c r="B726" s="6"/>
      <c r="C726" s="123"/>
      <c r="D726" s="123"/>
      <c r="E726" s="123"/>
      <c r="F726" s="124"/>
      <c r="G726" s="124"/>
      <c r="H726" s="6"/>
      <c r="I726" s="125"/>
      <c r="J726" s="125"/>
      <c r="K726" s="125"/>
      <c r="L726" s="125"/>
    </row>
    <row r="727" spans="1:12" x14ac:dyDescent="0.25">
      <c r="A727" s="6"/>
      <c r="B727" s="6"/>
      <c r="C727" s="123"/>
      <c r="D727" s="123"/>
      <c r="E727" s="123"/>
      <c r="F727" s="124"/>
      <c r="G727" s="124"/>
      <c r="H727" s="6"/>
      <c r="I727" s="125"/>
      <c r="J727" s="125"/>
      <c r="K727" s="125"/>
      <c r="L727" s="125"/>
    </row>
    <row r="728" spans="1:12" x14ac:dyDescent="0.25">
      <c r="A728" s="6"/>
      <c r="B728" s="6"/>
      <c r="C728" s="123"/>
      <c r="D728" s="123"/>
      <c r="E728" s="123"/>
      <c r="F728" s="124"/>
      <c r="G728" s="124"/>
      <c r="H728" s="6"/>
      <c r="I728" s="125"/>
      <c r="J728" s="125"/>
      <c r="K728" s="125"/>
      <c r="L728" s="125"/>
    </row>
    <row r="729" spans="1:12" x14ac:dyDescent="0.25">
      <c r="A729" s="6"/>
      <c r="B729" s="6"/>
      <c r="C729" s="123"/>
      <c r="D729" s="123"/>
      <c r="E729" s="123"/>
      <c r="F729" s="124"/>
      <c r="G729" s="124"/>
      <c r="H729" s="6"/>
      <c r="I729" s="125"/>
      <c r="J729" s="125"/>
      <c r="K729" s="125"/>
      <c r="L729" s="125"/>
    </row>
    <row r="730" spans="1:12" x14ac:dyDescent="0.25">
      <c r="A730" s="6"/>
      <c r="B730" s="6"/>
      <c r="C730" s="123"/>
      <c r="D730" s="123"/>
      <c r="E730" s="123"/>
      <c r="F730" s="124"/>
      <c r="G730" s="124"/>
      <c r="H730" s="6"/>
      <c r="I730" s="125"/>
      <c r="J730" s="125"/>
      <c r="K730" s="125"/>
      <c r="L730" s="125"/>
    </row>
    <row r="731" spans="1:12" x14ac:dyDescent="0.25">
      <c r="A731" s="6"/>
      <c r="B731" s="6"/>
      <c r="C731" s="123"/>
      <c r="D731" s="123"/>
      <c r="E731" s="123"/>
      <c r="F731" s="124"/>
      <c r="G731" s="124"/>
      <c r="H731" s="6"/>
      <c r="I731" s="125"/>
      <c r="J731" s="125"/>
      <c r="K731" s="125"/>
      <c r="L731" s="125"/>
    </row>
    <row r="732" spans="1:12" x14ac:dyDescent="0.25">
      <c r="A732" s="6"/>
      <c r="B732" s="6"/>
      <c r="C732" s="123"/>
      <c r="D732" s="123"/>
      <c r="E732" s="123"/>
      <c r="F732" s="124"/>
      <c r="G732" s="124"/>
      <c r="H732" s="6"/>
      <c r="I732" s="125"/>
      <c r="J732" s="125"/>
      <c r="K732" s="125"/>
      <c r="L732" s="125"/>
    </row>
    <row r="733" spans="1:12" x14ac:dyDescent="0.25">
      <c r="A733" s="6"/>
      <c r="B733" s="6"/>
      <c r="C733" s="123"/>
      <c r="D733" s="123"/>
      <c r="E733" s="123"/>
      <c r="F733" s="124"/>
      <c r="G733" s="124"/>
      <c r="H733" s="6"/>
      <c r="I733" s="125"/>
      <c r="J733" s="125"/>
      <c r="K733" s="125"/>
      <c r="L733" s="125"/>
    </row>
    <row r="734" spans="1:12" x14ac:dyDescent="0.25">
      <c r="A734" s="6"/>
      <c r="B734" s="6"/>
      <c r="C734" s="123"/>
      <c r="D734" s="123"/>
      <c r="E734" s="123"/>
      <c r="F734" s="124"/>
      <c r="G734" s="124"/>
      <c r="H734" s="6"/>
      <c r="I734" s="125"/>
      <c r="J734" s="125"/>
      <c r="K734" s="125"/>
      <c r="L734" s="125"/>
    </row>
    <row r="735" spans="1:12" x14ac:dyDescent="0.25">
      <c r="A735" s="6"/>
      <c r="B735" s="6"/>
      <c r="C735" s="123"/>
      <c r="D735" s="123"/>
      <c r="E735" s="123"/>
      <c r="F735" s="124"/>
      <c r="G735" s="124"/>
      <c r="H735" s="6"/>
      <c r="I735" s="125"/>
      <c r="J735" s="125"/>
      <c r="K735" s="125"/>
      <c r="L735" s="125"/>
    </row>
    <row r="736" spans="1:12" x14ac:dyDescent="0.25">
      <c r="A736" s="6"/>
      <c r="B736" s="6"/>
      <c r="C736" s="123"/>
      <c r="D736" s="123"/>
      <c r="E736" s="123"/>
      <c r="F736" s="124"/>
      <c r="G736" s="124"/>
      <c r="H736" s="6"/>
      <c r="I736" s="125"/>
      <c r="J736" s="125"/>
      <c r="K736" s="125"/>
      <c r="L736" s="125"/>
    </row>
    <row r="737" spans="1:12" x14ac:dyDescent="0.25">
      <c r="A737" s="6"/>
      <c r="B737" s="6"/>
      <c r="C737" s="123"/>
      <c r="D737" s="123"/>
      <c r="E737" s="123"/>
      <c r="F737" s="124"/>
      <c r="G737" s="124"/>
      <c r="H737" s="6"/>
      <c r="I737" s="125"/>
      <c r="J737" s="125"/>
      <c r="K737" s="125"/>
      <c r="L737" s="125"/>
    </row>
    <row r="738" spans="1:12" x14ac:dyDescent="0.25">
      <c r="A738" s="6"/>
      <c r="B738" s="6"/>
      <c r="C738" s="123"/>
      <c r="D738" s="123"/>
      <c r="E738" s="123"/>
      <c r="F738" s="124"/>
      <c r="G738" s="124"/>
      <c r="H738" s="6"/>
      <c r="I738" s="125"/>
      <c r="J738" s="125"/>
      <c r="K738" s="125"/>
      <c r="L738" s="125"/>
    </row>
    <row r="739" spans="1:12" x14ac:dyDescent="0.25">
      <c r="A739" s="6"/>
      <c r="B739" s="6"/>
      <c r="C739" s="123"/>
      <c r="D739" s="123"/>
      <c r="E739" s="123"/>
      <c r="F739" s="124"/>
      <c r="G739" s="124"/>
      <c r="H739" s="6"/>
      <c r="I739" s="125"/>
      <c r="J739" s="125"/>
      <c r="K739" s="125"/>
      <c r="L739" s="125"/>
    </row>
    <row r="740" spans="1:12" x14ac:dyDescent="0.25">
      <c r="A740" s="6"/>
      <c r="B740" s="6"/>
      <c r="C740" s="123"/>
      <c r="D740" s="123"/>
      <c r="E740" s="123"/>
      <c r="F740" s="124"/>
      <c r="G740" s="124"/>
      <c r="H740" s="6"/>
      <c r="I740" s="125"/>
      <c r="J740" s="125"/>
      <c r="K740" s="125"/>
      <c r="L740" s="125"/>
    </row>
    <row r="741" spans="1:12" x14ac:dyDescent="0.25">
      <c r="A741" s="6"/>
      <c r="B741" s="6"/>
      <c r="C741" s="123"/>
      <c r="D741" s="123"/>
      <c r="E741" s="123"/>
      <c r="F741" s="124"/>
      <c r="G741" s="124"/>
      <c r="H741" s="6"/>
      <c r="I741" s="125"/>
      <c r="J741" s="125"/>
      <c r="K741" s="125"/>
      <c r="L741" s="125"/>
    </row>
    <row r="742" spans="1:12" x14ac:dyDescent="0.25">
      <c r="A742" s="6"/>
      <c r="B742" s="6"/>
      <c r="C742" s="123"/>
      <c r="D742" s="123"/>
      <c r="E742" s="123"/>
      <c r="F742" s="124"/>
      <c r="G742" s="124"/>
      <c r="H742" s="6"/>
      <c r="I742" s="125"/>
      <c r="J742" s="125"/>
      <c r="K742" s="125"/>
      <c r="L742" s="125"/>
    </row>
    <row r="743" spans="1:12" x14ac:dyDescent="0.25">
      <c r="A743" s="6"/>
      <c r="B743" s="6"/>
      <c r="C743" s="123"/>
      <c r="D743" s="123"/>
      <c r="E743" s="123"/>
      <c r="F743" s="124"/>
      <c r="G743" s="124"/>
      <c r="H743" s="6"/>
      <c r="I743" s="125"/>
      <c r="J743" s="125"/>
      <c r="K743" s="125"/>
      <c r="L743" s="125"/>
    </row>
    <row r="744" spans="1:12" x14ac:dyDescent="0.25">
      <c r="A744" s="6"/>
      <c r="B744" s="6"/>
      <c r="C744" s="123"/>
      <c r="D744" s="123"/>
      <c r="E744" s="123"/>
      <c r="F744" s="124"/>
      <c r="G744" s="124"/>
      <c r="H744" s="6"/>
      <c r="I744" s="125"/>
      <c r="J744" s="125"/>
      <c r="K744" s="125"/>
      <c r="L744" s="125"/>
    </row>
    <row r="745" spans="1:12" x14ac:dyDescent="0.25">
      <c r="A745" s="6"/>
      <c r="B745" s="6"/>
      <c r="C745" s="123"/>
      <c r="D745" s="123"/>
      <c r="E745" s="123"/>
      <c r="F745" s="124"/>
      <c r="G745" s="124"/>
      <c r="H745" s="6"/>
      <c r="I745" s="125"/>
      <c r="J745" s="125"/>
      <c r="K745" s="125"/>
      <c r="L745" s="125"/>
    </row>
    <row r="746" spans="1:12" x14ac:dyDescent="0.25">
      <c r="A746" s="6"/>
      <c r="B746" s="6"/>
      <c r="C746" s="123"/>
      <c r="D746" s="123"/>
      <c r="E746" s="123"/>
      <c r="F746" s="124"/>
      <c r="G746" s="124"/>
      <c r="H746" s="6"/>
      <c r="I746" s="125"/>
      <c r="J746" s="125"/>
      <c r="K746" s="125"/>
      <c r="L746" s="125"/>
    </row>
    <row r="747" spans="1:12" x14ac:dyDescent="0.25">
      <c r="A747" s="6"/>
      <c r="B747" s="6"/>
      <c r="C747" s="123"/>
      <c r="D747" s="123"/>
      <c r="E747" s="123"/>
      <c r="F747" s="124"/>
      <c r="G747" s="124"/>
      <c r="H747" s="6"/>
      <c r="I747" s="125"/>
      <c r="J747" s="125"/>
      <c r="K747" s="125"/>
      <c r="L747" s="125"/>
    </row>
    <row r="748" spans="1:12" x14ac:dyDescent="0.25">
      <c r="A748" s="6"/>
      <c r="B748" s="6"/>
      <c r="C748" s="123"/>
      <c r="D748" s="123"/>
      <c r="E748" s="123"/>
      <c r="F748" s="124"/>
      <c r="G748" s="124"/>
      <c r="H748" s="6"/>
      <c r="I748" s="125"/>
      <c r="J748" s="125"/>
      <c r="K748" s="125"/>
      <c r="L748" s="125"/>
    </row>
    <row r="749" spans="1:12" x14ac:dyDescent="0.25">
      <c r="A749" s="6"/>
      <c r="B749" s="6"/>
      <c r="C749" s="123"/>
      <c r="D749" s="123"/>
      <c r="E749" s="123"/>
      <c r="F749" s="124"/>
      <c r="G749" s="124"/>
      <c r="H749" s="6"/>
      <c r="I749" s="125"/>
      <c r="J749" s="125"/>
      <c r="K749" s="125"/>
      <c r="L749" s="125"/>
    </row>
    <row r="750" spans="1:12" x14ac:dyDescent="0.25">
      <c r="A750" s="6"/>
      <c r="B750" s="6"/>
      <c r="C750" s="123"/>
      <c r="D750" s="123"/>
      <c r="E750" s="123"/>
      <c r="F750" s="124"/>
      <c r="G750" s="124"/>
      <c r="H750" s="6"/>
      <c r="I750" s="125"/>
      <c r="J750" s="125"/>
      <c r="K750" s="125"/>
      <c r="L750" s="125"/>
    </row>
    <row r="751" spans="1:12" x14ac:dyDescent="0.25">
      <c r="A751" s="6"/>
      <c r="B751" s="6"/>
      <c r="C751" s="123"/>
      <c r="D751" s="123"/>
      <c r="E751" s="123"/>
      <c r="F751" s="124"/>
      <c r="G751" s="124"/>
      <c r="H751" s="6"/>
      <c r="I751" s="125"/>
      <c r="J751" s="125"/>
      <c r="K751" s="125"/>
      <c r="L751" s="125"/>
    </row>
    <row r="752" spans="1:12" x14ac:dyDescent="0.25">
      <c r="A752" s="6"/>
      <c r="B752" s="6"/>
      <c r="C752" s="123"/>
      <c r="D752" s="123"/>
      <c r="E752" s="123"/>
      <c r="F752" s="124"/>
      <c r="G752" s="124"/>
      <c r="H752" s="6"/>
      <c r="I752" s="125"/>
      <c r="J752" s="125"/>
      <c r="K752" s="125"/>
      <c r="L752" s="125"/>
    </row>
    <row r="753" spans="1:12" x14ac:dyDescent="0.25">
      <c r="A753" s="6"/>
      <c r="B753" s="6"/>
      <c r="C753" s="123"/>
      <c r="D753" s="123"/>
      <c r="E753" s="123"/>
      <c r="F753" s="124"/>
      <c r="G753" s="124"/>
      <c r="H753" s="6"/>
      <c r="I753" s="125"/>
      <c r="J753" s="125"/>
      <c r="K753" s="125"/>
      <c r="L753" s="125"/>
    </row>
    <row r="754" spans="1:12" x14ac:dyDescent="0.25">
      <c r="A754" s="6"/>
      <c r="B754" s="6"/>
      <c r="C754" s="123"/>
      <c r="D754" s="123"/>
      <c r="E754" s="123"/>
      <c r="F754" s="124"/>
      <c r="G754" s="124"/>
      <c r="H754" s="6"/>
      <c r="I754" s="125"/>
      <c r="J754" s="125"/>
      <c r="K754" s="125"/>
      <c r="L754" s="125"/>
    </row>
    <row r="755" spans="1:12" x14ac:dyDescent="0.25">
      <c r="A755" s="6"/>
      <c r="B755" s="6"/>
      <c r="C755" s="123"/>
      <c r="D755" s="123"/>
      <c r="E755" s="123"/>
      <c r="F755" s="124"/>
      <c r="G755" s="124"/>
      <c r="H755" s="6"/>
      <c r="I755" s="125"/>
      <c r="J755" s="125"/>
      <c r="K755" s="125"/>
      <c r="L755" s="125"/>
    </row>
    <row r="756" spans="1:12" x14ac:dyDescent="0.25">
      <c r="A756" s="6"/>
      <c r="B756" s="6"/>
      <c r="C756" s="123"/>
      <c r="D756" s="123"/>
      <c r="E756" s="123"/>
      <c r="F756" s="124"/>
      <c r="G756" s="124"/>
      <c r="H756" s="6"/>
      <c r="I756" s="125"/>
      <c r="J756" s="125"/>
      <c r="K756" s="125"/>
      <c r="L756" s="125"/>
    </row>
    <row r="757" spans="1:12" x14ac:dyDescent="0.25">
      <c r="A757" s="6"/>
      <c r="B757" s="6"/>
      <c r="C757" s="123"/>
      <c r="D757" s="123"/>
      <c r="E757" s="123"/>
      <c r="F757" s="124"/>
      <c r="G757" s="124"/>
      <c r="H757" s="6"/>
      <c r="I757" s="125"/>
      <c r="J757" s="125"/>
      <c r="K757" s="125"/>
      <c r="L757" s="125"/>
    </row>
    <row r="758" spans="1:12" x14ac:dyDescent="0.25">
      <c r="A758" s="6"/>
      <c r="B758" s="6"/>
      <c r="C758" s="123"/>
      <c r="D758" s="123"/>
      <c r="E758" s="123"/>
      <c r="F758" s="124"/>
      <c r="G758" s="124"/>
      <c r="H758" s="6"/>
      <c r="I758" s="125"/>
      <c r="J758" s="125"/>
      <c r="K758" s="125"/>
      <c r="L758" s="125"/>
    </row>
    <row r="759" spans="1:12" x14ac:dyDescent="0.25">
      <c r="A759" s="6"/>
      <c r="B759" s="6"/>
      <c r="C759" s="123"/>
      <c r="D759" s="123"/>
      <c r="E759" s="123"/>
      <c r="F759" s="124"/>
      <c r="G759" s="124"/>
      <c r="H759" s="6"/>
      <c r="I759" s="125"/>
      <c r="J759" s="125"/>
      <c r="K759" s="125"/>
      <c r="L759" s="125"/>
    </row>
    <row r="760" spans="1:12" x14ac:dyDescent="0.25">
      <c r="A760" s="6"/>
      <c r="B760" s="6"/>
      <c r="C760" s="123"/>
      <c r="D760" s="123"/>
      <c r="E760" s="123"/>
      <c r="F760" s="124"/>
      <c r="G760" s="124"/>
      <c r="H760" s="6"/>
      <c r="I760" s="125"/>
      <c r="J760" s="125"/>
      <c r="K760" s="125"/>
      <c r="L760" s="125"/>
    </row>
    <row r="761" spans="1:12" x14ac:dyDescent="0.25">
      <c r="A761" s="6"/>
      <c r="B761" s="6"/>
      <c r="C761" s="123"/>
      <c r="D761" s="123"/>
      <c r="E761" s="123"/>
      <c r="F761" s="124"/>
      <c r="G761" s="124"/>
      <c r="H761" s="6"/>
      <c r="I761" s="125"/>
      <c r="J761" s="125"/>
      <c r="K761" s="125"/>
      <c r="L761" s="125"/>
    </row>
    <row r="762" spans="1:12" x14ac:dyDescent="0.25">
      <c r="A762" s="6"/>
      <c r="B762" s="6"/>
      <c r="C762" s="123"/>
      <c r="D762" s="123"/>
      <c r="E762" s="123"/>
      <c r="F762" s="124"/>
      <c r="G762" s="124"/>
      <c r="H762" s="6"/>
      <c r="I762" s="125"/>
      <c r="J762" s="125"/>
      <c r="K762" s="125"/>
      <c r="L762" s="125"/>
    </row>
    <row r="763" spans="1:12" x14ac:dyDescent="0.25">
      <c r="A763" s="6"/>
      <c r="B763" s="6"/>
      <c r="C763" s="123"/>
      <c r="D763" s="123"/>
      <c r="E763" s="123"/>
      <c r="F763" s="124"/>
      <c r="G763" s="124"/>
      <c r="H763" s="6"/>
      <c r="I763" s="125"/>
      <c r="J763" s="125"/>
      <c r="K763" s="125"/>
      <c r="L763" s="125"/>
    </row>
    <row r="764" spans="1:12" x14ac:dyDescent="0.25">
      <c r="A764" s="6"/>
      <c r="B764" s="6"/>
      <c r="C764" s="123"/>
      <c r="D764" s="123"/>
      <c r="E764" s="123"/>
      <c r="F764" s="124"/>
      <c r="G764" s="124"/>
      <c r="H764" s="6"/>
      <c r="I764" s="125"/>
      <c r="J764" s="125"/>
      <c r="K764" s="125"/>
      <c r="L764" s="125"/>
    </row>
    <row r="765" spans="1:12" x14ac:dyDescent="0.25">
      <c r="A765" s="6"/>
      <c r="B765" s="6"/>
      <c r="C765" s="123"/>
      <c r="D765" s="123"/>
      <c r="E765" s="123"/>
      <c r="F765" s="124"/>
      <c r="G765" s="124"/>
      <c r="H765" s="6"/>
      <c r="I765" s="125"/>
      <c r="J765" s="125"/>
      <c r="K765" s="125"/>
      <c r="L765" s="125"/>
    </row>
    <row r="766" spans="1:12" x14ac:dyDescent="0.25">
      <c r="A766" s="6"/>
      <c r="B766" s="6"/>
      <c r="C766" s="123"/>
      <c r="D766" s="123"/>
      <c r="E766" s="123"/>
      <c r="F766" s="124"/>
      <c r="G766" s="124"/>
      <c r="H766" s="6"/>
      <c r="I766" s="125"/>
      <c r="J766" s="125"/>
      <c r="K766" s="125"/>
      <c r="L766" s="125"/>
    </row>
    <row r="767" spans="1:12" x14ac:dyDescent="0.25">
      <c r="A767" s="6"/>
      <c r="B767" s="6"/>
      <c r="C767" s="123"/>
      <c r="D767" s="123"/>
      <c r="E767" s="123"/>
      <c r="F767" s="124"/>
      <c r="G767" s="124"/>
      <c r="H767" s="6"/>
      <c r="I767" s="125"/>
      <c r="J767" s="125"/>
      <c r="K767" s="125"/>
      <c r="L767" s="125"/>
    </row>
    <row r="768" spans="1:12" x14ac:dyDescent="0.25">
      <c r="A768" s="6"/>
      <c r="B768" s="6"/>
      <c r="C768" s="123"/>
      <c r="D768" s="123"/>
      <c r="E768" s="123"/>
      <c r="F768" s="124"/>
      <c r="G768" s="124"/>
      <c r="H768" s="6"/>
      <c r="I768" s="125"/>
      <c r="J768" s="125"/>
      <c r="K768" s="125"/>
      <c r="L768" s="125"/>
    </row>
    <row r="769" spans="1:12" x14ac:dyDescent="0.25">
      <c r="A769" s="6"/>
      <c r="B769" s="6"/>
      <c r="C769" s="123"/>
      <c r="D769" s="123"/>
      <c r="E769" s="123"/>
      <c r="F769" s="124"/>
      <c r="G769" s="124"/>
      <c r="H769" s="6"/>
      <c r="I769" s="125"/>
      <c r="J769" s="125"/>
      <c r="K769" s="125"/>
      <c r="L769" s="125"/>
    </row>
    <row r="770" spans="1:12" x14ac:dyDescent="0.25">
      <c r="A770" s="6"/>
      <c r="B770" s="6"/>
      <c r="C770" s="123"/>
      <c r="D770" s="123"/>
      <c r="E770" s="123"/>
      <c r="F770" s="124"/>
      <c r="G770" s="124"/>
      <c r="H770" s="6"/>
      <c r="I770" s="125"/>
      <c r="J770" s="125"/>
      <c r="K770" s="125"/>
      <c r="L770" s="125"/>
    </row>
    <row r="771" spans="1:12" x14ac:dyDescent="0.25">
      <c r="A771" s="6"/>
      <c r="B771" s="6"/>
      <c r="C771" s="123"/>
      <c r="D771" s="123"/>
      <c r="E771" s="123"/>
      <c r="F771" s="124"/>
      <c r="G771" s="124"/>
      <c r="H771" s="6"/>
      <c r="I771" s="125"/>
      <c r="J771" s="125"/>
      <c r="K771" s="125"/>
      <c r="L771" s="125"/>
    </row>
    <row r="772" spans="1:12" x14ac:dyDescent="0.25">
      <c r="A772" s="6"/>
      <c r="B772" s="6"/>
      <c r="C772" s="123"/>
      <c r="D772" s="123"/>
      <c r="E772" s="123"/>
      <c r="F772" s="124"/>
      <c r="G772" s="124"/>
      <c r="H772" s="6"/>
      <c r="I772" s="125"/>
      <c r="J772" s="125"/>
      <c r="K772" s="125"/>
      <c r="L772" s="125"/>
    </row>
    <row r="773" spans="1:12" x14ac:dyDescent="0.25">
      <c r="A773" s="6"/>
      <c r="B773" s="6"/>
      <c r="C773" s="123"/>
      <c r="D773" s="123"/>
      <c r="E773" s="123"/>
      <c r="F773" s="124"/>
      <c r="G773" s="124"/>
      <c r="H773" s="6"/>
      <c r="I773" s="125"/>
      <c r="J773" s="125"/>
      <c r="K773" s="125"/>
      <c r="L773" s="125"/>
    </row>
    <row r="774" spans="1:12" x14ac:dyDescent="0.25">
      <c r="A774" s="6"/>
      <c r="B774" s="6"/>
      <c r="C774" s="123"/>
      <c r="D774" s="123"/>
      <c r="E774" s="123"/>
      <c r="F774" s="124"/>
      <c r="G774" s="124"/>
      <c r="H774" s="6"/>
      <c r="I774" s="125"/>
      <c r="J774" s="125"/>
      <c r="K774" s="125"/>
      <c r="L774" s="125"/>
    </row>
    <row r="775" spans="1:12" x14ac:dyDescent="0.25">
      <c r="A775" s="6"/>
      <c r="B775" s="6"/>
      <c r="C775" s="123"/>
      <c r="D775" s="123"/>
      <c r="E775" s="123"/>
      <c r="F775" s="124"/>
      <c r="G775" s="124"/>
      <c r="H775" s="6"/>
      <c r="I775" s="125"/>
      <c r="J775" s="125"/>
      <c r="K775" s="125"/>
      <c r="L775" s="125"/>
    </row>
    <row r="776" spans="1:12" x14ac:dyDescent="0.25">
      <c r="A776" s="6"/>
      <c r="B776" s="6"/>
      <c r="C776" s="123"/>
      <c r="D776" s="123"/>
      <c r="E776" s="123"/>
      <c r="F776" s="124"/>
      <c r="G776" s="124"/>
      <c r="H776" s="6"/>
      <c r="I776" s="125"/>
      <c r="J776" s="125"/>
      <c r="K776" s="125"/>
      <c r="L776" s="125"/>
    </row>
    <row r="777" spans="1:12" x14ac:dyDescent="0.25">
      <c r="A777" s="6"/>
      <c r="B777" s="6"/>
      <c r="C777" s="123"/>
      <c r="D777" s="123"/>
      <c r="E777" s="123"/>
      <c r="F777" s="124"/>
      <c r="G777" s="124"/>
      <c r="H777" s="6"/>
      <c r="I777" s="125"/>
      <c r="J777" s="125"/>
      <c r="K777" s="125"/>
      <c r="L777" s="125"/>
    </row>
    <row r="778" spans="1:12" x14ac:dyDescent="0.25">
      <c r="A778" s="6"/>
      <c r="B778" s="6"/>
      <c r="C778" s="123"/>
      <c r="D778" s="123"/>
      <c r="E778" s="123"/>
      <c r="F778" s="124"/>
      <c r="G778" s="124"/>
      <c r="H778" s="6"/>
      <c r="I778" s="125"/>
      <c r="J778" s="125"/>
      <c r="K778" s="125"/>
      <c r="L778" s="125"/>
    </row>
    <row r="779" spans="1:12" x14ac:dyDescent="0.25">
      <c r="A779" s="6"/>
      <c r="B779" s="6"/>
      <c r="C779" s="123"/>
      <c r="D779" s="123"/>
      <c r="E779" s="123"/>
      <c r="F779" s="124"/>
      <c r="G779" s="124"/>
      <c r="H779" s="6"/>
      <c r="I779" s="125"/>
      <c r="J779" s="125"/>
      <c r="K779" s="125"/>
      <c r="L779" s="125"/>
    </row>
    <row r="780" spans="1:12" x14ac:dyDescent="0.25">
      <c r="A780" s="6"/>
      <c r="B780" s="6"/>
      <c r="C780" s="123"/>
      <c r="D780" s="123"/>
      <c r="E780" s="123"/>
      <c r="F780" s="124"/>
      <c r="G780" s="124"/>
      <c r="H780" s="6"/>
      <c r="I780" s="125"/>
      <c r="J780" s="125"/>
      <c r="K780" s="125"/>
      <c r="L780" s="125"/>
    </row>
    <row r="781" spans="1:12" x14ac:dyDescent="0.25">
      <c r="A781" s="6"/>
      <c r="B781" s="6"/>
      <c r="C781" s="123"/>
      <c r="D781" s="123"/>
      <c r="E781" s="123"/>
      <c r="F781" s="124"/>
      <c r="G781" s="124"/>
      <c r="H781" s="6"/>
      <c r="I781" s="125"/>
      <c r="J781" s="125"/>
      <c r="K781" s="125"/>
      <c r="L781" s="125"/>
    </row>
    <row r="782" spans="1:12" x14ac:dyDescent="0.25">
      <c r="A782" s="6"/>
      <c r="B782" s="6"/>
      <c r="C782" s="123"/>
      <c r="D782" s="123"/>
      <c r="E782" s="123"/>
      <c r="F782" s="124"/>
      <c r="G782" s="124"/>
      <c r="H782" s="6"/>
      <c r="I782" s="125"/>
      <c r="J782" s="125"/>
      <c r="K782" s="125"/>
      <c r="L782" s="125"/>
    </row>
    <row r="783" spans="1:12" x14ac:dyDescent="0.25">
      <c r="A783" s="6"/>
      <c r="B783" s="6"/>
      <c r="C783" s="123"/>
      <c r="D783" s="123"/>
      <c r="E783" s="123"/>
      <c r="F783" s="124"/>
      <c r="G783" s="124"/>
      <c r="H783" s="6"/>
      <c r="I783" s="125"/>
      <c r="J783" s="125"/>
      <c r="K783" s="125"/>
      <c r="L783" s="125"/>
    </row>
    <row r="784" spans="1:12" x14ac:dyDescent="0.25">
      <c r="A784" s="6"/>
      <c r="B784" s="6"/>
      <c r="C784" s="123"/>
      <c r="D784" s="123"/>
      <c r="E784" s="123"/>
      <c r="F784" s="124"/>
      <c r="G784" s="124"/>
      <c r="H784" s="6"/>
      <c r="I784" s="125"/>
      <c r="J784" s="125"/>
      <c r="K784" s="125"/>
      <c r="L784" s="125"/>
    </row>
    <row r="785" spans="1:12" x14ac:dyDescent="0.25">
      <c r="A785" s="6"/>
      <c r="B785" s="6"/>
      <c r="C785" s="123"/>
      <c r="D785" s="123"/>
      <c r="E785" s="123"/>
      <c r="F785" s="124"/>
      <c r="G785" s="124"/>
      <c r="H785" s="6"/>
      <c r="I785" s="125"/>
      <c r="J785" s="125"/>
      <c r="K785" s="125"/>
      <c r="L785" s="125"/>
    </row>
    <row r="786" spans="1:12" x14ac:dyDescent="0.25">
      <c r="A786" s="6"/>
      <c r="B786" s="6"/>
      <c r="C786" s="123"/>
      <c r="D786" s="123"/>
      <c r="E786" s="123"/>
      <c r="F786" s="124"/>
      <c r="G786" s="124"/>
      <c r="H786" s="6"/>
      <c r="I786" s="125"/>
      <c r="J786" s="125"/>
      <c r="K786" s="125"/>
      <c r="L786" s="125"/>
    </row>
    <row r="787" spans="1:12" x14ac:dyDescent="0.25">
      <c r="A787" s="6"/>
      <c r="B787" s="6"/>
      <c r="C787" s="123"/>
      <c r="D787" s="123"/>
      <c r="E787" s="123"/>
      <c r="F787" s="124"/>
      <c r="G787" s="124"/>
      <c r="H787" s="6"/>
      <c r="I787" s="125"/>
      <c r="J787" s="125"/>
      <c r="K787" s="125"/>
      <c r="L787" s="125"/>
    </row>
    <row r="788" spans="1:12" x14ac:dyDescent="0.25">
      <c r="A788" s="6"/>
      <c r="B788" s="6"/>
      <c r="C788" s="123"/>
      <c r="D788" s="123"/>
      <c r="E788" s="123"/>
      <c r="F788" s="124"/>
      <c r="G788" s="124"/>
      <c r="H788" s="6"/>
      <c r="I788" s="125"/>
      <c r="J788" s="125"/>
      <c r="K788" s="125"/>
      <c r="L788" s="125"/>
    </row>
    <row r="789" spans="1:12" x14ac:dyDescent="0.25">
      <c r="A789" s="6"/>
      <c r="B789" s="6"/>
      <c r="C789" s="123"/>
      <c r="D789" s="123"/>
      <c r="E789" s="123"/>
      <c r="F789" s="124"/>
      <c r="G789" s="124"/>
      <c r="H789" s="6"/>
      <c r="I789" s="125"/>
      <c r="J789" s="125"/>
      <c r="K789" s="125"/>
      <c r="L789" s="125"/>
    </row>
    <row r="790" spans="1:12" x14ac:dyDescent="0.25">
      <c r="A790" s="6"/>
      <c r="B790" s="6"/>
      <c r="C790" s="123"/>
      <c r="D790" s="123"/>
      <c r="E790" s="123"/>
      <c r="F790" s="124"/>
      <c r="G790" s="124"/>
      <c r="H790" s="6"/>
      <c r="I790" s="125"/>
      <c r="J790" s="125"/>
      <c r="K790" s="125"/>
      <c r="L790" s="125"/>
    </row>
    <row r="791" spans="1:12" x14ac:dyDescent="0.25">
      <c r="A791" s="6"/>
      <c r="B791" s="6"/>
      <c r="C791" s="123"/>
      <c r="D791" s="123"/>
      <c r="E791" s="123"/>
      <c r="F791" s="124"/>
      <c r="G791" s="124"/>
      <c r="H791" s="6"/>
      <c r="I791" s="125"/>
      <c r="J791" s="125"/>
      <c r="K791" s="125"/>
      <c r="L791" s="125"/>
    </row>
    <row r="792" spans="1:12" x14ac:dyDescent="0.25">
      <c r="A792" s="6"/>
      <c r="B792" s="6"/>
      <c r="C792" s="123"/>
      <c r="D792" s="123"/>
      <c r="E792" s="123"/>
      <c r="F792" s="124"/>
      <c r="G792" s="124"/>
      <c r="H792" s="6"/>
      <c r="I792" s="125"/>
      <c r="J792" s="125"/>
      <c r="K792" s="125"/>
      <c r="L792" s="125"/>
    </row>
    <row r="793" spans="1:12" x14ac:dyDescent="0.25">
      <c r="A793" s="6"/>
      <c r="B793" s="6"/>
      <c r="C793" s="123"/>
      <c r="D793" s="123"/>
      <c r="E793" s="123"/>
      <c r="F793" s="124"/>
      <c r="G793" s="124"/>
      <c r="H793" s="6"/>
      <c r="I793" s="125"/>
      <c r="J793" s="125"/>
      <c r="K793" s="125"/>
      <c r="L793" s="125"/>
    </row>
    <row r="794" spans="1:12" x14ac:dyDescent="0.25">
      <c r="A794" s="6"/>
      <c r="B794" s="6"/>
      <c r="C794" s="123"/>
      <c r="D794" s="123"/>
      <c r="E794" s="123"/>
      <c r="F794" s="124"/>
      <c r="G794" s="124"/>
      <c r="H794" s="6"/>
      <c r="I794" s="125"/>
      <c r="J794" s="125"/>
      <c r="K794" s="125"/>
      <c r="L794" s="125"/>
    </row>
    <row r="795" spans="1:12" x14ac:dyDescent="0.25">
      <c r="A795" s="6"/>
      <c r="B795" s="6"/>
      <c r="C795" s="123"/>
      <c r="D795" s="123"/>
      <c r="E795" s="123"/>
      <c r="F795" s="124"/>
      <c r="G795" s="124"/>
      <c r="H795" s="6"/>
      <c r="I795" s="125"/>
      <c r="J795" s="125"/>
      <c r="K795" s="125"/>
      <c r="L795" s="125"/>
    </row>
    <row r="796" spans="1:12" x14ac:dyDescent="0.25">
      <c r="A796" s="6"/>
      <c r="B796" s="6"/>
      <c r="C796" s="123"/>
      <c r="D796" s="123"/>
      <c r="E796" s="123"/>
      <c r="F796" s="124"/>
      <c r="G796" s="124"/>
      <c r="H796" s="6"/>
      <c r="I796" s="125"/>
      <c r="J796" s="125"/>
      <c r="K796" s="125"/>
      <c r="L796" s="125"/>
    </row>
    <row r="797" spans="1:12" x14ac:dyDescent="0.25">
      <c r="A797" s="6"/>
      <c r="B797" s="6"/>
      <c r="C797" s="123"/>
      <c r="D797" s="123"/>
      <c r="E797" s="123"/>
      <c r="F797" s="124"/>
      <c r="G797" s="124"/>
      <c r="H797" s="6"/>
      <c r="I797" s="125"/>
      <c r="J797" s="125"/>
      <c r="K797" s="125"/>
      <c r="L797" s="125"/>
    </row>
    <row r="798" spans="1:12" x14ac:dyDescent="0.25">
      <c r="A798" s="6"/>
      <c r="B798" s="6"/>
      <c r="C798" s="123"/>
      <c r="D798" s="123"/>
      <c r="E798" s="123"/>
      <c r="F798" s="124"/>
      <c r="G798" s="124"/>
      <c r="H798" s="6"/>
      <c r="I798" s="125"/>
      <c r="J798" s="125"/>
      <c r="K798" s="125"/>
      <c r="L798" s="125"/>
    </row>
    <row r="799" spans="1:12" x14ac:dyDescent="0.25">
      <c r="A799" s="6"/>
      <c r="B799" s="6"/>
      <c r="C799" s="123"/>
      <c r="D799" s="123"/>
      <c r="E799" s="123"/>
      <c r="F799" s="124"/>
      <c r="G799" s="124"/>
      <c r="H799" s="6"/>
      <c r="I799" s="125"/>
      <c r="J799" s="125"/>
      <c r="K799" s="125"/>
      <c r="L799" s="125"/>
    </row>
    <row r="800" spans="1:12" x14ac:dyDescent="0.25">
      <c r="A800" s="6"/>
      <c r="B800" s="6"/>
      <c r="C800" s="123"/>
      <c r="D800" s="123"/>
      <c r="E800" s="123"/>
      <c r="F800" s="124"/>
      <c r="G800" s="124"/>
      <c r="H800" s="6"/>
      <c r="I800" s="125"/>
      <c r="J800" s="125"/>
      <c r="K800" s="125"/>
      <c r="L800" s="125"/>
    </row>
    <row r="801" spans="1:12" x14ac:dyDescent="0.25">
      <c r="A801" s="6"/>
      <c r="B801" s="6"/>
      <c r="C801" s="123"/>
      <c r="D801" s="123"/>
      <c r="E801" s="123"/>
      <c r="F801" s="124"/>
      <c r="G801" s="124"/>
      <c r="H801" s="6"/>
      <c r="I801" s="125"/>
      <c r="J801" s="125"/>
      <c r="K801" s="125"/>
      <c r="L801" s="125"/>
    </row>
    <row r="802" spans="1:12" x14ac:dyDescent="0.25">
      <c r="A802" s="6"/>
      <c r="B802" s="6"/>
      <c r="C802" s="123"/>
      <c r="D802" s="123"/>
      <c r="E802" s="123"/>
      <c r="F802" s="124"/>
      <c r="G802" s="124"/>
      <c r="H802" s="6"/>
      <c r="I802" s="125"/>
      <c r="J802" s="125"/>
      <c r="K802" s="125"/>
      <c r="L802" s="125"/>
    </row>
    <row r="803" spans="1:12" x14ac:dyDescent="0.25">
      <c r="A803" s="6"/>
      <c r="B803" s="6"/>
      <c r="C803" s="123"/>
      <c r="D803" s="123"/>
      <c r="E803" s="123"/>
      <c r="F803" s="124"/>
      <c r="G803" s="124"/>
      <c r="H803" s="6"/>
      <c r="I803" s="125"/>
      <c r="J803" s="125"/>
      <c r="K803" s="125"/>
      <c r="L803" s="125"/>
    </row>
    <row r="804" spans="1:12" x14ac:dyDescent="0.25">
      <c r="A804" s="6"/>
      <c r="B804" s="6"/>
      <c r="C804" s="123"/>
      <c r="D804" s="123"/>
      <c r="E804" s="123"/>
      <c r="F804" s="124"/>
      <c r="G804" s="124"/>
      <c r="H804" s="6"/>
      <c r="I804" s="125"/>
      <c r="J804" s="125"/>
      <c r="K804" s="125"/>
      <c r="L804" s="125"/>
    </row>
    <row r="805" spans="1:12" x14ac:dyDescent="0.25">
      <c r="A805" s="6"/>
      <c r="B805" s="6"/>
      <c r="C805" s="123"/>
      <c r="D805" s="123"/>
      <c r="E805" s="123"/>
      <c r="F805" s="124"/>
      <c r="G805" s="124"/>
      <c r="H805" s="6"/>
      <c r="I805" s="125"/>
      <c r="J805" s="125"/>
      <c r="K805" s="125"/>
      <c r="L805" s="125"/>
    </row>
    <row r="806" spans="1:12" x14ac:dyDescent="0.25">
      <c r="A806" s="6"/>
      <c r="B806" s="6"/>
      <c r="C806" s="123"/>
      <c r="D806" s="123"/>
      <c r="E806" s="123"/>
      <c r="F806" s="124"/>
      <c r="G806" s="124"/>
      <c r="H806" s="6"/>
      <c r="I806" s="125"/>
      <c r="J806" s="125"/>
      <c r="K806" s="125"/>
      <c r="L806" s="125"/>
    </row>
    <row r="807" spans="1:12" x14ac:dyDescent="0.25">
      <c r="A807" s="6"/>
      <c r="B807" s="6"/>
      <c r="C807" s="123"/>
      <c r="D807" s="123"/>
      <c r="E807" s="123"/>
      <c r="F807" s="124"/>
      <c r="G807" s="124"/>
      <c r="H807" s="6"/>
      <c r="I807" s="125"/>
      <c r="J807" s="125"/>
      <c r="K807" s="125"/>
      <c r="L807" s="125"/>
    </row>
    <row r="808" spans="1:12" x14ac:dyDescent="0.25">
      <c r="A808" s="6"/>
      <c r="B808" s="6"/>
      <c r="C808" s="123"/>
      <c r="D808" s="123"/>
      <c r="E808" s="123"/>
      <c r="F808" s="124"/>
      <c r="G808" s="124"/>
      <c r="H808" s="6"/>
      <c r="I808" s="125"/>
      <c r="J808" s="125"/>
      <c r="K808" s="125"/>
      <c r="L808" s="125"/>
    </row>
    <row r="809" spans="1:12" x14ac:dyDescent="0.25">
      <c r="A809" s="6"/>
      <c r="B809" s="6"/>
      <c r="C809" s="123"/>
      <c r="D809" s="123"/>
      <c r="E809" s="123"/>
      <c r="F809" s="124"/>
      <c r="G809" s="124"/>
      <c r="H809" s="6"/>
      <c r="I809" s="125"/>
      <c r="J809" s="125"/>
      <c r="K809" s="125"/>
      <c r="L809" s="125"/>
    </row>
    <row r="810" spans="1:12" x14ac:dyDescent="0.25">
      <c r="A810" s="6"/>
      <c r="B810" s="6"/>
      <c r="C810" s="123"/>
      <c r="D810" s="123"/>
      <c r="E810" s="123"/>
      <c r="F810" s="124"/>
      <c r="G810" s="124"/>
      <c r="H810" s="6"/>
      <c r="I810" s="125"/>
      <c r="J810" s="125"/>
      <c r="K810" s="125"/>
      <c r="L810" s="125"/>
    </row>
    <row r="811" spans="1:12" x14ac:dyDescent="0.25">
      <c r="A811" s="6"/>
      <c r="B811" s="6"/>
      <c r="C811" s="123"/>
      <c r="D811" s="123"/>
      <c r="E811" s="123"/>
      <c r="F811" s="124"/>
      <c r="G811" s="124"/>
      <c r="H811" s="6"/>
      <c r="I811" s="125"/>
      <c r="J811" s="125"/>
      <c r="K811" s="125"/>
      <c r="L811" s="125"/>
    </row>
    <row r="812" spans="1:12" x14ac:dyDescent="0.25">
      <c r="A812" s="6"/>
      <c r="B812" s="6"/>
      <c r="C812" s="123"/>
      <c r="D812" s="123"/>
      <c r="E812" s="123"/>
      <c r="F812" s="124"/>
      <c r="G812" s="124"/>
      <c r="H812" s="6"/>
      <c r="I812" s="125"/>
      <c r="J812" s="125"/>
      <c r="K812" s="125"/>
      <c r="L812" s="125"/>
    </row>
    <row r="813" spans="1:12" x14ac:dyDescent="0.25">
      <c r="A813" s="6"/>
      <c r="B813" s="6"/>
      <c r="C813" s="123"/>
      <c r="D813" s="123"/>
      <c r="E813" s="123"/>
      <c r="F813" s="124"/>
      <c r="G813" s="124"/>
      <c r="H813" s="6"/>
      <c r="I813" s="125"/>
      <c r="J813" s="125"/>
      <c r="K813" s="125"/>
      <c r="L813" s="125"/>
    </row>
    <row r="814" spans="1:12" x14ac:dyDescent="0.25">
      <c r="A814" s="6"/>
      <c r="B814" s="6"/>
      <c r="C814" s="123"/>
      <c r="D814" s="123"/>
      <c r="E814" s="123"/>
      <c r="F814" s="124"/>
      <c r="G814" s="124"/>
      <c r="H814" s="6"/>
      <c r="I814" s="125"/>
      <c r="J814" s="125"/>
      <c r="K814" s="125"/>
      <c r="L814" s="125"/>
    </row>
    <row r="815" spans="1:12" x14ac:dyDescent="0.25">
      <c r="A815" s="6"/>
      <c r="B815" s="6"/>
      <c r="C815" s="123"/>
      <c r="D815" s="123"/>
      <c r="E815" s="123"/>
      <c r="F815" s="124"/>
      <c r="G815" s="124"/>
      <c r="H815" s="6"/>
      <c r="I815" s="125"/>
      <c r="J815" s="125"/>
      <c r="K815" s="125"/>
      <c r="L815" s="125"/>
    </row>
    <row r="816" spans="1:12" x14ac:dyDescent="0.25">
      <c r="A816" s="6"/>
      <c r="B816" s="6"/>
      <c r="C816" s="123"/>
      <c r="D816" s="123"/>
      <c r="E816" s="123"/>
      <c r="F816" s="124"/>
      <c r="G816" s="124"/>
      <c r="H816" s="6"/>
      <c r="I816" s="125"/>
      <c r="J816" s="125"/>
      <c r="K816" s="125"/>
      <c r="L816" s="125"/>
    </row>
    <row r="817" spans="1:12" x14ac:dyDescent="0.25">
      <c r="A817" s="6"/>
      <c r="B817" s="6"/>
      <c r="C817" s="123"/>
      <c r="D817" s="123"/>
      <c r="E817" s="123"/>
      <c r="F817" s="124"/>
      <c r="G817" s="124"/>
      <c r="H817" s="6"/>
      <c r="I817" s="125"/>
      <c r="J817" s="125"/>
      <c r="K817" s="125"/>
      <c r="L817" s="125"/>
    </row>
    <row r="818" spans="1:12" x14ac:dyDescent="0.25">
      <c r="A818" s="6"/>
      <c r="B818" s="6"/>
      <c r="C818" s="123"/>
      <c r="D818" s="123"/>
      <c r="E818" s="123"/>
      <c r="F818" s="124"/>
      <c r="G818" s="124"/>
      <c r="H818" s="6"/>
      <c r="I818" s="125"/>
      <c r="J818" s="125"/>
      <c r="K818" s="125"/>
      <c r="L818" s="125"/>
    </row>
    <row r="819" spans="1:12" x14ac:dyDescent="0.25">
      <c r="A819" s="6"/>
      <c r="B819" s="6"/>
      <c r="C819" s="123"/>
      <c r="D819" s="123"/>
      <c r="E819" s="123"/>
      <c r="F819" s="124"/>
      <c r="G819" s="124"/>
      <c r="H819" s="6"/>
      <c r="I819" s="125"/>
      <c r="J819" s="125"/>
      <c r="K819" s="125"/>
      <c r="L819" s="125"/>
    </row>
    <row r="820" spans="1:12" x14ac:dyDescent="0.25">
      <c r="A820" s="6"/>
      <c r="B820" s="6"/>
      <c r="C820" s="123"/>
      <c r="D820" s="123"/>
      <c r="E820" s="123"/>
      <c r="F820" s="124"/>
      <c r="G820" s="124"/>
      <c r="H820" s="6"/>
      <c r="I820" s="125"/>
      <c r="J820" s="125"/>
      <c r="K820" s="125"/>
      <c r="L820" s="125"/>
    </row>
    <row r="821" spans="1:12" x14ac:dyDescent="0.25">
      <c r="A821" s="6"/>
      <c r="B821" s="6"/>
      <c r="C821" s="123"/>
      <c r="D821" s="123"/>
      <c r="E821" s="123"/>
      <c r="F821" s="124"/>
      <c r="G821" s="124"/>
      <c r="H821" s="6"/>
      <c r="I821" s="125"/>
      <c r="J821" s="125"/>
      <c r="K821" s="125"/>
      <c r="L821" s="125"/>
    </row>
    <row r="822" spans="1:12" x14ac:dyDescent="0.25">
      <c r="A822" s="6"/>
      <c r="B822" s="6"/>
      <c r="C822" s="123"/>
      <c r="D822" s="123"/>
      <c r="E822" s="123"/>
      <c r="F822" s="124"/>
      <c r="G822" s="124"/>
      <c r="H822" s="6"/>
      <c r="I822" s="125"/>
      <c r="J822" s="125"/>
      <c r="K822" s="125"/>
      <c r="L822" s="125"/>
    </row>
    <row r="823" spans="1:12" x14ac:dyDescent="0.25">
      <c r="A823" s="6"/>
      <c r="B823" s="6"/>
      <c r="C823" s="123"/>
      <c r="D823" s="123"/>
      <c r="E823" s="123"/>
      <c r="F823" s="124"/>
      <c r="G823" s="124"/>
      <c r="H823" s="6"/>
      <c r="I823" s="125"/>
      <c r="J823" s="125"/>
      <c r="K823" s="125"/>
      <c r="L823" s="125"/>
    </row>
    <row r="824" spans="1:12" x14ac:dyDescent="0.25">
      <c r="A824" s="6"/>
      <c r="B824" s="6"/>
      <c r="C824" s="123"/>
      <c r="D824" s="123"/>
      <c r="E824" s="123"/>
      <c r="F824" s="124"/>
      <c r="G824" s="124"/>
      <c r="H824" s="6"/>
      <c r="I824" s="125"/>
      <c r="J824" s="125"/>
      <c r="K824" s="125"/>
      <c r="L824" s="125"/>
    </row>
    <row r="825" spans="1:12" x14ac:dyDescent="0.25">
      <c r="A825" s="6"/>
      <c r="B825" s="6"/>
      <c r="C825" s="123"/>
      <c r="D825" s="123"/>
      <c r="E825" s="123"/>
      <c r="F825" s="124"/>
      <c r="G825" s="124"/>
      <c r="H825" s="6"/>
      <c r="I825" s="125"/>
      <c r="J825" s="125"/>
      <c r="K825" s="125"/>
      <c r="L825" s="125"/>
    </row>
    <row r="826" spans="1:12" x14ac:dyDescent="0.25">
      <c r="A826" s="6"/>
      <c r="B826" s="6"/>
      <c r="C826" s="123"/>
      <c r="D826" s="123"/>
      <c r="E826" s="123"/>
      <c r="F826" s="124"/>
      <c r="G826" s="124"/>
      <c r="H826" s="6"/>
      <c r="I826" s="125"/>
      <c r="J826" s="125"/>
      <c r="K826" s="125"/>
      <c r="L826" s="125"/>
    </row>
    <row r="827" spans="1:12" x14ac:dyDescent="0.25">
      <c r="A827" s="6"/>
      <c r="B827" s="6"/>
      <c r="C827" s="123"/>
      <c r="D827" s="123"/>
      <c r="E827" s="123"/>
      <c r="F827" s="124"/>
      <c r="G827" s="124"/>
      <c r="H827" s="6"/>
      <c r="I827" s="125"/>
      <c r="J827" s="125"/>
      <c r="K827" s="125"/>
      <c r="L827" s="125"/>
    </row>
    <row r="828" spans="1:12" x14ac:dyDescent="0.25">
      <c r="A828" s="6"/>
      <c r="B828" s="6"/>
      <c r="C828" s="123"/>
      <c r="D828" s="123"/>
      <c r="E828" s="123"/>
      <c r="F828" s="124"/>
      <c r="G828" s="124"/>
      <c r="H828" s="6"/>
      <c r="I828" s="125"/>
      <c r="J828" s="125"/>
      <c r="K828" s="125"/>
      <c r="L828" s="125"/>
    </row>
    <row r="829" spans="1:12" x14ac:dyDescent="0.25">
      <c r="A829" s="6"/>
      <c r="B829" s="6"/>
      <c r="C829" s="123"/>
      <c r="D829" s="123"/>
      <c r="E829" s="123"/>
      <c r="F829" s="124"/>
      <c r="G829" s="124"/>
      <c r="H829" s="6"/>
      <c r="I829" s="125"/>
      <c r="J829" s="125"/>
      <c r="K829" s="125"/>
      <c r="L829" s="125"/>
    </row>
    <row r="830" spans="1:12" x14ac:dyDescent="0.25">
      <c r="A830" s="6"/>
      <c r="B830" s="6"/>
      <c r="C830" s="123"/>
      <c r="D830" s="123"/>
      <c r="E830" s="123"/>
      <c r="F830" s="124"/>
      <c r="G830" s="124"/>
      <c r="H830" s="6"/>
      <c r="I830" s="125"/>
      <c r="J830" s="125"/>
      <c r="K830" s="125"/>
      <c r="L830" s="125"/>
    </row>
    <row r="831" spans="1:12" x14ac:dyDescent="0.25">
      <c r="A831" s="6"/>
      <c r="B831" s="6"/>
      <c r="C831" s="123"/>
      <c r="D831" s="123"/>
      <c r="E831" s="123"/>
      <c r="F831" s="124"/>
      <c r="G831" s="124"/>
      <c r="H831" s="6"/>
      <c r="I831" s="125"/>
      <c r="J831" s="125"/>
      <c r="K831" s="125"/>
      <c r="L831" s="125"/>
    </row>
    <row r="832" spans="1:12" x14ac:dyDescent="0.25">
      <c r="A832" s="6"/>
      <c r="B832" s="6"/>
      <c r="C832" s="123"/>
      <c r="D832" s="123"/>
      <c r="E832" s="123"/>
      <c r="F832" s="124"/>
      <c r="G832" s="124"/>
      <c r="H832" s="6"/>
      <c r="I832" s="125"/>
      <c r="J832" s="125"/>
      <c r="K832" s="125"/>
      <c r="L832" s="125"/>
    </row>
    <row r="833" spans="1:12" x14ac:dyDescent="0.25">
      <c r="A833" s="6"/>
      <c r="B833" s="6"/>
      <c r="C833" s="123"/>
      <c r="D833" s="123"/>
      <c r="E833" s="123"/>
      <c r="F833" s="124"/>
      <c r="G833" s="124"/>
      <c r="H833" s="6"/>
      <c r="I833" s="125"/>
      <c r="J833" s="125"/>
      <c r="K833" s="125"/>
      <c r="L833" s="125"/>
    </row>
    <row r="834" spans="1:12" x14ac:dyDescent="0.25">
      <c r="A834" s="6"/>
      <c r="B834" s="6"/>
      <c r="C834" s="123"/>
      <c r="D834" s="123"/>
      <c r="E834" s="123"/>
      <c r="F834" s="124"/>
      <c r="G834" s="124"/>
      <c r="H834" s="6"/>
      <c r="I834" s="125"/>
      <c r="J834" s="125"/>
      <c r="K834" s="125"/>
      <c r="L834" s="125"/>
    </row>
    <row r="835" spans="1:12" x14ac:dyDescent="0.25">
      <c r="A835" s="6"/>
      <c r="B835" s="6"/>
      <c r="C835" s="123"/>
      <c r="D835" s="123"/>
      <c r="E835" s="123"/>
      <c r="F835" s="124"/>
      <c r="G835" s="124"/>
      <c r="H835" s="6"/>
      <c r="I835" s="125"/>
      <c r="J835" s="125"/>
      <c r="K835" s="125"/>
      <c r="L835" s="125"/>
    </row>
    <row r="836" spans="1:12" x14ac:dyDescent="0.25">
      <c r="A836" s="6"/>
      <c r="B836" s="6"/>
      <c r="C836" s="123"/>
      <c r="D836" s="123"/>
      <c r="E836" s="123"/>
      <c r="F836" s="124"/>
      <c r="G836" s="124"/>
      <c r="H836" s="6"/>
      <c r="I836" s="125"/>
      <c r="J836" s="125"/>
      <c r="K836" s="125"/>
      <c r="L836" s="125"/>
    </row>
    <row r="837" spans="1:12" x14ac:dyDescent="0.25">
      <c r="A837" s="6"/>
      <c r="B837" s="6"/>
      <c r="C837" s="123"/>
      <c r="D837" s="123"/>
      <c r="E837" s="123"/>
      <c r="F837" s="124"/>
      <c r="G837" s="124"/>
      <c r="H837" s="6"/>
      <c r="I837" s="125"/>
      <c r="J837" s="125"/>
      <c r="K837" s="125"/>
      <c r="L837" s="125"/>
    </row>
    <row r="838" spans="1:12" x14ac:dyDescent="0.25">
      <c r="A838" s="6"/>
      <c r="B838" s="6"/>
      <c r="C838" s="123"/>
      <c r="D838" s="123"/>
      <c r="E838" s="123"/>
      <c r="F838" s="124"/>
      <c r="G838" s="124"/>
      <c r="H838" s="6"/>
      <c r="I838" s="125"/>
      <c r="J838" s="125"/>
      <c r="K838" s="125"/>
      <c r="L838" s="125"/>
    </row>
    <row r="839" spans="1:12" x14ac:dyDescent="0.25">
      <c r="A839" s="6"/>
      <c r="B839" s="6"/>
      <c r="C839" s="123"/>
      <c r="D839" s="123"/>
      <c r="E839" s="123"/>
      <c r="F839" s="124"/>
      <c r="G839" s="124"/>
      <c r="H839" s="6"/>
      <c r="I839" s="125"/>
      <c r="J839" s="125"/>
      <c r="K839" s="125"/>
      <c r="L839" s="125"/>
    </row>
    <row r="840" spans="1:12" x14ac:dyDescent="0.25">
      <c r="A840" s="6"/>
      <c r="B840" s="6"/>
      <c r="C840" s="123"/>
      <c r="D840" s="123"/>
      <c r="E840" s="123"/>
      <c r="F840" s="124"/>
      <c r="G840" s="124"/>
      <c r="H840" s="6"/>
      <c r="I840" s="125"/>
      <c r="J840" s="125"/>
      <c r="K840" s="125"/>
      <c r="L840" s="125"/>
    </row>
    <row r="841" spans="1:12" x14ac:dyDescent="0.25">
      <c r="A841" s="6"/>
      <c r="B841" s="6"/>
      <c r="C841" s="123"/>
      <c r="D841" s="123"/>
      <c r="E841" s="123"/>
      <c r="F841" s="124"/>
      <c r="G841" s="124"/>
      <c r="H841" s="6"/>
      <c r="I841" s="125"/>
      <c r="J841" s="125"/>
      <c r="K841" s="125"/>
      <c r="L841" s="125"/>
    </row>
    <row r="842" spans="1:12" x14ac:dyDescent="0.25">
      <c r="A842" s="6"/>
      <c r="B842" s="6"/>
      <c r="C842" s="123"/>
      <c r="D842" s="123"/>
      <c r="E842" s="123"/>
      <c r="F842" s="124"/>
      <c r="G842" s="124"/>
      <c r="H842" s="6"/>
      <c r="I842" s="125"/>
      <c r="J842" s="125"/>
      <c r="K842" s="125"/>
      <c r="L842" s="125"/>
    </row>
    <row r="843" spans="1:12" x14ac:dyDescent="0.25">
      <c r="A843" s="6"/>
      <c r="B843" s="6"/>
      <c r="C843" s="123"/>
      <c r="D843" s="123"/>
      <c r="E843" s="123"/>
      <c r="F843" s="124"/>
      <c r="G843" s="124"/>
      <c r="H843" s="6"/>
      <c r="I843" s="125"/>
      <c r="J843" s="125"/>
      <c r="K843" s="125"/>
      <c r="L843" s="125"/>
    </row>
    <row r="844" spans="1:12" x14ac:dyDescent="0.25">
      <c r="A844" s="6"/>
      <c r="B844" s="6"/>
      <c r="C844" s="123"/>
      <c r="D844" s="123"/>
      <c r="E844" s="123"/>
      <c r="F844" s="124"/>
      <c r="G844" s="124"/>
      <c r="H844" s="6"/>
      <c r="I844" s="125"/>
      <c r="J844" s="125"/>
      <c r="K844" s="125"/>
      <c r="L844" s="125"/>
    </row>
    <row r="845" spans="1:12" x14ac:dyDescent="0.25">
      <c r="A845" s="6"/>
      <c r="B845" s="6"/>
      <c r="C845" s="123"/>
      <c r="D845" s="123"/>
      <c r="E845" s="123"/>
      <c r="F845" s="124"/>
      <c r="G845" s="124"/>
      <c r="H845" s="6"/>
      <c r="I845" s="125"/>
      <c r="J845" s="125"/>
      <c r="K845" s="125"/>
      <c r="L845" s="125"/>
    </row>
    <row r="846" spans="1:12" x14ac:dyDescent="0.25">
      <c r="A846" s="6"/>
      <c r="B846" s="6"/>
      <c r="C846" s="123"/>
      <c r="D846" s="123"/>
      <c r="E846" s="123"/>
      <c r="F846" s="124"/>
      <c r="G846" s="124"/>
      <c r="H846" s="6"/>
      <c r="I846" s="125"/>
      <c r="J846" s="125"/>
      <c r="K846" s="125"/>
      <c r="L846" s="125"/>
    </row>
    <row r="847" spans="1:12" x14ac:dyDescent="0.25">
      <c r="A847" s="6"/>
      <c r="B847" s="6"/>
      <c r="C847" s="123"/>
      <c r="D847" s="123"/>
      <c r="E847" s="123"/>
      <c r="F847" s="124"/>
      <c r="G847" s="124"/>
      <c r="H847" s="6"/>
      <c r="I847" s="125"/>
      <c r="J847" s="125"/>
      <c r="K847" s="125"/>
      <c r="L847" s="125"/>
    </row>
    <row r="848" spans="1:12" x14ac:dyDescent="0.25">
      <c r="A848" s="6"/>
      <c r="B848" s="6"/>
      <c r="C848" s="123"/>
      <c r="D848" s="123"/>
      <c r="E848" s="123"/>
      <c r="F848" s="124"/>
      <c r="G848" s="124"/>
      <c r="H848" s="6"/>
      <c r="I848" s="125"/>
      <c r="J848" s="125"/>
      <c r="K848" s="125"/>
      <c r="L848" s="125"/>
    </row>
    <row r="849" spans="1:12" x14ac:dyDescent="0.25">
      <c r="A849" s="6"/>
      <c r="B849" s="6"/>
      <c r="C849" s="123"/>
      <c r="D849" s="123"/>
      <c r="E849" s="123"/>
      <c r="F849" s="124"/>
      <c r="G849" s="124"/>
      <c r="H849" s="6"/>
      <c r="I849" s="125"/>
      <c r="J849" s="125"/>
      <c r="K849" s="125"/>
      <c r="L849" s="125"/>
    </row>
    <row r="850" spans="1:12" x14ac:dyDescent="0.25">
      <c r="A850" s="6"/>
      <c r="B850" s="6"/>
      <c r="C850" s="123"/>
      <c r="D850" s="123"/>
      <c r="E850" s="123"/>
      <c r="F850" s="124"/>
      <c r="G850" s="124"/>
      <c r="H850" s="6"/>
      <c r="I850" s="125"/>
      <c r="J850" s="125"/>
      <c r="K850" s="125"/>
      <c r="L850" s="125"/>
    </row>
    <row r="851" spans="1:12" x14ac:dyDescent="0.25">
      <c r="A851" s="6"/>
      <c r="B851" s="6"/>
      <c r="C851" s="123"/>
      <c r="D851" s="123"/>
      <c r="E851" s="123"/>
      <c r="F851" s="124"/>
      <c r="G851" s="124"/>
      <c r="H851" s="6"/>
      <c r="I851" s="125"/>
      <c r="J851" s="125"/>
      <c r="K851" s="125"/>
      <c r="L851" s="125"/>
    </row>
    <row r="852" spans="1:12" x14ac:dyDescent="0.25">
      <c r="A852" s="6"/>
      <c r="B852" s="6"/>
      <c r="C852" s="123"/>
      <c r="D852" s="123"/>
      <c r="E852" s="123"/>
      <c r="F852" s="124"/>
      <c r="G852" s="124"/>
      <c r="H852" s="6"/>
      <c r="I852" s="125"/>
      <c r="J852" s="125"/>
      <c r="K852" s="125"/>
      <c r="L852" s="125"/>
    </row>
    <row r="853" spans="1:12" x14ac:dyDescent="0.25">
      <c r="A853" s="6"/>
      <c r="B853" s="6"/>
      <c r="C853" s="123"/>
      <c r="D853" s="123"/>
      <c r="E853" s="123"/>
      <c r="F853" s="124"/>
      <c r="G853" s="124"/>
      <c r="H853" s="6"/>
      <c r="I853" s="125"/>
      <c r="J853" s="125"/>
      <c r="K853" s="125"/>
      <c r="L853" s="125"/>
    </row>
    <row r="854" spans="1:12" x14ac:dyDescent="0.25">
      <c r="A854" s="6"/>
      <c r="B854" s="6"/>
      <c r="C854" s="123"/>
      <c r="D854" s="123"/>
      <c r="E854" s="123"/>
      <c r="F854" s="124"/>
      <c r="G854" s="124"/>
      <c r="H854" s="6"/>
      <c r="I854" s="125"/>
      <c r="J854" s="125"/>
      <c r="K854" s="125"/>
      <c r="L854" s="125"/>
    </row>
    <row r="855" spans="1:12" x14ac:dyDescent="0.25">
      <c r="A855" s="6"/>
      <c r="B855" s="6"/>
      <c r="C855" s="123"/>
      <c r="D855" s="123"/>
      <c r="E855" s="123"/>
      <c r="F855" s="124"/>
      <c r="G855" s="124"/>
      <c r="H855" s="6"/>
      <c r="I855" s="125"/>
      <c r="J855" s="125"/>
      <c r="K855" s="125"/>
      <c r="L855" s="125"/>
    </row>
    <row r="856" spans="1:12" x14ac:dyDescent="0.25">
      <c r="A856" s="6"/>
      <c r="B856" s="6"/>
      <c r="C856" s="123"/>
      <c r="D856" s="123"/>
      <c r="E856" s="123"/>
      <c r="F856" s="124"/>
      <c r="G856" s="124"/>
      <c r="H856" s="6"/>
      <c r="I856" s="125"/>
      <c r="J856" s="125"/>
      <c r="K856" s="125"/>
      <c r="L856" s="125"/>
    </row>
    <row r="857" spans="1:12" x14ac:dyDescent="0.25">
      <c r="A857" s="6"/>
      <c r="B857" s="6"/>
      <c r="C857" s="123"/>
      <c r="D857" s="123"/>
      <c r="E857" s="123"/>
      <c r="F857" s="124"/>
      <c r="G857" s="124"/>
      <c r="H857" s="6"/>
      <c r="I857" s="125"/>
      <c r="J857" s="125"/>
      <c r="K857" s="125"/>
      <c r="L857" s="125"/>
    </row>
    <row r="858" spans="1:12" x14ac:dyDescent="0.25">
      <c r="A858" s="6"/>
      <c r="B858" s="6"/>
      <c r="C858" s="123"/>
      <c r="D858" s="123"/>
      <c r="E858" s="123"/>
      <c r="F858" s="124"/>
      <c r="G858" s="124"/>
      <c r="H858" s="6"/>
      <c r="I858" s="125"/>
      <c r="J858" s="125"/>
      <c r="K858" s="125"/>
      <c r="L858" s="125"/>
    </row>
    <row r="859" spans="1:12" x14ac:dyDescent="0.25">
      <c r="A859" s="6"/>
      <c r="B859" s="6"/>
      <c r="C859" s="123"/>
      <c r="D859" s="123"/>
      <c r="E859" s="123"/>
      <c r="F859" s="124"/>
      <c r="G859" s="124"/>
      <c r="H859" s="6"/>
      <c r="I859" s="125"/>
      <c r="J859" s="125"/>
      <c r="K859" s="125"/>
      <c r="L859" s="125"/>
    </row>
    <row r="860" spans="1:12" x14ac:dyDescent="0.25">
      <c r="A860" s="6"/>
      <c r="B860" s="6"/>
      <c r="C860" s="123"/>
      <c r="D860" s="123"/>
      <c r="E860" s="123"/>
      <c r="F860" s="124"/>
      <c r="G860" s="124"/>
      <c r="H860" s="6"/>
      <c r="I860" s="125"/>
      <c r="J860" s="125"/>
      <c r="K860" s="125"/>
      <c r="L860" s="125"/>
    </row>
    <row r="861" spans="1:12" x14ac:dyDescent="0.25">
      <c r="A861" s="6"/>
      <c r="B861" s="6"/>
      <c r="C861" s="123"/>
      <c r="D861" s="123"/>
      <c r="E861" s="123"/>
      <c r="F861" s="124"/>
      <c r="G861" s="124"/>
      <c r="H861" s="6"/>
      <c r="I861" s="125"/>
      <c r="J861" s="125"/>
      <c r="K861" s="125"/>
      <c r="L861" s="125"/>
    </row>
    <row r="862" spans="1:12" x14ac:dyDescent="0.25">
      <c r="A862" s="6"/>
      <c r="B862" s="6"/>
      <c r="C862" s="123"/>
      <c r="D862" s="123"/>
      <c r="E862" s="123"/>
      <c r="F862" s="124"/>
      <c r="G862" s="124"/>
      <c r="H862" s="6"/>
      <c r="I862" s="125"/>
      <c r="J862" s="125"/>
      <c r="K862" s="125"/>
      <c r="L862" s="125"/>
    </row>
    <row r="863" spans="1:12" x14ac:dyDescent="0.25">
      <c r="A863" s="6"/>
      <c r="B863" s="6"/>
      <c r="C863" s="123"/>
      <c r="D863" s="123"/>
      <c r="E863" s="123"/>
      <c r="F863" s="124"/>
      <c r="G863" s="124"/>
      <c r="H863" s="6"/>
      <c r="I863" s="125"/>
      <c r="J863" s="125"/>
      <c r="K863" s="125"/>
      <c r="L863" s="125"/>
    </row>
    <row r="864" spans="1:12" x14ac:dyDescent="0.25">
      <c r="A864" s="6"/>
      <c r="B864" s="6"/>
      <c r="C864" s="123"/>
      <c r="D864" s="123"/>
      <c r="E864" s="123"/>
      <c r="F864" s="124"/>
      <c r="G864" s="124"/>
      <c r="H864" s="6"/>
      <c r="I864" s="125"/>
      <c r="J864" s="125"/>
      <c r="K864" s="125"/>
      <c r="L864" s="125"/>
    </row>
    <row r="865" spans="1:12" x14ac:dyDescent="0.25">
      <c r="A865" s="6"/>
      <c r="B865" s="6"/>
      <c r="C865" s="123"/>
      <c r="D865" s="123"/>
      <c r="E865" s="123"/>
      <c r="F865" s="124"/>
      <c r="G865" s="124"/>
      <c r="H865" s="6"/>
      <c r="I865" s="125"/>
      <c r="J865" s="125"/>
      <c r="K865" s="125"/>
      <c r="L865" s="125"/>
    </row>
    <row r="866" spans="1:12" x14ac:dyDescent="0.25">
      <c r="A866" s="6"/>
      <c r="B866" s="6"/>
      <c r="C866" s="123"/>
      <c r="D866" s="123"/>
      <c r="E866" s="123"/>
      <c r="F866" s="124"/>
      <c r="G866" s="124"/>
      <c r="H866" s="6"/>
      <c r="I866" s="125"/>
      <c r="J866" s="125"/>
      <c r="K866" s="125"/>
      <c r="L866" s="125"/>
    </row>
    <row r="867" spans="1:12" x14ac:dyDescent="0.25">
      <c r="A867" s="6"/>
      <c r="B867" s="6"/>
      <c r="C867" s="123"/>
      <c r="D867" s="123"/>
      <c r="E867" s="123"/>
      <c r="F867" s="124"/>
      <c r="G867" s="124"/>
      <c r="H867" s="6"/>
      <c r="I867" s="125"/>
      <c r="J867" s="125"/>
      <c r="K867" s="125"/>
      <c r="L867" s="125"/>
    </row>
    <row r="868" spans="1:12" x14ac:dyDescent="0.25">
      <c r="A868" s="6"/>
      <c r="B868" s="6"/>
      <c r="C868" s="123"/>
      <c r="D868" s="123"/>
      <c r="E868" s="123"/>
      <c r="F868" s="124"/>
      <c r="G868" s="124"/>
      <c r="H868" s="6"/>
      <c r="I868" s="125"/>
      <c r="J868" s="125"/>
      <c r="K868" s="125"/>
      <c r="L868" s="125"/>
    </row>
    <row r="869" spans="1:12" x14ac:dyDescent="0.25">
      <c r="A869" s="6"/>
      <c r="B869" s="6"/>
      <c r="C869" s="123"/>
      <c r="D869" s="123"/>
      <c r="E869" s="123"/>
      <c r="F869" s="124"/>
      <c r="G869" s="124"/>
      <c r="H869" s="6"/>
      <c r="I869" s="125"/>
      <c r="J869" s="125"/>
      <c r="K869" s="125"/>
      <c r="L869" s="125"/>
    </row>
    <row r="870" spans="1:12" x14ac:dyDescent="0.25">
      <c r="A870" s="6"/>
      <c r="B870" s="6"/>
      <c r="C870" s="123"/>
      <c r="D870" s="123"/>
      <c r="E870" s="123"/>
      <c r="F870" s="124"/>
      <c r="G870" s="124"/>
      <c r="H870" s="6"/>
      <c r="I870" s="125"/>
      <c r="J870" s="125"/>
      <c r="K870" s="125"/>
      <c r="L870" s="125"/>
    </row>
    <row r="871" spans="1:12" x14ac:dyDescent="0.25">
      <c r="A871" s="6"/>
      <c r="B871" s="6"/>
      <c r="C871" s="123"/>
      <c r="D871" s="123"/>
      <c r="E871" s="123"/>
      <c r="F871" s="124"/>
      <c r="G871" s="124"/>
      <c r="H871" s="6"/>
      <c r="I871" s="125"/>
      <c r="J871" s="125"/>
      <c r="K871" s="125"/>
      <c r="L871" s="125"/>
    </row>
    <row r="872" spans="1:12" x14ac:dyDescent="0.25">
      <c r="A872" s="6"/>
      <c r="B872" s="6"/>
      <c r="C872" s="123"/>
      <c r="D872" s="123"/>
      <c r="E872" s="123"/>
      <c r="F872" s="124"/>
      <c r="G872" s="124"/>
      <c r="H872" s="6"/>
      <c r="I872" s="125"/>
      <c r="J872" s="125"/>
      <c r="K872" s="125"/>
      <c r="L872" s="125"/>
    </row>
    <row r="873" spans="1:12" x14ac:dyDescent="0.25">
      <c r="A873" s="6"/>
      <c r="B873" s="6"/>
      <c r="C873" s="123"/>
      <c r="D873" s="123"/>
      <c r="E873" s="123"/>
      <c r="F873" s="124"/>
      <c r="G873" s="124"/>
      <c r="H873" s="6"/>
      <c r="I873" s="125"/>
      <c r="J873" s="125"/>
      <c r="K873" s="125"/>
      <c r="L873" s="125"/>
    </row>
    <row r="874" spans="1:12" x14ac:dyDescent="0.25">
      <c r="A874" s="6"/>
      <c r="B874" s="6"/>
      <c r="C874" s="123"/>
      <c r="D874" s="123"/>
      <c r="E874" s="123"/>
      <c r="F874" s="124"/>
      <c r="G874" s="124"/>
      <c r="H874" s="6"/>
      <c r="I874" s="125"/>
      <c r="J874" s="125"/>
      <c r="K874" s="125"/>
      <c r="L874" s="125"/>
    </row>
    <row r="875" spans="1:12" x14ac:dyDescent="0.25">
      <c r="A875" s="6"/>
      <c r="B875" s="6"/>
      <c r="C875" s="123"/>
      <c r="D875" s="123"/>
      <c r="E875" s="123"/>
      <c r="F875" s="124"/>
      <c r="G875" s="124"/>
      <c r="H875" s="6"/>
      <c r="I875" s="125"/>
      <c r="J875" s="125"/>
      <c r="K875" s="125"/>
      <c r="L875" s="125"/>
    </row>
    <row r="876" spans="1:12" x14ac:dyDescent="0.25">
      <c r="A876" s="6"/>
      <c r="B876" s="6"/>
      <c r="C876" s="123"/>
      <c r="D876" s="123"/>
      <c r="E876" s="123"/>
      <c r="F876" s="124"/>
      <c r="G876" s="124"/>
      <c r="H876" s="6"/>
      <c r="I876" s="125"/>
      <c r="J876" s="125"/>
      <c r="K876" s="125"/>
      <c r="L876" s="125"/>
    </row>
    <row r="877" spans="1:12" x14ac:dyDescent="0.25">
      <c r="A877" s="6"/>
      <c r="B877" s="6"/>
      <c r="C877" s="123"/>
      <c r="D877" s="123"/>
      <c r="E877" s="123"/>
      <c r="F877" s="124"/>
      <c r="G877" s="124"/>
      <c r="H877" s="6"/>
      <c r="I877" s="125"/>
      <c r="J877" s="125"/>
      <c r="K877" s="125"/>
      <c r="L877" s="125"/>
    </row>
    <row r="878" spans="1:12" x14ac:dyDescent="0.25">
      <c r="A878" s="6"/>
      <c r="B878" s="6"/>
      <c r="C878" s="123"/>
      <c r="D878" s="123"/>
      <c r="E878" s="123"/>
      <c r="F878" s="124"/>
      <c r="G878" s="124"/>
      <c r="H878" s="6"/>
      <c r="I878" s="125"/>
      <c r="J878" s="125"/>
      <c r="K878" s="125"/>
      <c r="L878" s="125"/>
    </row>
    <row r="879" spans="1:12" x14ac:dyDescent="0.25">
      <c r="A879" s="6"/>
      <c r="B879" s="6"/>
      <c r="C879" s="123"/>
      <c r="D879" s="123"/>
      <c r="E879" s="123"/>
      <c r="F879" s="124"/>
      <c r="G879" s="124"/>
      <c r="H879" s="6"/>
      <c r="I879" s="125"/>
      <c r="J879" s="125"/>
      <c r="K879" s="125"/>
      <c r="L879" s="125"/>
    </row>
    <row r="880" spans="1:12" x14ac:dyDescent="0.25">
      <c r="A880" s="6"/>
      <c r="B880" s="6"/>
      <c r="C880" s="123"/>
      <c r="D880" s="123"/>
      <c r="E880" s="123"/>
      <c r="F880" s="124"/>
      <c r="G880" s="124"/>
      <c r="H880" s="6"/>
      <c r="I880" s="125"/>
      <c r="J880" s="125"/>
      <c r="K880" s="125"/>
      <c r="L880" s="125"/>
    </row>
    <row r="881" spans="1:12" x14ac:dyDescent="0.25">
      <c r="A881" s="6"/>
      <c r="B881" s="6"/>
      <c r="C881" s="123"/>
      <c r="D881" s="123"/>
      <c r="E881" s="123"/>
      <c r="F881" s="124"/>
      <c r="G881" s="124"/>
      <c r="H881" s="6"/>
      <c r="I881" s="125"/>
      <c r="J881" s="125"/>
      <c r="K881" s="125"/>
      <c r="L881" s="125"/>
    </row>
    <row r="882" spans="1:12" x14ac:dyDescent="0.25">
      <c r="A882" s="6"/>
      <c r="B882" s="6"/>
      <c r="C882" s="123"/>
      <c r="D882" s="123"/>
      <c r="E882" s="123"/>
      <c r="F882" s="124"/>
      <c r="G882" s="124"/>
      <c r="H882" s="6"/>
      <c r="I882" s="125"/>
      <c r="J882" s="125"/>
      <c r="K882" s="125"/>
      <c r="L882" s="125"/>
    </row>
    <row r="883" spans="1:12" x14ac:dyDescent="0.25">
      <c r="A883" s="6"/>
      <c r="B883" s="6"/>
      <c r="C883" s="123"/>
      <c r="D883" s="123"/>
      <c r="E883" s="123"/>
      <c r="F883" s="124"/>
      <c r="G883" s="124"/>
      <c r="H883" s="6"/>
      <c r="I883" s="125"/>
      <c r="J883" s="125"/>
      <c r="K883" s="125"/>
      <c r="L883" s="125"/>
    </row>
    <row r="884" spans="1:12" x14ac:dyDescent="0.25">
      <c r="A884" s="6"/>
      <c r="B884" s="6"/>
      <c r="C884" s="123"/>
      <c r="D884" s="123"/>
      <c r="E884" s="123"/>
      <c r="F884" s="124"/>
      <c r="G884" s="124"/>
      <c r="H884" s="6"/>
      <c r="I884" s="125"/>
      <c r="J884" s="125"/>
      <c r="K884" s="125"/>
      <c r="L884" s="125"/>
    </row>
    <row r="885" spans="1:12" x14ac:dyDescent="0.25">
      <c r="A885" s="6"/>
      <c r="B885" s="6"/>
      <c r="C885" s="123"/>
      <c r="D885" s="123"/>
      <c r="E885" s="123"/>
      <c r="F885" s="124"/>
      <c r="G885" s="124"/>
      <c r="H885" s="6"/>
      <c r="I885" s="125"/>
      <c r="J885" s="125"/>
      <c r="K885" s="125"/>
      <c r="L885" s="125"/>
    </row>
    <row r="886" spans="1:12" x14ac:dyDescent="0.25">
      <c r="A886" s="6"/>
      <c r="B886" s="6"/>
      <c r="C886" s="123"/>
      <c r="D886" s="123"/>
      <c r="E886" s="123"/>
      <c r="F886" s="124"/>
      <c r="G886" s="124"/>
      <c r="H886" s="6"/>
      <c r="I886" s="125"/>
      <c r="J886" s="125"/>
      <c r="K886" s="125"/>
      <c r="L886" s="125"/>
    </row>
    <row r="887" spans="1:12" x14ac:dyDescent="0.25">
      <c r="A887" s="6"/>
      <c r="B887" s="6"/>
      <c r="C887" s="123"/>
      <c r="D887" s="123"/>
      <c r="E887" s="123"/>
      <c r="F887" s="124"/>
      <c r="G887" s="124"/>
      <c r="H887" s="6"/>
      <c r="I887" s="125"/>
      <c r="J887" s="125"/>
      <c r="K887" s="125"/>
      <c r="L887" s="125"/>
    </row>
    <row r="888" spans="1:12" x14ac:dyDescent="0.25">
      <c r="A888" s="6"/>
      <c r="B888" s="6"/>
      <c r="C888" s="123"/>
      <c r="D888" s="123"/>
      <c r="E888" s="123"/>
      <c r="F888" s="124"/>
      <c r="G888" s="124"/>
      <c r="H888" s="6"/>
      <c r="I888" s="125"/>
      <c r="J888" s="125"/>
      <c r="K888" s="125"/>
      <c r="L888" s="125"/>
    </row>
    <row r="889" spans="1:12" x14ac:dyDescent="0.25">
      <c r="A889" s="6"/>
      <c r="B889" s="6"/>
      <c r="C889" s="123"/>
      <c r="D889" s="123"/>
      <c r="E889" s="123"/>
      <c r="F889" s="124"/>
      <c r="G889" s="124"/>
      <c r="H889" s="6"/>
      <c r="I889" s="125"/>
      <c r="J889" s="125"/>
      <c r="K889" s="125"/>
      <c r="L889" s="125"/>
    </row>
    <row r="890" spans="1:12" x14ac:dyDescent="0.25">
      <c r="A890" s="6"/>
      <c r="B890" s="6"/>
      <c r="C890" s="123"/>
      <c r="D890" s="123"/>
      <c r="E890" s="123"/>
      <c r="F890" s="124"/>
      <c r="G890" s="124"/>
      <c r="H890" s="6"/>
      <c r="I890" s="125"/>
      <c r="J890" s="125"/>
      <c r="K890" s="125"/>
      <c r="L890" s="125"/>
    </row>
    <row r="891" spans="1:12" x14ac:dyDescent="0.25">
      <c r="A891" s="6"/>
      <c r="B891" s="6"/>
      <c r="C891" s="123"/>
      <c r="D891" s="123"/>
      <c r="E891" s="123"/>
      <c r="F891" s="124"/>
      <c r="G891" s="124"/>
      <c r="H891" s="6"/>
      <c r="I891" s="125"/>
      <c r="J891" s="125"/>
      <c r="K891" s="125"/>
      <c r="L891" s="125"/>
    </row>
    <row r="892" spans="1:12" x14ac:dyDescent="0.25">
      <c r="A892" s="6"/>
      <c r="B892" s="6"/>
      <c r="C892" s="123"/>
      <c r="D892" s="123"/>
      <c r="E892" s="123"/>
      <c r="F892" s="124"/>
      <c r="G892" s="124"/>
      <c r="H892" s="6"/>
      <c r="I892" s="125"/>
      <c r="J892" s="125"/>
      <c r="K892" s="125"/>
      <c r="L892" s="125"/>
    </row>
    <row r="893" spans="1:12" x14ac:dyDescent="0.25">
      <c r="A893" s="6"/>
      <c r="B893" s="6"/>
      <c r="C893" s="123"/>
      <c r="D893" s="123"/>
      <c r="E893" s="123"/>
      <c r="F893" s="124"/>
      <c r="G893" s="124"/>
      <c r="H893" s="6"/>
      <c r="I893" s="125"/>
      <c r="J893" s="125"/>
      <c r="K893" s="125"/>
      <c r="L893" s="125"/>
    </row>
    <row r="894" spans="1:12" x14ac:dyDescent="0.25">
      <c r="A894" s="6"/>
      <c r="B894" s="6"/>
      <c r="C894" s="123"/>
      <c r="D894" s="123"/>
      <c r="E894" s="123"/>
      <c r="F894" s="124"/>
      <c r="G894" s="124"/>
      <c r="H894" s="6"/>
      <c r="I894" s="125"/>
      <c r="J894" s="125"/>
      <c r="K894" s="125"/>
      <c r="L894" s="125"/>
    </row>
    <row r="895" spans="1:12" x14ac:dyDescent="0.25">
      <c r="A895" s="6"/>
      <c r="B895" s="6"/>
      <c r="C895" s="123"/>
      <c r="D895" s="123"/>
      <c r="E895" s="123"/>
      <c r="F895" s="124"/>
      <c r="G895" s="124"/>
      <c r="H895" s="6"/>
      <c r="I895" s="125"/>
      <c r="J895" s="125"/>
      <c r="K895" s="125"/>
      <c r="L895" s="125"/>
    </row>
    <row r="896" spans="1:12" x14ac:dyDescent="0.25">
      <c r="A896" s="6"/>
      <c r="B896" s="6"/>
      <c r="C896" s="123"/>
      <c r="D896" s="123"/>
      <c r="E896" s="123"/>
      <c r="F896" s="124"/>
      <c r="G896" s="124"/>
      <c r="H896" s="6"/>
      <c r="I896" s="125"/>
      <c r="J896" s="125"/>
      <c r="K896" s="125"/>
      <c r="L896" s="125"/>
    </row>
    <row r="897" spans="1:12" x14ac:dyDescent="0.25">
      <c r="A897" s="6"/>
      <c r="B897" s="6"/>
      <c r="C897" s="123"/>
      <c r="D897" s="123"/>
      <c r="E897" s="123"/>
      <c r="F897" s="124"/>
      <c r="G897" s="124"/>
      <c r="H897" s="6"/>
      <c r="I897" s="125"/>
      <c r="J897" s="125"/>
      <c r="K897" s="125"/>
      <c r="L897" s="125"/>
    </row>
    <row r="898" spans="1:12" x14ac:dyDescent="0.25">
      <c r="A898" s="6"/>
      <c r="B898" s="6"/>
      <c r="C898" s="123"/>
      <c r="D898" s="123"/>
      <c r="E898" s="123"/>
      <c r="F898" s="124"/>
      <c r="G898" s="124"/>
      <c r="H898" s="6"/>
      <c r="I898" s="125"/>
      <c r="J898" s="125"/>
      <c r="K898" s="125"/>
      <c r="L898" s="125"/>
    </row>
    <row r="899" spans="1:12" x14ac:dyDescent="0.25">
      <c r="A899" s="6"/>
      <c r="B899" s="6"/>
      <c r="C899" s="123"/>
      <c r="D899" s="123"/>
      <c r="E899" s="123"/>
      <c r="F899" s="124"/>
      <c r="G899" s="124"/>
      <c r="H899" s="6"/>
      <c r="I899" s="125"/>
      <c r="J899" s="125"/>
      <c r="K899" s="125"/>
      <c r="L899" s="125"/>
    </row>
    <row r="900" spans="1:12" x14ac:dyDescent="0.25">
      <c r="A900" s="6"/>
      <c r="B900" s="6"/>
      <c r="C900" s="123"/>
      <c r="D900" s="123"/>
      <c r="E900" s="123"/>
      <c r="F900" s="124"/>
      <c r="G900" s="124"/>
      <c r="H900" s="6"/>
      <c r="I900" s="125"/>
      <c r="J900" s="125"/>
      <c r="K900" s="125"/>
      <c r="L900" s="125"/>
    </row>
    <row r="901" spans="1:12" x14ac:dyDescent="0.25">
      <c r="A901" s="6"/>
      <c r="B901" s="6"/>
      <c r="C901" s="123"/>
      <c r="D901" s="123"/>
      <c r="E901" s="123"/>
      <c r="F901" s="124"/>
      <c r="G901" s="124"/>
      <c r="H901" s="6"/>
      <c r="I901" s="125"/>
      <c r="J901" s="125"/>
      <c r="K901" s="125"/>
      <c r="L901" s="125"/>
    </row>
    <row r="902" spans="1:12" x14ac:dyDescent="0.25">
      <c r="A902" s="6"/>
      <c r="B902" s="6"/>
      <c r="C902" s="123"/>
      <c r="D902" s="123"/>
      <c r="E902" s="123"/>
      <c r="F902" s="124"/>
      <c r="G902" s="124"/>
      <c r="H902" s="6"/>
      <c r="I902" s="125"/>
      <c r="J902" s="125"/>
      <c r="K902" s="125"/>
      <c r="L902" s="125"/>
    </row>
    <row r="903" spans="1:12" x14ac:dyDescent="0.25">
      <c r="A903" s="6"/>
      <c r="B903" s="6"/>
      <c r="C903" s="123"/>
      <c r="D903" s="123"/>
      <c r="E903" s="123"/>
      <c r="F903" s="124"/>
      <c r="G903" s="124"/>
      <c r="H903" s="6"/>
      <c r="I903" s="125"/>
      <c r="J903" s="125"/>
      <c r="K903" s="125"/>
      <c r="L903" s="125"/>
    </row>
    <row r="904" spans="1:12" x14ac:dyDescent="0.25">
      <c r="A904" s="6"/>
      <c r="B904" s="6"/>
      <c r="C904" s="123"/>
      <c r="D904" s="123"/>
      <c r="E904" s="123"/>
      <c r="F904" s="124"/>
      <c r="G904" s="124"/>
      <c r="H904" s="6"/>
      <c r="I904" s="125"/>
      <c r="J904" s="125"/>
      <c r="K904" s="125"/>
      <c r="L904" s="125"/>
    </row>
    <row r="905" spans="1:12" x14ac:dyDescent="0.25">
      <c r="A905" s="6"/>
      <c r="B905" s="6"/>
      <c r="C905" s="123"/>
      <c r="D905" s="123"/>
      <c r="E905" s="123"/>
      <c r="F905" s="124"/>
      <c r="G905" s="124"/>
      <c r="H905" s="6"/>
      <c r="I905" s="125"/>
      <c r="J905" s="125"/>
      <c r="K905" s="125"/>
      <c r="L905" s="125"/>
    </row>
    <row r="906" spans="1:12" x14ac:dyDescent="0.25">
      <c r="A906" s="6"/>
      <c r="B906" s="6"/>
      <c r="C906" s="123"/>
      <c r="D906" s="123"/>
      <c r="E906" s="123"/>
      <c r="F906" s="124"/>
      <c r="G906" s="124"/>
      <c r="H906" s="6"/>
      <c r="I906" s="125"/>
      <c r="J906" s="125"/>
      <c r="K906" s="125"/>
      <c r="L906" s="125"/>
    </row>
    <row r="907" spans="1:12" x14ac:dyDescent="0.25">
      <c r="A907" s="6"/>
      <c r="B907" s="6"/>
      <c r="C907" s="123"/>
      <c r="D907" s="123"/>
      <c r="E907" s="123"/>
      <c r="F907" s="124"/>
      <c r="G907" s="124"/>
      <c r="H907" s="6"/>
      <c r="I907" s="125"/>
      <c r="J907" s="125"/>
      <c r="K907" s="125"/>
      <c r="L907" s="125"/>
    </row>
    <row r="908" spans="1:12" x14ac:dyDescent="0.25">
      <c r="A908" s="6"/>
      <c r="B908" s="6"/>
      <c r="C908" s="123"/>
      <c r="D908" s="123"/>
      <c r="E908" s="123"/>
      <c r="F908" s="124"/>
      <c r="G908" s="124"/>
      <c r="H908" s="6"/>
      <c r="I908" s="125"/>
      <c r="J908" s="125"/>
      <c r="K908" s="125"/>
      <c r="L908" s="125"/>
    </row>
    <row r="909" spans="1:12" x14ac:dyDescent="0.25">
      <c r="A909" s="6"/>
      <c r="B909" s="6"/>
      <c r="C909" s="123"/>
      <c r="D909" s="123"/>
      <c r="E909" s="123"/>
      <c r="F909" s="124"/>
      <c r="G909" s="124"/>
      <c r="H909" s="6"/>
      <c r="I909" s="125"/>
      <c r="J909" s="125"/>
      <c r="K909" s="125"/>
      <c r="L909" s="125"/>
    </row>
    <row r="910" spans="1:12" x14ac:dyDescent="0.25">
      <c r="A910" s="6"/>
      <c r="B910" s="6"/>
      <c r="C910" s="123"/>
      <c r="D910" s="123"/>
      <c r="E910" s="123"/>
      <c r="F910" s="124"/>
      <c r="G910" s="124"/>
      <c r="H910" s="6"/>
      <c r="I910" s="125"/>
      <c r="J910" s="125"/>
      <c r="K910" s="125"/>
      <c r="L910" s="125"/>
    </row>
    <row r="911" spans="1:12" x14ac:dyDescent="0.25">
      <c r="A911" s="6"/>
      <c r="B911" s="6"/>
      <c r="C911" s="123"/>
      <c r="D911" s="123"/>
      <c r="E911" s="123"/>
      <c r="F911" s="124"/>
      <c r="G911" s="124"/>
      <c r="H911" s="6"/>
      <c r="I911" s="125"/>
      <c r="J911" s="125"/>
      <c r="K911" s="125"/>
      <c r="L911" s="125"/>
    </row>
    <row r="912" spans="1:12" x14ac:dyDescent="0.25">
      <c r="A912" s="6"/>
      <c r="B912" s="6"/>
      <c r="C912" s="123"/>
      <c r="D912" s="123"/>
      <c r="E912" s="123"/>
      <c r="F912" s="124"/>
      <c r="G912" s="124"/>
      <c r="H912" s="6"/>
      <c r="I912" s="125"/>
      <c r="J912" s="125"/>
      <c r="K912" s="125"/>
      <c r="L912" s="125"/>
    </row>
    <row r="913" spans="1:12" x14ac:dyDescent="0.25">
      <c r="A913" s="6"/>
      <c r="B913" s="6"/>
      <c r="C913" s="123"/>
      <c r="D913" s="123"/>
      <c r="E913" s="123"/>
      <c r="F913" s="124"/>
      <c r="G913" s="124"/>
      <c r="H913" s="6"/>
      <c r="I913" s="125"/>
      <c r="J913" s="125"/>
      <c r="K913" s="125"/>
      <c r="L913" s="125"/>
    </row>
    <row r="914" spans="1:12" x14ac:dyDescent="0.25">
      <c r="A914" s="6"/>
      <c r="B914" s="6"/>
      <c r="C914" s="123"/>
      <c r="D914" s="123"/>
      <c r="E914" s="123"/>
      <c r="F914" s="124"/>
      <c r="G914" s="124"/>
      <c r="H914" s="6"/>
      <c r="I914" s="125"/>
      <c r="J914" s="125"/>
      <c r="K914" s="125"/>
      <c r="L914" s="125"/>
    </row>
    <row r="915" spans="1:12" x14ac:dyDescent="0.25">
      <c r="A915" s="6"/>
      <c r="B915" s="6"/>
      <c r="C915" s="123"/>
      <c r="D915" s="123"/>
      <c r="E915" s="123"/>
      <c r="F915" s="124"/>
      <c r="G915" s="124"/>
      <c r="H915" s="6"/>
      <c r="I915" s="125"/>
      <c r="J915" s="125"/>
      <c r="K915" s="125"/>
      <c r="L915" s="125"/>
    </row>
    <row r="916" spans="1:12" x14ac:dyDescent="0.25">
      <c r="A916" s="6"/>
      <c r="B916" s="6"/>
      <c r="C916" s="123"/>
      <c r="D916" s="123"/>
      <c r="E916" s="123"/>
      <c r="F916" s="124"/>
      <c r="G916" s="124"/>
      <c r="H916" s="6"/>
      <c r="I916" s="125"/>
      <c r="J916" s="125"/>
      <c r="K916" s="125"/>
      <c r="L916" s="125"/>
    </row>
    <row r="917" spans="1:12" x14ac:dyDescent="0.25">
      <c r="A917" s="6"/>
      <c r="B917" s="6"/>
      <c r="C917" s="123"/>
      <c r="D917" s="123"/>
      <c r="E917" s="123"/>
      <c r="F917" s="124"/>
      <c r="G917" s="124"/>
      <c r="H917" s="6"/>
      <c r="I917" s="125"/>
      <c r="J917" s="125"/>
      <c r="K917" s="125"/>
      <c r="L917" s="125"/>
    </row>
    <row r="918" spans="1:12" x14ac:dyDescent="0.25">
      <c r="A918" s="6"/>
      <c r="B918" s="6"/>
      <c r="C918" s="123"/>
      <c r="D918" s="123"/>
      <c r="E918" s="123"/>
      <c r="F918" s="124"/>
      <c r="G918" s="124"/>
      <c r="H918" s="6"/>
      <c r="I918" s="125"/>
      <c r="J918" s="125"/>
      <c r="K918" s="125"/>
      <c r="L918" s="125"/>
    </row>
    <row r="919" spans="1:12" x14ac:dyDescent="0.25">
      <c r="A919" s="6"/>
      <c r="B919" s="6"/>
      <c r="C919" s="123"/>
      <c r="D919" s="123"/>
      <c r="E919" s="123"/>
      <c r="F919" s="124"/>
      <c r="G919" s="124"/>
      <c r="H919" s="6"/>
      <c r="I919" s="125"/>
      <c r="J919" s="125"/>
      <c r="K919" s="125"/>
      <c r="L919" s="125"/>
    </row>
    <row r="920" spans="1:12" x14ac:dyDescent="0.25">
      <c r="A920" s="6"/>
      <c r="B920" s="6"/>
      <c r="C920" s="123"/>
      <c r="D920" s="123"/>
      <c r="E920" s="123"/>
      <c r="F920" s="124"/>
      <c r="G920" s="124"/>
      <c r="H920" s="6"/>
      <c r="I920" s="125"/>
      <c r="J920" s="125"/>
      <c r="K920" s="125"/>
      <c r="L920" s="125"/>
    </row>
    <row r="921" spans="1:12" x14ac:dyDescent="0.25">
      <c r="A921" s="6"/>
      <c r="B921" s="6"/>
      <c r="C921" s="123"/>
      <c r="D921" s="123"/>
      <c r="E921" s="123"/>
      <c r="F921" s="124"/>
      <c r="G921" s="124"/>
      <c r="H921" s="6"/>
      <c r="I921" s="125"/>
      <c r="J921" s="125"/>
      <c r="K921" s="125"/>
      <c r="L921" s="125"/>
    </row>
    <row r="922" spans="1:12" x14ac:dyDescent="0.25">
      <c r="A922" s="6"/>
      <c r="B922" s="6"/>
      <c r="C922" s="123"/>
      <c r="D922" s="123"/>
      <c r="E922" s="123"/>
      <c r="F922" s="124"/>
      <c r="G922" s="124"/>
      <c r="H922" s="6"/>
      <c r="I922" s="125"/>
      <c r="J922" s="125"/>
      <c r="K922" s="125"/>
      <c r="L922" s="125"/>
    </row>
    <row r="923" spans="1:12" x14ac:dyDescent="0.25">
      <c r="A923" s="6"/>
      <c r="B923" s="6"/>
      <c r="C923" s="123"/>
      <c r="D923" s="123"/>
      <c r="E923" s="123"/>
      <c r="F923" s="124"/>
      <c r="G923" s="124"/>
      <c r="H923" s="6"/>
      <c r="I923" s="125"/>
      <c r="J923" s="125"/>
      <c r="K923" s="125"/>
      <c r="L923" s="125"/>
    </row>
    <row r="924" spans="1:12" x14ac:dyDescent="0.25">
      <c r="A924" s="6"/>
      <c r="B924" s="6"/>
      <c r="C924" s="123"/>
      <c r="D924" s="123"/>
      <c r="E924" s="123"/>
      <c r="F924" s="124"/>
      <c r="G924" s="124"/>
      <c r="H924" s="6"/>
      <c r="I924" s="125"/>
      <c r="J924" s="125"/>
      <c r="K924" s="125"/>
      <c r="L924" s="125"/>
    </row>
    <row r="925" spans="1:12" x14ac:dyDescent="0.25">
      <c r="A925" s="6"/>
      <c r="B925" s="6"/>
      <c r="C925" s="123"/>
      <c r="D925" s="123"/>
      <c r="E925" s="123"/>
      <c r="F925" s="124"/>
      <c r="G925" s="124"/>
      <c r="H925" s="6"/>
      <c r="I925" s="125"/>
      <c r="J925" s="125"/>
      <c r="K925" s="125"/>
      <c r="L925" s="125"/>
    </row>
    <row r="926" spans="1:12" x14ac:dyDescent="0.25">
      <c r="A926" s="6"/>
      <c r="B926" s="6"/>
      <c r="C926" s="123"/>
      <c r="D926" s="123"/>
      <c r="E926" s="123"/>
      <c r="F926" s="124"/>
      <c r="G926" s="124"/>
      <c r="H926" s="6"/>
      <c r="I926" s="125"/>
      <c r="J926" s="125"/>
      <c r="K926" s="125"/>
      <c r="L926" s="125"/>
    </row>
    <row r="927" spans="1:12" x14ac:dyDescent="0.25">
      <c r="A927" s="6"/>
      <c r="B927" s="6"/>
      <c r="C927" s="123"/>
      <c r="D927" s="123"/>
      <c r="E927" s="123"/>
      <c r="F927" s="124"/>
      <c r="G927" s="124"/>
      <c r="H927" s="6"/>
      <c r="I927" s="125"/>
      <c r="J927" s="125"/>
      <c r="K927" s="125"/>
      <c r="L927" s="125"/>
    </row>
    <row r="928" spans="1:12" x14ac:dyDescent="0.25">
      <c r="A928" s="6"/>
      <c r="B928" s="6"/>
      <c r="C928" s="123"/>
      <c r="D928" s="123"/>
      <c r="E928" s="123"/>
      <c r="F928" s="124"/>
      <c r="G928" s="124"/>
      <c r="H928" s="6"/>
      <c r="I928" s="125"/>
      <c r="J928" s="125"/>
      <c r="K928" s="125"/>
      <c r="L928" s="125"/>
    </row>
    <row r="929" spans="1:12" x14ac:dyDescent="0.25">
      <c r="A929" s="6"/>
      <c r="B929" s="6"/>
      <c r="C929" s="123"/>
      <c r="D929" s="123"/>
      <c r="E929" s="123"/>
      <c r="F929" s="124"/>
      <c r="G929" s="124"/>
      <c r="H929" s="6"/>
      <c r="I929" s="125"/>
      <c r="J929" s="125"/>
      <c r="K929" s="125"/>
      <c r="L929" s="125"/>
    </row>
    <row r="930" spans="1:12" x14ac:dyDescent="0.25">
      <c r="A930" s="6"/>
      <c r="B930" s="6"/>
      <c r="C930" s="123"/>
      <c r="D930" s="123"/>
      <c r="E930" s="123"/>
      <c r="F930" s="124"/>
      <c r="G930" s="124"/>
      <c r="H930" s="6"/>
      <c r="I930" s="125"/>
      <c r="J930" s="125"/>
      <c r="K930" s="125"/>
      <c r="L930" s="125"/>
    </row>
    <row r="931" spans="1:12" x14ac:dyDescent="0.25">
      <c r="A931" s="6"/>
      <c r="B931" s="6"/>
      <c r="C931" s="123"/>
      <c r="D931" s="123"/>
      <c r="E931" s="123"/>
      <c r="F931" s="124"/>
      <c r="G931" s="124"/>
      <c r="H931" s="6"/>
      <c r="I931" s="125"/>
      <c r="J931" s="125"/>
      <c r="K931" s="125"/>
      <c r="L931" s="125"/>
    </row>
    <row r="932" spans="1:12" x14ac:dyDescent="0.25">
      <c r="A932" s="6"/>
      <c r="B932" s="6"/>
      <c r="C932" s="123"/>
      <c r="D932" s="123"/>
      <c r="E932" s="123"/>
      <c r="F932" s="124"/>
      <c r="G932" s="124"/>
      <c r="H932" s="6"/>
      <c r="I932" s="125"/>
      <c r="J932" s="125"/>
      <c r="K932" s="125"/>
      <c r="L932" s="125"/>
    </row>
    <row r="933" spans="1:12" x14ac:dyDescent="0.25">
      <c r="A933" s="6"/>
      <c r="B933" s="6"/>
      <c r="C933" s="123"/>
      <c r="D933" s="123"/>
      <c r="E933" s="123"/>
      <c r="F933" s="124"/>
      <c r="G933" s="124"/>
      <c r="H933" s="6"/>
      <c r="I933" s="125"/>
      <c r="J933" s="125"/>
      <c r="K933" s="125"/>
      <c r="L933" s="125"/>
    </row>
    <row r="934" spans="1:12" x14ac:dyDescent="0.25">
      <c r="A934" s="6"/>
      <c r="B934" s="6"/>
      <c r="C934" s="123"/>
      <c r="D934" s="123"/>
      <c r="E934" s="123"/>
      <c r="F934" s="124"/>
      <c r="G934" s="124"/>
      <c r="H934" s="6"/>
      <c r="I934" s="125"/>
      <c r="J934" s="125"/>
      <c r="K934" s="125"/>
      <c r="L934" s="125"/>
    </row>
    <row r="935" spans="1:12" x14ac:dyDescent="0.25">
      <c r="A935" s="6"/>
      <c r="B935" s="6"/>
      <c r="C935" s="123"/>
      <c r="D935" s="123"/>
      <c r="E935" s="123"/>
      <c r="F935" s="124"/>
      <c r="G935" s="124"/>
      <c r="H935" s="6"/>
      <c r="I935" s="125"/>
      <c r="J935" s="125"/>
      <c r="K935" s="125"/>
      <c r="L935" s="125"/>
    </row>
    <row r="936" spans="1:12" x14ac:dyDescent="0.25">
      <c r="A936" s="6"/>
      <c r="B936" s="6"/>
      <c r="C936" s="123"/>
      <c r="D936" s="123"/>
      <c r="E936" s="123"/>
      <c r="F936" s="124"/>
      <c r="G936" s="124"/>
      <c r="H936" s="6"/>
      <c r="I936" s="125"/>
      <c r="J936" s="125"/>
      <c r="K936" s="125"/>
      <c r="L936" s="125"/>
    </row>
    <row r="937" spans="1:12" x14ac:dyDescent="0.25">
      <c r="A937" s="6"/>
      <c r="B937" s="6"/>
      <c r="C937" s="123"/>
      <c r="D937" s="123"/>
      <c r="E937" s="123"/>
      <c r="F937" s="124"/>
      <c r="G937" s="124"/>
      <c r="H937" s="6"/>
      <c r="I937" s="125"/>
      <c r="J937" s="125"/>
      <c r="K937" s="125"/>
      <c r="L937" s="125"/>
    </row>
    <row r="938" spans="1:12" x14ac:dyDescent="0.25">
      <c r="A938" s="6"/>
      <c r="B938" s="6"/>
      <c r="C938" s="123"/>
      <c r="D938" s="123"/>
      <c r="E938" s="123"/>
      <c r="F938" s="124"/>
      <c r="G938" s="124"/>
      <c r="H938" s="6"/>
      <c r="I938" s="125"/>
      <c r="J938" s="125"/>
      <c r="K938" s="125"/>
      <c r="L938" s="125"/>
    </row>
    <row r="939" spans="1:12" x14ac:dyDescent="0.25">
      <c r="A939" s="6"/>
      <c r="B939" s="6"/>
      <c r="C939" s="123"/>
      <c r="D939" s="123"/>
      <c r="E939" s="123"/>
      <c r="F939" s="124"/>
      <c r="G939" s="124"/>
      <c r="H939" s="6"/>
      <c r="I939" s="125"/>
      <c r="J939" s="125"/>
      <c r="K939" s="125"/>
      <c r="L939" s="125"/>
    </row>
    <row r="940" spans="1:12" x14ac:dyDescent="0.25">
      <c r="A940" s="6"/>
      <c r="B940" s="6"/>
      <c r="C940" s="123"/>
      <c r="D940" s="123"/>
      <c r="E940" s="123"/>
      <c r="F940" s="124"/>
      <c r="G940" s="124"/>
      <c r="H940" s="6"/>
      <c r="I940" s="125"/>
      <c r="J940" s="125"/>
      <c r="K940" s="125"/>
      <c r="L940" s="125"/>
    </row>
    <row r="941" spans="1:12" x14ac:dyDescent="0.25">
      <c r="A941" s="6"/>
      <c r="B941" s="6"/>
      <c r="C941" s="123"/>
      <c r="D941" s="123"/>
      <c r="E941" s="123"/>
      <c r="F941" s="124"/>
      <c r="G941" s="124"/>
      <c r="H941" s="6"/>
      <c r="I941" s="125"/>
      <c r="J941" s="125"/>
      <c r="K941" s="125"/>
      <c r="L941" s="125"/>
    </row>
    <row r="942" spans="1:12" x14ac:dyDescent="0.25">
      <c r="A942" s="6"/>
      <c r="B942" s="6"/>
      <c r="C942" s="123"/>
      <c r="D942" s="123"/>
      <c r="E942" s="123"/>
      <c r="F942" s="124"/>
      <c r="G942" s="124"/>
      <c r="H942" s="6"/>
      <c r="I942" s="125"/>
      <c r="J942" s="125"/>
      <c r="K942" s="125"/>
      <c r="L942" s="125"/>
    </row>
    <row r="943" spans="1:12" x14ac:dyDescent="0.25">
      <c r="A943" s="6"/>
      <c r="B943" s="6"/>
      <c r="C943" s="123"/>
      <c r="D943" s="123"/>
      <c r="E943" s="123"/>
      <c r="F943" s="124"/>
      <c r="G943" s="124"/>
      <c r="H943" s="6"/>
      <c r="I943" s="125"/>
      <c r="J943" s="125"/>
      <c r="K943" s="125"/>
      <c r="L943" s="125"/>
    </row>
    <row r="944" spans="1:12" x14ac:dyDescent="0.25">
      <c r="A944" s="6"/>
      <c r="B944" s="6"/>
      <c r="C944" s="123"/>
      <c r="D944" s="123"/>
      <c r="E944" s="123"/>
      <c r="F944" s="124"/>
      <c r="G944" s="124"/>
      <c r="H944" s="6"/>
      <c r="I944" s="125"/>
      <c r="J944" s="125"/>
      <c r="K944" s="125"/>
      <c r="L944" s="125"/>
    </row>
    <row r="945" spans="1:12" x14ac:dyDescent="0.25">
      <c r="A945" s="6"/>
      <c r="B945" s="6"/>
      <c r="C945" s="123"/>
      <c r="D945" s="123"/>
      <c r="E945" s="123"/>
      <c r="F945" s="124"/>
      <c r="G945" s="124"/>
      <c r="H945" s="6"/>
      <c r="I945" s="125"/>
      <c r="J945" s="125"/>
      <c r="K945" s="125"/>
      <c r="L945" s="125"/>
    </row>
    <row r="946" spans="1:12" x14ac:dyDescent="0.25">
      <c r="A946" s="6"/>
      <c r="B946" s="6"/>
      <c r="C946" s="123"/>
      <c r="D946" s="123"/>
      <c r="E946" s="123"/>
      <c r="F946" s="124"/>
      <c r="G946" s="124"/>
      <c r="H946" s="6"/>
      <c r="I946" s="125"/>
      <c r="J946" s="125"/>
      <c r="K946" s="125"/>
      <c r="L946" s="125"/>
    </row>
    <row r="947" spans="1:12" x14ac:dyDescent="0.25">
      <c r="A947" s="6"/>
      <c r="B947" s="6"/>
      <c r="C947" s="123"/>
      <c r="D947" s="123"/>
      <c r="E947" s="123"/>
      <c r="F947" s="124"/>
      <c r="G947" s="124"/>
      <c r="H947" s="6"/>
      <c r="I947" s="125"/>
      <c r="J947" s="125"/>
      <c r="K947" s="125"/>
      <c r="L947" s="125"/>
    </row>
    <row r="948" spans="1:12" x14ac:dyDescent="0.25">
      <c r="A948" s="6"/>
      <c r="B948" s="6"/>
      <c r="C948" s="123"/>
      <c r="D948" s="123"/>
      <c r="E948" s="123"/>
      <c r="F948" s="124"/>
      <c r="G948" s="124"/>
      <c r="H948" s="6"/>
      <c r="I948" s="125"/>
      <c r="J948" s="125"/>
      <c r="K948" s="125"/>
      <c r="L948" s="125"/>
    </row>
    <row r="949" spans="1:12" x14ac:dyDescent="0.25">
      <c r="A949" s="6"/>
      <c r="B949" s="6"/>
      <c r="C949" s="123"/>
      <c r="D949" s="123"/>
      <c r="E949" s="123"/>
      <c r="F949" s="124"/>
      <c r="G949" s="124"/>
      <c r="H949" s="6"/>
      <c r="I949" s="125"/>
      <c r="J949" s="125"/>
      <c r="K949" s="125"/>
      <c r="L949" s="125"/>
    </row>
    <row r="950" spans="1:12" x14ac:dyDescent="0.25">
      <c r="A950" s="6"/>
      <c r="B950" s="6"/>
      <c r="C950" s="123"/>
      <c r="D950" s="123"/>
      <c r="E950" s="123"/>
      <c r="F950" s="124"/>
      <c r="G950" s="124"/>
      <c r="H950" s="6"/>
      <c r="I950" s="125"/>
      <c r="J950" s="125"/>
      <c r="K950" s="125"/>
      <c r="L950" s="125"/>
    </row>
    <row r="951" spans="1:12" x14ac:dyDescent="0.25">
      <c r="A951" s="6"/>
      <c r="B951" s="6"/>
      <c r="C951" s="123"/>
      <c r="D951" s="123"/>
      <c r="E951" s="123"/>
      <c r="F951" s="124"/>
      <c r="G951" s="124"/>
      <c r="H951" s="6"/>
      <c r="I951" s="125"/>
      <c r="J951" s="125"/>
      <c r="K951" s="125"/>
      <c r="L951" s="125"/>
    </row>
    <row r="952" spans="1:12" x14ac:dyDescent="0.25">
      <c r="A952" s="6"/>
      <c r="B952" s="6"/>
      <c r="C952" s="123"/>
      <c r="D952" s="123"/>
      <c r="E952" s="123"/>
      <c r="F952" s="124"/>
      <c r="G952" s="124"/>
      <c r="H952" s="6"/>
      <c r="I952" s="125"/>
      <c r="J952" s="125"/>
      <c r="K952" s="125"/>
      <c r="L952" s="125"/>
    </row>
    <row r="953" spans="1:12" x14ac:dyDescent="0.25">
      <c r="A953" s="6"/>
      <c r="B953" s="6"/>
      <c r="C953" s="123"/>
      <c r="D953" s="123"/>
      <c r="E953" s="123"/>
      <c r="F953" s="124"/>
      <c r="G953" s="124"/>
      <c r="H953" s="6"/>
      <c r="I953" s="125"/>
      <c r="J953" s="125"/>
      <c r="K953" s="125"/>
      <c r="L953" s="125"/>
    </row>
    <row r="954" spans="1:12" x14ac:dyDescent="0.25">
      <c r="A954" s="6"/>
      <c r="B954" s="6"/>
      <c r="C954" s="123"/>
      <c r="D954" s="123"/>
      <c r="E954" s="123"/>
      <c r="F954" s="124"/>
      <c r="G954" s="124"/>
      <c r="H954" s="6"/>
      <c r="I954" s="125"/>
      <c r="J954" s="125"/>
      <c r="K954" s="125"/>
      <c r="L954" s="125"/>
    </row>
    <row r="955" spans="1:12" x14ac:dyDescent="0.25">
      <c r="A955" s="6"/>
      <c r="B955" s="6"/>
      <c r="C955" s="123"/>
      <c r="D955" s="123"/>
      <c r="E955" s="123"/>
      <c r="F955" s="124"/>
      <c r="G955" s="124"/>
      <c r="H955" s="6"/>
      <c r="I955" s="125"/>
      <c r="J955" s="125"/>
      <c r="K955" s="125"/>
      <c r="L955" s="125"/>
    </row>
    <row r="956" spans="1:12" x14ac:dyDescent="0.25">
      <c r="A956" s="6"/>
      <c r="B956" s="6"/>
      <c r="C956" s="123"/>
      <c r="D956" s="123"/>
      <c r="E956" s="123"/>
      <c r="F956" s="124"/>
      <c r="G956" s="124"/>
      <c r="H956" s="6"/>
      <c r="I956" s="125"/>
      <c r="J956" s="125"/>
      <c r="K956" s="125"/>
      <c r="L956" s="125"/>
    </row>
    <row r="957" spans="1:12" x14ac:dyDescent="0.25">
      <c r="A957" s="6"/>
      <c r="B957" s="6"/>
      <c r="C957" s="123"/>
      <c r="D957" s="123"/>
      <c r="E957" s="123"/>
      <c r="F957" s="124"/>
      <c r="G957" s="124"/>
      <c r="H957" s="6"/>
      <c r="I957" s="125"/>
      <c r="J957" s="125"/>
      <c r="K957" s="125"/>
      <c r="L957" s="125"/>
    </row>
    <row r="958" spans="1:12" x14ac:dyDescent="0.25">
      <c r="A958" s="6"/>
      <c r="B958" s="6"/>
      <c r="C958" s="123"/>
      <c r="D958" s="123"/>
      <c r="E958" s="123"/>
      <c r="F958" s="124"/>
      <c r="G958" s="124"/>
      <c r="H958" s="6"/>
      <c r="I958" s="125"/>
      <c r="J958" s="125"/>
      <c r="K958" s="125"/>
      <c r="L958" s="125"/>
    </row>
    <row r="959" spans="1:12" x14ac:dyDescent="0.25">
      <c r="A959" s="6"/>
      <c r="B959" s="6"/>
      <c r="C959" s="123"/>
      <c r="D959" s="123"/>
      <c r="E959" s="123"/>
      <c r="F959" s="124"/>
      <c r="G959" s="124"/>
      <c r="H959" s="6"/>
      <c r="I959" s="125"/>
      <c r="J959" s="125"/>
      <c r="K959" s="125"/>
      <c r="L959" s="125"/>
    </row>
    <row r="960" spans="1:12" x14ac:dyDescent="0.25">
      <c r="A960" s="6"/>
      <c r="B960" s="6"/>
      <c r="C960" s="123"/>
      <c r="D960" s="123"/>
      <c r="E960" s="123"/>
      <c r="F960" s="124"/>
      <c r="G960" s="124"/>
      <c r="H960" s="6"/>
      <c r="I960" s="125"/>
      <c r="J960" s="125"/>
      <c r="K960" s="125"/>
      <c r="L960" s="125"/>
    </row>
    <row r="961" spans="1:12" x14ac:dyDescent="0.25">
      <c r="A961" s="6"/>
      <c r="B961" s="6"/>
      <c r="C961" s="123"/>
      <c r="D961" s="123"/>
      <c r="E961" s="123"/>
      <c r="F961" s="124"/>
      <c r="G961" s="124"/>
      <c r="H961" s="6"/>
      <c r="I961" s="125"/>
      <c r="J961" s="125"/>
      <c r="K961" s="125"/>
      <c r="L961" s="125"/>
    </row>
    <row r="962" spans="1:12" x14ac:dyDescent="0.25">
      <c r="A962" s="6"/>
      <c r="B962" s="6"/>
      <c r="C962" s="123"/>
      <c r="D962" s="123"/>
      <c r="E962" s="123"/>
      <c r="F962" s="124"/>
      <c r="G962" s="124"/>
      <c r="H962" s="6"/>
      <c r="I962" s="125"/>
      <c r="J962" s="125"/>
      <c r="K962" s="125"/>
      <c r="L962" s="125"/>
    </row>
    <row r="963" spans="1:12" x14ac:dyDescent="0.25">
      <c r="A963" s="6"/>
      <c r="B963" s="6"/>
      <c r="C963" s="123"/>
      <c r="D963" s="123"/>
      <c r="E963" s="123"/>
      <c r="F963" s="124"/>
      <c r="G963" s="124"/>
      <c r="H963" s="6"/>
      <c r="I963" s="125"/>
      <c r="J963" s="125"/>
      <c r="K963" s="125"/>
      <c r="L963" s="125"/>
    </row>
    <row r="964" spans="1:12" x14ac:dyDescent="0.25">
      <c r="A964" s="6"/>
      <c r="B964" s="6"/>
      <c r="C964" s="123"/>
      <c r="D964" s="123"/>
      <c r="E964" s="123"/>
      <c r="F964" s="124"/>
      <c r="G964" s="124"/>
      <c r="H964" s="6"/>
      <c r="I964" s="125"/>
      <c r="J964" s="125"/>
      <c r="K964" s="125"/>
      <c r="L964" s="125"/>
    </row>
    <row r="965" spans="1:12" x14ac:dyDescent="0.25">
      <c r="A965" s="6"/>
      <c r="B965" s="6"/>
      <c r="C965" s="123"/>
      <c r="D965" s="123"/>
      <c r="E965" s="123"/>
      <c r="F965" s="124"/>
      <c r="G965" s="124"/>
      <c r="H965" s="6"/>
      <c r="I965" s="125"/>
      <c r="J965" s="125"/>
      <c r="K965" s="125"/>
      <c r="L965" s="125"/>
    </row>
    <row r="966" spans="1:12" x14ac:dyDescent="0.25">
      <c r="A966" s="6"/>
      <c r="B966" s="6"/>
      <c r="C966" s="123"/>
      <c r="D966" s="123"/>
      <c r="E966" s="123"/>
      <c r="F966" s="124"/>
      <c r="G966" s="124"/>
      <c r="H966" s="6"/>
      <c r="I966" s="125"/>
      <c r="J966" s="125"/>
      <c r="K966" s="125"/>
      <c r="L966" s="125"/>
    </row>
    <row r="967" spans="1:12" x14ac:dyDescent="0.25">
      <c r="A967" s="6"/>
      <c r="B967" s="6"/>
      <c r="C967" s="123"/>
      <c r="D967" s="123"/>
      <c r="E967" s="123"/>
      <c r="F967" s="124"/>
      <c r="G967" s="124"/>
      <c r="H967" s="6"/>
      <c r="I967" s="125"/>
      <c r="J967" s="125"/>
      <c r="K967" s="125"/>
      <c r="L967" s="125"/>
    </row>
    <row r="968" spans="1:12" x14ac:dyDescent="0.25">
      <c r="A968" s="6"/>
      <c r="B968" s="6"/>
      <c r="C968" s="123"/>
      <c r="D968" s="123"/>
      <c r="E968" s="123"/>
      <c r="F968" s="124"/>
      <c r="G968" s="124"/>
      <c r="H968" s="6"/>
      <c r="I968" s="125"/>
      <c r="J968" s="125"/>
      <c r="K968" s="125"/>
      <c r="L968" s="125"/>
    </row>
    <row r="969" spans="1:12" x14ac:dyDescent="0.25">
      <c r="A969" s="6"/>
      <c r="B969" s="6"/>
      <c r="C969" s="123"/>
      <c r="D969" s="123"/>
      <c r="E969" s="123"/>
      <c r="F969" s="124"/>
      <c r="G969" s="124"/>
      <c r="H969" s="6"/>
      <c r="I969" s="125"/>
      <c r="J969" s="125"/>
      <c r="K969" s="125"/>
      <c r="L969" s="125"/>
    </row>
    <row r="970" spans="1:12" x14ac:dyDescent="0.25">
      <c r="A970" s="6"/>
      <c r="B970" s="6"/>
      <c r="C970" s="123"/>
      <c r="D970" s="123"/>
      <c r="E970" s="123"/>
      <c r="F970" s="124"/>
      <c r="G970" s="124"/>
      <c r="H970" s="6"/>
      <c r="I970" s="125"/>
      <c r="J970" s="125"/>
      <c r="K970" s="125"/>
      <c r="L970" s="125"/>
    </row>
    <row r="971" spans="1:12" x14ac:dyDescent="0.25">
      <c r="A971" s="6"/>
      <c r="B971" s="6"/>
      <c r="C971" s="123"/>
      <c r="D971" s="123"/>
      <c r="E971" s="123"/>
      <c r="F971" s="124"/>
      <c r="G971" s="124"/>
      <c r="H971" s="6"/>
      <c r="I971" s="125"/>
      <c r="J971" s="125"/>
      <c r="K971" s="125"/>
      <c r="L971" s="125"/>
    </row>
    <row r="972" spans="1:12" x14ac:dyDescent="0.25">
      <c r="A972" s="6"/>
      <c r="B972" s="6"/>
      <c r="C972" s="123"/>
      <c r="D972" s="123"/>
      <c r="E972" s="123"/>
      <c r="F972" s="124"/>
      <c r="G972" s="124"/>
      <c r="H972" s="6"/>
      <c r="I972" s="125"/>
      <c r="J972" s="125"/>
      <c r="K972" s="125"/>
      <c r="L972" s="125"/>
    </row>
    <row r="973" spans="1:12" x14ac:dyDescent="0.25">
      <c r="A973" s="6"/>
      <c r="B973" s="6"/>
      <c r="C973" s="123"/>
      <c r="D973" s="123"/>
      <c r="E973" s="123"/>
      <c r="F973" s="124"/>
      <c r="G973" s="124"/>
      <c r="H973" s="6"/>
      <c r="I973" s="125"/>
      <c r="J973" s="125"/>
      <c r="K973" s="125"/>
      <c r="L973" s="125"/>
    </row>
    <row r="974" spans="1:12" x14ac:dyDescent="0.25">
      <c r="A974" s="6"/>
      <c r="B974" s="6"/>
      <c r="C974" s="123"/>
      <c r="D974" s="123"/>
      <c r="E974" s="123"/>
      <c r="F974" s="124"/>
      <c r="G974" s="124"/>
      <c r="H974" s="6"/>
      <c r="I974" s="125"/>
      <c r="J974" s="125"/>
      <c r="K974" s="125"/>
      <c r="L974" s="125"/>
    </row>
    <row r="975" spans="1:12" x14ac:dyDescent="0.25">
      <c r="A975" s="6"/>
      <c r="B975" s="6"/>
      <c r="C975" s="123"/>
      <c r="D975" s="123"/>
      <c r="E975" s="123"/>
      <c r="F975" s="124"/>
      <c r="G975" s="124"/>
      <c r="H975" s="6"/>
      <c r="I975" s="125"/>
      <c r="J975" s="125"/>
      <c r="K975" s="125"/>
      <c r="L975" s="125"/>
    </row>
    <row r="976" spans="1:12" x14ac:dyDescent="0.25">
      <c r="A976" s="6"/>
      <c r="B976" s="6"/>
      <c r="C976" s="123"/>
      <c r="D976" s="123"/>
      <c r="E976" s="123"/>
      <c r="F976" s="124"/>
      <c r="G976" s="124"/>
      <c r="H976" s="6"/>
      <c r="I976" s="125"/>
      <c r="J976" s="125"/>
      <c r="K976" s="125"/>
      <c r="L976" s="125"/>
    </row>
    <row r="977" spans="1:12" x14ac:dyDescent="0.25">
      <c r="A977" s="6"/>
      <c r="B977" s="6"/>
      <c r="C977" s="123"/>
      <c r="D977" s="123"/>
      <c r="E977" s="123"/>
      <c r="F977" s="124"/>
      <c r="G977" s="124"/>
      <c r="H977" s="6"/>
      <c r="I977" s="125"/>
      <c r="J977" s="125"/>
      <c r="K977" s="125"/>
      <c r="L977" s="125"/>
    </row>
    <row r="978" spans="1:12" x14ac:dyDescent="0.25">
      <c r="A978" s="6"/>
      <c r="B978" s="6"/>
      <c r="C978" s="123"/>
      <c r="D978" s="123"/>
      <c r="E978" s="123"/>
      <c r="F978" s="124"/>
      <c r="G978" s="124"/>
      <c r="H978" s="6"/>
      <c r="I978" s="125"/>
      <c r="J978" s="125"/>
      <c r="K978" s="125"/>
      <c r="L978" s="125"/>
    </row>
    <row r="979" spans="1:12" x14ac:dyDescent="0.25">
      <c r="A979" s="6"/>
      <c r="B979" s="6"/>
      <c r="C979" s="123"/>
      <c r="D979" s="123"/>
      <c r="E979" s="123"/>
      <c r="F979" s="124"/>
      <c r="G979" s="124"/>
      <c r="H979" s="6"/>
      <c r="I979" s="125"/>
      <c r="J979" s="125"/>
      <c r="K979" s="125"/>
      <c r="L979" s="125"/>
    </row>
    <row r="980" spans="1:12" x14ac:dyDescent="0.25">
      <c r="A980" s="6"/>
      <c r="B980" s="6"/>
      <c r="C980" s="123"/>
      <c r="D980" s="123"/>
      <c r="E980" s="123"/>
      <c r="F980" s="124"/>
      <c r="G980" s="124"/>
      <c r="H980" s="6"/>
      <c r="I980" s="125"/>
      <c r="J980" s="125"/>
      <c r="K980" s="125"/>
      <c r="L980" s="125"/>
    </row>
    <row r="981" spans="1:12" x14ac:dyDescent="0.25">
      <c r="A981" s="6"/>
      <c r="B981" s="6"/>
      <c r="C981" s="123"/>
      <c r="D981" s="123"/>
      <c r="E981" s="123"/>
      <c r="F981" s="124"/>
      <c r="G981" s="124"/>
      <c r="H981" s="6"/>
      <c r="I981" s="125"/>
      <c r="J981" s="125"/>
      <c r="K981" s="125"/>
      <c r="L981" s="125"/>
    </row>
    <row r="982" spans="1:12" x14ac:dyDescent="0.25">
      <c r="A982" s="6"/>
      <c r="B982" s="6"/>
      <c r="C982" s="123"/>
      <c r="D982" s="123"/>
      <c r="E982" s="123"/>
      <c r="F982" s="124"/>
      <c r="G982" s="124"/>
      <c r="H982" s="6"/>
      <c r="I982" s="125"/>
      <c r="J982" s="125"/>
      <c r="K982" s="125"/>
      <c r="L982" s="125"/>
    </row>
    <row r="983" spans="1:12" x14ac:dyDescent="0.25">
      <c r="A983" s="6"/>
      <c r="B983" s="6"/>
      <c r="C983" s="123"/>
      <c r="D983" s="123"/>
      <c r="E983" s="123"/>
      <c r="F983" s="124"/>
      <c r="G983" s="124"/>
      <c r="H983" s="6"/>
      <c r="I983" s="125"/>
      <c r="J983" s="125"/>
      <c r="K983" s="125"/>
      <c r="L983" s="125"/>
    </row>
    <row r="984" spans="1:12" x14ac:dyDescent="0.25">
      <c r="A984" s="6"/>
      <c r="B984" s="6"/>
      <c r="C984" s="123"/>
      <c r="D984" s="123"/>
      <c r="E984" s="123"/>
      <c r="F984" s="124"/>
      <c r="G984" s="124"/>
      <c r="H984" s="6"/>
      <c r="I984" s="125"/>
      <c r="J984" s="125"/>
      <c r="K984" s="125"/>
      <c r="L984" s="125"/>
    </row>
    <row r="985" spans="1:12" x14ac:dyDescent="0.25">
      <c r="A985" s="6"/>
      <c r="B985" s="6"/>
      <c r="C985" s="123"/>
      <c r="D985" s="123"/>
      <c r="E985" s="123"/>
      <c r="F985" s="124"/>
      <c r="G985" s="124"/>
      <c r="H985" s="6"/>
      <c r="I985" s="125"/>
      <c r="J985" s="125"/>
      <c r="K985" s="125"/>
      <c r="L985" s="125"/>
    </row>
    <row r="986" spans="1:12" x14ac:dyDescent="0.25">
      <c r="A986" s="6"/>
      <c r="B986" s="6"/>
      <c r="C986" s="123"/>
      <c r="D986" s="123"/>
      <c r="E986" s="123"/>
      <c r="F986" s="124"/>
      <c r="G986" s="124"/>
      <c r="H986" s="6"/>
      <c r="I986" s="125"/>
      <c r="J986" s="125"/>
      <c r="K986" s="125"/>
      <c r="L986" s="125"/>
    </row>
    <row r="987" spans="1:12" x14ac:dyDescent="0.25">
      <c r="A987" s="6"/>
      <c r="B987" s="6"/>
      <c r="C987" s="123"/>
      <c r="D987" s="123"/>
      <c r="E987" s="123"/>
      <c r="F987" s="124"/>
      <c r="G987" s="124"/>
      <c r="H987" s="6"/>
      <c r="I987" s="125"/>
      <c r="J987" s="125"/>
      <c r="K987" s="125"/>
      <c r="L987" s="125"/>
    </row>
    <row r="988" spans="1:12" x14ac:dyDescent="0.25">
      <c r="A988" s="6"/>
      <c r="B988" s="6"/>
      <c r="C988" s="123"/>
      <c r="D988" s="123"/>
      <c r="E988" s="123"/>
      <c r="F988" s="124"/>
      <c r="G988" s="124"/>
      <c r="H988" s="6"/>
      <c r="I988" s="125"/>
      <c r="J988" s="125"/>
      <c r="K988" s="125"/>
      <c r="L988" s="125"/>
    </row>
    <row r="989" spans="1:12" x14ac:dyDescent="0.25">
      <c r="A989" s="6"/>
      <c r="B989" s="6"/>
      <c r="C989" s="123"/>
      <c r="D989" s="123"/>
      <c r="E989" s="123"/>
      <c r="F989" s="124"/>
      <c r="G989" s="124"/>
      <c r="H989" s="6"/>
      <c r="I989" s="125"/>
      <c r="J989" s="125"/>
      <c r="K989" s="125"/>
      <c r="L989" s="125"/>
    </row>
    <row r="990" spans="1:12" x14ac:dyDescent="0.25">
      <c r="A990" s="6"/>
      <c r="B990" s="6"/>
      <c r="C990" s="123"/>
      <c r="D990" s="123"/>
      <c r="E990" s="123"/>
      <c r="F990" s="124"/>
      <c r="G990" s="124"/>
      <c r="H990" s="6"/>
      <c r="I990" s="125"/>
      <c r="J990" s="125"/>
      <c r="K990" s="125"/>
      <c r="L990" s="125"/>
    </row>
    <row r="991" spans="1:12" x14ac:dyDescent="0.25">
      <c r="A991" s="6"/>
      <c r="B991" s="6"/>
      <c r="C991" s="123"/>
      <c r="D991" s="123"/>
      <c r="E991" s="123"/>
      <c r="F991" s="124"/>
      <c r="G991" s="124"/>
      <c r="H991" s="6"/>
      <c r="I991" s="125"/>
      <c r="J991" s="125"/>
      <c r="K991" s="125"/>
      <c r="L991" s="125"/>
    </row>
    <row r="992" spans="1:12" x14ac:dyDescent="0.25">
      <c r="A992" s="6"/>
      <c r="B992" s="6"/>
      <c r="C992" s="123"/>
      <c r="D992" s="123"/>
      <c r="E992" s="123"/>
      <c r="F992" s="124"/>
      <c r="G992" s="124"/>
      <c r="H992" s="6"/>
      <c r="I992" s="125"/>
      <c r="J992" s="125"/>
      <c r="K992" s="125"/>
      <c r="L992" s="125"/>
    </row>
    <row r="993" spans="1:12" x14ac:dyDescent="0.25">
      <c r="A993" s="6"/>
      <c r="B993" s="6"/>
      <c r="C993" s="123"/>
      <c r="D993" s="123"/>
      <c r="E993" s="123"/>
      <c r="F993" s="124"/>
      <c r="G993" s="124"/>
      <c r="H993" s="6"/>
      <c r="I993" s="125"/>
      <c r="J993" s="125"/>
      <c r="K993" s="125"/>
      <c r="L993" s="125"/>
    </row>
    <row r="994" spans="1:12" x14ac:dyDescent="0.25">
      <c r="A994" s="6"/>
      <c r="B994" s="6"/>
      <c r="C994" s="123"/>
      <c r="D994" s="123"/>
      <c r="E994" s="123"/>
      <c r="F994" s="124"/>
      <c r="G994" s="124"/>
      <c r="H994" s="6"/>
      <c r="I994" s="125"/>
      <c r="J994" s="125"/>
      <c r="K994" s="125"/>
      <c r="L994" s="125"/>
    </row>
    <row r="995" spans="1:12" x14ac:dyDescent="0.25">
      <c r="A995" s="6"/>
      <c r="B995" s="6"/>
      <c r="C995" s="123"/>
      <c r="D995" s="123"/>
      <c r="E995" s="123"/>
      <c r="F995" s="124"/>
      <c r="G995" s="124"/>
      <c r="H995" s="6"/>
      <c r="I995" s="125"/>
      <c r="J995" s="125"/>
      <c r="K995" s="125"/>
      <c r="L995" s="125"/>
    </row>
    <row r="996" spans="1:12" x14ac:dyDescent="0.25">
      <c r="A996" s="6"/>
      <c r="B996" s="6"/>
      <c r="C996" s="123"/>
      <c r="D996" s="123"/>
      <c r="E996" s="123"/>
      <c r="F996" s="124"/>
      <c r="G996" s="124"/>
      <c r="H996" s="6"/>
      <c r="I996" s="125"/>
      <c r="J996" s="125"/>
      <c r="K996" s="125"/>
      <c r="L996" s="125"/>
    </row>
    <row r="997" spans="1:12" x14ac:dyDescent="0.25">
      <c r="A997" s="6"/>
      <c r="B997" s="6"/>
      <c r="C997" s="123"/>
      <c r="D997" s="123"/>
      <c r="E997" s="123"/>
      <c r="F997" s="124"/>
      <c r="G997" s="124"/>
      <c r="H997" s="6"/>
      <c r="I997" s="125"/>
      <c r="J997" s="125"/>
      <c r="K997" s="125"/>
      <c r="L997" s="125"/>
    </row>
    <row r="998" spans="1:12" x14ac:dyDescent="0.25">
      <c r="A998" s="6"/>
      <c r="B998" s="6"/>
      <c r="C998" s="123"/>
      <c r="D998" s="123"/>
      <c r="E998" s="123"/>
      <c r="F998" s="124"/>
      <c r="G998" s="124"/>
      <c r="H998" s="6"/>
      <c r="I998" s="125"/>
      <c r="J998" s="125"/>
      <c r="K998" s="125"/>
      <c r="L998" s="125"/>
    </row>
    <row r="999" spans="1:12" x14ac:dyDescent="0.25">
      <c r="A999" s="6"/>
      <c r="B999" s="6"/>
      <c r="C999" s="123"/>
      <c r="D999" s="123"/>
      <c r="E999" s="123"/>
      <c r="F999" s="124"/>
      <c r="G999" s="124"/>
      <c r="H999" s="6"/>
      <c r="I999" s="125"/>
      <c r="J999" s="125"/>
      <c r="K999" s="125"/>
      <c r="L999" s="125"/>
    </row>
    <row r="1000" spans="1:12" x14ac:dyDescent="0.25">
      <c r="A1000" s="6"/>
      <c r="B1000" s="6"/>
      <c r="C1000" s="123"/>
      <c r="D1000" s="123"/>
      <c r="E1000" s="123"/>
      <c r="F1000" s="124"/>
      <c r="G1000" s="124"/>
      <c r="H1000" s="6"/>
      <c r="I1000" s="125"/>
      <c r="J1000" s="125"/>
      <c r="K1000" s="125"/>
      <c r="L1000" s="125"/>
    </row>
    <row r="1001" spans="1:12" x14ac:dyDescent="0.25">
      <c r="A1001" s="6"/>
      <c r="B1001" s="6"/>
      <c r="C1001" s="123"/>
      <c r="D1001" s="123"/>
      <c r="E1001" s="123"/>
      <c r="F1001" s="124"/>
      <c r="G1001" s="124"/>
      <c r="H1001" s="6"/>
      <c r="I1001" s="125"/>
      <c r="J1001" s="125"/>
      <c r="K1001" s="125"/>
      <c r="L1001" s="125"/>
    </row>
    <row r="1002" spans="1:12" x14ac:dyDescent="0.25">
      <c r="A1002" s="6"/>
      <c r="B1002" s="6"/>
      <c r="C1002" s="123"/>
      <c r="D1002" s="123"/>
      <c r="E1002" s="123"/>
      <c r="F1002" s="124"/>
      <c r="G1002" s="124"/>
      <c r="H1002" s="6"/>
      <c r="I1002" s="125"/>
      <c r="J1002" s="125"/>
      <c r="K1002" s="125"/>
      <c r="L1002" s="125"/>
    </row>
    <row r="1003" spans="1:12" x14ac:dyDescent="0.25">
      <c r="A1003" s="6"/>
      <c r="B1003" s="6"/>
      <c r="C1003" s="123"/>
      <c r="D1003" s="123"/>
      <c r="E1003" s="123"/>
      <c r="F1003" s="124"/>
      <c r="G1003" s="124"/>
      <c r="H1003" s="6"/>
      <c r="I1003" s="125"/>
      <c r="J1003" s="125"/>
      <c r="K1003" s="125"/>
      <c r="L1003" s="125"/>
    </row>
    <row r="1004" spans="1:12" x14ac:dyDescent="0.25">
      <c r="A1004" s="6"/>
      <c r="B1004" s="6"/>
      <c r="C1004" s="123"/>
      <c r="D1004" s="123"/>
      <c r="E1004" s="123"/>
      <c r="F1004" s="124"/>
      <c r="G1004" s="124"/>
      <c r="H1004" s="6"/>
      <c r="I1004" s="125"/>
      <c r="J1004" s="125"/>
      <c r="K1004" s="125"/>
      <c r="L1004" s="125"/>
    </row>
    <row r="1005" spans="1:12" x14ac:dyDescent="0.25">
      <c r="A1005" s="6"/>
      <c r="B1005" s="6"/>
      <c r="C1005" s="123"/>
      <c r="D1005" s="123"/>
      <c r="E1005" s="123"/>
      <c r="F1005" s="124"/>
      <c r="G1005" s="124"/>
      <c r="H1005" s="6"/>
      <c r="I1005" s="125"/>
      <c r="J1005" s="125"/>
      <c r="K1005" s="125"/>
      <c r="L1005" s="125"/>
    </row>
    <row r="1006" spans="1:12" x14ac:dyDescent="0.25">
      <c r="A1006" s="6"/>
      <c r="B1006" s="6"/>
      <c r="C1006" s="123"/>
      <c r="D1006" s="123"/>
      <c r="E1006" s="123"/>
      <c r="F1006" s="124"/>
      <c r="G1006" s="124"/>
      <c r="H1006" s="6"/>
      <c r="I1006" s="125"/>
      <c r="J1006" s="125"/>
      <c r="K1006" s="125"/>
      <c r="L1006" s="125"/>
    </row>
    <row r="1007" spans="1:12" x14ac:dyDescent="0.25">
      <c r="A1007" s="6"/>
      <c r="B1007" s="6"/>
      <c r="C1007" s="123"/>
      <c r="D1007" s="123"/>
      <c r="E1007" s="123"/>
      <c r="F1007" s="124"/>
      <c r="G1007" s="124"/>
      <c r="H1007" s="6"/>
      <c r="I1007" s="125"/>
      <c r="J1007" s="125"/>
      <c r="K1007" s="125"/>
      <c r="L1007" s="125"/>
    </row>
    <row r="1008" spans="1:12" x14ac:dyDescent="0.25">
      <c r="A1008" s="6"/>
      <c r="B1008" s="6"/>
      <c r="C1008" s="123"/>
      <c r="D1008" s="123"/>
      <c r="E1008" s="123"/>
      <c r="F1008" s="124"/>
      <c r="G1008" s="124"/>
      <c r="H1008" s="6"/>
      <c r="I1008" s="125"/>
      <c r="J1008" s="125"/>
      <c r="K1008" s="125"/>
      <c r="L1008" s="125"/>
    </row>
    <row r="1009" spans="1:12" x14ac:dyDescent="0.25">
      <c r="A1009" s="6"/>
      <c r="B1009" s="6"/>
      <c r="C1009" s="123"/>
      <c r="D1009" s="123"/>
      <c r="E1009" s="123"/>
      <c r="F1009" s="124"/>
      <c r="G1009" s="124"/>
      <c r="H1009" s="6"/>
      <c r="I1009" s="125"/>
      <c r="J1009" s="125"/>
      <c r="K1009" s="125"/>
      <c r="L1009" s="125"/>
    </row>
    <row r="1010" spans="1:12" x14ac:dyDescent="0.25">
      <c r="A1010" s="6"/>
      <c r="B1010" s="6"/>
      <c r="C1010" s="123"/>
      <c r="D1010" s="123"/>
      <c r="E1010" s="123"/>
      <c r="F1010" s="124"/>
      <c r="G1010" s="124"/>
      <c r="H1010" s="6"/>
      <c r="I1010" s="125"/>
      <c r="J1010" s="125"/>
      <c r="K1010" s="125"/>
      <c r="L1010" s="125"/>
    </row>
    <row r="1011" spans="1:12" x14ac:dyDescent="0.25">
      <c r="A1011" s="6"/>
      <c r="B1011" s="6"/>
      <c r="C1011" s="123"/>
      <c r="D1011" s="123"/>
      <c r="E1011" s="123"/>
      <c r="F1011" s="124"/>
      <c r="G1011" s="124"/>
      <c r="H1011" s="6"/>
      <c r="I1011" s="125"/>
      <c r="J1011" s="125"/>
      <c r="K1011" s="125"/>
      <c r="L1011" s="125"/>
    </row>
    <row r="1012" spans="1:12" x14ac:dyDescent="0.25">
      <c r="A1012" s="6"/>
      <c r="B1012" s="6"/>
      <c r="C1012" s="123"/>
      <c r="D1012" s="123"/>
      <c r="E1012" s="123"/>
      <c r="F1012" s="124"/>
      <c r="G1012" s="124"/>
      <c r="H1012" s="6"/>
      <c r="I1012" s="125"/>
      <c r="J1012" s="125"/>
      <c r="K1012" s="125"/>
      <c r="L1012" s="125"/>
    </row>
    <row r="1013" spans="1:12" x14ac:dyDescent="0.25">
      <c r="A1013" s="6"/>
      <c r="B1013" s="6"/>
      <c r="C1013" s="123"/>
      <c r="D1013" s="123"/>
      <c r="E1013" s="123"/>
      <c r="F1013" s="124"/>
      <c r="G1013" s="124"/>
      <c r="H1013" s="6"/>
      <c r="I1013" s="125"/>
      <c r="J1013" s="125"/>
      <c r="K1013" s="125"/>
      <c r="L1013" s="125"/>
    </row>
    <row r="1014" spans="1:12" x14ac:dyDescent="0.25">
      <c r="A1014" s="6"/>
      <c r="B1014" s="6"/>
      <c r="C1014" s="123"/>
      <c r="D1014" s="123"/>
      <c r="E1014" s="123"/>
      <c r="F1014" s="124"/>
      <c r="G1014" s="124"/>
      <c r="H1014" s="6"/>
      <c r="I1014" s="125"/>
      <c r="J1014" s="125"/>
      <c r="K1014" s="125"/>
      <c r="L1014" s="125"/>
    </row>
    <row r="1015" spans="1:12" x14ac:dyDescent="0.25">
      <c r="A1015" s="6"/>
      <c r="B1015" s="6"/>
      <c r="C1015" s="123"/>
      <c r="D1015" s="123"/>
      <c r="E1015" s="123"/>
      <c r="F1015" s="124"/>
      <c r="G1015" s="124"/>
      <c r="H1015" s="6"/>
      <c r="I1015" s="125"/>
      <c r="J1015" s="125"/>
      <c r="K1015" s="125"/>
      <c r="L1015" s="125"/>
    </row>
    <row r="1016" spans="1:12" x14ac:dyDescent="0.25">
      <c r="A1016" s="6"/>
      <c r="B1016" s="6"/>
      <c r="C1016" s="123"/>
      <c r="D1016" s="123"/>
      <c r="E1016" s="123"/>
      <c r="F1016" s="124"/>
      <c r="G1016" s="124"/>
      <c r="H1016" s="6"/>
      <c r="I1016" s="125"/>
      <c r="J1016" s="125"/>
      <c r="K1016" s="125"/>
      <c r="L1016" s="125"/>
    </row>
    <row r="1017" spans="1:12" x14ac:dyDescent="0.25">
      <c r="A1017" s="6"/>
      <c r="B1017" s="6"/>
      <c r="C1017" s="123"/>
      <c r="D1017" s="123"/>
      <c r="E1017" s="123"/>
      <c r="F1017" s="124"/>
      <c r="G1017" s="124"/>
      <c r="H1017" s="6"/>
      <c r="I1017" s="125"/>
      <c r="J1017" s="125"/>
      <c r="K1017" s="125"/>
      <c r="L1017" s="125"/>
    </row>
    <row r="1018" spans="1:12" x14ac:dyDescent="0.25">
      <c r="A1018" s="6"/>
      <c r="B1018" s="6"/>
      <c r="C1018" s="123"/>
      <c r="D1018" s="123"/>
      <c r="E1018" s="123"/>
      <c r="F1018" s="124"/>
      <c r="G1018" s="124"/>
      <c r="H1018" s="6"/>
      <c r="I1018" s="125"/>
      <c r="J1018" s="125"/>
      <c r="K1018" s="125"/>
      <c r="L1018" s="125"/>
    </row>
    <row r="1019" spans="1:12" x14ac:dyDescent="0.25">
      <c r="A1019" s="6"/>
      <c r="B1019" s="6"/>
      <c r="C1019" s="123"/>
      <c r="D1019" s="123"/>
      <c r="E1019" s="123"/>
      <c r="F1019" s="124"/>
      <c r="G1019" s="124"/>
      <c r="H1019" s="6"/>
      <c r="I1019" s="125"/>
      <c r="J1019" s="125"/>
      <c r="K1019" s="125"/>
      <c r="L1019" s="125"/>
    </row>
    <row r="1020" spans="1:12" x14ac:dyDescent="0.25">
      <c r="A1020" s="6"/>
      <c r="B1020" s="6"/>
      <c r="C1020" s="123"/>
      <c r="D1020" s="123"/>
      <c r="E1020" s="123"/>
      <c r="F1020" s="124"/>
      <c r="G1020" s="124"/>
      <c r="H1020" s="6"/>
      <c r="I1020" s="125"/>
      <c r="J1020" s="125"/>
      <c r="K1020" s="125"/>
      <c r="L1020" s="125"/>
    </row>
    <row r="1021" spans="1:12" x14ac:dyDescent="0.25">
      <c r="A1021" s="6"/>
      <c r="B1021" s="6"/>
      <c r="C1021" s="123"/>
      <c r="D1021" s="123"/>
      <c r="E1021" s="123"/>
      <c r="F1021" s="124"/>
      <c r="G1021" s="124"/>
      <c r="H1021" s="6"/>
      <c r="I1021" s="125"/>
      <c r="J1021" s="125"/>
      <c r="K1021" s="125"/>
      <c r="L1021" s="125"/>
    </row>
    <row r="1022" spans="1:12" x14ac:dyDescent="0.25">
      <c r="A1022" s="6"/>
      <c r="B1022" s="6"/>
      <c r="C1022" s="123"/>
      <c r="D1022" s="123"/>
      <c r="E1022" s="123"/>
      <c r="F1022" s="124"/>
      <c r="G1022" s="124"/>
      <c r="H1022" s="6"/>
      <c r="I1022" s="125"/>
      <c r="J1022" s="125"/>
      <c r="K1022" s="125"/>
      <c r="L1022" s="125"/>
    </row>
    <row r="1023" spans="1:12" x14ac:dyDescent="0.25">
      <c r="A1023" s="6"/>
      <c r="B1023" s="6"/>
      <c r="C1023" s="123"/>
      <c r="D1023" s="123"/>
      <c r="E1023" s="123"/>
      <c r="F1023" s="124"/>
      <c r="G1023" s="124"/>
      <c r="H1023" s="6"/>
      <c r="I1023" s="125"/>
      <c r="J1023" s="125"/>
      <c r="K1023" s="125"/>
      <c r="L1023" s="125"/>
    </row>
    <row r="1024" spans="1:12" x14ac:dyDescent="0.25">
      <c r="A1024" s="6"/>
      <c r="B1024" s="6"/>
      <c r="C1024" s="123"/>
      <c r="D1024" s="123"/>
      <c r="E1024" s="123"/>
      <c r="F1024" s="124"/>
      <c r="G1024" s="124"/>
      <c r="H1024" s="6"/>
      <c r="I1024" s="125"/>
      <c r="J1024" s="125"/>
      <c r="K1024" s="125"/>
      <c r="L1024" s="125"/>
    </row>
    <row r="1025" spans="1:12" x14ac:dyDescent="0.25">
      <c r="A1025" s="6"/>
      <c r="B1025" s="6"/>
      <c r="C1025" s="123"/>
      <c r="D1025" s="123"/>
      <c r="E1025" s="123"/>
      <c r="F1025" s="124"/>
      <c r="G1025" s="124"/>
      <c r="H1025" s="6"/>
      <c r="I1025" s="125"/>
      <c r="J1025" s="125"/>
      <c r="K1025" s="125"/>
      <c r="L1025" s="125"/>
    </row>
    <row r="1026" spans="1:12" x14ac:dyDescent="0.25">
      <c r="A1026" s="6"/>
      <c r="B1026" s="6"/>
      <c r="C1026" s="123"/>
      <c r="D1026" s="123"/>
      <c r="E1026" s="123"/>
      <c r="F1026" s="124"/>
      <c r="G1026" s="124"/>
      <c r="H1026" s="6"/>
      <c r="I1026" s="125"/>
      <c r="J1026" s="125"/>
      <c r="K1026" s="125"/>
      <c r="L1026" s="125"/>
    </row>
    <row r="1027" spans="1:12" x14ac:dyDescent="0.25">
      <c r="A1027" s="6"/>
      <c r="B1027" s="6"/>
      <c r="C1027" s="123"/>
      <c r="D1027" s="123"/>
      <c r="E1027" s="123"/>
      <c r="F1027" s="124"/>
      <c r="G1027" s="124"/>
      <c r="H1027" s="6"/>
      <c r="I1027" s="125"/>
      <c r="J1027" s="125"/>
      <c r="K1027" s="125"/>
      <c r="L1027" s="125"/>
    </row>
    <row r="1028" spans="1:12" x14ac:dyDescent="0.25">
      <c r="A1028" s="6"/>
      <c r="B1028" s="6"/>
      <c r="C1028" s="123"/>
      <c r="D1028" s="123"/>
      <c r="E1028" s="123"/>
      <c r="F1028" s="124"/>
      <c r="G1028" s="124"/>
      <c r="H1028" s="6"/>
      <c r="I1028" s="125"/>
      <c r="J1028" s="125"/>
      <c r="K1028" s="125"/>
      <c r="L1028" s="125"/>
    </row>
    <row r="1029" spans="1:12" x14ac:dyDescent="0.25">
      <c r="A1029" s="6"/>
      <c r="B1029" s="6"/>
      <c r="C1029" s="123"/>
      <c r="D1029" s="123"/>
      <c r="E1029" s="123"/>
      <c r="F1029" s="124"/>
      <c r="G1029" s="124"/>
      <c r="H1029" s="6"/>
      <c r="I1029" s="125"/>
      <c r="J1029" s="125"/>
      <c r="K1029" s="125"/>
      <c r="L1029" s="125"/>
    </row>
    <row r="1030" spans="1:12" x14ac:dyDescent="0.25">
      <c r="A1030" s="6"/>
      <c r="B1030" s="6"/>
      <c r="C1030" s="123"/>
      <c r="D1030" s="123"/>
      <c r="E1030" s="123"/>
      <c r="F1030" s="124"/>
      <c r="G1030" s="124"/>
      <c r="H1030" s="6"/>
      <c r="I1030" s="125"/>
      <c r="J1030" s="125"/>
      <c r="K1030" s="125"/>
      <c r="L1030" s="125"/>
    </row>
    <row r="1031" spans="1:12" x14ac:dyDescent="0.25">
      <c r="A1031" s="6"/>
      <c r="B1031" s="6"/>
      <c r="C1031" s="123"/>
      <c r="D1031" s="123"/>
      <c r="E1031" s="123"/>
      <c r="F1031" s="124"/>
      <c r="G1031" s="124"/>
      <c r="H1031" s="6"/>
      <c r="I1031" s="125"/>
      <c r="J1031" s="125"/>
      <c r="K1031" s="125"/>
      <c r="L1031" s="125"/>
    </row>
    <row r="1032" spans="1:12" x14ac:dyDescent="0.25">
      <c r="A1032" s="6"/>
      <c r="B1032" s="6"/>
      <c r="C1032" s="123"/>
      <c r="D1032" s="123"/>
      <c r="E1032" s="123"/>
      <c r="F1032" s="124"/>
      <c r="G1032" s="124"/>
      <c r="H1032" s="6"/>
      <c r="I1032" s="125"/>
      <c r="J1032" s="125"/>
      <c r="K1032" s="125"/>
      <c r="L1032" s="125"/>
    </row>
    <row r="1033" spans="1:12" x14ac:dyDescent="0.25">
      <c r="A1033" s="6"/>
      <c r="B1033" s="6"/>
      <c r="C1033" s="123"/>
      <c r="D1033" s="123"/>
      <c r="E1033" s="123"/>
      <c r="F1033" s="124"/>
      <c r="G1033" s="124"/>
      <c r="H1033" s="6"/>
      <c r="I1033" s="125"/>
      <c r="J1033" s="125"/>
      <c r="K1033" s="125"/>
      <c r="L1033" s="125"/>
    </row>
    <row r="1034" spans="1:12" x14ac:dyDescent="0.25">
      <c r="A1034" s="6"/>
      <c r="B1034" s="6"/>
      <c r="C1034" s="123"/>
      <c r="D1034" s="123"/>
      <c r="E1034" s="123"/>
      <c r="F1034" s="124"/>
      <c r="G1034" s="124"/>
      <c r="H1034" s="6"/>
      <c r="I1034" s="125"/>
      <c r="J1034" s="125"/>
      <c r="K1034" s="125"/>
      <c r="L1034" s="125"/>
    </row>
    <row r="1035" spans="1:12" x14ac:dyDescent="0.25">
      <c r="A1035" s="6"/>
      <c r="B1035" s="6"/>
      <c r="C1035" s="123"/>
      <c r="D1035" s="123"/>
      <c r="E1035" s="123"/>
      <c r="F1035" s="124"/>
      <c r="G1035" s="124"/>
      <c r="H1035" s="6"/>
      <c r="I1035" s="125"/>
      <c r="J1035" s="125"/>
      <c r="K1035" s="125"/>
      <c r="L1035" s="125"/>
    </row>
    <row r="1036" spans="1:12" x14ac:dyDescent="0.25">
      <c r="A1036" s="6"/>
      <c r="B1036" s="6"/>
      <c r="C1036" s="123"/>
      <c r="D1036" s="123"/>
      <c r="E1036" s="123"/>
      <c r="F1036" s="124"/>
      <c r="G1036" s="124"/>
      <c r="H1036" s="6"/>
      <c r="I1036" s="125"/>
      <c r="J1036" s="125"/>
      <c r="K1036" s="125"/>
      <c r="L1036" s="125"/>
    </row>
    <row r="1037" spans="1:12" x14ac:dyDescent="0.25">
      <c r="A1037" s="6"/>
      <c r="B1037" s="6"/>
      <c r="C1037" s="123"/>
      <c r="D1037" s="123"/>
      <c r="E1037" s="123"/>
      <c r="F1037" s="124"/>
      <c r="G1037" s="124"/>
      <c r="H1037" s="6"/>
      <c r="I1037" s="125"/>
      <c r="J1037" s="125"/>
      <c r="K1037" s="125"/>
      <c r="L1037" s="125"/>
    </row>
    <row r="1038" spans="1:12" x14ac:dyDescent="0.25">
      <c r="A1038" s="6"/>
      <c r="B1038" s="6"/>
      <c r="C1038" s="123"/>
      <c r="D1038" s="123"/>
      <c r="E1038" s="123"/>
      <c r="F1038" s="124"/>
      <c r="G1038" s="124"/>
      <c r="H1038" s="6"/>
      <c r="I1038" s="125"/>
      <c r="J1038" s="125"/>
      <c r="K1038" s="125"/>
      <c r="L1038" s="125"/>
    </row>
    <row r="1039" spans="1:12" x14ac:dyDescent="0.25">
      <c r="A1039" s="6"/>
      <c r="B1039" s="6"/>
      <c r="C1039" s="123"/>
      <c r="D1039" s="123"/>
      <c r="E1039" s="123"/>
      <c r="F1039" s="124"/>
      <c r="G1039" s="124"/>
      <c r="H1039" s="6"/>
      <c r="I1039" s="125"/>
      <c r="J1039" s="125"/>
      <c r="K1039" s="125"/>
      <c r="L1039" s="125"/>
    </row>
    <row r="1040" spans="1:12" x14ac:dyDescent="0.25">
      <c r="A1040" s="6"/>
      <c r="B1040" s="6"/>
      <c r="C1040" s="123"/>
      <c r="D1040" s="123"/>
      <c r="E1040" s="123"/>
      <c r="F1040" s="124"/>
      <c r="G1040" s="124"/>
      <c r="H1040" s="6"/>
      <c r="I1040" s="125"/>
      <c r="J1040" s="125"/>
      <c r="K1040" s="125"/>
      <c r="L1040" s="125"/>
    </row>
    <row r="1041" spans="1:12" x14ac:dyDescent="0.25">
      <c r="A1041" s="6"/>
      <c r="B1041" s="6"/>
      <c r="C1041" s="123"/>
      <c r="D1041" s="123"/>
      <c r="E1041" s="123"/>
      <c r="F1041" s="124"/>
      <c r="G1041" s="124"/>
      <c r="H1041" s="6"/>
      <c r="I1041" s="125"/>
      <c r="J1041" s="125"/>
      <c r="K1041" s="125"/>
      <c r="L1041" s="125"/>
    </row>
    <row r="1042" spans="1:12" x14ac:dyDescent="0.25">
      <c r="A1042" s="6"/>
      <c r="B1042" s="6"/>
      <c r="C1042" s="123"/>
      <c r="D1042" s="123"/>
      <c r="E1042" s="123"/>
      <c r="F1042" s="124"/>
      <c r="G1042" s="124"/>
      <c r="H1042" s="6"/>
      <c r="I1042" s="125"/>
      <c r="J1042" s="125"/>
      <c r="K1042" s="125"/>
      <c r="L1042" s="125"/>
    </row>
    <row r="1043" spans="1:12" x14ac:dyDescent="0.25">
      <c r="A1043" s="6"/>
      <c r="B1043" s="6"/>
      <c r="C1043" s="123"/>
      <c r="D1043" s="123"/>
      <c r="E1043" s="123"/>
      <c r="F1043" s="124"/>
      <c r="G1043" s="124"/>
      <c r="H1043" s="6"/>
      <c r="I1043" s="125"/>
      <c r="J1043" s="125"/>
      <c r="K1043" s="125"/>
      <c r="L1043" s="125"/>
    </row>
    <row r="1044" spans="1:12" x14ac:dyDescent="0.25">
      <c r="A1044" s="6"/>
      <c r="B1044" s="6"/>
      <c r="C1044" s="123"/>
      <c r="D1044" s="123"/>
      <c r="E1044" s="123"/>
      <c r="F1044" s="124"/>
      <c r="G1044" s="124"/>
      <c r="H1044" s="6"/>
      <c r="I1044" s="125"/>
      <c r="J1044" s="125"/>
      <c r="K1044" s="125"/>
      <c r="L1044" s="125"/>
    </row>
    <row r="1045" spans="1:12" x14ac:dyDescent="0.25">
      <c r="A1045" s="6"/>
      <c r="B1045" s="6"/>
      <c r="C1045" s="123"/>
      <c r="D1045" s="123"/>
      <c r="E1045" s="123"/>
      <c r="F1045" s="124"/>
      <c r="G1045" s="124"/>
      <c r="H1045" s="6"/>
      <c r="I1045" s="125"/>
      <c r="J1045" s="125"/>
      <c r="K1045" s="125"/>
      <c r="L1045" s="125"/>
    </row>
    <row r="1046" spans="1:12" x14ac:dyDescent="0.25">
      <c r="A1046" s="6"/>
      <c r="B1046" s="6"/>
      <c r="C1046" s="123"/>
      <c r="D1046" s="123"/>
      <c r="E1046" s="123"/>
      <c r="F1046" s="124"/>
      <c r="G1046" s="124"/>
      <c r="H1046" s="6"/>
      <c r="I1046" s="125"/>
      <c r="J1046" s="125"/>
      <c r="K1046" s="125"/>
      <c r="L1046" s="125"/>
    </row>
    <row r="1047" spans="1:12" x14ac:dyDescent="0.25">
      <c r="A1047" s="6"/>
      <c r="B1047" s="6"/>
      <c r="C1047" s="123"/>
      <c r="D1047" s="123"/>
      <c r="E1047" s="123"/>
      <c r="F1047" s="124"/>
      <c r="G1047" s="124"/>
      <c r="H1047" s="6"/>
      <c r="I1047" s="125"/>
      <c r="J1047" s="125"/>
      <c r="K1047" s="125"/>
      <c r="L1047" s="125"/>
    </row>
    <row r="1048" spans="1:12" x14ac:dyDescent="0.25">
      <c r="A1048" s="6"/>
      <c r="B1048" s="6"/>
      <c r="C1048" s="123"/>
      <c r="D1048" s="123"/>
      <c r="E1048" s="123"/>
      <c r="F1048" s="124"/>
      <c r="G1048" s="124"/>
      <c r="H1048" s="6"/>
      <c r="I1048" s="125"/>
      <c r="J1048" s="125"/>
      <c r="K1048" s="125"/>
      <c r="L1048" s="125"/>
    </row>
    <row r="1049" spans="1:12" x14ac:dyDescent="0.25">
      <c r="A1049" s="6"/>
      <c r="B1049" s="6"/>
      <c r="C1049" s="123"/>
      <c r="D1049" s="123"/>
      <c r="E1049" s="123"/>
      <c r="F1049" s="124"/>
      <c r="G1049" s="124"/>
      <c r="H1049" s="6"/>
      <c r="I1049" s="125"/>
      <c r="J1049" s="125"/>
      <c r="K1049" s="125"/>
      <c r="L1049" s="125"/>
    </row>
    <row r="1050" spans="1:12" x14ac:dyDescent="0.25">
      <c r="A1050" s="6"/>
      <c r="B1050" s="6"/>
      <c r="C1050" s="123"/>
      <c r="D1050" s="123"/>
      <c r="E1050" s="123"/>
      <c r="F1050" s="124"/>
      <c r="G1050" s="124"/>
      <c r="H1050" s="6"/>
      <c r="I1050" s="125"/>
      <c r="J1050" s="125"/>
      <c r="K1050" s="125"/>
      <c r="L1050" s="125"/>
    </row>
    <row r="1051" spans="1:12" x14ac:dyDescent="0.25">
      <c r="A1051" s="6"/>
      <c r="B1051" s="6"/>
      <c r="C1051" s="123"/>
      <c r="D1051" s="123"/>
      <c r="E1051" s="123"/>
      <c r="F1051" s="124"/>
      <c r="G1051" s="124"/>
      <c r="H1051" s="6"/>
      <c r="I1051" s="125"/>
      <c r="J1051" s="125"/>
      <c r="K1051" s="125"/>
      <c r="L1051" s="125"/>
    </row>
    <row r="1052" spans="1:12" x14ac:dyDescent="0.25">
      <c r="A1052" s="6"/>
      <c r="B1052" s="6"/>
      <c r="C1052" s="123"/>
      <c r="D1052" s="123"/>
      <c r="E1052" s="123"/>
      <c r="F1052" s="124"/>
      <c r="G1052" s="124"/>
      <c r="H1052" s="6"/>
      <c r="I1052" s="125"/>
      <c r="J1052" s="125"/>
      <c r="K1052" s="125"/>
      <c r="L1052" s="125"/>
    </row>
    <row r="1053" spans="1:12" x14ac:dyDescent="0.25">
      <c r="A1053" s="6"/>
      <c r="B1053" s="6"/>
      <c r="C1053" s="123"/>
      <c r="D1053" s="123"/>
      <c r="E1053" s="123"/>
      <c r="F1053" s="124"/>
      <c r="G1053" s="124"/>
      <c r="H1053" s="6"/>
      <c r="I1053" s="125"/>
      <c r="J1053" s="125"/>
      <c r="K1053" s="125"/>
      <c r="L1053" s="125"/>
    </row>
    <row r="1054" spans="1:12" x14ac:dyDescent="0.25">
      <c r="A1054" s="6"/>
      <c r="B1054" s="6"/>
      <c r="C1054" s="123"/>
      <c r="D1054" s="123"/>
      <c r="E1054" s="123"/>
      <c r="F1054" s="124"/>
      <c r="G1054" s="124"/>
      <c r="H1054" s="6"/>
      <c r="I1054" s="125"/>
      <c r="J1054" s="125"/>
      <c r="K1054" s="125"/>
      <c r="L1054" s="125"/>
    </row>
    <row r="1055" spans="1:12" x14ac:dyDescent="0.25">
      <c r="A1055" s="6"/>
      <c r="B1055" s="6"/>
      <c r="C1055" s="123"/>
      <c r="D1055" s="123"/>
      <c r="E1055" s="123"/>
      <c r="F1055" s="124"/>
      <c r="G1055" s="124"/>
      <c r="H1055" s="6"/>
      <c r="I1055" s="125"/>
      <c r="J1055" s="125"/>
      <c r="K1055" s="125"/>
      <c r="L1055" s="125"/>
    </row>
    <row r="1056" spans="1:12" x14ac:dyDescent="0.25">
      <c r="A1056" s="6"/>
      <c r="B1056" s="6"/>
      <c r="C1056" s="123"/>
      <c r="D1056" s="123"/>
      <c r="E1056" s="123"/>
      <c r="F1056" s="124"/>
      <c r="G1056" s="124"/>
      <c r="H1056" s="6"/>
      <c r="I1056" s="125"/>
      <c r="J1056" s="125"/>
      <c r="K1056" s="125"/>
      <c r="L1056" s="125"/>
    </row>
    <row r="1057" spans="1:12" x14ac:dyDescent="0.25">
      <c r="A1057" s="6"/>
      <c r="B1057" s="6"/>
      <c r="C1057" s="123"/>
      <c r="D1057" s="123"/>
      <c r="E1057" s="123"/>
      <c r="F1057" s="124"/>
      <c r="G1057" s="124"/>
      <c r="H1057" s="6"/>
      <c r="I1057" s="125"/>
      <c r="J1057" s="125"/>
      <c r="K1057" s="125"/>
      <c r="L1057" s="125"/>
    </row>
    <row r="1058" spans="1:12" x14ac:dyDescent="0.25">
      <c r="A1058" s="6"/>
      <c r="B1058" s="6"/>
      <c r="C1058" s="123"/>
      <c r="D1058" s="123"/>
      <c r="E1058" s="123"/>
      <c r="F1058" s="124"/>
      <c r="G1058" s="124"/>
      <c r="H1058" s="6"/>
      <c r="I1058" s="125"/>
      <c r="J1058" s="125"/>
      <c r="K1058" s="125"/>
      <c r="L1058" s="125"/>
    </row>
    <row r="1059" spans="1:12" x14ac:dyDescent="0.25">
      <c r="A1059" s="6"/>
      <c r="B1059" s="6"/>
      <c r="C1059" s="123"/>
      <c r="D1059" s="123"/>
      <c r="E1059" s="123"/>
      <c r="F1059" s="124"/>
      <c r="G1059" s="124"/>
      <c r="H1059" s="6"/>
      <c r="I1059" s="125"/>
      <c r="J1059" s="125"/>
      <c r="K1059" s="125"/>
      <c r="L1059" s="125"/>
    </row>
    <row r="1060" spans="1:12" x14ac:dyDescent="0.25">
      <c r="A1060" s="6"/>
      <c r="B1060" s="6"/>
      <c r="C1060" s="123"/>
      <c r="D1060" s="123"/>
      <c r="E1060" s="123"/>
      <c r="F1060" s="124"/>
      <c r="G1060" s="124"/>
      <c r="H1060" s="6"/>
      <c r="I1060" s="125"/>
      <c r="J1060" s="125"/>
      <c r="K1060" s="125"/>
      <c r="L1060" s="125"/>
    </row>
    <row r="1061" spans="1:12" x14ac:dyDescent="0.25">
      <c r="A1061" s="6"/>
      <c r="B1061" s="6"/>
      <c r="C1061" s="123"/>
      <c r="D1061" s="123"/>
      <c r="E1061" s="123"/>
      <c r="F1061" s="124"/>
      <c r="G1061" s="124"/>
      <c r="H1061" s="6"/>
      <c r="I1061" s="125"/>
      <c r="J1061" s="125"/>
      <c r="K1061" s="125"/>
      <c r="L1061" s="125"/>
    </row>
    <row r="1062" spans="1:12" x14ac:dyDescent="0.25">
      <c r="A1062" s="6"/>
      <c r="B1062" s="6"/>
      <c r="C1062" s="123"/>
      <c r="D1062" s="123"/>
      <c r="E1062" s="123"/>
      <c r="F1062" s="124"/>
      <c r="G1062" s="124"/>
      <c r="H1062" s="6"/>
      <c r="I1062" s="125"/>
      <c r="J1062" s="125"/>
      <c r="K1062" s="125"/>
      <c r="L1062" s="125"/>
    </row>
    <row r="1063" spans="1:12" x14ac:dyDescent="0.25">
      <c r="A1063" s="6"/>
      <c r="B1063" s="6"/>
      <c r="C1063" s="123"/>
      <c r="D1063" s="123"/>
      <c r="E1063" s="123"/>
      <c r="F1063" s="124"/>
      <c r="G1063" s="124"/>
      <c r="H1063" s="6"/>
      <c r="I1063" s="125"/>
      <c r="J1063" s="125"/>
      <c r="K1063" s="125"/>
      <c r="L1063" s="125"/>
    </row>
    <row r="1064" spans="1:12" x14ac:dyDescent="0.25">
      <c r="A1064" s="6"/>
      <c r="B1064" s="6"/>
      <c r="C1064" s="123"/>
      <c r="D1064" s="123"/>
      <c r="E1064" s="123"/>
      <c r="F1064" s="124"/>
      <c r="G1064" s="124"/>
      <c r="H1064" s="6"/>
      <c r="I1064" s="125"/>
      <c r="J1064" s="125"/>
      <c r="K1064" s="125"/>
      <c r="L1064" s="125"/>
    </row>
    <row r="1065" spans="1:12" x14ac:dyDescent="0.25">
      <c r="A1065" s="6"/>
      <c r="B1065" s="6"/>
      <c r="C1065" s="123"/>
      <c r="D1065" s="123"/>
      <c r="E1065" s="123"/>
      <c r="F1065" s="124"/>
      <c r="G1065" s="124"/>
      <c r="H1065" s="6"/>
      <c r="I1065" s="125"/>
      <c r="J1065" s="125"/>
      <c r="K1065" s="125"/>
      <c r="L1065" s="125"/>
    </row>
    <row r="1066" spans="1:12" x14ac:dyDescent="0.25">
      <c r="A1066" s="6"/>
      <c r="B1066" s="6"/>
      <c r="C1066" s="123"/>
      <c r="D1066" s="123"/>
      <c r="E1066" s="123"/>
      <c r="F1066" s="124"/>
      <c r="G1066" s="124"/>
      <c r="H1066" s="6"/>
      <c r="I1066" s="125"/>
      <c r="J1066" s="125"/>
      <c r="K1066" s="125"/>
      <c r="L1066" s="125"/>
    </row>
    <row r="1067" spans="1:12" x14ac:dyDescent="0.25">
      <c r="A1067" s="6"/>
      <c r="B1067" s="6"/>
      <c r="C1067" s="123"/>
      <c r="D1067" s="123"/>
      <c r="E1067" s="123"/>
      <c r="F1067" s="124"/>
      <c r="G1067" s="124"/>
      <c r="H1067" s="6"/>
      <c r="I1067" s="125"/>
      <c r="J1067" s="125"/>
      <c r="K1067" s="125"/>
      <c r="L1067" s="125"/>
    </row>
    <row r="1068" spans="1:12" x14ac:dyDescent="0.25">
      <c r="A1068" s="6"/>
      <c r="B1068" s="6"/>
      <c r="C1068" s="123"/>
      <c r="D1068" s="123"/>
      <c r="E1068" s="123"/>
      <c r="F1068" s="124"/>
      <c r="G1068" s="124"/>
      <c r="H1068" s="6"/>
      <c r="I1068" s="125"/>
      <c r="J1068" s="125"/>
      <c r="K1068" s="125"/>
      <c r="L1068" s="125"/>
    </row>
    <row r="1069" spans="1:12" x14ac:dyDescent="0.25">
      <c r="A1069" s="6"/>
      <c r="B1069" s="6"/>
      <c r="C1069" s="123"/>
      <c r="D1069" s="123"/>
      <c r="E1069" s="123"/>
      <c r="F1069" s="124"/>
      <c r="G1069" s="124"/>
      <c r="H1069" s="6"/>
      <c r="I1069" s="125"/>
      <c r="J1069" s="125"/>
      <c r="K1069" s="125"/>
      <c r="L1069" s="125"/>
    </row>
    <row r="1070" spans="1:12" x14ac:dyDescent="0.25">
      <c r="A1070" s="6"/>
      <c r="B1070" s="6"/>
      <c r="C1070" s="123"/>
      <c r="D1070" s="123"/>
      <c r="E1070" s="123"/>
      <c r="F1070" s="124"/>
      <c r="G1070" s="124"/>
      <c r="H1070" s="6"/>
      <c r="I1070" s="125"/>
      <c r="J1070" s="125"/>
      <c r="K1070" s="125"/>
      <c r="L1070" s="125"/>
    </row>
    <row r="1071" spans="1:12" x14ac:dyDescent="0.25">
      <c r="A1071" s="6"/>
      <c r="B1071" s="6"/>
      <c r="C1071" s="123"/>
      <c r="D1071" s="123"/>
      <c r="E1071" s="123"/>
      <c r="F1071" s="124"/>
      <c r="G1071" s="124"/>
      <c r="H1071" s="6"/>
      <c r="I1071" s="125"/>
      <c r="J1071" s="125"/>
      <c r="K1071" s="125"/>
      <c r="L1071" s="125"/>
    </row>
    <row r="1072" spans="1:12" x14ac:dyDescent="0.25">
      <c r="A1072" s="6"/>
      <c r="B1072" s="6"/>
      <c r="C1072" s="123"/>
      <c r="D1072" s="123"/>
      <c r="E1072" s="123"/>
      <c r="F1072" s="124"/>
      <c r="G1072" s="124"/>
      <c r="H1072" s="6"/>
      <c r="I1072" s="125"/>
      <c r="J1072" s="125"/>
      <c r="K1072" s="125"/>
      <c r="L1072" s="125"/>
    </row>
    <row r="1073" spans="1:12" x14ac:dyDescent="0.25">
      <c r="A1073" s="6"/>
      <c r="B1073" s="6"/>
      <c r="C1073" s="123"/>
      <c r="D1073" s="123"/>
      <c r="E1073" s="123"/>
      <c r="F1073" s="124"/>
      <c r="G1073" s="124"/>
      <c r="H1073" s="6"/>
      <c r="I1073" s="125"/>
      <c r="J1073" s="125"/>
      <c r="K1073" s="125"/>
      <c r="L1073" s="125"/>
    </row>
    <row r="1074" spans="1:12" x14ac:dyDescent="0.25">
      <c r="A1074" s="6"/>
      <c r="B1074" s="6"/>
      <c r="C1074" s="123"/>
      <c r="D1074" s="123"/>
      <c r="E1074" s="123"/>
      <c r="F1074" s="124"/>
      <c r="G1074" s="124"/>
      <c r="H1074" s="6"/>
      <c r="I1074" s="125"/>
      <c r="J1074" s="125"/>
      <c r="K1074" s="125"/>
      <c r="L1074" s="125"/>
    </row>
    <row r="1075" spans="1:12" x14ac:dyDescent="0.25">
      <c r="A1075" s="6"/>
      <c r="B1075" s="6"/>
      <c r="C1075" s="123"/>
      <c r="D1075" s="123"/>
      <c r="E1075" s="123"/>
      <c r="F1075" s="124"/>
      <c r="G1075" s="124"/>
      <c r="H1075" s="6"/>
      <c r="I1075" s="125"/>
      <c r="J1075" s="125"/>
      <c r="K1075" s="125"/>
      <c r="L1075" s="125"/>
    </row>
    <row r="1076" spans="1:12" x14ac:dyDescent="0.25">
      <c r="A1076" s="6"/>
      <c r="B1076" s="6"/>
      <c r="C1076" s="123"/>
      <c r="D1076" s="123"/>
      <c r="E1076" s="123"/>
      <c r="F1076" s="124"/>
      <c r="G1076" s="124"/>
      <c r="H1076" s="6"/>
      <c r="I1076" s="125"/>
      <c r="J1076" s="125"/>
      <c r="K1076" s="125"/>
      <c r="L1076" s="125"/>
    </row>
    <row r="1077" spans="1:12" x14ac:dyDescent="0.25">
      <c r="A1077" s="6"/>
      <c r="B1077" s="6"/>
      <c r="C1077" s="123"/>
      <c r="D1077" s="123"/>
      <c r="E1077" s="123"/>
      <c r="F1077" s="124"/>
      <c r="G1077" s="124"/>
      <c r="H1077" s="6"/>
      <c r="I1077" s="125"/>
      <c r="J1077" s="125"/>
      <c r="K1077" s="125"/>
      <c r="L1077" s="125"/>
    </row>
    <row r="1078" spans="1:12" x14ac:dyDescent="0.25">
      <c r="A1078" s="6"/>
      <c r="B1078" s="6"/>
      <c r="C1078" s="123"/>
      <c r="D1078" s="123"/>
      <c r="E1078" s="123"/>
      <c r="F1078" s="124"/>
      <c r="G1078" s="124"/>
      <c r="H1078" s="6"/>
      <c r="I1078" s="125"/>
      <c r="J1078" s="125"/>
      <c r="K1078" s="125"/>
      <c r="L1078" s="125"/>
    </row>
    <row r="1079" spans="1:12" x14ac:dyDescent="0.25">
      <c r="A1079" s="6"/>
      <c r="B1079" s="6"/>
      <c r="C1079" s="123"/>
      <c r="D1079" s="123"/>
      <c r="E1079" s="123"/>
      <c r="F1079" s="124"/>
      <c r="G1079" s="124"/>
      <c r="H1079" s="6"/>
      <c r="I1079" s="125"/>
      <c r="J1079" s="125"/>
      <c r="K1079" s="125"/>
      <c r="L1079" s="125"/>
    </row>
    <row r="1080" spans="1:12" x14ac:dyDescent="0.25">
      <c r="A1080" s="6"/>
      <c r="B1080" s="6"/>
      <c r="C1080" s="123"/>
      <c r="D1080" s="123"/>
      <c r="E1080" s="123"/>
      <c r="F1080" s="124"/>
      <c r="G1080" s="124"/>
      <c r="H1080" s="6"/>
      <c r="I1080" s="125"/>
      <c r="J1080" s="125"/>
      <c r="K1080" s="125"/>
      <c r="L1080" s="125"/>
    </row>
    <row r="1081" spans="1:12" x14ac:dyDescent="0.25">
      <c r="A1081" s="6"/>
      <c r="B1081" s="6"/>
      <c r="C1081" s="123"/>
      <c r="D1081" s="123"/>
      <c r="E1081" s="123"/>
      <c r="F1081" s="124"/>
      <c r="G1081" s="124"/>
      <c r="H1081" s="6"/>
      <c r="I1081" s="125"/>
      <c r="J1081" s="125"/>
      <c r="K1081" s="125"/>
      <c r="L1081" s="125"/>
    </row>
    <row r="1082" spans="1:12" x14ac:dyDescent="0.25">
      <c r="A1082" s="6"/>
      <c r="B1082" s="6"/>
      <c r="C1082" s="123"/>
      <c r="D1082" s="123"/>
      <c r="E1082" s="123"/>
      <c r="F1082" s="124"/>
      <c r="G1082" s="124"/>
      <c r="H1082" s="6"/>
      <c r="I1082" s="125"/>
      <c r="J1082" s="125"/>
      <c r="K1082" s="125"/>
      <c r="L1082" s="125"/>
    </row>
    <row r="1083" spans="1:12" x14ac:dyDescent="0.25">
      <c r="A1083" s="6"/>
      <c r="B1083" s="6"/>
      <c r="C1083" s="123"/>
      <c r="D1083" s="123"/>
      <c r="E1083" s="123"/>
      <c r="F1083" s="124"/>
      <c r="G1083" s="124"/>
      <c r="H1083" s="6"/>
      <c r="I1083" s="125"/>
      <c r="J1083" s="125"/>
      <c r="K1083" s="125"/>
      <c r="L1083" s="125"/>
    </row>
    <row r="1084" spans="1:12" x14ac:dyDescent="0.25">
      <c r="A1084" s="6"/>
      <c r="B1084" s="6"/>
      <c r="C1084" s="123"/>
      <c r="D1084" s="123"/>
      <c r="E1084" s="123"/>
      <c r="F1084" s="124"/>
      <c r="G1084" s="124"/>
      <c r="H1084" s="6"/>
      <c r="I1084" s="125"/>
      <c r="J1084" s="125"/>
      <c r="K1084" s="125"/>
      <c r="L1084" s="125"/>
    </row>
    <row r="1085" spans="1:12" x14ac:dyDescent="0.25">
      <c r="A1085" s="6"/>
      <c r="B1085" s="6"/>
      <c r="C1085" s="123"/>
      <c r="D1085" s="123"/>
      <c r="E1085" s="123"/>
      <c r="F1085" s="124"/>
      <c r="G1085" s="124"/>
      <c r="H1085" s="6"/>
      <c r="I1085" s="125"/>
      <c r="J1085" s="125"/>
      <c r="K1085" s="125"/>
      <c r="L1085" s="125"/>
    </row>
    <row r="1086" spans="1:12" x14ac:dyDescent="0.25">
      <c r="A1086" s="6"/>
      <c r="B1086" s="6"/>
      <c r="C1086" s="123"/>
      <c r="D1086" s="123"/>
      <c r="E1086" s="123"/>
      <c r="F1086" s="124"/>
      <c r="G1086" s="124"/>
      <c r="H1086" s="6"/>
      <c r="I1086" s="125"/>
      <c r="J1086" s="125"/>
      <c r="K1086" s="125"/>
      <c r="L1086" s="125"/>
    </row>
    <row r="1087" spans="1:12" x14ac:dyDescent="0.25">
      <c r="A1087" s="6"/>
      <c r="B1087" s="6"/>
      <c r="C1087" s="123"/>
      <c r="D1087" s="123"/>
      <c r="E1087" s="123"/>
      <c r="F1087" s="124"/>
      <c r="G1087" s="124"/>
      <c r="H1087" s="6"/>
      <c r="I1087" s="125"/>
      <c r="J1087" s="125"/>
      <c r="K1087" s="125"/>
      <c r="L1087" s="125"/>
    </row>
    <row r="1088" spans="1:12" x14ac:dyDescent="0.25">
      <c r="A1088" s="6"/>
      <c r="B1088" s="6"/>
      <c r="C1088" s="123"/>
      <c r="D1088" s="123"/>
      <c r="E1088" s="123"/>
      <c r="F1088" s="124"/>
      <c r="G1088" s="124"/>
      <c r="H1088" s="6"/>
      <c r="I1088" s="125"/>
      <c r="J1088" s="125"/>
      <c r="K1088" s="125"/>
      <c r="L1088" s="125"/>
    </row>
    <row r="1089" spans="1:12" x14ac:dyDescent="0.25">
      <c r="A1089" s="6"/>
      <c r="B1089" s="6"/>
      <c r="C1089" s="123"/>
      <c r="D1089" s="123"/>
      <c r="E1089" s="123"/>
      <c r="F1089" s="124"/>
      <c r="G1089" s="124"/>
      <c r="H1089" s="6"/>
      <c r="I1089" s="125"/>
      <c r="J1089" s="125"/>
      <c r="K1089" s="125"/>
      <c r="L1089" s="125"/>
    </row>
    <row r="1090" spans="1:12" x14ac:dyDescent="0.25">
      <c r="A1090" s="6"/>
      <c r="B1090" s="6"/>
      <c r="C1090" s="123"/>
      <c r="D1090" s="123"/>
      <c r="E1090" s="123"/>
      <c r="F1090" s="124"/>
      <c r="G1090" s="124"/>
      <c r="H1090" s="6"/>
      <c r="I1090" s="125"/>
      <c r="J1090" s="125"/>
      <c r="K1090" s="125"/>
      <c r="L1090" s="125"/>
    </row>
    <row r="1091" spans="1:12" x14ac:dyDescent="0.25">
      <c r="A1091" s="6"/>
      <c r="B1091" s="6"/>
      <c r="C1091" s="123"/>
      <c r="D1091" s="123"/>
      <c r="E1091" s="123"/>
      <c r="F1091" s="124"/>
      <c r="G1091" s="124"/>
      <c r="H1091" s="6"/>
      <c r="I1091" s="125"/>
      <c r="J1091" s="125"/>
      <c r="K1091" s="125"/>
      <c r="L1091" s="125"/>
    </row>
    <row r="1092" spans="1:12" x14ac:dyDescent="0.25">
      <c r="A1092" s="6"/>
      <c r="B1092" s="6"/>
      <c r="C1092" s="123"/>
      <c r="D1092" s="123"/>
      <c r="E1092" s="123"/>
      <c r="F1092" s="124"/>
      <c r="G1092" s="124"/>
      <c r="H1092" s="6"/>
      <c r="I1092" s="125"/>
      <c r="J1092" s="125"/>
      <c r="K1092" s="125"/>
      <c r="L1092" s="125"/>
    </row>
    <row r="1093" spans="1:12" x14ac:dyDescent="0.25">
      <c r="A1093" s="6"/>
      <c r="B1093" s="6"/>
      <c r="C1093" s="123"/>
      <c r="D1093" s="123"/>
      <c r="E1093" s="123"/>
      <c r="F1093" s="124"/>
      <c r="G1093" s="124"/>
      <c r="H1093" s="6"/>
      <c r="I1093" s="125"/>
      <c r="J1093" s="125"/>
      <c r="K1093" s="125"/>
      <c r="L1093" s="125"/>
    </row>
    <row r="1094" spans="1:12" x14ac:dyDescent="0.25">
      <c r="A1094" s="6"/>
      <c r="B1094" s="6"/>
      <c r="C1094" s="123"/>
      <c r="D1094" s="123"/>
      <c r="E1094" s="123"/>
      <c r="F1094" s="124"/>
      <c r="G1094" s="124"/>
      <c r="H1094" s="6"/>
      <c r="I1094" s="125"/>
      <c r="J1094" s="125"/>
      <c r="K1094" s="125"/>
      <c r="L1094" s="125"/>
    </row>
    <row r="1095" spans="1:12" x14ac:dyDescent="0.25">
      <c r="A1095" s="6"/>
      <c r="B1095" s="6"/>
      <c r="C1095" s="123"/>
      <c r="D1095" s="123"/>
      <c r="E1095" s="123"/>
      <c r="F1095" s="124"/>
      <c r="G1095" s="124"/>
      <c r="H1095" s="6"/>
      <c r="I1095" s="125"/>
      <c r="J1095" s="125"/>
      <c r="K1095" s="125"/>
      <c r="L1095" s="125"/>
    </row>
    <row r="1096" spans="1:12" x14ac:dyDescent="0.25">
      <c r="A1096" s="6"/>
      <c r="B1096" s="6"/>
      <c r="C1096" s="123"/>
      <c r="D1096" s="123"/>
      <c r="E1096" s="123"/>
      <c r="F1096" s="124"/>
      <c r="G1096" s="124"/>
      <c r="H1096" s="6"/>
      <c r="I1096" s="125"/>
      <c r="J1096" s="125"/>
      <c r="K1096" s="125"/>
      <c r="L1096" s="125"/>
    </row>
    <row r="1097" spans="1:12" x14ac:dyDescent="0.25">
      <c r="A1097" s="6"/>
      <c r="B1097" s="6"/>
      <c r="C1097" s="123"/>
      <c r="D1097" s="123"/>
      <c r="E1097" s="123"/>
      <c r="F1097" s="124"/>
      <c r="G1097" s="124"/>
      <c r="H1097" s="6"/>
      <c r="I1097" s="125"/>
      <c r="J1097" s="125"/>
      <c r="K1097" s="125"/>
      <c r="L1097" s="125"/>
    </row>
    <row r="1098" spans="1:12" x14ac:dyDescent="0.25">
      <c r="A1098" s="6"/>
      <c r="B1098" s="6"/>
      <c r="C1098" s="123"/>
      <c r="D1098" s="123"/>
      <c r="E1098" s="123"/>
      <c r="F1098" s="124"/>
      <c r="G1098" s="124"/>
      <c r="H1098" s="6"/>
      <c r="I1098" s="125"/>
      <c r="J1098" s="125"/>
      <c r="K1098" s="125"/>
      <c r="L1098" s="125"/>
    </row>
    <row r="1099" spans="1:12" x14ac:dyDescent="0.25">
      <c r="A1099" s="6"/>
      <c r="B1099" s="6"/>
      <c r="C1099" s="123"/>
      <c r="D1099" s="123"/>
      <c r="E1099" s="123"/>
      <c r="F1099" s="124"/>
      <c r="G1099" s="124"/>
      <c r="H1099" s="6"/>
      <c r="I1099" s="125"/>
      <c r="J1099" s="125"/>
      <c r="K1099" s="125"/>
      <c r="L1099" s="125"/>
    </row>
    <row r="1100" spans="1:12" x14ac:dyDescent="0.25">
      <c r="A1100" s="6"/>
      <c r="B1100" s="6"/>
      <c r="C1100" s="123"/>
      <c r="D1100" s="123"/>
      <c r="E1100" s="123"/>
      <c r="F1100" s="124"/>
      <c r="G1100" s="124"/>
      <c r="H1100" s="6"/>
      <c r="I1100" s="125"/>
      <c r="J1100" s="125"/>
      <c r="K1100" s="125"/>
      <c r="L1100" s="125"/>
    </row>
    <row r="1101" spans="1:12" x14ac:dyDescent="0.25">
      <c r="A1101" s="6"/>
      <c r="B1101" s="6"/>
      <c r="C1101" s="123"/>
      <c r="D1101" s="123"/>
      <c r="E1101" s="123"/>
      <c r="F1101" s="124"/>
      <c r="G1101" s="124"/>
      <c r="H1101" s="6"/>
      <c r="I1101" s="125"/>
      <c r="J1101" s="125"/>
      <c r="K1101" s="125"/>
      <c r="L1101" s="125"/>
    </row>
    <row r="1102" spans="1:12" x14ac:dyDescent="0.25">
      <c r="A1102" s="6"/>
      <c r="B1102" s="6"/>
      <c r="C1102" s="123"/>
      <c r="D1102" s="123"/>
      <c r="E1102" s="123"/>
      <c r="F1102" s="124"/>
      <c r="G1102" s="124"/>
      <c r="H1102" s="6"/>
      <c r="I1102" s="125"/>
      <c r="J1102" s="125"/>
      <c r="K1102" s="125"/>
      <c r="L1102" s="125"/>
    </row>
    <row r="1103" spans="1:12" x14ac:dyDescent="0.25">
      <c r="A1103" s="6"/>
      <c r="B1103" s="6"/>
      <c r="C1103" s="123"/>
      <c r="D1103" s="123"/>
      <c r="E1103" s="123"/>
      <c r="F1103" s="124"/>
      <c r="G1103" s="124"/>
      <c r="H1103" s="6"/>
      <c r="I1103" s="125"/>
      <c r="J1103" s="125"/>
      <c r="K1103" s="125"/>
      <c r="L1103" s="125"/>
    </row>
    <row r="1104" spans="1:12" x14ac:dyDescent="0.25">
      <c r="A1104" s="6"/>
      <c r="B1104" s="6"/>
      <c r="C1104" s="123"/>
      <c r="D1104" s="123"/>
      <c r="E1104" s="123"/>
      <c r="F1104" s="124"/>
      <c r="G1104" s="124"/>
      <c r="H1104" s="6"/>
      <c r="I1104" s="125"/>
      <c r="J1104" s="125"/>
      <c r="K1104" s="125"/>
      <c r="L1104" s="125"/>
    </row>
    <row r="1105" spans="1:12" x14ac:dyDescent="0.25">
      <c r="A1105" s="6"/>
      <c r="B1105" s="6"/>
      <c r="C1105" s="123"/>
      <c r="D1105" s="123"/>
      <c r="E1105" s="123"/>
      <c r="F1105" s="124"/>
      <c r="G1105" s="124"/>
      <c r="H1105" s="6"/>
      <c r="I1105" s="125"/>
      <c r="J1105" s="125"/>
      <c r="K1105" s="125"/>
      <c r="L1105" s="125"/>
    </row>
    <row r="1106" spans="1:12" x14ac:dyDescent="0.25">
      <c r="A1106" s="6"/>
      <c r="B1106" s="6"/>
      <c r="C1106" s="123"/>
      <c r="D1106" s="123"/>
      <c r="E1106" s="123"/>
      <c r="F1106" s="124"/>
      <c r="G1106" s="124"/>
      <c r="H1106" s="6"/>
      <c r="I1106" s="125"/>
      <c r="J1106" s="125"/>
      <c r="K1106" s="125"/>
      <c r="L1106" s="125"/>
    </row>
    <row r="1107" spans="1:12" x14ac:dyDescent="0.25">
      <c r="A1107" s="6"/>
      <c r="B1107" s="6"/>
      <c r="C1107" s="123"/>
      <c r="D1107" s="123"/>
      <c r="E1107" s="123"/>
      <c r="F1107" s="124"/>
      <c r="G1107" s="124"/>
      <c r="H1107" s="6"/>
      <c r="I1107" s="125"/>
      <c r="J1107" s="125"/>
      <c r="K1107" s="125"/>
      <c r="L1107" s="125"/>
    </row>
    <row r="1108" spans="1:12" x14ac:dyDescent="0.25">
      <c r="A1108" s="6"/>
      <c r="B1108" s="6"/>
      <c r="C1108" s="123"/>
      <c r="D1108" s="123"/>
      <c r="E1108" s="123"/>
      <c r="F1108" s="124"/>
      <c r="G1108" s="124"/>
      <c r="H1108" s="6"/>
      <c r="I1108" s="125"/>
      <c r="J1108" s="125"/>
      <c r="K1108" s="125"/>
      <c r="L1108" s="125"/>
    </row>
    <row r="1109" spans="1:12" x14ac:dyDescent="0.25">
      <c r="A1109" s="6"/>
      <c r="B1109" s="6"/>
      <c r="C1109" s="123"/>
      <c r="D1109" s="123"/>
      <c r="E1109" s="123"/>
      <c r="F1109" s="124"/>
      <c r="G1109" s="124"/>
      <c r="H1109" s="6"/>
      <c r="I1109" s="125"/>
      <c r="J1109" s="125"/>
      <c r="K1109" s="125"/>
      <c r="L1109" s="125"/>
    </row>
    <row r="1110" spans="1:12" x14ac:dyDescent="0.25">
      <c r="A1110" s="6"/>
      <c r="B1110" s="6"/>
      <c r="C1110" s="123"/>
      <c r="D1110" s="123"/>
      <c r="E1110" s="123"/>
      <c r="F1110" s="124"/>
      <c r="G1110" s="124"/>
      <c r="H1110" s="6"/>
      <c r="I1110" s="125"/>
      <c r="J1110" s="125"/>
      <c r="K1110" s="125"/>
      <c r="L1110" s="125"/>
    </row>
    <row r="1111" spans="1:12" x14ac:dyDescent="0.25">
      <c r="A1111" s="6"/>
      <c r="B1111" s="6"/>
      <c r="C1111" s="123"/>
      <c r="D1111" s="123"/>
      <c r="E1111" s="123"/>
      <c r="F1111" s="124"/>
      <c r="G1111" s="124"/>
      <c r="H1111" s="6"/>
      <c r="I1111" s="125"/>
      <c r="J1111" s="125"/>
      <c r="K1111" s="125"/>
      <c r="L1111" s="125"/>
    </row>
    <row r="1112" spans="1:12" x14ac:dyDescent="0.25">
      <c r="A1112" s="6"/>
      <c r="B1112" s="6"/>
      <c r="C1112" s="123"/>
      <c r="D1112" s="123"/>
      <c r="E1112" s="123"/>
      <c r="F1112" s="124"/>
      <c r="G1112" s="124"/>
      <c r="H1112" s="6"/>
      <c r="I1112" s="125"/>
      <c r="J1112" s="125"/>
      <c r="K1112" s="125"/>
      <c r="L1112" s="125"/>
    </row>
    <row r="1113" spans="1:12" x14ac:dyDescent="0.25">
      <c r="A1113" s="6"/>
      <c r="B1113" s="6"/>
      <c r="C1113" s="123"/>
      <c r="D1113" s="123"/>
      <c r="E1113" s="123"/>
      <c r="F1113" s="124"/>
      <c r="G1113" s="124"/>
      <c r="H1113" s="6"/>
      <c r="I1113" s="125"/>
      <c r="J1113" s="125"/>
      <c r="K1113" s="125"/>
      <c r="L1113" s="125"/>
    </row>
    <row r="1114" spans="1:12" x14ac:dyDescent="0.25">
      <c r="A1114" s="6"/>
      <c r="B1114" s="6"/>
      <c r="C1114" s="123"/>
      <c r="D1114" s="123"/>
      <c r="E1114" s="123"/>
      <c r="F1114" s="124"/>
      <c r="G1114" s="124"/>
      <c r="H1114" s="6"/>
      <c r="I1114" s="125"/>
      <c r="J1114" s="125"/>
      <c r="K1114" s="125"/>
      <c r="L1114" s="125"/>
    </row>
    <row r="1115" spans="1:12" x14ac:dyDescent="0.25">
      <c r="A1115" s="6"/>
      <c r="B1115" s="6"/>
      <c r="C1115" s="123"/>
      <c r="D1115" s="123"/>
      <c r="E1115" s="123"/>
      <c r="F1115" s="124"/>
      <c r="G1115" s="124"/>
      <c r="H1115" s="6"/>
      <c r="I1115" s="125"/>
      <c r="J1115" s="125"/>
      <c r="K1115" s="125"/>
      <c r="L1115" s="125"/>
    </row>
    <row r="1116" spans="1:12" x14ac:dyDescent="0.25">
      <c r="A1116" s="6"/>
      <c r="B1116" s="6"/>
      <c r="C1116" s="123"/>
      <c r="D1116" s="123"/>
      <c r="E1116" s="123"/>
      <c r="F1116" s="124"/>
      <c r="G1116" s="124"/>
      <c r="H1116" s="6"/>
      <c r="I1116" s="125"/>
      <c r="J1116" s="125"/>
      <c r="K1116" s="125"/>
      <c r="L1116" s="125"/>
    </row>
    <row r="1117" spans="1:12" x14ac:dyDescent="0.25">
      <c r="A1117" s="6"/>
      <c r="B1117" s="6"/>
      <c r="C1117" s="123"/>
      <c r="D1117" s="123"/>
      <c r="E1117" s="123"/>
      <c r="F1117" s="124"/>
      <c r="G1117" s="124"/>
      <c r="H1117" s="6"/>
      <c r="I1117" s="125"/>
      <c r="J1117" s="125"/>
      <c r="K1117" s="125"/>
      <c r="L1117" s="125"/>
    </row>
    <row r="1118" spans="1:12" x14ac:dyDescent="0.25">
      <c r="A1118" s="6"/>
      <c r="B1118" s="6"/>
      <c r="C1118" s="123"/>
      <c r="D1118" s="123"/>
      <c r="E1118" s="123"/>
      <c r="F1118" s="124"/>
      <c r="G1118" s="124"/>
      <c r="H1118" s="6"/>
      <c r="I1118" s="125"/>
      <c r="J1118" s="125"/>
      <c r="K1118" s="125"/>
      <c r="L1118" s="125"/>
    </row>
    <row r="1119" spans="1:12" x14ac:dyDescent="0.25">
      <c r="A1119" s="6"/>
      <c r="B1119" s="6"/>
      <c r="C1119" s="123"/>
      <c r="D1119" s="123"/>
      <c r="E1119" s="123"/>
      <c r="F1119" s="124"/>
      <c r="G1119" s="124"/>
      <c r="H1119" s="6"/>
      <c r="I1119" s="125"/>
      <c r="J1119" s="125"/>
      <c r="K1119" s="125"/>
      <c r="L1119" s="125"/>
    </row>
    <row r="1120" spans="1:12" x14ac:dyDescent="0.25">
      <c r="A1120" s="6"/>
      <c r="B1120" s="6"/>
      <c r="C1120" s="123"/>
      <c r="D1120" s="123"/>
      <c r="E1120" s="123"/>
      <c r="F1120" s="124"/>
      <c r="G1120" s="124"/>
      <c r="H1120" s="6"/>
      <c r="I1120" s="125"/>
      <c r="J1120" s="125"/>
      <c r="K1120" s="125"/>
      <c r="L1120" s="125"/>
    </row>
    <row r="1121" spans="1:12" x14ac:dyDescent="0.25">
      <c r="A1121" s="6"/>
      <c r="B1121" s="6"/>
      <c r="C1121" s="123"/>
      <c r="D1121" s="123"/>
      <c r="E1121" s="123"/>
      <c r="F1121" s="124"/>
      <c r="G1121" s="124"/>
      <c r="H1121" s="6"/>
      <c r="I1121" s="125"/>
      <c r="J1121" s="125"/>
      <c r="K1121" s="125"/>
      <c r="L1121" s="125"/>
    </row>
    <row r="1122" spans="1:12" x14ac:dyDescent="0.25">
      <c r="A1122" s="6"/>
      <c r="B1122" s="6"/>
      <c r="C1122" s="123"/>
      <c r="D1122" s="123"/>
      <c r="E1122" s="123"/>
      <c r="F1122" s="124"/>
      <c r="G1122" s="124"/>
      <c r="H1122" s="6"/>
      <c r="I1122" s="125"/>
      <c r="J1122" s="125"/>
      <c r="K1122" s="125"/>
      <c r="L1122" s="125"/>
    </row>
    <row r="1123" spans="1:12" x14ac:dyDescent="0.25">
      <c r="A1123" s="6"/>
      <c r="B1123" s="6"/>
      <c r="C1123" s="123"/>
      <c r="D1123" s="123"/>
      <c r="E1123" s="123"/>
      <c r="F1123" s="124"/>
      <c r="G1123" s="124"/>
      <c r="H1123" s="6"/>
      <c r="I1123" s="125"/>
      <c r="J1123" s="125"/>
      <c r="K1123" s="125"/>
      <c r="L1123" s="125"/>
    </row>
    <row r="1124" spans="1:12" x14ac:dyDescent="0.25">
      <c r="A1124" s="6"/>
      <c r="B1124" s="6"/>
      <c r="C1124" s="123"/>
      <c r="D1124" s="123"/>
      <c r="E1124" s="123"/>
      <c r="F1124" s="124"/>
      <c r="G1124" s="124"/>
      <c r="H1124" s="6"/>
      <c r="I1124" s="125"/>
      <c r="J1124" s="125"/>
      <c r="K1124" s="125"/>
      <c r="L1124" s="125"/>
    </row>
    <row r="1125" spans="1:12" x14ac:dyDescent="0.25">
      <c r="A1125" s="6"/>
      <c r="B1125" s="6"/>
      <c r="C1125" s="123"/>
      <c r="D1125" s="123"/>
      <c r="E1125" s="123"/>
      <c r="F1125" s="124"/>
      <c r="G1125" s="124"/>
      <c r="H1125" s="6"/>
      <c r="I1125" s="125"/>
      <c r="J1125" s="125"/>
      <c r="K1125" s="125"/>
      <c r="L1125" s="125"/>
    </row>
    <row r="1126" spans="1:12" x14ac:dyDescent="0.25">
      <c r="A1126" s="6"/>
      <c r="B1126" s="6"/>
      <c r="C1126" s="123"/>
      <c r="D1126" s="123"/>
      <c r="E1126" s="123"/>
      <c r="F1126" s="124"/>
      <c r="G1126" s="124"/>
      <c r="H1126" s="6"/>
      <c r="I1126" s="125"/>
      <c r="J1126" s="125"/>
      <c r="K1126" s="125"/>
      <c r="L1126" s="125"/>
    </row>
    <row r="1127" spans="1:12" x14ac:dyDescent="0.25">
      <c r="A1127" s="6"/>
      <c r="B1127" s="6"/>
      <c r="C1127" s="123"/>
      <c r="D1127" s="123"/>
      <c r="E1127" s="123"/>
      <c r="F1127" s="124"/>
      <c r="G1127" s="124"/>
      <c r="H1127" s="6"/>
      <c r="I1127" s="125"/>
      <c r="J1127" s="125"/>
      <c r="K1127" s="125"/>
      <c r="L1127" s="125"/>
    </row>
    <row r="1128" spans="1:12" x14ac:dyDescent="0.25">
      <c r="A1128" s="6"/>
      <c r="B1128" s="6"/>
      <c r="C1128" s="123"/>
      <c r="D1128" s="123"/>
      <c r="E1128" s="123"/>
      <c r="F1128" s="124"/>
      <c r="G1128" s="124"/>
      <c r="H1128" s="6"/>
      <c r="I1128" s="125"/>
      <c r="J1128" s="125"/>
      <c r="K1128" s="125"/>
      <c r="L1128" s="125"/>
    </row>
    <row r="1129" spans="1:12" x14ac:dyDescent="0.25">
      <c r="A1129" s="6"/>
      <c r="B1129" s="6"/>
      <c r="C1129" s="123"/>
      <c r="D1129" s="123"/>
      <c r="E1129" s="123"/>
      <c r="F1129" s="124"/>
      <c r="G1129" s="124"/>
      <c r="H1129" s="6"/>
      <c r="I1129" s="125"/>
      <c r="J1129" s="125"/>
      <c r="K1129" s="125"/>
      <c r="L1129" s="125"/>
    </row>
    <row r="1130" spans="1:12" x14ac:dyDescent="0.25">
      <c r="A1130" s="6"/>
      <c r="B1130" s="6"/>
      <c r="C1130" s="123"/>
      <c r="D1130" s="123"/>
      <c r="E1130" s="123"/>
      <c r="F1130" s="124"/>
      <c r="G1130" s="124"/>
      <c r="H1130" s="6"/>
      <c r="I1130" s="125"/>
      <c r="J1130" s="125"/>
      <c r="K1130" s="125"/>
      <c r="L1130" s="125"/>
    </row>
    <row r="1131" spans="1:12" x14ac:dyDescent="0.25">
      <c r="A1131" s="6"/>
      <c r="B1131" s="6"/>
      <c r="C1131" s="123"/>
      <c r="D1131" s="123"/>
      <c r="E1131" s="123"/>
      <c r="F1131" s="124"/>
      <c r="G1131" s="124"/>
      <c r="H1131" s="6"/>
      <c r="I1131" s="125"/>
      <c r="J1131" s="125"/>
      <c r="K1131" s="125"/>
      <c r="L1131" s="125"/>
    </row>
    <row r="1132" spans="1:12" x14ac:dyDescent="0.25">
      <c r="A1132" s="6"/>
      <c r="B1132" s="6"/>
      <c r="C1132" s="123"/>
      <c r="D1132" s="123"/>
      <c r="E1132" s="123"/>
      <c r="F1132" s="124"/>
      <c r="G1132" s="124"/>
      <c r="H1132" s="6"/>
      <c r="I1132" s="125"/>
      <c r="J1132" s="125"/>
      <c r="K1132" s="125"/>
      <c r="L1132" s="125"/>
    </row>
    <row r="1133" spans="1:12" x14ac:dyDescent="0.25">
      <c r="A1133" s="6"/>
      <c r="B1133" s="6"/>
      <c r="C1133" s="123"/>
      <c r="D1133" s="123"/>
      <c r="E1133" s="123"/>
      <c r="F1133" s="124"/>
      <c r="G1133" s="124"/>
      <c r="H1133" s="6"/>
      <c r="I1133" s="125"/>
      <c r="J1133" s="125"/>
      <c r="K1133" s="125"/>
      <c r="L1133" s="125"/>
    </row>
    <row r="1134" spans="1:12" x14ac:dyDescent="0.25">
      <c r="A1134" s="6"/>
      <c r="B1134" s="6"/>
      <c r="C1134" s="123"/>
      <c r="D1134" s="123"/>
      <c r="E1134" s="123"/>
      <c r="F1134" s="124"/>
      <c r="G1134" s="124"/>
      <c r="H1134" s="6"/>
      <c r="I1134" s="125"/>
      <c r="J1134" s="125"/>
      <c r="K1134" s="125"/>
      <c r="L1134" s="125"/>
    </row>
    <row r="1135" spans="1:12" x14ac:dyDescent="0.25">
      <c r="A1135" s="6"/>
      <c r="B1135" s="6"/>
      <c r="C1135" s="123"/>
      <c r="D1135" s="123"/>
      <c r="E1135" s="123"/>
      <c r="F1135" s="124"/>
      <c r="G1135" s="124"/>
      <c r="H1135" s="6"/>
      <c r="I1135" s="125"/>
      <c r="J1135" s="125"/>
      <c r="K1135" s="125"/>
      <c r="L1135" s="125"/>
    </row>
    <row r="1136" spans="1:12" x14ac:dyDescent="0.25">
      <c r="A1136" s="6"/>
      <c r="B1136" s="6"/>
      <c r="C1136" s="123"/>
      <c r="D1136" s="123"/>
      <c r="E1136" s="123"/>
      <c r="F1136" s="124"/>
      <c r="G1136" s="124"/>
      <c r="H1136" s="6"/>
      <c r="I1136" s="125"/>
      <c r="J1136" s="125"/>
      <c r="K1136" s="125"/>
      <c r="L1136" s="125"/>
    </row>
    <row r="1137" spans="1:12" x14ac:dyDescent="0.25">
      <c r="A1137" s="6"/>
      <c r="B1137" s="6"/>
      <c r="C1137" s="123"/>
      <c r="D1137" s="123"/>
      <c r="E1137" s="123"/>
      <c r="F1137" s="124"/>
      <c r="G1137" s="124"/>
      <c r="H1137" s="6"/>
      <c r="I1137" s="125"/>
      <c r="J1137" s="125"/>
      <c r="K1137" s="125"/>
      <c r="L1137" s="125"/>
    </row>
    <row r="1138" spans="1:12" x14ac:dyDescent="0.25">
      <c r="A1138" s="6"/>
      <c r="B1138" s="6"/>
      <c r="C1138" s="123"/>
      <c r="D1138" s="123"/>
      <c r="E1138" s="123"/>
      <c r="F1138" s="124"/>
      <c r="G1138" s="124"/>
      <c r="H1138" s="6"/>
      <c r="I1138" s="125"/>
      <c r="J1138" s="125"/>
      <c r="K1138" s="125"/>
      <c r="L1138" s="125"/>
    </row>
    <row r="1139" spans="1:12" x14ac:dyDescent="0.25">
      <c r="A1139" s="6"/>
      <c r="B1139" s="6"/>
      <c r="C1139" s="123"/>
      <c r="D1139" s="123"/>
      <c r="E1139" s="123"/>
      <c r="F1139" s="124"/>
      <c r="G1139" s="124"/>
      <c r="H1139" s="6"/>
      <c r="I1139" s="125"/>
      <c r="J1139" s="125"/>
      <c r="K1139" s="125"/>
      <c r="L1139" s="125"/>
    </row>
    <row r="1140" spans="1:12" x14ac:dyDescent="0.25">
      <c r="A1140" s="6"/>
      <c r="B1140" s="6"/>
      <c r="C1140" s="123"/>
      <c r="D1140" s="123"/>
      <c r="E1140" s="123"/>
      <c r="F1140" s="124"/>
      <c r="G1140" s="124"/>
      <c r="H1140" s="6"/>
      <c r="I1140" s="125"/>
      <c r="J1140" s="125"/>
      <c r="K1140" s="125"/>
      <c r="L1140" s="125"/>
    </row>
    <row r="1141" spans="1:12" x14ac:dyDescent="0.25">
      <c r="A1141" s="6"/>
      <c r="B1141" s="6"/>
      <c r="C1141" s="123"/>
      <c r="D1141" s="123"/>
      <c r="E1141" s="123"/>
      <c r="F1141" s="124"/>
      <c r="G1141" s="124"/>
      <c r="H1141" s="6"/>
      <c r="I1141" s="125"/>
      <c r="J1141" s="125"/>
      <c r="K1141" s="125"/>
      <c r="L1141" s="125"/>
    </row>
    <row r="1142" spans="1:12" x14ac:dyDescent="0.25">
      <c r="A1142" s="6"/>
      <c r="B1142" s="6"/>
      <c r="C1142" s="123"/>
      <c r="D1142" s="123"/>
      <c r="E1142" s="123"/>
      <c r="F1142" s="124"/>
      <c r="G1142" s="124"/>
      <c r="H1142" s="6"/>
      <c r="I1142" s="125"/>
      <c r="J1142" s="125"/>
      <c r="K1142" s="125"/>
      <c r="L1142" s="125"/>
    </row>
    <row r="1143" spans="1:12" x14ac:dyDescent="0.25">
      <c r="A1143" s="6"/>
      <c r="B1143" s="6"/>
      <c r="C1143" s="123"/>
      <c r="D1143" s="123"/>
      <c r="E1143" s="123"/>
      <c r="F1143" s="124"/>
      <c r="G1143" s="124"/>
      <c r="H1143" s="6"/>
      <c r="I1143" s="125"/>
      <c r="J1143" s="125"/>
      <c r="K1143" s="125"/>
      <c r="L1143" s="125"/>
    </row>
    <row r="1144" spans="1:12" x14ac:dyDescent="0.25">
      <c r="A1144" s="6"/>
      <c r="B1144" s="6"/>
      <c r="C1144" s="123"/>
      <c r="D1144" s="123"/>
      <c r="E1144" s="123"/>
      <c r="F1144" s="124"/>
      <c r="G1144" s="124"/>
      <c r="H1144" s="6"/>
      <c r="I1144" s="125"/>
      <c r="J1144" s="125"/>
      <c r="K1144" s="125"/>
      <c r="L1144" s="125"/>
    </row>
    <row r="1145" spans="1:12" x14ac:dyDescent="0.25">
      <c r="A1145" s="6"/>
      <c r="B1145" s="6"/>
      <c r="C1145" s="123"/>
      <c r="D1145" s="123"/>
      <c r="E1145" s="123"/>
      <c r="F1145" s="124"/>
      <c r="G1145" s="124"/>
      <c r="H1145" s="6"/>
      <c r="I1145" s="125"/>
      <c r="J1145" s="125"/>
      <c r="K1145" s="125"/>
      <c r="L1145" s="125"/>
    </row>
    <row r="1146" spans="1:12" x14ac:dyDescent="0.25">
      <c r="A1146" s="6"/>
      <c r="B1146" s="6"/>
      <c r="C1146" s="123"/>
      <c r="D1146" s="123"/>
      <c r="E1146" s="123"/>
      <c r="F1146" s="124"/>
      <c r="G1146" s="124"/>
      <c r="H1146" s="6"/>
      <c r="I1146" s="125"/>
      <c r="J1146" s="125"/>
      <c r="K1146" s="125"/>
      <c r="L1146" s="125"/>
    </row>
    <row r="1147" spans="1:12" x14ac:dyDescent="0.25">
      <c r="A1147" s="6"/>
      <c r="B1147" s="6"/>
      <c r="C1147" s="123"/>
      <c r="D1147" s="123"/>
      <c r="E1147" s="123"/>
      <c r="F1147" s="124"/>
      <c r="G1147" s="124"/>
      <c r="H1147" s="6"/>
      <c r="I1147" s="125"/>
      <c r="J1147" s="125"/>
      <c r="K1147" s="125"/>
      <c r="L1147" s="125"/>
    </row>
    <row r="1148" spans="1:12" x14ac:dyDescent="0.25">
      <c r="A1148" s="6"/>
      <c r="B1148" s="6"/>
      <c r="C1148" s="123"/>
      <c r="D1148" s="123"/>
      <c r="E1148" s="123"/>
      <c r="F1148" s="124"/>
      <c r="G1148" s="124"/>
      <c r="H1148" s="6"/>
      <c r="I1148" s="125"/>
      <c r="J1148" s="125"/>
      <c r="K1148" s="125"/>
      <c r="L1148" s="125"/>
    </row>
    <row r="1149" spans="1:12" x14ac:dyDescent="0.25">
      <c r="A1149" s="6"/>
      <c r="B1149" s="6"/>
      <c r="C1149" s="123"/>
      <c r="D1149" s="123"/>
      <c r="E1149" s="123"/>
      <c r="F1149" s="124"/>
      <c r="G1149" s="124"/>
      <c r="H1149" s="6"/>
      <c r="I1149" s="125"/>
      <c r="J1149" s="125"/>
      <c r="K1149" s="125"/>
      <c r="L1149" s="125"/>
    </row>
    <row r="1150" spans="1:12" x14ac:dyDescent="0.25">
      <c r="A1150" s="6"/>
      <c r="B1150" s="6"/>
      <c r="C1150" s="123"/>
      <c r="D1150" s="123"/>
      <c r="E1150" s="123"/>
      <c r="F1150" s="124"/>
      <c r="G1150" s="124"/>
      <c r="H1150" s="6"/>
      <c r="I1150" s="125"/>
      <c r="J1150" s="125"/>
      <c r="K1150" s="125"/>
      <c r="L1150" s="125"/>
    </row>
    <row r="1151" spans="1:12" x14ac:dyDescent="0.25">
      <c r="A1151" s="6"/>
      <c r="B1151" s="6"/>
      <c r="C1151" s="123"/>
      <c r="D1151" s="123"/>
      <c r="E1151" s="123"/>
      <c r="F1151" s="124"/>
      <c r="G1151" s="124"/>
      <c r="H1151" s="6"/>
      <c r="I1151" s="125"/>
      <c r="J1151" s="125"/>
      <c r="K1151" s="125"/>
      <c r="L1151" s="125"/>
    </row>
    <row r="1152" spans="1:12" x14ac:dyDescent="0.25">
      <c r="A1152" s="6"/>
      <c r="B1152" s="6"/>
      <c r="C1152" s="123"/>
      <c r="D1152" s="123"/>
      <c r="E1152" s="123"/>
      <c r="F1152" s="124"/>
      <c r="G1152" s="124"/>
      <c r="H1152" s="6"/>
      <c r="I1152" s="125"/>
      <c r="J1152" s="125"/>
      <c r="K1152" s="125"/>
      <c r="L1152" s="125"/>
    </row>
    <row r="1153" spans="1:12" x14ac:dyDescent="0.25">
      <c r="A1153" s="6"/>
      <c r="B1153" s="6"/>
      <c r="C1153" s="123"/>
      <c r="D1153" s="123"/>
      <c r="E1153" s="123"/>
      <c r="F1153" s="124"/>
      <c r="G1153" s="124"/>
      <c r="H1153" s="6"/>
      <c r="I1153" s="125"/>
      <c r="J1153" s="125"/>
      <c r="K1153" s="125"/>
      <c r="L1153" s="125"/>
    </row>
    <row r="1154" spans="1:12" x14ac:dyDescent="0.25">
      <c r="A1154" s="6"/>
      <c r="B1154" s="6"/>
      <c r="C1154" s="123"/>
      <c r="D1154" s="123"/>
      <c r="E1154" s="123"/>
      <c r="F1154" s="124"/>
      <c r="G1154" s="124"/>
      <c r="H1154" s="6"/>
      <c r="I1154" s="125"/>
      <c r="J1154" s="125"/>
      <c r="K1154" s="125"/>
      <c r="L1154" s="125"/>
    </row>
    <row r="1155" spans="1:12" x14ac:dyDescent="0.25">
      <c r="A1155" s="6"/>
      <c r="B1155" s="6"/>
      <c r="C1155" s="123"/>
      <c r="D1155" s="123"/>
      <c r="E1155" s="123"/>
      <c r="F1155" s="124"/>
      <c r="G1155" s="124"/>
      <c r="H1155" s="6"/>
      <c r="I1155" s="125"/>
      <c r="J1155" s="125"/>
      <c r="K1155" s="125"/>
      <c r="L1155" s="125"/>
    </row>
    <row r="1156" spans="1:12" x14ac:dyDescent="0.25">
      <c r="A1156" s="6"/>
      <c r="B1156" s="6"/>
      <c r="C1156" s="123"/>
      <c r="D1156" s="123"/>
      <c r="E1156" s="123"/>
      <c r="F1156" s="124"/>
      <c r="G1156" s="124"/>
      <c r="H1156" s="6"/>
      <c r="I1156" s="125"/>
      <c r="J1156" s="125"/>
      <c r="K1156" s="125"/>
      <c r="L1156" s="125"/>
    </row>
    <row r="1157" spans="1:12" x14ac:dyDescent="0.25">
      <c r="A1157" s="6"/>
      <c r="B1157" s="6"/>
      <c r="C1157" s="123"/>
      <c r="D1157" s="123"/>
      <c r="E1157" s="123"/>
      <c r="F1157" s="124"/>
      <c r="G1157" s="124"/>
      <c r="H1157" s="6"/>
      <c r="I1157" s="125"/>
      <c r="J1157" s="125"/>
      <c r="K1157" s="125"/>
      <c r="L1157" s="125"/>
    </row>
    <row r="1158" spans="1:12" x14ac:dyDescent="0.25">
      <c r="A1158" s="6"/>
      <c r="B1158" s="6"/>
      <c r="C1158" s="123"/>
      <c r="D1158" s="123"/>
      <c r="E1158" s="123"/>
      <c r="F1158" s="124"/>
      <c r="G1158" s="124"/>
      <c r="H1158" s="6"/>
      <c r="I1158" s="125"/>
      <c r="J1158" s="125"/>
      <c r="K1158" s="125"/>
      <c r="L1158" s="125"/>
    </row>
    <row r="1159" spans="1:12" x14ac:dyDescent="0.25">
      <c r="A1159" s="6"/>
      <c r="B1159" s="6"/>
      <c r="C1159" s="123"/>
      <c r="D1159" s="123"/>
      <c r="E1159" s="123"/>
      <c r="F1159" s="124"/>
      <c r="G1159" s="124"/>
      <c r="H1159" s="6"/>
      <c r="I1159" s="125"/>
      <c r="J1159" s="125"/>
      <c r="K1159" s="125"/>
      <c r="L1159" s="125"/>
    </row>
    <row r="1160" spans="1:12" x14ac:dyDescent="0.25">
      <c r="A1160" s="6"/>
      <c r="B1160" s="6"/>
      <c r="C1160" s="123"/>
      <c r="D1160" s="123"/>
      <c r="E1160" s="123"/>
      <c r="F1160" s="124"/>
      <c r="G1160" s="124"/>
      <c r="H1160" s="6"/>
      <c r="I1160" s="125"/>
      <c r="J1160" s="125"/>
      <c r="K1160" s="125"/>
      <c r="L1160" s="125"/>
    </row>
    <row r="1161" spans="1:12" x14ac:dyDescent="0.25">
      <c r="A1161" s="6"/>
      <c r="B1161" s="6"/>
      <c r="C1161" s="123"/>
      <c r="D1161" s="123"/>
      <c r="E1161" s="123"/>
      <c r="F1161" s="124"/>
      <c r="G1161" s="124"/>
      <c r="H1161" s="6"/>
      <c r="I1161" s="125"/>
      <c r="J1161" s="125"/>
      <c r="K1161" s="125"/>
      <c r="L1161" s="125"/>
    </row>
    <row r="1162" spans="1:12" x14ac:dyDescent="0.25">
      <c r="A1162" s="6"/>
      <c r="B1162" s="6"/>
      <c r="C1162" s="123"/>
      <c r="D1162" s="123"/>
      <c r="E1162" s="123"/>
      <c r="F1162" s="124"/>
      <c r="G1162" s="124"/>
      <c r="H1162" s="6"/>
      <c r="I1162" s="125"/>
      <c r="J1162" s="125"/>
      <c r="K1162" s="125"/>
      <c r="L1162" s="125"/>
    </row>
    <row r="1163" spans="1:12" x14ac:dyDescent="0.25">
      <c r="A1163" s="6"/>
      <c r="B1163" s="6"/>
      <c r="C1163" s="123"/>
      <c r="D1163" s="123"/>
      <c r="E1163" s="123"/>
      <c r="F1163" s="124"/>
      <c r="G1163" s="124"/>
      <c r="H1163" s="6"/>
      <c r="I1163" s="125"/>
      <c r="J1163" s="125"/>
      <c r="K1163" s="125"/>
      <c r="L1163" s="125"/>
    </row>
    <row r="1164" spans="1:12" x14ac:dyDescent="0.25">
      <c r="A1164" s="6"/>
      <c r="B1164" s="6"/>
      <c r="C1164" s="123"/>
      <c r="D1164" s="123"/>
      <c r="E1164" s="123"/>
      <c r="F1164" s="124"/>
      <c r="G1164" s="124"/>
      <c r="H1164" s="6"/>
      <c r="I1164" s="125"/>
      <c r="J1164" s="125"/>
      <c r="K1164" s="125"/>
      <c r="L1164" s="125"/>
    </row>
    <row r="1165" spans="1:12" x14ac:dyDescent="0.25">
      <c r="A1165" s="6"/>
      <c r="B1165" s="6"/>
      <c r="C1165" s="123"/>
      <c r="D1165" s="123"/>
      <c r="E1165" s="123"/>
      <c r="F1165" s="124"/>
      <c r="G1165" s="124"/>
      <c r="H1165" s="6"/>
      <c r="I1165" s="125"/>
      <c r="J1165" s="125"/>
      <c r="K1165" s="125"/>
      <c r="L1165" s="125"/>
    </row>
    <row r="1166" spans="1:12" x14ac:dyDescent="0.25">
      <c r="A1166" s="6"/>
      <c r="B1166" s="6"/>
      <c r="C1166" s="123"/>
      <c r="D1166" s="123"/>
      <c r="E1166" s="123"/>
      <c r="F1166" s="124"/>
      <c r="G1166" s="124"/>
      <c r="H1166" s="6"/>
      <c r="I1166" s="125"/>
      <c r="J1166" s="125"/>
      <c r="K1166" s="125"/>
      <c r="L1166" s="125"/>
    </row>
    <row r="1167" spans="1:12" x14ac:dyDescent="0.25">
      <c r="A1167" s="6"/>
      <c r="B1167" s="6"/>
      <c r="C1167" s="123"/>
      <c r="D1167" s="123"/>
      <c r="E1167" s="123"/>
      <c r="F1167" s="124"/>
      <c r="G1167" s="124"/>
      <c r="H1167" s="6"/>
      <c r="I1167" s="125"/>
      <c r="J1167" s="125"/>
      <c r="K1167" s="125"/>
      <c r="L1167" s="125"/>
    </row>
    <row r="1168" spans="1:12" x14ac:dyDescent="0.25">
      <c r="A1168" s="6"/>
      <c r="B1168" s="6"/>
      <c r="C1168" s="123"/>
      <c r="D1168" s="123"/>
      <c r="E1168" s="123"/>
      <c r="F1168" s="124"/>
      <c r="G1168" s="124"/>
      <c r="H1168" s="6"/>
      <c r="I1168" s="125"/>
      <c r="J1168" s="125"/>
      <c r="K1168" s="125"/>
      <c r="L1168" s="125"/>
    </row>
    <row r="1169" spans="1:12" x14ac:dyDescent="0.25">
      <c r="A1169" s="6"/>
      <c r="B1169" s="6"/>
      <c r="C1169" s="123"/>
      <c r="D1169" s="123"/>
      <c r="E1169" s="123"/>
      <c r="F1169" s="124"/>
      <c r="G1169" s="124"/>
      <c r="H1169" s="6"/>
      <c r="I1169" s="125"/>
      <c r="J1169" s="125"/>
      <c r="K1169" s="125"/>
      <c r="L1169" s="125"/>
    </row>
    <row r="1170" spans="1:12" x14ac:dyDescent="0.25">
      <c r="A1170" s="6"/>
      <c r="B1170" s="6"/>
      <c r="C1170" s="123"/>
      <c r="D1170" s="123"/>
      <c r="E1170" s="123"/>
      <c r="F1170" s="124"/>
      <c r="G1170" s="124"/>
      <c r="H1170" s="6"/>
      <c r="I1170" s="125"/>
      <c r="J1170" s="125"/>
      <c r="K1170" s="125"/>
      <c r="L1170" s="125"/>
    </row>
    <row r="1171" spans="1:12" x14ac:dyDescent="0.25">
      <c r="A1171" s="6"/>
      <c r="B1171" s="6"/>
      <c r="C1171" s="123"/>
      <c r="D1171" s="123"/>
      <c r="E1171" s="123"/>
      <c r="F1171" s="124"/>
      <c r="G1171" s="124"/>
      <c r="H1171" s="6"/>
      <c r="I1171" s="125"/>
      <c r="J1171" s="125"/>
      <c r="K1171" s="125"/>
      <c r="L1171" s="125"/>
    </row>
    <row r="1172" spans="1:12" x14ac:dyDescent="0.25">
      <c r="A1172" s="6"/>
      <c r="B1172" s="6"/>
      <c r="C1172" s="123"/>
      <c r="D1172" s="123"/>
      <c r="E1172" s="123"/>
      <c r="F1172" s="124"/>
      <c r="G1172" s="124"/>
      <c r="H1172" s="6"/>
      <c r="I1172" s="125"/>
      <c r="J1172" s="125"/>
      <c r="K1172" s="125"/>
      <c r="L1172" s="125"/>
    </row>
    <row r="1173" spans="1:12" x14ac:dyDescent="0.25">
      <c r="A1173" s="6"/>
      <c r="B1173" s="6"/>
      <c r="C1173" s="123"/>
      <c r="D1173" s="123"/>
      <c r="E1173" s="123"/>
      <c r="F1173" s="124"/>
      <c r="G1173" s="124"/>
      <c r="H1173" s="6"/>
      <c r="I1173" s="125"/>
      <c r="J1173" s="125"/>
      <c r="K1173" s="125"/>
      <c r="L1173" s="125"/>
    </row>
    <row r="1174" spans="1:12" x14ac:dyDescent="0.25">
      <c r="A1174" s="6"/>
      <c r="B1174" s="6"/>
      <c r="C1174" s="123"/>
      <c r="D1174" s="123"/>
      <c r="E1174" s="123"/>
      <c r="F1174" s="124"/>
      <c r="G1174" s="124"/>
      <c r="H1174" s="6"/>
      <c r="I1174" s="125"/>
      <c r="J1174" s="125"/>
      <c r="K1174" s="125"/>
      <c r="L1174" s="125"/>
    </row>
    <row r="1175" spans="1:12" x14ac:dyDescent="0.25">
      <c r="A1175" s="6"/>
      <c r="B1175" s="6"/>
      <c r="C1175" s="123"/>
      <c r="D1175" s="123"/>
      <c r="E1175" s="123"/>
      <c r="F1175" s="124"/>
      <c r="G1175" s="124"/>
      <c r="H1175" s="6"/>
      <c r="I1175" s="125"/>
      <c r="J1175" s="125"/>
      <c r="K1175" s="125"/>
      <c r="L1175" s="125"/>
    </row>
    <row r="1176" spans="1:12" x14ac:dyDescent="0.25">
      <c r="A1176" s="6"/>
      <c r="B1176" s="6"/>
      <c r="C1176" s="123"/>
      <c r="D1176" s="123"/>
      <c r="E1176" s="123"/>
      <c r="F1176" s="124"/>
      <c r="G1176" s="124"/>
      <c r="H1176" s="6"/>
      <c r="I1176" s="125"/>
      <c r="J1176" s="125"/>
      <c r="K1176" s="125"/>
      <c r="L1176" s="125"/>
    </row>
    <row r="1177" spans="1:12" x14ac:dyDescent="0.25">
      <c r="A1177" s="6"/>
      <c r="B1177" s="6"/>
      <c r="C1177" s="123"/>
      <c r="D1177" s="123"/>
      <c r="E1177" s="123"/>
      <c r="F1177" s="124"/>
      <c r="G1177" s="124"/>
      <c r="H1177" s="6"/>
      <c r="I1177" s="125"/>
      <c r="J1177" s="125"/>
      <c r="K1177" s="125"/>
      <c r="L1177" s="125"/>
    </row>
    <row r="1178" spans="1:12" x14ac:dyDescent="0.25">
      <c r="A1178" s="6"/>
      <c r="B1178" s="6"/>
      <c r="C1178" s="123"/>
      <c r="D1178" s="123"/>
      <c r="E1178" s="123"/>
      <c r="F1178" s="124"/>
      <c r="G1178" s="124"/>
      <c r="H1178" s="6"/>
      <c r="I1178" s="125"/>
      <c r="J1178" s="125"/>
      <c r="K1178" s="125"/>
      <c r="L1178" s="125"/>
    </row>
    <row r="1179" spans="1:12" x14ac:dyDescent="0.25">
      <c r="A1179" s="6"/>
      <c r="B1179" s="6"/>
      <c r="C1179" s="123"/>
      <c r="D1179" s="123"/>
      <c r="E1179" s="123"/>
      <c r="F1179" s="124"/>
      <c r="G1179" s="124"/>
      <c r="H1179" s="6"/>
      <c r="I1179" s="125"/>
      <c r="J1179" s="125"/>
      <c r="K1179" s="125"/>
      <c r="L1179" s="125"/>
    </row>
    <row r="1180" spans="1:12" x14ac:dyDescent="0.25">
      <c r="A1180" s="6"/>
      <c r="B1180" s="6"/>
      <c r="C1180" s="123"/>
      <c r="D1180" s="123"/>
      <c r="E1180" s="123"/>
      <c r="F1180" s="124"/>
      <c r="G1180" s="124"/>
      <c r="H1180" s="6"/>
      <c r="I1180" s="125"/>
      <c r="J1180" s="125"/>
      <c r="K1180" s="125"/>
      <c r="L1180" s="125"/>
    </row>
    <row r="1181" spans="1:12" x14ac:dyDescent="0.25">
      <c r="A1181" s="6"/>
      <c r="B1181" s="6"/>
      <c r="C1181" s="123"/>
      <c r="D1181" s="123"/>
      <c r="E1181" s="123"/>
      <c r="F1181" s="124"/>
      <c r="G1181" s="124"/>
      <c r="H1181" s="6"/>
      <c r="I1181" s="125"/>
      <c r="J1181" s="125"/>
      <c r="K1181" s="125"/>
      <c r="L1181" s="125"/>
    </row>
    <row r="1182" spans="1:12" x14ac:dyDescent="0.25">
      <c r="A1182" s="6"/>
      <c r="B1182" s="6"/>
      <c r="C1182" s="123"/>
      <c r="D1182" s="123"/>
      <c r="E1182" s="123"/>
      <c r="F1182" s="124"/>
      <c r="G1182" s="124"/>
      <c r="H1182" s="6"/>
      <c r="I1182" s="125"/>
      <c r="J1182" s="125"/>
      <c r="K1182" s="125"/>
      <c r="L1182" s="125"/>
    </row>
    <row r="1183" spans="1:12" x14ac:dyDescent="0.25">
      <c r="A1183" s="6"/>
      <c r="B1183" s="6"/>
      <c r="C1183" s="123"/>
      <c r="D1183" s="123"/>
      <c r="E1183" s="123"/>
      <c r="F1183" s="124"/>
      <c r="G1183" s="124"/>
      <c r="H1183" s="6"/>
      <c r="I1183" s="125"/>
      <c r="J1183" s="125"/>
      <c r="K1183" s="125"/>
      <c r="L1183" s="125"/>
    </row>
    <row r="1184" spans="1:12" x14ac:dyDescent="0.25">
      <c r="A1184" s="6"/>
      <c r="B1184" s="6"/>
      <c r="C1184" s="123"/>
      <c r="D1184" s="123"/>
      <c r="E1184" s="123"/>
      <c r="F1184" s="124"/>
      <c r="G1184" s="124"/>
      <c r="H1184" s="6"/>
      <c r="I1184" s="125"/>
      <c r="J1184" s="125"/>
      <c r="K1184" s="125"/>
      <c r="L1184" s="125"/>
    </row>
    <row r="1185" spans="1:12" x14ac:dyDescent="0.25">
      <c r="A1185" s="6"/>
      <c r="B1185" s="6"/>
      <c r="C1185" s="123"/>
      <c r="D1185" s="123"/>
      <c r="E1185" s="123"/>
      <c r="F1185" s="124"/>
      <c r="G1185" s="124"/>
      <c r="H1185" s="6"/>
      <c r="I1185" s="125"/>
      <c r="J1185" s="125"/>
      <c r="K1185" s="125"/>
      <c r="L1185" s="125"/>
    </row>
    <row r="1186" spans="1:12" x14ac:dyDescent="0.25">
      <c r="A1186" s="6"/>
      <c r="B1186" s="6"/>
      <c r="C1186" s="123"/>
      <c r="D1186" s="123"/>
      <c r="E1186" s="123"/>
      <c r="F1186" s="124"/>
      <c r="G1186" s="124"/>
      <c r="H1186" s="6"/>
      <c r="I1186" s="125"/>
      <c r="J1186" s="125"/>
      <c r="K1186" s="125"/>
      <c r="L1186" s="125"/>
    </row>
    <row r="1187" spans="1:12" x14ac:dyDescent="0.25">
      <c r="A1187" s="6"/>
      <c r="B1187" s="6"/>
      <c r="C1187" s="123"/>
      <c r="D1187" s="123"/>
      <c r="E1187" s="123"/>
      <c r="F1187" s="124"/>
      <c r="G1187" s="124"/>
      <c r="H1187" s="6"/>
      <c r="I1187" s="125"/>
      <c r="J1187" s="125"/>
      <c r="K1187" s="125"/>
      <c r="L1187" s="125"/>
    </row>
    <row r="1188" spans="1:12" x14ac:dyDescent="0.25">
      <c r="A1188" s="6"/>
      <c r="B1188" s="6"/>
      <c r="C1188" s="123"/>
      <c r="D1188" s="123"/>
      <c r="E1188" s="123"/>
      <c r="F1188" s="124"/>
      <c r="G1188" s="124"/>
      <c r="H1188" s="6"/>
      <c r="I1188" s="125"/>
      <c r="J1188" s="125"/>
      <c r="K1188" s="125"/>
      <c r="L1188" s="125"/>
    </row>
    <row r="1189" spans="1:12" x14ac:dyDescent="0.25">
      <c r="A1189" s="6"/>
      <c r="B1189" s="6"/>
      <c r="C1189" s="123"/>
      <c r="D1189" s="123"/>
      <c r="E1189" s="123"/>
      <c r="F1189" s="124"/>
      <c r="G1189" s="124"/>
      <c r="H1189" s="6"/>
      <c r="I1189" s="125"/>
      <c r="J1189" s="125"/>
      <c r="K1189" s="125"/>
      <c r="L1189" s="125"/>
    </row>
    <row r="1190" spans="1:12" x14ac:dyDescent="0.25">
      <c r="A1190" s="6"/>
      <c r="B1190" s="6"/>
      <c r="C1190" s="123"/>
      <c r="D1190" s="123"/>
      <c r="E1190" s="123"/>
      <c r="F1190" s="124"/>
      <c r="G1190" s="124"/>
      <c r="H1190" s="6"/>
      <c r="I1190" s="125"/>
      <c r="J1190" s="125"/>
      <c r="K1190" s="125"/>
      <c r="L1190" s="125"/>
    </row>
    <row r="1191" spans="1:12" x14ac:dyDescent="0.25">
      <c r="A1191" s="6"/>
      <c r="B1191" s="6"/>
      <c r="C1191" s="123"/>
      <c r="D1191" s="123"/>
      <c r="E1191" s="123"/>
      <c r="F1191" s="124"/>
      <c r="G1191" s="124"/>
      <c r="H1191" s="6"/>
      <c r="I1191" s="125"/>
      <c r="J1191" s="125"/>
      <c r="K1191" s="125"/>
      <c r="L1191" s="125"/>
    </row>
    <row r="1192" spans="1:12" x14ac:dyDescent="0.25">
      <c r="A1192" s="6"/>
      <c r="B1192" s="6"/>
      <c r="C1192" s="123"/>
      <c r="D1192" s="123"/>
      <c r="E1192" s="123"/>
      <c r="F1192" s="124"/>
      <c r="G1192" s="124"/>
      <c r="H1192" s="6"/>
      <c r="I1192" s="125"/>
      <c r="J1192" s="125"/>
      <c r="K1192" s="125"/>
      <c r="L1192" s="125"/>
    </row>
    <row r="1193" spans="1:12" x14ac:dyDescent="0.25">
      <c r="A1193" s="6"/>
      <c r="B1193" s="6"/>
      <c r="C1193" s="123"/>
      <c r="D1193" s="123"/>
      <c r="E1193" s="123"/>
      <c r="F1193" s="124"/>
      <c r="G1193" s="124"/>
      <c r="H1193" s="6"/>
      <c r="I1193" s="125"/>
      <c r="J1193" s="125"/>
      <c r="K1193" s="125"/>
      <c r="L1193" s="125"/>
    </row>
    <row r="1194" spans="1:12" x14ac:dyDescent="0.25">
      <c r="A1194" s="6"/>
      <c r="B1194" s="6"/>
      <c r="C1194" s="123"/>
      <c r="D1194" s="123"/>
      <c r="E1194" s="123"/>
      <c r="F1194" s="124"/>
      <c r="G1194" s="124"/>
      <c r="H1194" s="6"/>
      <c r="I1194" s="125"/>
      <c r="J1194" s="125"/>
      <c r="K1194" s="125"/>
      <c r="L1194" s="125"/>
    </row>
    <row r="1195" spans="1:12" x14ac:dyDescent="0.25">
      <c r="A1195" s="6"/>
      <c r="B1195" s="6"/>
      <c r="C1195" s="123"/>
      <c r="D1195" s="123"/>
      <c r="E1195" s="123"/>
      <c r="F1195" s="124"/>
      <c r="G1195" s="124"/>
      <c r="H1195" s="6"/>
      <c r="I1195" s="125"/>
      <c r="J1195" s="125"/>
      <c r="K1195" s="125"/>
      <c r="L1195" s="125"/>
    </row>
    <row r="1196" spans="1:12" x14ac:dyDescent="0.25">
      <c r="A1196" s="6"/>
      <c r="B1196" s="6"/>
      <c r="C1196" s="123"/>
      <c r="D1196" s="123"/>
      <c r="E1196" s="123"/>
      <c r="F1196" s="124"/>
      <c r="G1196" s="124"/>
      <c r="H1196" s="6"/>
      <c r="I1196" s="125"/>
      <c r="J1196" s="125"/>
      <c r="K1196" s="125"/>
      <c r="L1196" s="125"/>
    </row>
    <row r="1197" spans="1:12" x14ac:dyDescent="0.25">
      <c r="A1197" s="6"/>
      <c r="B1197" s="6"/>
      <c r="C1197" s="123"/>
      <c r="D1197" s="123"/>
      <c r="E1197" s="123"/>
      <c r="F1197" s="124"/>
      <c r="G1197" s="124"/>
      <c r="H1197" s="6"/>
      <c r="I1197" s="125"/>
      <c r="J1197" s="125"/>
      <c r="K1197" s="125"/>
      <c r="L1197" s="125"/>
    </row>
    <row r="1198" spans="1:12" x14ac:dyDescent="0.25">
      <c r="A1198" s="6"/>
      <c r="B1198" s="6"/>
      <c r="C1198" s="123"/>
      <c r="D1198" s="123"/>
      <c r="E1198" s="123"/>
      <c r="F1198" s="124"/>
      <c r="G1198" s="124"/>
      <c r="H1198" s="6"/>
      <c r="I1198" s="125"/>
      <c r="J1198" s="125"/>
      <c r="K1198" s="125"/>
      <c r="L1198" s="125"/>
    </row>
    <row r="1199" spans="1:12" x14ac:dyDescent="0.25">
      <c r="A1199" s="6"/>
      <c r="B1199" s="6"/>
      <c r="C1199" s="123"/>
      <c r="D1199" s="123"/>
      <c r="E1199" s="123"/>
      <c r="F1199" s="124"/>
      <c r="G1199" s="124"/>
      <c r="H1199" s="6"/>
      <c r="I1199" s="125"/>
      <c r="J1199" s="125"/>
      <c r="K1199" s="125"/>
      <c r="L1199" s="125"/>
    </row>
    <row r="1200" spans="1:12" x14ac:dyDescent="0.25">
      <c r="A1200" s="6"/>
      <c r="B1200" s="6"/>
      <c r="C1200" s="123"/>
      <c r="D1200" s="123"/>
      <c r="E1200" s="123"/>
      <c r="F1200" s="124"/>
      <c r="G1200" s="124"/>
      <c r="H1200" s="6"/>
      <c r="I1200" s="125"/>
      <c r="J1200" s="125"/>
      <c r="K1200" s="125"/>
      <c r="L1200" s="125"/>
    </row>
    <row r="1201" spans="1:12" x14ac:dyDescent="0.25">
      <c r="A1201" s="6"/>
      <c r="B1201" s="6"/>
      <c r="C1201" s="123"/>
      <c r="D1201" s="123"/>
      <c r="E1201" s="123"/>
      <c r="F1201" s="124"/>
      <c r="G1201" s="124"/>
      <c r="H1201" s="6"/>
      <c r="I1201" s="125"/>
      <c r="J1201" s="125"/>
      <c r="K1201" s="125"/>
      <c r="L1201" s="125"/>
    </row>
    <row r="1202" spans="1:12" x14ac:dyDescent="0.25">
      <c r="A1202" s="6"/>
      <c r="B1202" s="6"/>
      <c r="C1202" s="123"/>
      <c r="D1202" s="123"/>
      <c r="E1202" s="123"/>
      <c r="F1202" s="124"/>
      <c r="G1202" s="124"/>
      <c r="H1202" s="6"/>
      <c r="I1202" s="125"/>
      <c r="J1202" s="125"/>
      <c r="K1202" s="125"/>
      <c r="L1202" s="125"/>
    </row>
    <row r="1203" spans="1:12" x14ac:dyDescent="0.25">
      <c r="A1203" s="6"/>
      <c r="B1203" s="6"/>
      <c r="C1203" s="123"/>
      <c r="D1203" s="123"/>
      <c r="E1203" s="123"/>
      <c r="F1203" s="124"/>
      <c r="G1203" s="124"/>
      <c r="H1203" s="6"/>
      <c r="I1203" s="125"/>
      <c r="J1203" s="125"/>
      <c r="K1203" s="125"/>
      <c r="L1203" s="125"/>
    </row>
    <row r="1204" spans="1:12" x14ac:dyDescent="0.25">
      <c r="A1204" s="6"/>
      <c r="B1204" s="6"/>
      <c r="C1204" s="123"/>
      <c r="D1204" s="123"/>
      <c r="E1204" s="123"/>
      <c r="F1204" s="124"/>
      <c r="G1204" s="124"/>
      <c r="H1204" s="6"/>
      <c r="I1204" s="125"/>
      <c r="J1204" s="125"/>
      <c r="K1204" s="125"/>
      <c r="L1204" s="125"/>
    </row>
    <row r="1205" spans="1:12" x14ac:dyDescent="0.25">
      <c r="A1205" s="6"/>
      <c r="B1205" s="6"/>
      <c r="C1205" s="123"/>
      <c r="D1205" s="123"/>
      <c r="E1205" s="123"/>
      <c r="F1205" s="124"/>
      <c r="G1205" s="124"/>
      <c r="H1205" s="6"/>
      <c r="I1205" s="125"/>
      <c r="J1205" s="125"/>
      <c r="K1205" s="125"/>
      <c r="L1205" s="125"/>
    </row>
    <row r="1206" spans="1:12" x14ac:dyDescent="0.25">
      <c r="A1206" s="6"/>
      <c r="B1206" s="6"/>
      <c r="C1206" s="123"/>
      <c r="D1206" s="123"/>
      <c r="E1206" s="123"/>
      <c r="F1206" s="124"/>
      <c r="G1206" s="124"/>
      <c r="H1206" s="6"/>
      <c r="I1206" s="125"/>
      <c r="J1206" s="125"/>
      <c r="K1206" s="125"/>
      <c r="L1206" s="125"/>
    </row>
    <row r="1207" spans="1:12" x14ac:dyDescent="0.25">
      <c r="A1207" s="6"/>
      <c r="B1207" s="6"/>
      <c r="C1207" s="123"/>
      <c r="D1207" s="123"/>
      <c r="E1207" s="123"/>
      <c r="F1207" s="124"/>
      <c r="G1207" s="124"/>
      <c r="H1207" s="6"/>
      <c r="I1207" s="125"/>
      <c r="J1207" s="125"/>
      <c r="K1207" s="125"/>
      <c r="L1207" s="125"/>
    </row>
    <row r="1208" spans="1:12" x14ac:dyDescent="0.25">
      <c r="A1208" s="6"/>
      <c r="B1208" s="6"/>
      <c r="C1208" s="123"/>
      <c r="D1208" s="123"/>
      <c r="E1208" s="123"/>
      <c r="F1208" s="124"/>
      <c r="G1208" s="124"/>
      <c r="H1208" s="6"/>
      <c r="I1208" s="125"/>
      <c r="J1208" s="125"/>
      <c r="K1208" s="125"/>
      <c r="L1208" s="125"/>
    </row>
    <row r="1209" spans="1:12" x14ac:dyDescent="0.25">
      <c r="A1209" s="6"/>
      <c r="B1209" s="6"/>
      <c r="C1209" s="123"/>
      <c r="D1209" s="123"/>
      <c r="E1209" s="123"/>
      <c r="F1209" s="124"/>
      <c r="G1209" s="124"/>
      <c r="H1209" s="6"/>
      <c r="I1209" s="125"/>
      <c r="J1209" s="125"/>
      <c r="K1209" s="125"/>
      <c r="L1209" s="125"/>
    </row>
    <row r="1210" spans="1:12" x14ac:dyDescent="0.25">
      <c r="A1210" s="6"/>
      <c r="B1210" s="6"/>
      <c r="C1210" s="123"/>
      <c r="D1210" s="123"/>
      <c r="E1210" s="123"/>
      <c r="F1210" s="124"/>
      <c r="G1210" s="124"/>
      <c r="H1210" s="6"/>
      <c r="I1210" s="125"/>
      <c r="J1210" s="125"/>
      <c r="K1210" s="125"/>
      <c r="L1210" s="125"/>
    </row>
    <row r="1211" spans="1:12" x14ac:dyDescent="0.25">
      <c r="A1211" s="6"/>
      <c r="B1211" s="6"/>
      <c r="C1211" s="123"/>
      <c r="D1211" s="123"/>
      <c r="E1211" s="123"/>
      <c r="F1211" s="124"/>
      <c r="G1211" s="124"/>
      <c r="H1211" s="6"/>
      <c r="I1211" s="125"/>
      <c r="J1211" s="125"/>
      <c r="K1211" s="125"/>
      <c r="L1211" s="125"/>
    </row>
    <row r="1212" spans="1:12" x14ac:dyDescent="0.25">
      <c r="A1212" s="6"/>
      <c r="B1212" s="6"/>
      <c r="C1212" s="123"/>
      <c r="D1212" s="123"/>
      <c r="E1212" s="123"/>
      <c r="F1212" s="124"/>
      <c r="G1212" s="124"/>
      <c r="H1212" s="6"/>
      <c r="I1212" s="125"/>
      <c r="J1212" s="125"/>
      <c r="K1212" s="125"/>
      <c r="L1212" s="125"/>
    </row>
    <row r="1213" spans="1:12" x14ac:dyDescent="0.25">
      <c r="A1213" s="6"/>
      <c r="B1213" s="6"/>
      <c r="C1213" s="123"/>
      <c r="D1213" s="123"/>
      <c r="E1213" s="123"/>
      <c r="F1213" s="124"/>
      <c r="G1213" s="124"/>
      <c r="H1213" s="6"/>
      <c r="I1213" s="125"/>
      <c r="J1213" s="125"/>
      <c r="K1213" s="125"/>
      <c r="L1213" s="125"/>
    </row>
    <row r="1214" spans="1:12" x14ac:dyDescent="0.25">
      <c r="A1214" s="6"/>
      <c r="B1214" s="6"/>
      <c r="C1214" s="123"/>
      <c r="D1214" s="123"/>
      <c r="E1214" s="123"/>
      <c r="F1214" s="124"/>
      <c r="G1214" s="124"/>
      <c r="H1214" s="6"/>
      <c r="I1214" s="125"/>
      <c r="J1214" s="125"/>
      <c r="K1214" s="125"/>
      <c r="L1214" s="125"/>
    </row>
    <row r="1215" spans="1:12" x14ac:dyDescent="0.25">
      <c r="A1215" s="6"/>
      <c r="B1215" s="6"/>
      <c r="C1215" s="123"/>
      <c r="D1215" s="123"/>
      <c r="E1215" s="123"/>
      <c r="F1215" s="124"/>
      <c r="G1215" s="124"/>
      <c r="H1215" s="6"/>
      <c r="I1215" s="125"/>
      <c r="J1215" s="125"/>
      <c r="K1215" s="125"/>
      <c r="L1215" s="125"/>
    </row>
    <row r="1216" spans="1:12" x14ac:dyDescent="0.25">
      <c r="A1216" s="6"/>
      <c r="B1216" s="6"/>
      <c r="C1216" s="123"/>
      <c r="D1216" s="123"/>
      <c r="E1216" s="123"/>
      <c r="F1216" s="124"/>
      <c r="G1216" s="124"/>
      <c r="H1216" s="6"/>
      <c r="I1216" s="125"/>
      <c r="J1216" s="125"/>
      <c r="K1216" s="125"/>
      <c r="L1216" s="125"/>
    </row>
    <row r="1217" spans="1:12" x14ac:dyDescent="0.25">
      <c r="A1217" s="6"/>
      <c r="B1217" s="6"/>
      <c r="C1217" s="123"/>
      <c r="D1217" s="123"/>
      <c r="E1217" s="123"/>
      <c r="F1217" s="124"/>
      <c r="G1217" s="124"/>
      <c r="H1217" s="6"/>
      <c r="I1217" s="125"/>
      <c r="J1217" s="125"/>
      <c r="K1217" s="125"/>
      <c r="L1217" s="125"/>
    </row>
    <row r="1218" spans="1:12" x14ac:dyDescent="0.25">
      <c r="A1218" s="6"/>
      <c r="B1218" s="6"/>
      <c r="C1218" s="123"/>
      <c r="D1218" s="123"/>
      <c r="E1218" s="123"/>
      <c r="F1218" s="124"/>
      <c r="G1218" s="124"/>
      <c r="H1218" s="6"/>
      <c r="I1218" s="125"/>
      <c r="J1218" s="125"/>
      <c r="K1218" s="125"/>
      <c r="L1218" s="125"/>
    </row>
    <row r="1219" spans="1:12" x14ac:dyDescent="0.25">
      <c r="A1219" s="6"/>
      <c r="B1219" s="6"/>
      <c r="C1219" s="123"/>
      <c r="D1219" s="123"/>
      <c r="E1219" s="123"/>
      <c r="F1219" s="124"/>
      <c r="G1219" s="124"/>
      <c r="H1219" s="6"/>
      <c r="I1219" s="125"/>
      <c r="J1219" s="125"/>
      <c r="K1219" s="125"/>
      <c r="L1219" s="125"/>
    </row>
    <row r="1220" spans="1:12" x14ac:dyDescent="0.25">
      <c r="A1220" s="6"/>
      <c r="B1220" s="6"/>
      <c r="C1220" s="123"/>
      <c r="D1220" s="123"/>
      <c r="E1220" s="123"/>
      <c r="F1220" s="124"/>
      <c r="G1220" s="124"/>
      <c r="H1220" s="6"/>
      <c r="I1220" s="125"/>
      <c r="J1220" s="125"/>
      <c r="K1220" s="125"/>
      <c r="L1220" s="125"/>
    </row>
    <row r="1221" spans="1:12" x14ac:dyDescent="0.25">
      <c r="A1221" s="6"/>
      <c r="B1221" s="6"/>
      <c r="C1221" s="123"/>
      <c r="D1221" s="123"/>
      <c r="E1221" s="123"/>
      <c r="F1221" s="124"/>
      <c r="G1221" s="124"/>
      <c r="H1221" s="6"/>
      <c r="I1221" s="125"/>
      <c r="J1221" s="125"/>
      <c r="K1221" s="125"/>
      <c r="L1221" s="125"/>
    </row>
    <row r="1222" spans="1:12" x14ac:dyDescent="0.25">
      <c r="A1222" s="6"/>
      <c r="B1222" s="6"/>
      <c r="C1222" s="123"/>
      <c r="D1222" s="123"/>
      <c r="E1222" s="123"/>
      <c r="F1222" s="124"/>
      <c r="G1222" s="124"/>
      <c r="H1222" s="6"/>
      <c r="I1222" s="125"/>
      <c r="J1222" s="125"/>
      <c r="K1222" s="125"/>
      <c r="L1222" s="125"/>
    </row>
    <row r="1223" spans="1:12" x14ac:dyDescent="0.25">
      <c r="A1223" s="6"/>
      <c r="B1223" s="6"/>
      <c r="C1223" s="123"/>
      <c r="D1223" s="123"/>
      <c r="E1223" s="123"/>
      <c r="F1223" s="124"/>
      <c r="G1223" s="124"/>
      <c r="H1223" s="6"/>
      <c r="I1223" s="125"/>
      <c r="J1223" s="125"/>
      <c r="K1223" s="125"/>
      <c r="L1223" s="125"/>
    </row>
    <row r="1224" spans="1:12" x14ac:dyDescent="0.25">
      <c r="A1224" s="6"/>
      <c r="B1224" s="6"/>
      <c r="C1224" s="123"/>
      <c r="D1224" s="123"/>
      <c r="E1224" s="123"/>
      <c r="F1224" s="124"/>
      <c r="G1224" s="124"/>
      <c r="H1224" s="6"/>
      <c r="I1224" s="125"/>
      <c r="J1224" s="125"/>
      <c r="K1224" s="125"/>
      <c r="L1224" s="125"/>
    </row>
    <row r="1225" spans="1:12" x14ac:dyDescent="0.25">
      <c r="A1225" s="6"/>
      <c r="B1225" s="6"/>
      <c r="C1225" s="123"/>
      <c r="D1225" s="123"/>
      <c r="E1225" s="123"/>
      <c r="F1225" s="124"/>
      <c r="G1225" s="124"/>
      <c r="H1225" s="6"/>
      <c r="I1225" s="125"/>
      <c r="J1225" s="125"/>
      <c r="K1225" s="125"/>
      <c r="L1225" s="125"/>
    </row>
    <row r="1226" spans="1:12" x14ac:dyDescent="0.25">
      <c r="A1226" s="6"/>
      <c r="B1226" s="6"/>
      <c r="C1226" s="123"/>
      <c r="D1226" s="123"/>
      <c r="E1226" s="123"/>
      <c r="F1226" s="124"/>
      <c r="G1226" s="124"/>
      <c r="H1226" s="6"/>
      <c r="I1226" s="125"/>
      <c r="J1226" s="125"/>
      <c r="K1226" s="125"/>
      <c r="L1226" s="125"/>
    </row>
    <row r="1227" spans="1:12" x14ac:dyDescent="0.25">
      <c r="A1227" s="6"/>
      <c r="B1227" s="6"/>
      <c r="C1227" s="123"/>
      <c r="D1227" s="123"/>
      <c r="E1227" s="123"/>
      <c r="F1227" s="124"/>
      <c r="G1227" s="124"/>
      <c r="H1227" s="6"/>
      <c r="I1227" s="125"/>
      <c r="J1227" s="125"/>
      <c r="K1227" s="125"/>
      <c r="L1227" s="125"/>
    </row>
    <row r="1228" spans="1:12" x14ac:dyDescent="0.25">
      <c r="A1228" s="6"/>
      <c r="B1228" s="6"/>
      <c r="C1228" s="123"/>
      <c r="D1228" s="123"/>
      <c r="E1228" s="123"/>
      <c r="F1228" s="124"/>
      <c r="G1228" s="124"/>
      <c r="H1228" s="6"/>
      <c r="I1228" s="125"/>
      <c r="J1228" s="125"/>
      <c r="K1228" s="125"/>
      <c r="L1228" s="125"/>
    </row>
    <row r="1229" spans="1:12" x14ac:dyDescent="0.25">
      <c r="A1229" s="6"/>
      <c r="B1229" s="6"/>
      <c r="C1229" s="123"/>
      <c r="D1229" s="123"/>
      <c r="E1229" s="123"/>
      <c r="F1229" s="124"/>
      <c r="G1229" s="124"/>
      <c r="H1229" s="6"/>
      <c r="I1229" s="125"/>
      <c r="J1229" s="125"/>
      <c r="K1229" s="125"/>
      <c r="L1229" s="125"/>
    </row>
    <row r="1230" spans="1:12" x14ac:dyDescent="0.25">
      <c r="A1230" s="6"/>
      <c r="B1230" s="6"/>
      <c r="C1230" s="123"/>
      <c r="D1230" s="123"/>
      <c r="E1230" s="123"/>
      <c r="F1230" s="124"/>
      <c r="G1230" s="124"/>
      <c r="H1230" s="6"/>
      <c r="I1230" s="125"/>
      <c r="J1230" s="125"/>
      <c r="K1230" s="125"/>
      <c r="L1230" s="125"/>
    </row>
    <row r="1231" spans="1:12" x14ac:dyDescent="0.25">
      <c r="A1231" s="6"/>
      <c r="B1231" s="6"/>
      <c r="C1231" s="123"/>
      <c r="D1231" s="123"/>
      <c r="E1231" s="123"/>
      <c r="F1231" s="124"/>
      <c r="G1231" s="124"/>
      <c r="H1231" s="6"/>
      <c r="I1231" s="125"/>
      <c r="J1231" s="125"/>
      <c r="K1231" s="125"/>
      <c r="L1231" s="125"/>
    </row>
    <row r="1232" spans="1:12" x14ac:dyDescent="0.25">
      <c r="A1232" s="6"/>
      <c r="B1232" s="6"/>
      <c r="C1232" s="123"/>
      <c r="D1232" s="123"/>
      <c r="E1232" s="123"/>
      <c r="F1232" s="124"/>
      <c r="G1232" s="124"/>
      <c r="H1232" s="6"/>
      <c r="I1232" s="125"/>
      <c r="J1232" s="125"/>
      <c r="K1232" s="125"/>
      <c r="L1232" s="125"/>
    </row>
    <row r="1233" spans="1:12" x14ac:dyDescent="0.25">
      <c r="A1233" s="6"/>
      <c r="B1233" s="6"/>
      <c r="C1233" s="123"/>
      <c r="D1233" s="123"/>
      <c r="E1233" s="123"/>
      <c r="F1233" s="124"/>
      <c r="G1233" s="124"/>
      <c r="H1233" s="6"/>
      <c r="I1233" s="125"/>
      <c r="J1233" s="125"/>
      <c r="K1233" s="125"/>
      <c r="L1233" s="125"/>
    </row>
    <row r="1234" spans="1:12" x14ac:dyDescent="0.25">
      <c r="A1234" s="6"/>
      <c r="B1234" s="6"/>
      <c r="C1234" s="123"/>
      <c r="D1234" s="123"/>
      <c r="E1234" s="123"/>
      <c r="F1234" s="124"/>
      <c r="G1234" s="124"/>
      <c r="H1234" s="6"/>
      <c r="I1234" s="125"/>
      <c r="J1234" s="125"/>
      <c r="K1234" s="125"/>
      <c r="L1234" s="125"/>
    </row>
    <row r="1235" spans="1:12" x14ac:dyDescent="0.25">
      <c r="A1235" s="6"/>
      <c r="B1235" s="6"/>
      <c r="C1235" s="123"/>
      <c r="D1235" s="123"/>
      <c r="E1235" s="123"/>
      <c r="F1235" s="124"/>
      <c r="G1235" s="124"/>
      <c r="H1235" s="6"/>
      <c r="I1235" s="125"/>
      <c r="J1235" s="125"/>
      <c r="K1235" s="125"/>
      <c r="L1235" s="125"/>
    </row>
    <row r="1236" spans="1:12" x14ac:dyDescent="0.25">
      <c r="A1236" s="6"/>
      <c r="B1236" s="6"/>
      <c r="C1236" s="123"/>
      <c r="D1236" s="123"/>
      <c r="E1236" s="123"/>
      <c r="F1236" s="124"/>
      <c r="G1236" s="124"/>
      <c r="H1236" s="6"/>
      <c r="I1236" s="125"/>
      <c r="J1236" s="125"/>
      <c r="K1236" s="125"/>
      <c r="L1236" s="125"/>
    </row>
    <row r="1237" spans="1:12" x14ac:dyDescent="0.25">
      <c r="A1237" s="6"/>
      <c r="B1237" s="6"/>
      <c r="C1237" s="123"/>
      <c r="D1237" s="123"/>
      <c r="E1237" s="123"/>
      <c r="F1237" s="124"/>
      <c r="G1237" s="124"/>
      <c r="H1237" s="6"/>
      <c r="I1237" s="125"/>
      <c r="J1237" s="125"/>
      <c r="K1237" s="125"/>
      <c r="L1237" s="125"/>
    </row>
    <row r="1238" spans="1:12" x14ac:dyDescent="0.25">
      <c r="A1238" s="6"/>
      <c r="B1238" s="6"/>
      <c r="C1238" s="123"/>
      <c r="D1238" s="123"/>
      <c r="E1238" s="123"/>
      <c r="F1238" s="124"/>
      <c r="G1238" s="124"/>
      <c r="H1238" s="6"/>
      <c r="I1238" s="125"/>
      <c r="J1238" s="125"/>
      <c r="K1238" s="125"/>
      <c r="L1238" s="125"/>
    </row>
    <row r="1239" spans="1:12" x14ac:dyDescent="0.25">
      <c r="A1239" s="6"/>
      <c r="B1239" s="6"/>
      <c r="C1239" s="123"/>
      <c r="D1239" s="123"/>
      <c r="E1239" s="123"/>
      <c r="F1239" s="124"/>
      <c r="G1239" s="124"/>
      <c r="H1239" s="6"/>
      <c r="I1239" s="125"/>
      <c r="J1239" s="125"/>
      <c r="K1239" s="125"/>
      <c r="L1239" s="125"/>
    </row>
    <row r="1240" spans="1:12" x14ac:dyDescent="0.25">
      <c r="A1240" s="6"/>
      <c r="B1240" s="6"/>
      <c r="C1240" s="123"/>
      <c r="D1240" s="123"/>
      <c r="E1240" s="123"/>
      <c r="F1240" s="124"/>
      <c r="G1240" s="124"/>
      <c r="H1240" s="6"/>
      <c r="I1240" s="125"/>
      <c r="J1240" s="125"/>
      <c r="K1240" s="125"/>
      <c r="L1240" s="125"/>
    </row>
    <row r="1241" spans="1:12" x14ac:dyDescent="0.25">
      <c r="A1241" s="6"/>
      <c r="B1241" s="6"/>
      <c r="C1241" s="123"/>
      <c r="D1241" s="123"/>
      <c r="E1241" s="123"/>
      <c r="F1241" s="124"/>
      <c r="G1241" s="124"/>
      <c r="H1241" s="6"/>
      <c r="I1241" s="125"/>
      <c r="J1241" s="125"/>
      <c r="K1241" s="125"/>
      <c r="L1241" s="125"/>
    </row>
    <row r="1242" spans="1:12" x14ac:dyDescent="0.25">
      <c r="A1242" s="6"/>
      <c r="B1242" s="6"/>
      <c r="C1242" s="123"/>
      <c r="D1242" s="123"/>
      <c r="E1242" s="123"/>
      <c r="F1242" s="124"/>
      <c r="G1242" s="124"/>
      <c r="H1242" s="6"/>
      <c r="I1242" s="125"/>
      <c r="J1242" s="125"/>
      <c r="K1242" s="125"/>
      <c r="L1242" s="125"/>
    </row>
    <row r="1243" spans="1:12" x14ac:dyDescent="0.25">
      <c r="A1243" s="6"/>
      <c r="B1243" s="6"/>
      <c r="C1243" s="123"/>
      <c r="D1243" s="123"/>
      <c r="E1243" s="123"/>
      <c r="F1243" s="124"/>
      <c r="G1243" s="124"/>
      <c r="H1243" s="6"/>
      <c r="I1243" s="125"/>
      <c r="J1243" s="125"/>
      <c r="K1243" s="125"/>
      <c r="L1243" s="125"/>
    </row>
    <row r="1244" spans="1:12" x14ac:dyDescent="0.25">
      <c r="A1244" s="6"/>
      <c r="B1244" s="6"/>
      <c r="C1244" s="123"/>
      <c r="D1244" s="123"/>
      <c r="E1244" s="123"/>
      <c r="F1244" s="124"/>
      <c r="G1244" s="124"/>
      <c r="H1244" s="6"/>
      <c r="I1244" s="125"/>
      <c r="J1244" s="125"/>
      <c r="K1244" s="125"/>
      <c r="L1244" s="125"/>
    </row>
    <row r="1245" spans="1:12" x14ac:dyDescent="0.25">
      <c r="A1245" s="6"/>
      <c r="B1245" s="6"/>
      <c r="C1245" s="123"/>
      <c r="D1245" s="123"/>
      <c r="E1245" s="123"/>
      <c r="F1245" s="124"/>
      <c r="G1245" s="124"/>
      <c r="H1245" s="6"/>
      <c r="I1245" s="125"/>
      <c r="J1245" s="125"/>
      <c r="K1245" s="125"/>
      <c r="L1245" s="125"/>
    </row>
    <row r="1246" spans="1:12" x14ac:dyDescent="0.25">
      <c r="A1246" s="6"/>
      <c r="B1246" s="6"/>
      <c r="C1246" s="123"/>
      <c r="D1246" s="123"/>
      <c r="E1246" s="123"/>
      <c r="F1246" s="124"/>
      <c r="G1246" s="124"/>
      <c r="H1246" s="6"/>
      <c r="I1246" s="125"/>
      <c r="J1246" s="125"/>
      <c r="K1246" s="125"/>
      <c r="L1246" s="125"/>
    </row>
    <row r="1247" spans="1:12" x14ac:dyDescent="0.25">
      <c r="A1247" s="6"/>
      <c r="B1247" s="6"/>
      <c r="C1247" s="123"/>
      <c r="D1247" s="123"/>
      <c r="E1247" s="123"/>
      <c r="F1247" s="124"/>
      <c r="G1247" s="124"/>
      <c r="H1247" s="6"/>
      <c r="I1247" s="125"/>
      <c r="J1247" s="125"/>
      <c r="K1247" s="125"/>
      <c r="L1247" s="125"/>
    </row>
    <row r="1248" spans="1:12" x14ac:dyDescent="0.25">
      <c r="A1248" s="6"/>
      <c r="B1248" s="6"/>
      <c r="C1248" s="123"/>
      <c r="D1248" s="123"/>
      <c r="E1248" s="123"/>
      <c r="F1248" s="124"/>
      <c r="G1248" s="124"/>
      <c r="H1248" s="6"/>
      <c r="I1248" s="125"/>
      <c r="J1248" s="125"/>
      <c r="K1248" s="125"/>
      <c r="L1248" s="125"/>
    </row>
    <row r="1249" spans="1:12" x14ac:dyDescent="0.25">
      <c r="A1249" s="6"/>
      <c r="B1249" s="6"/>
      <c r="C1249" s="123"/>
      <c r="D1249" s="123"/>
      <c r="E1249" s="123"/>
      <c r="F1249" s="124"/>
      <c r="G1249" s="124"/>
      <c r="H1249" s="6"/>
      <c r="I1249" s="125"/>
      <c r="J1249" s="125"/>
      <c r="K1249" s="125"/>
      <c r="L1249" s="125"/>
    </row>
    <row r="1250" spans="1:12" x14ac:dyDescent="0.25">
      <c r="A1250" s="6"/>
      <c r="B1250" s="6"/>
      <c r="C1250" s="123"/>
      <c r="D1250" s="123"/>
      <c r="E1250" s="123"/>
      <c r="F1250" s="124"/>
      <c r="G1250" s="124"/>
      <c r="H1250" s="6"/>
      <c r="I1250" s="125"/>
      <c r="J1250" s="125"/>
      <c r="K1250" s="125"/>
      <c r="L1250" s="125"/>
    </row>
    <row r="1251" spans="1:12" x14ac:dyDescent="0.25">
      <c r="A1251" s="6"/>
      <c r="B1251" s="6"/>
      <c r="C1251" s="123"/>
      <c r="D1251" s="123"/>
      <c r="E1251" s="123"/>
      <c r="F1251" s="124"/>
      <c r="G1251" s="124"/>
      <c r="H1251" s="6"/>
      <c r="I1251" s="125"/>
      <c r="J1251" s="125"/>
      <c r="K1251" s="125"/>
      <c r="L1251" s="125"/>
    </row>
    <row r="1252" spans="1:12" x14ac:dyDescent="0.25">
      <c r="A1252" s="6"/>
      <c r="B1252" s="6"/>
      <c r="C1252" s="123"/>
      <c r="D1252" s="123"/>
      <c r="E1252" s="123"/>
      <c r="F1252" s="124"/>
      <c r="G1252" s="124"/>
      <c r="H1252" s="6"/>
      <c r="I1252" s="125"/>
      <c r="J1252" s="125"/>
      <c r="K1252" s="125"/>
      <c r="L1252" s="125"/>
    </row>
    <row r="1253" spans="1:12" x14ac:dyDescent="0.25">
      <c r="A1253" s="6"/>
      <c r="B1253" s="6"/>
      <c r="C1253" s="123"/>
      <c r="D1253" s="123"/>
      <c r="E1253" s="123"/>
      <c r="F1253" s="124"/>
      <c r="G1253" s="124"/>
      <c r="H1253" s="6"/>
      <c r="I1253" s="125"/>
      <c r="J1253" s="125"/>
      <c r="K1253" s="125"/>
      <c r="L1253" s="125"/>
    </row>
    <row r="1254" spans="1:12" x14ac:dyDescent="0.25">
      <c r="A1254" s="6"/>
      <c r="B1254" s="6"/>
      <c r="C1254" s="123"/>
      <c r="D1254" s="123"/>
      <c r="E1254" s="123"/>
      <c r="F1254" s="124"/>
      <c r="G1254" s="124"/>
      <c r="H1254" s="6"/>
      <c r="I1254" s="125"/>
      <c r="J1254" s="125"/>
      <c r="K1254" s="125"/>
      <c r="L1254" s="125"/>
    </row>
    <row r="1255" spans="1:12" x14ac:dyDescent="0.25">
      <c r="A1255" s="6"/>
      <c r="B1255" s="6"/>
      <c r="C1255" s="123"/>
      <c r="D1255" s="123"/>
      <c r="E1255" s="123"/>
      <c r="F1255" s="124"/>
      <c r="G1255" s="124"/>
      <c r="H1255" s="6"/>
      <c r="I1255" s="125"/>
      <c r="J1255" s="125"/>
      <c r="K1255" s="125"/>
      <c r="L1255" s="125"/>
    </row>
    <row r="1256" spans="1:12" x14ac:dyDescent="0.25">
      <c r="A1256" s="6"/>
      <c r="B1256" s="6"/>
      <c r="C1256" s="123"/>
      <c r="D1256" s="123"/>
      <c r="E1256" s="123"/>
      <c r="F1256" s="124"/>
      <c r="G1256" s="124"/>
      <c r="H1256" s="6"/>
      <c r="I1256" s="125"/>
      <c r="J1256" s="125"/>
      <c r="K1256" s="125"/>
      <c r="L1256" s="125"/>
    </row>
    <row r="1257" spans="1:12" x14ac:dyDescent="0.25">
      <c r="A1257" s="6"/>
      <c r="B1257" s="6"/>
      <c r="C1257" s="123"/>
      <c r="D1257" s="123"/>
      <c r="E1257" s="123"/>
      <c r="F1257" s="124"/>
      <c r="G1257" s="124"/>
      <c r="H1257" s="6"/>
      <c r="I1257" s="125"/>
      <c r="J1257" s="125"/>
      <c r="K1257" s="125"/>
      <c r="L1257" s="125"/>
    </row>
    <row r="1258" spans="1:12" x14ac:dyDescent="0.25">
      <c r="A1258" s="6"/>
      <c r="B1258" s="6"/>
      <c r="C1258" s="123"/>
      <c r="D1258" s="123"/>
      <c r="E1258" s="123"/>
      <c r="F1258" s="124"/>
      <c r="G1258" s="124"/>
      <c r="H1258" s="6"/>
      <c r="I1258" s="125"/>
      <c r="J1258" s="125"/>
      <c r="K1258" s="125"/>
      <c r="L1258" s="125"/>
    </row>
    <row r="1259" spans="1:12" x14ac:dyDescent="0.25">
      <c r="A1259" s="6"/>
      <c r="B1259" s="6"/>
      <c r="C1259" s="123"/>
      <c r="D1259" s="123"/>
      <c r="E1259" s="123"/>
      <c r="F1259" s="124"/>
      <c r="G1259" s="124"/>
      <c r="H1259" s="6"/>
      <c r="I1259" s="125"/>
      <c r="J1259" s="125"/>
      <c r="K1259" s="125"/>
      <c r="L1259" s="125"/>
    </row>
    <row r="1260" spans="1:12" x14ac:dyDescent="0.25">
      <c r="A1260" s="6"/>
      <c r="B1260" s="6"/>
      <c r="C1260" s="123"/>
      <c r="D1260" s="123"/>
      <c r="E1260" s="123"/>
      <c r="F1260" s="124"/>
      <c r="G1260" s="124"/>
      <c r="H1260" s="6"/>
      <c r="I1260" s="125"/>
      <c r="J1260" s="125"/>
      <c r="K1260" s="125"/>
      <c r="L1260" s="125"/>
    </row>
    <row r="1261" spans="1:12" x14ac:dyDescent="0.25">
      <c r="A1261" s="6"/>
      <c r="B1261" s="6"/>
      <c r="C1261" s="123"/>
      <c r="D1261" s="123"/>
      <c r="E1261" s="123"/>
      <c r="F1261" s="124"/>
      <c r="G1261" s="124"/>
      <c r="H1261" s="6"/>
      <c r="I1261" s="125"/>
      <c r="J1261" s="125"/>
      <c r="K1261" s="125"/>
      <c r="L1261" s="125"/>
    </row>
    <row r="1262" spans="1:12" x14ac:dyDescent="0.25">
      <c r="A1262" s="6"/>
      <c r="B1262" s="6"/>
      <c r="C1262" s="123"/>
      <c r="D1262" s="123"/>
      <c r="E1262" s="123"/>
      <c r="F1262" s="124"/>
      <c r="G1262" s="124"/>
      <c r="H1262" s="6"/>
      <c r="I1262" s="125"/>
      <c r="J1262" s="125"/>
      <c r="K1262" s="125"/>
      <c r="L1262" s="125"/>
    </row>
    <row r="1263" spans="1:12" x14ac:dyDescent="0.25">
      <c r="A1263" s="6"/>
      <c r="B1263" s="6"/>
      <c r="C1263" s="123"/>
      <c r="D1263" s="123"/>
      <c r="E1263" s="123"/>
      <c r="F1263" s="124"/>
      <c r="G1263" s="124"/>
      <c r="H1263" s="6"/>
      <c r="I1263" s="125"/>
      <c r="J1263" s="125"/>
      <c r="K1263" s="125"/>
      <c r="L1263" s="125"/>
    </row>
    <row r="1264" spans="1:12" x14ac:dyDescent="0.25">
      <c r="A1264" s="6"/>
      <c r="B1264" s="6"/>
      <c r="C1264" s="123"/>
      <c r="D1264" s="123"/>
      <c r="E1264" s="123"/>
      <c r="F1264" s="124"/>
      <c r="G1264" s="124"/>
      <c r="H1264" s="6"/>
      <c r="I1264" s="125"/>
      <c r="J1264" s="125"/>
      <c r="K1264" s="125"/>
      <c r="L1264" s="125"/>
    </row>
    <row r="1265" spans="1:12" x14ac:dyDescent="0.25">
      <c r="A1265" s="6"/>
      <c r="B1265" s="6"/>
      <c r="C1265" s="123"/>
      <c r="D1265" s="123"/>
      <c r="E1265" s="123"/>
      <c r="F1265" s="124"/>
      <c r="G1265" s="124"/>
      <c r="H1265" s="6"/>
      <c r="I1265" s="125"/>
      <c r="J1265" s="125"/>
      <c r="K1265" s="125"/>
      <c r="L1265" s="125"/>
    </row>
    <row r="1266" spans="1:12" x14ac:dyDescent="0.25">
      <c r="A1266" s="6"/>
      <c r="B1266" s="6"/>
      <c r="C1266" s="123"/>
      <c r="D1266" s="123"/>
      <c r="E1266" s="123"/>
      <c r="F1266" s="124"/>
      <c r="G1266" s="124"/>
      <c r="H1266" s="6"/>
      <c r="I1266" s="125"/>
      <c r="J1266" s="125"/>
      <c r="K1266" s="125"/>
      <c r="L1266" s="125"/>
    </row>
    <row r="1267" spans="1:12" x14ac:dyDescent="0.25">
      <c r="A1267" s="6"/>
      <c r="B1267" s="6"/>
      <c r="C1267" s="123"/>
      <c r="D1267" s="123"/>
      <c r="E1267" s="123"/>
      <c r="F1267" s="124"/>
      <c r="G1267" s="124"/>
      <c r="H1267" s="6"/>
      <c r="I1267" s="125"/>
      <c r="J1267" s="125"/>
      <c r="K1267" s="125"/>
      <c r="L1267" s="125"/>
    </row>
    <row r="1268" spans="1:12" x14ac:dyDescent="0.25">
      <c r="A1268" s="6"/>
      <c r="B1268" s="6"/>
      <c r="C1268" s="123"/>
      <c r="D1268" s="123"/>
      <c r="E1268" s="123"/>
      <c r="F1268" s="124"/>
      <c r="G1268" s="124"/>
      <c r="H1268" s="6"/>
      <c r="I1268" s="125"/>
      <c r="J1268" s="125"/>
      <c r="K1268" s="125"/>
      <c r="L1268" s="125"/>
    </row>
    <row r="1269" spans="1:12" x14ac:dyDescent="0.25">
      <c r="A1269" s="6"/>
      <c r="B1269" s="6"/>
      <c r="C1269" s="123"/>
      <c r="D1269" s="123"/>
      <c r="E1269" s="123"/>
      <c r="F1269" s="124"/>
      <c r="G1269" s="124"/>
      <c r="H1269" s="6"/>
      <c r="I1269" s="125"/>
      <c r="J1269" s="125"/>
      <c r="K1269" s="125"/>
      <c r="L1269" s="1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3A2E-109A-49FF-83AC-1B98F5DC7B81}">
  <sheetPr>
    <tabColor theme="5"/>
  </sheetPr>
  <dimension ref="A1:X17"/>
  <sheetViews>
    <sheetView workbookViewId="0">
      <selection activeCell="T9" sqref="T9"/>
    </sheetView>
  </sheetViews>
  <sheetFormatPr defaultRowHeight="15" outlineLevelCol="1" x14ac:dyDescent="0.25"/>
  <cols>
    <col min="3" max="3" width="10.7109375" style="1" customWidth="1"/>
    <col min="4" max="4" width="10.140625" style="1" customWidth="1"/>
    <col min="5" max="5" width="11.5703125" style="21" bestFit="1" customWidth="1"/>
    <col min="6" max="6" width="13.28515625" style="21" bestFit="1" customWidth="1"/>
    <col min="7" max="7" width="9.140625" style="8"/>
    <col min="8" max="8" width="24" bestFit="1" customWidth="1"/>
    <col min="9" max="9" width="9.42578125" bestFit="1" customWidth="1"/>
    <col min="10" max="10" width="12.5703125" bestFit="1" customWidth="1"/>
    <col min="11" max="11" width="8.7109375" bestFit="1" customWidth="1"/>
    <col min="12" max="12" width="15.28515625" hidden="1" customWidth="1" outlineLevel="1"/>
    <col min="13" max="13" width="10.5703125" bestFit="1" customWidth="1" collapsed="1"/>
    <col min="14" max="14" width="14.7109375" hidden="1" customWidth="1" outlineLevel="1"/>
    <col min="15" max="15" width="14.28515625" style="21" bestFit="1" customWidth="1" collapsed="1"/>
    <col min="16" max="16" width="23.5703125" hidden="1" customWidth="1" outlineLevel="1"/>
    <col min="17" max="17" width="11.5703125" bestFit="1" customWidth="1" collapsed="1"/>
    <col min="19" max="19" width="9.140625" customWidth="1"/>
    <col min="20" max="20" width="13.28515625" bestFit="1" customWidth="1"/>
    <col min="22" max="22" width="9.140625" customWidth="1"/>
    <col min="23" max="23" width="11.5703125" bestFit="1" customWidth="1"/>
  </cols>
  <sheetData>
    <row r="1" spans="1:24" s="103" customFormat="1" ht="15.75" thickBot="1" x14ac:dyDescent="0.3">
      <c r="A1" s="103" t="s">
        <v>182</v>
      </c>
      <c r="B1" s="103" t="s">
        <v>159</v>
      </c>
      <c r="C1" s="104" t="s">
        <v>147</v>
      </c>
      <c r="D1" s="104" t="s">
        <v>148</v>
      </c>
      <c r="E1" s="118" t="s">
        <v>160</v>
      </c>
      <c r="F1" s="118" t="s">
        <v>162</v>
      </c>
      <c r="G1" s="103" t="s">
        <v>164</v>
      </c>
      <c r="H1" s="103" t="s">
        <v>169</v>
      </c>
      <c r="I1" s="103" t="s">
        <v>191</v>
      </c>
      <c r="J1" s="103" t="s">
        <v>171</v>
      </c>
      <c r="K1" s="103" t="s">
        <v>172</v>
      </c>
      <c r="L1" s="103" t="s">
        <v>165</v>
      </c>
      <c r="M1" s="103" t="s">
        <v>152</v>
      </c>
      <c r="N1" s="103" t="s">
        <v>166</v>
      </c>
      <c r="O1" s="118" t="s">
        <v>163</v>
      </c>
      <c r="P1" s="103" t="s">
        <v>174</v>
      </c>
      <c r="Q1" s="103" t="s">
        <v>175</v>
      </c>
    </row>
    <row r="2" spans="1:24" x14ac:dyDescent="0.25">
      <c r="A2" s="6" t="s">
        <v>201</v>
      </c>
      <c r="B2" s="6" t="s">
        <v>130</v>
      </c>
      <c r="C2" s="129"/>
      <c r="D2" s="129"/>
      <c r="E2" s="124">
        <f ca="1">M2</f>
        <v>654.8428305745681</v>
      </c>
      <c r="F2" s="124"/>
      <c r="G2" s="34" t="s">
        <v>1</v>
      </c>
      <c r="H2" s="125" t="str">
        <f>IF(G2="USD","USD.LIBOR.3M",G2&amp;".DISC.[USD.LIBOR.3M]")</f>
        <v>ZAR.DISC.[USD.LIBOR.3M]</v>
      </c>
      <c r="I2" s="126" t="str">
        <f>VLOOKUP(B2,AssetStatic,3,FALSE)</f>
        <v>ICE</v>
      </c>
      <c r="J2" s="126" t="s">
        <v>173</v>
      </c>
      <c r="K2" s="126" t="str">
        <f>VLOOKUP(B2,AssetStatic,2,FALSE)</f>
        <v>0b</v>
      </c>
      <c r="L2" t="str" cm="1">
        <f t="array" aca="1" ref="L2" ca="1">_xll.QIns_CreateCustomAsianSwap("cuztom_asiFwd"&amp;ROW(),C3:D17,B2,G2,0,F3:F17,I2,G2,J2,K2,,H2)</f>
        <v>cuztom_asiFwd2¬1</v>
      </c>
      <c r="M2" s="14" cm="1">
        <f t="array" aca="1" ref="M2" ca="1">_xll.QIns_ProductParRate(L2,AModel)</f>
        <v>654.8428305745681</v>
      </c>
      <c r="N2" t="str" cm="1">
        <f t="array" aca="1" ref="N2" ca="1">_xll.QIns_CreateCustomAsianSwap("cuztom_asi_"&amp;ROW(),C3:D17,B2,G2,E2,F3:F17,I2,G2,J2,K2,,H2)</f>
        <v>cuztom_asi_2¬0</v>
      </c>
      <c r="O2" s="21" cm="1">
        <f t="array" aca="1" ref="O2" ca="1">_xll.QIns_ProductPV(N2,AModel,G2)</f>
        <v>-7.5488060247153044E-11</v>
      </c>
      <c r="P2" t="str" cm="1">
        <f t="array" aca="1" ref="P2" ca="1">IF(VLOOKUP(B2,AssetStatic,4,FALSE),_xll.QRisk_PortfolioFxDeltaSpecific("asiOpt_DeltaA"&amp;ROW(),N2,AModel,B2,"ZAR",FALSE),_xll.QRisk_PortfolioDelta("asiOpt_DeltaA"&amp;ROW(),N2,AModel,FALSE))</f>
        <v>asiOpt_DeltaA2¬1</v>
      </c>
      <c r="Q2" s="21" cm="1">
        <f t="array" aca="1" ref="Q2" ca="1">_xll.QCube_SumAllRows(P2)</f>
        <v>1488.0702513809679</v>
      </c>
      <c r="R2" s="11"/>
      <c r="T2" s="21"/>
      <c r="U2" s="120"/>
      <c r="W2" s="21"/>
      <c r="X2" s="120"/>
    </row>
    <row r="3" spans="1:24" x14ac:dyDescent="0.25">
      <c r="A3" s="128"/>
      <c r="B3" s="128" t="str">
        <f>B2</f>
        <v>CO</v>
      </c>
      <c r="C3" s="123">
        <f ca="1">TODAY()</f>
        <v>43963</v>
      </c>
      <c r="D3" s="123" cm="1">
        <f t="array" aca="1" ref="D3" ca="1">_xll.QDates_LastDay(C3)</f>
        <v>43982</v>
      </c>
      <c r="E3" s="130">
        <f ca="1">E2</f>
        <v>654.8428305745681</v>
      </c>
      <c r="F3" s="124">
        <v>100</v>
      </c>
      <c r="G3" s="131" t="str">
        <f>G2</f>
        <v>ZAR</v>
      </c>
      <c r="H3" s="130" t="str">
        <f t="shared" ref="H3:K3" si="0">H2</f>
        <v>ZAR.DISC.[USD.LIBOR.3M]</v>
      </c>
      <c r="I3" s="131" t="str">
        <f t="shared" si="0"/>
        <v>ICE</v>
      </c>
      <c r="J3" s="131" t="str">
        <f t="shared" si="0"/>
        <v>2b</v>
      </c>
      <c r="K3" s="131" t="str">
        <f t="shared" si="0"/>
        <v>0b</v>
      </c>
      <c r="L3" t="str" cm="1">
        <f t="array" aca="1" ref="L3" ca="1">_xll.QIns_CreateAsianSwap("CustomAsiSwap_Fwd_"&amp;ROW(),C3:D3,B3,G3,0,F3,I3,G3,J3,K3,,H3,IF(G3="USD","None","ATC"))</f>
        <v>CustomAsiSwap_Fwd_3¬1</v>
      </c>
      <c r="M3" s="14" cm="1">
        <f t="array" aca="1" ref="M3" ca="1">_xll.QIns_ProductParRate(L3,AModel)</f>
        <v>556.04576355311178</v>
      </c>
      <c r="N3" t="str" cm="1">
        <f t="array" aca="1" ref="N3" ca="1">_xll.QIns_CreateAsianSwap("CustomAsiSwap_"&amp;ROW(),C3:D3,B3,G3,E3,F3,I3,G3,J3,K3,,H3,IF(G3="USD","None","ATC"))</f>
        <v>CustomAsiSwap_3¬0</v>
      </c>
      <c r="O3" s="21" cm="1">
        <f t="array" aca="1" ref="O3" ca="1">_xll.QIns_ProductPV(N3,AModel,G3)</f>
        <v>-9854.9322413916798</v>
      </c>
      <c r="P3" t="str" cm="1">
        <f t="array" aca="1" ref="P3" ca="1">IF(VLOOKUP(B3,AssetStatic,4,FALSE),_xll.QRisk_PortfolioFxDeltaSpecific("asiOpt_DeltaA"&amp;ROW(),N3,AModel,B3,"ZAR",FALSE),_xll.QRisk_PortfolioDelta("asiOpt_DeltaA"&amp;ROW(),N3,AModel,FALSE))</f>
        <v>asiOpt_DeltaA3¬1</v>
      </c>
      <c r="Q3" s="21" cm="1">
        <f t="array" aca="1" ref="Q3" ca="1">_xll.QCube_SumAllRows(P3)</f>
        <v>92.752820591249474</v>
      </c>
      <c r="R3" s="11"/>
      <c r="T3" s="21"/>
      <c r="U3" s="120"/>
      <c r="W3" s="21"/>
      <c r="X3" s="120"/>
    </row>
    <row r="4" spans="1:24" x14ac:dyDescent="0.25">
      <c r="A4" s="128"/>
      <c r="B4" s="128" t="str">
        <f t="shared" ref="B4:B17" si="1">B3</f>
        <v>CO</v>
      </c>
      <c r="C4" s="123">
        <f ca="1">D3+1</f>
        <v>43983</v>
      </c>
      <c r="D4" s="123" cm="1">
        <f t="array" aca="1" ref="D4" ca="1">_xll.QDates_LastDay(C4)</f>
        <v>44012</v>
      </c>
      <c r="E4" s="130">
        <f t="shared" ref="E4:E17" ca="1" si="2">E3</f>
        <v>654.8428305745681</v>
      </c>
      <c r="F4" s="124">
        <v>100</v>
      </c>
      <c r="G4" s="131" t="str">
        <f t="shared" ref="G4:G17" si="3">G3</f>
        <v>ZAR</v>
      </c>
      <c r="H4" s="130" t="str">
        <f t="shared" ref="H4:H8" si="4">H3</f>
        <v>ZAR.DISC.[USD.LIBOR.3M]</v>
      </c>
      <c r="I4" s="131" t="str">
        <f t="shared" ref="I4:I8" si="5">I3</f>
        <v>ICE</v>
      </c>
      <c r="J4" s="131" t="str">
        <f t="shared" ref="J4:J8" si="6">J3</f>
        <v>2b</v>
      </c>
      <c r="K4" s="131" t="str">
        <f t="shared" ref="K4:K8" si="7">K3</f>
        <v>0b</v>
      </c>
      <c r="L4" t="str" cm="1">
        <f t="array" aca="1" ref="L4" ca="1">_xll.QIns_CreateAsianSwap("CustomAsiSwap_Fwd_"&amp;ROW(),C4:D4,B4,G4,0,F4,I4,G4,J4,K4,,H4,IF(G4="USD","None","ATC"))</f>
        <v>CustomAsiSwap_Fwd_4¬1</v>
      </c>
      <c r="M4" s="14" cm="1">
        <f t="array" aca="1" ref="M4" ca="1">_xll.QIns_ProductParRate(L4,AModel)</f>
        <v>573.90842447144985</v>
      </c>
      <c r="N4" t="str" cm="1">
        <f t="array" aca="1" ref="N4" ca="1">_xll.QIns_CreateAsianSwap("CustomAsiSwap_"&amp;ROW(),C4:D4,B4,G4,E4,F4,I4,G4,J4,K4,,H4,IF(G4="USD","None","ATC"))</f>
        <v>CustomAsiSwap_4¬0</v>
      </c>
      <c r="O4" s="21" cm="1">
        <f t="array" aca="1" ref="O4" ca="1">_xll.QIns_ProductPV(N4,AModel,G4)</f>
        <v>-8046.5123647772953</v>
      </c>
      <c r="P4" t="str" cm="1">
        <f t="array" aca="1" ref="P4" ca="1">IF(VLOOKUP(B4,AssetStatic,4,FALSE),_xll.QRisk_PortfolioFxDeltaSpecific("asiOpt_DeltaA"&amp;ROW(),N4,AModel,B4,"ZAR",FALSE),_xll.QRisk_PortfolioDelta("asiOpt_DeltaA"&amp;ROW(),N4,AModel,FALSE))</f>
        <v>asiOpt_DeltaA4¬1</v>
      </c>
      <c r="Q4" s="21" cm="1">
        <f t="array" aca="1" ref="Q4" ca="1">_xll.QCube_SumAllRows(P4)</f>
        <v>99.824571821704922</v>
      </c>
      <c r="R4" s="11"/>
      <c r="T4" s="21"/>
      <c r="U4" s="120"/>
      <c r="W4" s="21"/>
      <c r="X4" s="120"/>
    </row>
    <row r="5" spans="1:24" x14ac:dyDescent="0.25">
      <c r="A5" s="128"/>
      <c r="B5" s="128" t="str">
        <f t="shared" si="1"/>
        <v>CO</v>
      </c>
      <c r="C5" s="123">
        <f t="shared" ref="C5:C17" ca="1" si="8">D4+1</f>
        <v>44013</v>
      </c>
      <c r="D5" s="123" cm="1">
        <f t="array" aca="1" ref="D5" ca="1">_xll.QDates_LastDay(C5)</f>
        <v>44043</v>
      </c>
      <c r="E5" s="130">
        <f t="shared" ca="1" si="2"/>
        <v>654.8428305745681</v>
      </c>
      <c r="F5" s="124">
        <v>100</v>
      </c>
      <c r="G5" s="131" t="str">
        <f t="shared" si="3"/>
        <v>ZAR</v>
      </c>
      <c r="H5" s="130" t="str">
        <f t="shared" si="4"/>
        <v>ZAR.DISC.[USD.LIBOR.3M]</v>
      </c>
      <c r="I5" s="131" t="str">
        <f t="shared" si="5"/>
        <v>ICE</v>
      </c>
      <c r="J5" s="131" t="str">
        <f t="shared" si="6"/>
        <v>2b</v>
      </c>
      <c r="K5" s="131" t="str">
        <f t="shared" si="7"/>
        <v>0b</v>
      </c>
      <c r="L5" t="str" cm="1">
        <f t="array" aca="1" ref="L5" ca="1">_xll.QIns_CreateAsianSwap("CustomAsiSwap_Fwd_"&amp;ROW(),C5:D5,B5,G5,0,F5,I5,G5,J5,K5,,H5,IF(G5="USD","None","ATC"))</f>
        <v>CustomAsiSwap_Fwd_5¬1</v>
      </c>
      <c r="M5" s="14" cm="1">
        <f t="array" aca="1" ref="M5" ca="1">_xll.QIns_ProductParRate(L5,AModel)</f>
        <v>591.71864123284979</v>
      </c>
      <c r="N5" t="str" cm="1">
        <f t="array" aca="1" ref="N5" ca="1">_xll.QIns_CreateAsianSwap("CustomAsiSwap_"&amp;ROW(),C5:D5,B5,G5,E5,F5,I5,G5,J5,K5,,H5,IF(G5="USD","None","ATC"))</f>
        <v>CustomAsiSwap_5¬0</v>
      </c>
      <c r="O5" s="21" cm="1">
        <f t="array" aca="1" ref="O5" ca="1">_xll.QIns_ProductPV(N5,AModel,G5)</f>
        <v>-6253.810000861321</v>
      </c>
      <c r="P5" t="str" cm="1">
        <f t="array" aca="1" ref="P5" ca="1">IF(VLOOKUP(B5,AssetStatic,4,FALSE),_xll.QRisk_PortfolioFxDeltaSpecific("asiOpt_DeltaA"&amp;ROW(),N5,AModel,B5,"ZAR",FALSE),_xll.QRisk_PortfolioDelta("asiOpt_DeltaA"&amp;ROW(),N5,AModel,FALSE))</f>
        <v>asiOpt_DeltaA5¬2</v>
      </c>
      <c r="Q5" s="21" cm="1">
        <f t="array" aca="1" ref="Q5" ca="1">_xll.QCube_SumAllRows(P5)</f>
        <v>99.761720989977221</v>
      </c>
      <c r="R5" s="11"/>
      <c r="T5" s="21"/>
      <c r="U5" s="120"/>
      <c r="W5" s="21"/>
      <c r="X5" s="120"/>
    </row>
    <row r="6" spans="1:24" x14ac:dyDescent="0.25">
      <c r="A6" s="128"/>
      <c r="B6" s="128" t="str">
        <f t="shared" si="1"/>
        <v>CO</v>
      </c>
      <c r="C6" s="123">
        <f t="shared" ca="1" si="8"/>
        <v>44044</v>
      </c>
      <c r="D6" s="123" cm="1">
        <f t="array" aca="1" ref="D6" ca="1">_xll.QDates_LastDay(C6)</f>
        <v>44074</v>
      </c>
      <c r="E6" s="130">
        <f t="shared" ca="1" si="2"/>
        <v>654.8428305745681</v>
      </c>
      <c r="F6" s="124">
        <v>100</v>
      </c>
      <c r="G6" s="131" t="str">
        <f t="shared" si="3"/>
        <v>ZAR</v>
      </c>
      <c r="H6" s="130" t="str">
        <f t="shared" si="4"/>
        <v>ZAR.DISC.[USD.LIBOR.3M]</v>
      </c>
      <c r="I6" s="131" t="str">
        <f t="shared" si="5"/>
        <v>ICE</v>
      </c>
      <c r="J6" s="131" t="str">
        <f t="shared" si="6"/>
        <v>2b</v>
      </c>
      <c r="K6" s="131" t="str">
        <f t="shared" si="7"/>
        <v>0b</v>
      </c>
      <c r="L6" t="str" cm="1">
        <f t="array" aca="1" ref="L6" ca="1">_xll.QIns_CreateAsianSwap("CustomAsiSwap_Fwd_"&amp;ROW(),C6:D6,B6,G6,0,F6,I6,G6,J6,K6,,H6,IF(G6="USD","None","ATC"))</f>
        <v>CustomAsiSwap_Fwd_6¬1</v>
      </c>
      <c r="M6" s="14" cm="1">
        <f t="array" aca="1" ref="M6" ca="1">_xll.QIns_ProductParRate(L6,AModel)</f>
        <v>609.51013522875189</v>
      </c>
      <c r="N6" t="str" cm="1">
        <f t="array" aca="1" ref="N6" ca="1">_xll.QIns_CreateAsianSwap("CustomAsiSwap_"&amp;ROW(),C6:D6,B6,G6,E6,F6,I6,G6,J6,K6,,H6,IF(G6="USD","None","ATC"))</f>
        <v>CustomAsiSwap_6¬0</v>
      </c>
      <c r="O6" s="21" cm="1">
        <f t="array" aca="1" ref="O6" ca="1">_xll.QIns_ProductPV(N6,AModel,G6)</f>
        <v>-4477.8775250087137</v>
      </c>
      <c r="P6" t="str" cm="1">
        <f t="array" aca="1" ref="P6" ca="1">IF(VLOOKUP(B6,AssetStatic,4,FALSE),_xll.QRisk_PortfolioFxDeltaSpecific("asiOpt_DeltaA"&amp;ROW(),N6,AModel,B6,"ZAR",FALSE),_xll.QRisk_PortfolioDelta("asiOpt_DeltaA"&amp;ROW(),N6,AModel,FALSE))</f>
        <v>asiOpt_DeltaA6¬2</v>
      </c>
      <c r="Q6" s="21" cm="1">
        <f t="array" aca="1" ref="Q6" ca="1">_xll.QCube_SumAllRows(P6)</f>
        <v>99.751437276012211</v>
      </c>
      <c r="R6" s="11"/>
      <c r="T6" s="21"/>
      <c r="U6" s="120"/>
      <c r="W6" s="21"/>
      <c r="X6" s="120"/>
    </row>
    <row r="7" spans="1:24" x14ac:dyDescent="0.25">
      <c r="A7" s="128"/>
      <c r="B7" s="128" t="str">
        <f t="shared" si="1"/>
        <v>CO</v>
      </c>
      <c r="C7" s="123">
        <f t="shared" ca="1" si="8"/>
        <v>44075</v>
      </c>
      <c r="D7" s="123" cm="1">
        <f t="array" aca="1" ref="D7" ca="1">_xll.QDates_LastDay(C7)</f>
        <v>44104</v>
      </c>
      <c r="E7" s="130">
        <f t="shared" ca="1" si="2"/>
        <v>654.8428305745681</v>
      </c>
      <c r="F7" s="124">
        <v>100</v>
      </c>
      <c r="G7" s="131" t="str">
        <f t="shared" si="3"/>
        <v>ZAR</v>
      </c>
      <c r="H7" s="130" t="str">
        <f t="shared" si="4"/>
        <v>ZAR.DISC.[USD.LIBOR.3M]</v>
      </c>
      <c r="I7" s="131" t="str">
        <f t="shared" si="5"/>
        <v>ICE</v>
      </c>
      <c r="J7" s="131" t="str">
        <f t="shared" si="6"/>
        <v>2b</v>
      </c>
      <c r="K7" s="131" t="str">
        <f t="shared" si="7"/>
        <v>0b</v>
      </c>
      <c r="L7" t="str" cm="1">
        <f t="array" aca="1" ref="L7" ca="1">_xll.QIns_CreateAsianSwap("CustomAsiSwap_Fwd_"&amp;ROW(),C7:D7,B7,G7,0,F7,I7,G7,J7,K7,,H7,IF(G7="USD","None","ATC"))</f>
        <v>CustomAsiSwap_Fwd_7¬1</v>
      </c>
      <c r="M7" s="14" cm="1">
        <f t="array" aca="1" ref="M7" ca="1">_xll.QIns_ProductParRate(L7,AModel)</f>
        <v>625.68318027749376</v>
      </c>
      <c r="N7" t="str" cm="1">
        <f t="array" aca="1" ref="N7" ca="1">_xll.QIns_CreateAsianSwap("CustomAsiSwap_"&amp;ROW(),C7:D7,B7,G7,E7,F7,I7,G7,J7,K7,,H7,IF(G7="USD","None","ATC"))</f>
        <v>CustomAsiSwap_7¬0</v>
      </c>
      <c r="O7" s="21" cm="1">
        <f t="array" aca="1" ref="O7" ca="1">_xll.QIns_ProductPV(N7,AModel,G7)</f>
        <v>-2872.2660368499169</v>
      </c>
      <c r="P7" t="str" cm="1">
        <f t="array" aca="1" ref="P7" ca="1">IF(VLOOKUP(B7,AssetStatic,4,FALSE),_xll.QRisk_PortfolioFxDeltaSpecific("asiOpt_DeltaA"&amp;ROW(),N7,AModel,B7,"ZAR",FALSE),_xll.QRisk_PortfolioDelta("asiOpt_DeltaA"&amp;ROW(),N7,AModel,FALSE))</f>
        <v>asiOpt_DeltaA7¬2</v>
      </c>
      <c r="Q7" s="21" cm="1">
        <f t="array" aca="1" ref="Q7" ca="1">_xll.QCube_SumAllRows(P7)</f>
        <v>99.761759928259153</v>
      </c>
      <c r="R7" s="11"/>
      <c r="T7" s="21"/>
      <c r="U7" s="120"/>
      <c r="W7" s="21"/>
      <c r="X7" s="120"/>
    </row>
    <row r="8" spans="1:24" x14ac:dyDescent="0.25">
      <c r="A8" s="128"/>
      <c r="B8" s="128" t="str">
        <f t="shared" si="1"/>
        <v>CO</v>
      </c>
      <c r="C8" s="123">
        <f t="shared" ca="1" si="8"/>
        <v>44105</v>
      </c>
      <c r="D8" s="123" cm="1">
        <f t="array" aca="1" ref="D8" ca="1">_xll.QDates_LastDay(C8)</f>
        <v>44135</v>
      </c>
      <c r="E8" s="130">
        <f t="shared" ca="1" si="2"/>
        <v>654.8428305745681</v>
      </c>
      <c r="F8" s="124">
        <v>100</v>
      </c>
      <c r="G8" s="131" t="str">
        <f t="shared" si="3"/>
        <v>ZAR</v>
      </c>
      <c r="H8" s="130" t="str">
        <f t="shared" si="4"/>
        <v>ZAR.DISC.[USD.LIBOR.3M]</v>
      </c>
      <c r="I8" s="131" t="str">
        <f t="shared" si="5"/>
        <v>ICE</v>
      </c>
      <c r="J8" s="131" t="str">
        <f t="shared" si="6"/>
        <v>2b</v>
      </c>
      <c r="K8" s="131" t="str">
        <f t="shared" si="7"/>
        <v>0b</v>
      </c>
      <c r="L8" t="str" cm="1">
        <f t="array" aca="1" ref="L8" ca="1">_xll.QIns_CreateAsianSwap("CustomAsiSwap_Fwd_"&amp;ROW(),C8:D8,B8,G8,0,F8,I8,G8,J8,K8,,H8,IF(G8="USD","None","ATC"))</f>
        <v>CustomAsiSwap_Fwd_8¬1</v>
      </c>
      <c r="M8" s="14" cm="1">
        <f t="array" aca="1" ref="M8" ca="1">_xll.QIns_ProductParRate(L8,AModel)</f>
        <v>640.90365214593135</v>
      </c>
      <c r="N8" t="str" cm="1">
        <f t="array" aca="1" ref="N8" ca="1">_xll.QIns_CreateAsianSwap("CustomAsiSwap_"&amp;ROW(),C8:D8,B8,G8,E8,F8,I8,G8,J8,K8,,H8,IF(G8="USD","None","ATC"))</f>
        <v>CustomAsiSwap_8¬0</v>
      </c>
      <c r="O8" s="21" cm="1">
        <f t="array" aca="1" ref="O8" ca="1">_xll.QIns_ProductPV(N8,AModel,G8)</f>
        <v>-1369.2164746960364</v>
      </c>
      <c r="P8" t="str" cm="1">
        <f t="array" aca="1" ref="P8" ca="1">IF(VLOOKUP(B8,AssetStatic,4,FALSE),_xll.QRisk_PortfolioFxDeltaSpecific("asiOpt_DeltaA"&amp;ROW(),N8,AModel,B8,"ZAR",FALSE),_xll.QRisk_PortfolioDelta("asiOpt_DeltaA"&amp;ROW(),N8,AModel,FALSE))</f>
        <v>asiOpt_DeltaA8¬0</v>
      </c>
      <c r="Q8" s="21" cm="1">
        <f t="array" aca="1" ref="Q8" ca="1">_xll.QCube_SumAllRows(P8)</f>
        <v>99.738966796857653</v>
      </c>
    </row>
    <row r="9" spans="1:24" x14ac:dyDescent="0.25">
      <c r="A9" s="128"/>
      <c r="B9" s="128" t="str">
        <f t="shared" si="1"/>
        <v>CO</v>
      </c>
      <c r="C9" s="123">
        <f t="shared" ca="1" si="8"/>
        <v>44136</v>
      </c>
      <c r="D9" s="123" cm="1">
        <f t="array" aca="1" ref="D9" ca="1">_xll.QDates_LastDay(C9)</f>
        <v>44165</v>
      </c>
      <c r="E9" s="130">
        <f t="shared" ca="1" si="2"/>
        <v>654.8428305745681</v>
      </c>
      <c r="F9" s="124">
        <v>100</v>
      </c>
      <c r="G9" s="131" t="str">
        <f t="shared" si="3"/>
        <v>ZAR</v>
      </c>
      <c r="H9" s="130" t="str">
        <f t="shared" ref="H9:H17" si="9">H8</f>
        <v>ZAR.DISC.[USD.LIBOR.3M]</v>
      </c>
      <c r="I9" s="131" t="str">
        <f t="shared" ref="I9:I17" si="10">I8</f>
        <v>ICE</v>
      </c>
      <c r="J9" s="131" t="str">
        <f t="shared" ref="J9:J17" si="11">J8</f>
        <v>2b</v>
      </c>
      <c r="K9" s="131" t="str">
        <f t="shared" ref="K9:K17" si="12">K8</f>
        <v>0b</v>
      </c>
      <c r="L9" t="str" cm="1">
        <f t="array" aca="1" ref="L9" ca="1">_xll.QIns_CreateAsianSwap("CustomAsiSwap_Fwd_"&amp;ROW(),C9:D9,B9,G9,0,F9,I9,G9,J9,K9,,H9,IF(G9="USD","None","ATC"))</f>
        <v>CustomAsiSwap_Fwd_9¬1</v>
      </c>
      <c r="M9" s="14" cm="1">
        <f t="array" aca="1" ref="M9" ca="1">_xll.QIns_ProductParRate(L9,AModel)</f>
        <v>653.52644721146999</v>
      </c>
      <c r="N9" t="str" cm="1">
        <f t="array" aca="1" ref="N9" ca="1">_xll.QIns_CreateAsianSwap("CustomAsiSwap_"&amp;ROW(),C9:D9,B9,G9,E9,F9,I9,G9,J9,K9,,H9,IF(G9="USD","None","ATC"))</f>
        <v>CustomAsiSwap_9¬0</v>
      </c>
      <c r="O9" s="21" cm="1">
        <f t="array" aca="1" ref="O9" ca="1">_xll.QIns_ProductPV(N9,AModel,G9)</f>
        <v>-128.97145759841038</v>
      </c>
      <c r="P9" t="str" cm="1">
        <f t="array" aca="1" ref="P9" ca="1">IF(VLOOKUP(B9,AssetStatic,4,FALSE),_xll.QRisk_PortfolioFxDeltaSpecific("asiOpt_DeltaA"&amp;ROW(),N9,AModel,B9,"ZAR",FALSE),_xll.QRisk_PortfolioDelta("asiOpt_DeltaA"&amp;ROW(),N9,AModel,FALSE))</f>
        <v>asiOpt_DeltaA9¬0</v>
      </c>
      <c r="Q9" s="21" cm="1">
        <f t="array" aca="1" ref="Q9" ca="1">_xll.QCube_SumAllRows(P9)</f>
        <v>99.715576758245021</v>
      </c>
    </row>
    <row r="10" spans="1:24" x14ac:dyDescent="0.25">
      <c r="A10" s="128"/>
      <c r="B10" s="128" t="str">
        <f t="shared" si="1"/>
        <v>CO</v>
      </c>
      <c r="C10" s="123">
        <f t="shared" ca="1" si="8"/>
        <v>44166</v>
      </c>
      <c r="D10" s="123" cm="1">
        <f t="array" aca="1" ref="D10" ca="1">_xll.QDates_LastDay(C10)</f>
        <v>44196</v>
      </c>
      <c r="E10" s="130">
        <f t="shared" ca="1" si="2"/>
        <v>654.8428305745681</v>
      </c>
      <c r="F10" s="124">
        <v>100</v>
      </c>
      <c r="G10" s="131" t="str">
        <f t="shared" si="3"/>
        <v>ZAR</v>
      </c>
      <c r="H10" s="130" t="str">
        <f t="shared" si="9"/>
        <v>ZAR.DISC.[USD.LIBOR.3M]</v>
      </c>
      <c r="I10" s="131" t="str">
        <f t="shared" si="10"/>
        <v>ICE</v>
      </c>
      <c r="J10" s="131" t="str">
        <f t="shared" si="11"/>
        <v>2b</v>
      </c>
      <c r="K10" s="131" t="str">
        <f t="shared" si="12"/>
        <v>0b</v>
      </c>
      <c r="L10" t="str" cm="1">
        <f t="array" aca="1" ref="L10" ca="1">_xll.QIns_CreateAsianSwap("CustomAsiSwap_Fwd_"&amp;ROW(),C10:D10,B10,G10,0,F10,I10,G10,J10,K10,,H10,IF(G10="USD","None","ATC"))</f>
        <v>CustomAsiSwap_Fwd_10¬1</v>
      </c>
      <c r="M10" s="14" cm="1">
        <f t="array" aca="1" ref="M10" ca="1">_xll.QIns_ProductParRate(L10,AModel)</f>
        <v>664.79753667335694</v>
      </c>
      <c r="N10" t="str" cm="1">
        <f t="array" aca="1" ref="N10" ca="1">_xll.QIns_CreateAsianSwap("CustomAsiSwap_"&amp;ROW(),C10:D10,B10,G10,E10,F10,I10,G10,J10,K10,,H10,IF(G10="USD","None","ATC"))</f>
        <v>CustomAsiSwap_10¬0</v>
      </c>
      <c r="O10" s="21" cm="1">
        <f t="array" aca="1" ref="O10" ca="1">_xll.QIns_ProductPV(N10,AModel,G10)</f>
        <v>972.20349102010653</v>
      </c>
      <c r="P10" t="str" cm="1">
        <f t="array" aca="1" ref="P10" ca="1">IF(VLOOKUP(B10,AssetStatic,4,FALSE),_xll.QRisk_PortfolioFxDeltaSpecific("asiOpt_DeltaA"&amp;ROW(),N10,AModel,B10,"ZAR",FALSE),_xll.QRisk_PortfolioDelta("asiOpt_DeltaA"&amp;ROW(),N10,AModel,FALSE))</f>
        <v>asiOpt_DeltaA10¬0</v>
      </c>
      <c r="Q10" s="21" cm="1">
        <f t="array" aca="1" ref="Q10" ca="1">_xll.QCube_SumAllRows(P10)</f>
        <v>99.656803936257177</v>
      </c>
    </row>
    <row r="11" spans="1:24" x14ac:dyDescent="0.25">
      <c r="A11" s="128"/>
      <c r="B11" s="128" t="str">
        <f t="shared" si="1"/>
        <v>CO</v>
      </c>
      <c r="C11" s="123">
        <f t="shared" ca="1" si="8"/>
        <v>44197</v>
      </c>
      <c r="D11" s="123" cm="1">
        <f t="array" aca="1" ref="D11" ca="1">_xll.QDates_LastDay(C11)</f>
        <v>44227</v>
      </c>
      <c r="E11" s="130">
        <f t="shared" ca="1" si="2"/>
        <v>654.8428305745681</v>
      </c>
      <c r="F11" s="124">
        <v>100</v>
      </c>
      <c r="G11" s="131" t="str">
        <f t="shared" si="3"/>
        <v>ZAR</v>
      </c>
      <c r="H11" s="130" t="str">
        <f t="shared" si="9"/>
        <v>ZAR.DISC.[USD.LIBOR.3M]</v>
      </c>
      <c r="I11" s="131" t="str">
        <f t="shared" si="10"/>
        <v>ICE</v>
      </c>
      <c r="J11" s="131" t="str">
        <f t="shared" si="11"/>
        <v>2b</v>
      </c>
      <c r="K11" s="131" t="str">
        <f t="shared" si="12"/>
        <v>0b</v>
      </c>
      <c r="L11" t="str" cm="1">
        <f t="array" aca="1" ref="L11" ca="1">_xll.QIns_CreateAsianSwap("CustomAsiSwap_Fwd_"&amp;ROW(),C11:D11,B11,G11,0,F11,I11,G11,J11,K11,,H11,IF(G11="USD","None","ATC"))</f>
        <v>CustomAsiSwap_Fwd_11¬1</v>
      </c>
      <c r="M11" s="14" cm="1">
        <f t="array" aca="1" ref="M11" ca="1">_xll.QIns_ProductParRate(L11,AModel)</f>
        <v>675.93137093816733</v>
      </c>
      <c r="N11" t="str" cm="1">
        <f t="array" aca="1" ref="N11" ca="1">_xll.QIns_CreateAsianSwap("CustomAsiSwap_"&amp;ROW(),C11:D11,B11,G11,E11,F11,I11,G11,J11,K11,,H11,IF(G11="USD","None","ATC"))</f>
        <v>CustomAsiSwap_11¬0</v>
      </c>
      <c r="O11" s="21" cm="1">
        <f t="array" aca="1" ref="O11" ca="1">_xll.QIns_ProductPV(N11,AModel,G11)</f>
        <v>2054.272096826674</v>
      </c>
      <c r="P11" t="str" cm="1">
        <f t="array" aca="1" ref="P11" ca="1">IF(VLOOKUP(B11,AssetStatic,4,FALSE),_xll.QRisk_PortfolioFxDeltaSpecific("asiOpt_DeltaA"&amp;ROW(),N11,AModel,B11,"ZAR",FALSE),_xll.QRisk_PortfolioDelta("asiOpt_DeltaA"&amp;ROW(),N11,AModel,FALSE))</f>
        <v>asiOpt_DeltaA11¬0</v>
      </c>
      <c r="Q11" s="21" cm="1">
        <f t="array" aca="1" ref="Q11" ca="1">_xll.QCube_SumAllRows(P11)</f>
        <v>99.661236603127179</v>
      </c>
    </row>
    <row r="12" spans="1:24" x14ac:dyDescent="0.25">
      <c r="A12" s="128"/>
      <c r="B12" s="128" t="str">
        <f t="shared" si="1"/>
        <v>CO</v>
      </c>
      <c r="C12" s="123">
        <f t="shared" ca="1" si="8"/>
        <v>44228</v>
      </c>
      <c r="D12" s="123" cm="1">
        <f t="array" aca="1" ref="D12" ca="1">_xll.QDates_LastDay(C12)</f>
        <v>44255</v>
      </c>
      <c r="E12" s="130">
        <f t="shared" ca="1" si="2"/>
        <v>654.8428305745681</v>
      </c>
      <c r="F12" s="124">
        <v>100</v>
      </c>
      <c r="G12" s="131" t="str">
        <f t="shared" si="3"/>
        <v>ZAR</v>
      </c>
      <c r="H12" s="130" t="str">
        <f t="shared" si="9"/>
        <v>ZAR.DISC.[USD.LIBOR.3M]</v>
      </c>
      <c r="I12" s="131" t="str">
        <f t="shared" si="10"/>
        <v>ICE</v>
      </c>
      <c r="J12" s="131" t="str">
        <f t="shared" si="11"/>
        <v>2b</v>
      </c>
      <c r="K12" s="131" t="str">
        <f t="shared" si="12"/>
        <v>0b</v>
      </c>
      <c r="L12" t="str" cm="1">
        <f t="array" aca="1" ref="L12" ca="1">_xll.QIns_CreateAsianSwap("CustomAsiSwap_Fwd_"&amp;ROW(),C12:D12,B12,G12,0,F12,I12,G12,J12,K12,,H12,IF(G12="USD","None","ATC"))</f>
        <v>CustomAsiSwap_Fwd_12¬1</v>
      </c>
      <c r="M12" s="14" cm="1">
        <f t="array" aca="1" ref="M12" ca="1">_xll.QIns_ProductParRate(L12,AModel)</f>
        <v>684.19343316880668</v>
      </c>
      <c r="N12" t="str" cm="1">
        <f t="array" aca="1" ref="N12" ca="1">_xll.QIns_CreateAsianSwap("CustomAsiSwap_"&amp;ROW(),C12:D12,B12,G12,E12,F12,I12,G12,J12,K12,,H12,IF(G12="USD","None","ATC"))</f>
        <v>CustomAsiSwap_12¬0</v>
      </c>
      <c r="O12" s="21" cm="1">
        <f t="array" aca="1" ref="O12" ca="1">_xll.QIns_ProductPV(N12,AModel,G12)</f>
        <v>2851.8061268313927</v>
      </c>
      <c r="P12" t="str" cm="1">
        <f t="array" aca="1" ref="P12" ca="1">IF(VLOOKUP(B12,AssetStatic,4,FALSE),_xll.QRisk_PortfolioFxDeltaSpecific("asiOpt_DeltaA"&amp;ROW(),N12,AModel,B12,"ZAR",FALSE),_xll.QRisk_PortfolioDelta("asiOpt_DeltaA"&amp;ROW(),N12,AModel,FALSE))</f>
        <v>asiOpt_DeltaA12¬0</v>
      </c>
      <c r="Q12" s="21" cm="1">
        <f t="array" aca="1" ref="Q12" ca="1">_xll.QCube_SumAllRows(P12)</f>
        <v>99.644498170658835</v>
      </c>
    </row>
    <row r="13" spans="1:24" x14ac:dyDescent="0.25">
      <c r="A13" s="128"/>
      <c r="B13" s="128" t="str">
        <f t="shared" si="1"/>
        <v>CO</v>
      </c>
      <c r="C13" s="123">
        <f t="shared" ca="1" si="8"/>
        <v>44256</v>
      </c>
      <c r="D13" s="123" cm="1">
        <f t="array" aca="1" ref="D13" ca="1">_xll.QDates_LastDay(C13)</f>
        <v>44286</v>
      </c>
      <c r="E13" s="130">
        <f t="shared" ca="1" si="2"/>
        <v>654.8428305745681</v>
      </c>
      <c r="F13" s="124">
        <v>100</v>
      </c>
      <c r="G13" s="131" t="str">
        <f t="shared" si="3"/>
        <v>ZAR</v>
      </c>
      <c r="H13" s="130" t="str">
        <f t="shared" si="9"/>
        <v>ZAR.DISC.[USD.LIBOR.3M]</v>
      </c>
      <c r="I13" s="131" t="str">
        <f t="shared" si="10"/>
        <v>ICE</v>
      </c>
      <c r="J13" s="131" t="str">
        <f t="shared" si="11"/>
        <v>2b</v>
      </c>
      <c r="K13" s="131" t="str">
        <f t="shared" si="12"/>
        <v>0b</v>
      </c>
      <c r="L13" t="str" cm="1">
        <f t="array" aca="1" ref="L13" ca="1">_xll.QIns_CreateAsianSwap("CustomAsiSwap_Fwd_"&amp;ROW(),C13:D13,B13,G13,0,F13,I13,G13,J13,K13,,H13,IF(G13="USD","None","ATC"))</f>
        <v>CustomAsiSwap_Fwd_13¬1</v>
      </c>
      <c r="M13" s="14" cm="1">
        <f t="array" aca="1" ref="M13" ca="1">_xll.QIns_ProductParRate(L13,AModel)</f>
        <v>693.14498715375646</v>
      </c>
      <c r="N13" t="str" cm="1">
        <f t="array" aca="1" ref="N13" ca="1">_xll.QIns_CreateAsianSwap("CustomAsiSwap_"&amp;ROW(),C13:D13,B13,G13,E13,F13,I13,G13,J13,K13,,H13,IF(G13="USD","None","ATC"))</f>
        <v>CustomAsiSwap_13¬0</v>
      </c>
      <c r="O13" s="21" cm="1">
        <f t="array" aca="1" ref="O13" ca="1">_xll.QIns_ProductPV(N13,AModel,G13)</f>
        <v>3709.7984579572867</v>
      </c>
      <c r="P13" t="str" cm="1">
        <f t="array" aca="1" ref="P13" ca="1">IF(VLOOKUP(B13,AssetStatic,4,FALSE),_xll.QRisk_PortfolioFxDeltaSpecific("asiOpt_DeltaA"&amp;ROW(),N13,AModel,B13,"ZAR",FALSE),_xll.QRisk_PortfolioDelta("asiOpt_DeltaA"&amp;ROW(),N13,AModel,FALSE))</f>
        <v>asiOpt_DeltaA13¬0</v>
      </c>
      <c r="Q13" s="21" cm="1">
        <f t="array" aca="1" ref="Q13" ca="1">_xll.QCube_SumAllRows(P13)</f>
        <v>99.579312143100651</v>
      </c>
    </row>
    <row r="14" spans="1:24" x14ac:dyDescent="0.25">
      <c r="A14" s="128"/>
      <c r="B14" s="128" t="str">
        <f t="shared" si="1"/>
        <v>CO</v>
      </c>
      <c r="C14" s="123">
        <f t="shared" ca="1" si="8"/>
        <v>44287</v>
      </c>
      <c r="D14" s="123" cm="1">
        <f t="array" aca="1" ref="D14" ca="1">_xll.QDates_LastDay(C14)</f>
        <v>44316</v>
      </c>
      <c r="E14" s="130">
        <f t="shared" ca="1" si="2"/>
        <v>654.8428305745681</v>
      </c>
      <c r="F14" s="124">
        <v>100</v>
      </c>
      <c r="G14" s="131" t="str">
        <f t="shared" si="3"/>
        <v>ZAR</v>
      </c>
      <c r="H14" s="130" t="str">
        <f t="shared" si="9"/>
        <v>ZAR.DISC.[USD.LIBOR.3M]</v>
      </c>
      <c r="I14" s="131" t="str">
        <f t="shared" si="10"/>
        <v>ICE</v>
      </c>
      <c r="J14" s="131" t="str">
        <f t="shared" si="11"/>
        <v>2b</v>
      </c>
      <c r="K14" s="131" t="str">
        <f t="shared" si="12"/>
        <v>0b</v>
      </c>
      <c r="L14" t="str" cm="1">
        <f t="array" aca="1" ref="L14" ca="1">_xll.QIns_CreateAsianSwap("CustomAsiSwap_Fwd_"&amp;ROW(),C14:D14,B14,G14,0,F14,I14,G14,J14,K14,,H14,IF(G14="USD","None","ATC"))</f>
        <v>CustomAsiSwap_Fwd_14¬1</v>
      </c>
      <c r="M14" s="14" cm="1">
        <f t="array" aca="1" ref="M14" ca="1">_xll.QIns_ProductParRate(L14,AModel)</f>
        <v>703.03767562622545</v>
      </c>
      <c r="N14" t="str" cm="1">
        <f t="array" aca="1" ref="N14" ca="1">_xll.QIns_CreateAsianSwap("CustomAsiSwap_"&amp;ROW(),C14:D14,B14,G14,E14,F14,I14,G14,J14,K14,,H14,IF(G14="USD","None","ATC"))</f>
        <v>CustomAsiSwap_14¬0</v>
      </c>
      <c r="O14" s="21" cm="1">
        <f t="array" aca="1" ref="O14" ca="1">_xll.QIns_ProductPV(N14,AModel,G14)</f>
        <v>4656.3337688489664</v>
      </c>
      <c r="P14" t="str" cm="1">
        <f t="array" aca="1" ref="P14" ca="1">IF(VLOOKUP(B14,AssetStatic,4,FALSE),_xll.QRisk_PortfolioFxDeltaSpecific("asiOpt_DeltaA"&amp;ROW(),N14,AModel,B14,"ZAR",FALSE),_xll.QRisk_PortfolioDelta("asiOpt_DeltaA"&amp;ROW(),N14,AModel,FALSE))</f>
        <v>asiOpt_DeltaA14¬0</v>
      </c>
      <c r="Q14" s="21" cm="1">
        <f t="array" aca="1" ref="Q14" ca="1">_xll.QCube_SumAllRows(P14)</f>
        <v>99.593455148175281</v>
      </c>
    </row>
    <row r="15" spans="1:24" x14ac:dyDescent="0.25">
      <c r="A15" s="128"/>
      <c r="B15" s="128" t="str">
        <f t="shared" si="1"/>
        <v>CO</v>
      </c>
      <c r="C15" s="123">
        <f t="shared" ca="1" si="8"/>
        <v>44317</v>
      </c>
      <c r="D15" s="123" cm="1">
        <f t="array" aca="1" ref="D15" ca="1">_xll.QDates_LastDay(C15)</f>
        <v>44347</v>
      </c>
      <c r="E15" s="130">
        <f t="shared" ca="1" si="2"/>
        <v>654.8428305745681</v>
      </c>
      <c r="F15" s="124">
        <v>100</v>
      </c>
      <c r="G15" s="131" t="str">
        <f t="shared" si="3"/>
        <v>ZAR</v>
      </c>
      <c r="H15" s="130" t="str">
        <f t="shared" si="9"/>
        <v>ZAR.DISC.[USD.LIBOR.3M]</v>
      </c>
      <c r="I15" s="131" t="str">
        <f t="shared" si="10"/>
        <v>ICE</v>
      </c>
      <c r="J15" s="131" t="str">
        <f t="shared" si="11"/>
        <v>2b</v>
      </c>
      <c r="K15" s="131" t="str">
        <f t="shared" si="12"/>
        <v>0b</v>
      </c>
      <c r="L15" t="str" cm="1">
        <f t="array" aca="1" ref="L15" ca="1">_xll.QIns_CreateAsianSwap("CustomAsiSwap_Fwd_"&amp;ROW(),C15:D15,B15,G15,0,F15,I15,G15,J15,K15,,H15,IF(G15="USD","None","ATC"))</f>
        <v>CustomAsiSwap_Fwd_15¬1</v>
      </c>
      <c r="M15" s="14" cm="1">
        <f t="array" aca="1" ref="M15" ca="1">_xll.QIns_ProductParRate(L15,AModel)</f>
        <v>710.70058523318357</v>
      </c>
      <c r="N15" t="str" cm="1">
        <f t="array" aca="1" ref="N15" ca="1">_xll.QIns_CreateAsianSwap("CustomAsiSwap_"&amp;ROW(),C15:D15,B15,G15,E15,F15,I15,G15,J15,K15,,H15,IF(G15="USD","None","ATC"))</f>
        <v>CustomAsiSwap_15¬0</v>
      </c>
      <c r="O15" s="21" cm="1">
        <f t="array" aca="1" ref="O15" ca="1">_xll.QIns_ProductPV(N15,AModel,G15)</f>
        <v>5381.3129848888484</v>
      </c>
      <c r="P15" t="str" cm="1">
        <f t="array" aca="1" ref="P15" ca="1">IF(VLOOKUP(B15,AssetStatic,4,FALSE),_xll.QRisk_PortfolioFxDeltaSpecific("asiOpt_DeltaA"&amp;ROW(),N15,AModel,B15,"ZAR",FALSE),_xll.QRisk_PortfolioDelta("asiOpt_DeltaA"&amp;ROW(),N15,AModel,FALSE))</f>
        <v>asiOpt_DeltaA15¬0</v>
      </c>
      <c r="Q15" s="21" cm="1">
        <f t="array" aca="1" ref="Q15" ca="1">_xll.QCube_SumAllRows(P15)</f>
        <v>99.566272759591357</v>
      </c>
    </row>
    <row r="16" spans="1:24" x14ac:dyDescent="0.25">
      <c r="A16" s="128"/>
      <c r="B16" s="128" t="str">
        <f t="shared" si="1"/>
        <v>CO</v>
      </c>
      <c r="C16" s="123">
        <f t="shared" ca="1" si="8"/>
        <v>44348</v>
      </c>
      <c r="D16" s="123" cm="1">
        <f t="array" aca="1" ref="D16" ca="1">_xll.QDates_LastDay(C16)</f>
        <v>44377</v>
      </c>
      <c r="E16" s="130">
        <f t="shared" ca="1" si="2"/>
        <v>654.8428305745681</v>
      </c>
      <c r="F16" s="124">
        <v>100</v>
      </c>
      <c r="G16" s="131" t="str">
        <f t="shared" si="3"/>
        <v>ZAR</v>
      </c>
      <c r="H16" s="130" t="str">
        <f t="shared" si="9"/>
        <v>ZAR.DISC.[USD.LIBOR.3M]</v>
      </c>
      <c r="I16" s="131" t="str">
        <f t="shared" si="10"/>
        <v>ICE</v>
      </c>
      <c r="J16" s="131" t="str">
        <f t="shared" si="11"/>
        <v>2b</v>
      </c>
      <c r="K16" s="131" t="str">
        <f t="shared" si="12"/>
        <v>0b</v>
      </c>
      <c r="L16" t="str" cm="1">
        <f t="array" aca="1" ref="L16" ca="1">_xll.QIns_CreateAsianSwap("CustomAsiSwap_Fwd_"&amp;ROW(),C16:D16,B16,G16,0,F16,I16,G16,J16,K16,,H16,IF(G16="USD","None","ATC"))</f>
        <v>CustomAsiSwap_Fwd_16¬1</v>
      </c>
      <c r="M16" s="14" cm="1">
        <f t="array" aca="1" ref="M16" ca="1">_xll.QIns_ProductParRate(L16,AModel)</f>
        <v>719.58011955787413</v>
      </c>
      <c r="N16" t="str" cm="1">
        <f t="array" aca="1" ref="N16" ca="1">_xll.QIns_CreateAsianSwap("CustomAsiSwap_"&amp;ROW(),C16:D16,B16,G16,E16,F16,I16,G16,J16,K16,,H16,IF(G16="USD","None","ATC"))</f>
        <v>CustomAsiSwap_16¬0</v>
      </c>
      <c r="O16" s="21" cm="1">
        <f t="array" aca="1" ref="O16" ca="1">_xll.QIns_ProductPV(N16,AModel,G16)</f>
        <v>6217.2211043910002</v>
      </c>
      <c r="P16" t="str" cm="1">
        <f t="array" aca="1" ref="P16" ca="1">IF(VLOOKUP(B16,AssetStatic,4,FALSE),_xll.QRisk_PortfolioFxDeltaSpecific("asiOpt_DeltaA"&amp;ROW(),N16,AModel,B16,"ZAR",FALSE),_xll.QRisk_PortfolioDelta("asiOpt_DeltaA"&amp;ROW(),N16,AModel,FALSE))</f>
        <v>asiOpt_DeltaA16¬0</v>
      </c>
      <c r="Q16" s="21" cm="1">
        <f t="array" aca="1" ref="Q16" ca="1">_xll.QCube_SumAllRows(P16)</f>
        <v>99.546164185858288</v>
      </c>
    </row>
    <row r="17" spans="1:17" x14ac:dyDescent="0.25">
      <c r="A17" s="128"/>
      <c r="B17" s="128" t="str">
        <f t="shared" si="1"/>
        <v>CO</v>
      </c>
      <c r="C17" s="123">
        <f t="shared" ca="1" si="8"/>
        <v>44378</v>
      </c>
      <c r="D17" s="123" cm="1">
        <f t="array" aca="1" ref="D17" ca="1">_xll.QDates_LastDay(C17)</f>
        <v>44408</v>
      </c>
      <c r="E17" s="130">
        <f t="shared" ca="1" si="2"/>
        <v>654.8428305745681</v>
      </c>
      <c r="F17" s="124">
        <v>100</v>
      </c>
      <c r="G17" s="131" t="str">
        <f t="shared" si="3"/>
        <v>ZAR</v>
      </c>
      <c r="H17" s="130" t="str">
        <f t="shared" si="9"/>
        <v>ZAR.DISC.[USD.LIBOR.3M]</v>
      </c>
      <c r="I17" s="131" t="str">
        <f t="shared" si="10"/>
        <v>ICE</v>
      </c>
      <c r="J17" s="131" t="str">
        <f t="shared" si="11"/>
        <v>2b</v>
      </c>
      <c r="K17" s="131" t="str">
        <f t="shared" si="12"/>
        <v>0b</v>
      </c>
      <c r="L17" t="str" cm="1">
        <f t="array" aca="1" ref="L17" ca="1">_xll.QIns_CreateAsianSwap("CustomAsiSwap_Fwd_"&amp;ROW(),C17:D17,B17,G17,0,F17,I17,G17,J17,K17,,H17,IF(G17="USD","None","ATC"))</f>
        <v>CustomAsiSwap_Fwd_17¬1</v>
      </c>
      <c r="M17" s="14" cm="1">
        <f t="array" aca="1" ref="M17" ca="1">_xll.QIns_ProductParRate(L17,AModel)</f>
        <v>729.65639297569021</v>
      </c>
      <c r="N17" t="str" cm="1">
        <f t="array" aca="1" ref="N17" ca="1">_xll.QIns_CreateAsianSwap("CustomAsiSwap_"&amp;ROW(),C17:D17,B17,G17,E17,F17,I17,G17,J17,K17,,H17,IF(G17="USD","None","ATC"))</f>
        <v>CustomAsiSwap_17¬0</v>
      </c>
      <c r="O17" s="21" cm="1">
        <f t="array" aca="1" ref="O17" ca="1">_xll.QIns_ProductPV(N17,AModel,G17)</f>
        <v>7160.638070419016</v>
      </c>
      <c r="P17" t="str" cm="1">
        <f t="array" aca="1" ref="P17" ca="1">IF(VLOOKUP(B17,AssetStatic,4,FALSE),_xll.QRisk_PortfolioFxDeltaSpecific("asiOpt_DeltaA"&amp;ROW(),N17,AModel,B17,"ZAR",FALSE),_xll.QRisk_PortfolioDelta("asiOpt_DeltaA"&amp;ROW(),N17,AModel,FALSE))</f>
        <v>asiOpt_DeltaA17¬0</v>
      </c>
      <c r="Q17" s="21" cm="1">
        <f t="array" aca="1" ref="Q17" ca="1">_xll.QCube_SumAllRows(P17)</f>
        <v>99.515654271988296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FA07-5C5D-4899-A64C-946AC00A56FA}">
  <sheetPr>
    <tabColor theme="5"/>
  </sheetPr>
  <dimension ref="A1:Y1305"/>
  <sheetViews>
    <sheetView workbookViewId="0">
      <selection activeCell="J22" sqref="J22"/>
    </sheetView>
  </sheetViews>
  <sheetFormatPr defaultRowHeight="15" outlineLevelCol="1" x14ac:dyDescent="0.25"/>
  <cols>
    <col min="3" max="3" width="10.7109375" style="1" bestFit="1" customWidth="1"/>
    <col min="4" max="4" width="10.140625" style="1" hidden="1" customWidth="1" outlineLevel="1"/>
    <col min="5" max="5" width="10.5703125" style="21" bestFit="1" customWidth="1" collapsed="1"/>
    <col min="7" max="7" width="13.28515625" style="21" bestFit="1" customWidth="1"/>
    <col min="9" max="9" width="24" bestFit="1" customWidth="1"/>
    <col min="10" max="10" width="12.5703125" bestFit="1" customWidth="1"/>
    <col min="11" max="11" width="8.7109375" bestFit="1" customWidth="1"/>
    <col min="12" max="12" width="15.28515625" hidden="1" customWidth="1" outlineLevel="1"/>
    <col min="13" max="13" width="9.5703125" bestFit="1" customWidth="1" collapsed="1"/>
    <col min="14" max="14" width="9.7109375" customWidth="1"/>
    <col min="15" max="15" width="14.7109375" hidden="1" customWidth="1" outlineLevel="1"/>
    <col min="16" max="16" width="14.28515625" style="21" bestFit="1" customWidth="1" collapsed="1"/>
    <col min="17" max="17" width="23.5703125" hidden="1" customWidth="1" outlineLevel="1"/>
    <col min="18" max="18" width="11.5703125" bestFit="1" customWidth="1" collapsed="1"/>
    <col min="20" max="20" width="9.140625" hidden="1" customWidth="1" outlineLevel="1"/>
    <col min="21" max="21" width="13.28515625" bestFit="1" customWidth="1" collapsed="1"/>
    <col min="23" max="23" width="9.140625" hidden="1" customWidth="1" outlineLevel="1"/>
    <col min="24" max="24" width="11.5703125" bestFit="1" customWidth="1" collapsed="1"/>
  </cols>
  <sheetData>
    <row r="1" spans="1:25" s="103" customFormat="1" ht="15.75" thickBot="1" x14ac:dyDescent="0.3">
      <c r="A1" s="103" t="s">
        <v>182</v>
      </c>
      <c r="B1" s="103" t="s">
        <v>159</v>
      </c>
      <c r="C1" s="104" t="s">
        <v>131</v>
      </c>
      <c r="D1" s="104" t="s">
        <v>167</v>
      </c>
      <c r="E1" s="118" t="s">
        <v>160</v>
      </c>
      <c r="F1" s="103" t="s">
        <v>161</v>
      </c>
      <c r="G1" s="118" t="s">
        <v>162</v>
      </c>
      <c r="H1" s="103" t="s">
        <v>164</v>
      </c>
      <c r="I1" s="103" t="s">
        <v>169</v>
      </c>
      <c r="J1" s="103" t="s">
        <v>171</v>
      </c>
      <c r="K1" s="103" t="s">
        <v>172</v>
      </c>
      <c r="L1" s="103" t="s">
        <v>165</v>
      </c>
      <c r="M1" s="103" t="s">
        <v>152</v>
      </c>
      <c r="N1" s="103" t="s">
        <v>170</v>
      </c>
      <c r="O1" s="103" t="s">
        <v>166</v>
      </c>
      <c r="P1" s="118" t="s">
        <v>163</v>
      </c>
      <c r="Q1" s="103" t="s">
        <v>174</v>
      </c>
      <c r="R1" s="103" t="s">
        <v>175</v>
      </c>
      <c r="S1" s="103" t="s">
        <v>176</v>
      </c>
      <c r="T1" s="103" t="s">
        <v>180</v>
      </c>
      <c r="U1" s="103" t="s">
        <v>181</v>
      </c>
      <c r="V1" s="103" t="s">
        <v>177</v>
      </c>
      <c r="W1" s="103" t="s">
        <v>178</v>
      </c>
      <c r="X1" s="103" t="s">
        <v>179</v>
      </c>
      <c r="Y1" s="103" t="s">
        <v>177</v>
      </c>
    </row>
    <row r="2" spans="1:25" x14ac:dyDescent="0.25">
      <c r="A2" s="6"/>
      <c r="B2" s="6" t="s">
        <v>130</v>
      </c>
      <c r="C2" s="123" t="s">
        <v>71</v>
      </c>
      <c r="D2" s="123" cm="1">
        <f t="array" aca="1" ref="D2" ca="1">IF(_xll.QUtils_IsTenor(C2),_xll.QDates_AddPeriod(valDate,C2,"F","NYC"),C2)</f>
        <v>44328</v>
      </c>
      <c r="E2" s="124">
        <f ca="1">M2*0.9</f>
        <v>638.68812111086004</v>
      </c>
      <c r="F2" s="6" t="s">
        <v>168</v>
      </c>
      <c r="G2" s="124">
        <v>1000000</v>
      </c>
      <c r="H2" s="6" t="s">
        <v>1</v>
      </c>
      <c r="I2" s="125" t="str">
        <f>VLOOKUP(H2,'FX-IR'!$B$20:$C$27,2,FALSE)</f>
        <v>ZAR.DISC.[USD.LIBOR.3M]</v>
      </c>
      <c r="J2" s="125" t="s">
        <v>173</v>
      </c>
      <c r="K2" s="125" t="str">
        <f>VLOOKUP(B2,AssetStatic,2,FALSE)</f>
        <v>0b</v>
      </c>
      <c r="L2" t="str" cm="1">
        <f t="array" aca="1" ref="L2" ca="1">_xll.QIns_CreateForward("EuOpt_Fwd_"&amp;ROW(),D2,B2,H2,0,G2,H2,J2,K2,I2)</f>
        <v>EuOpt_Fwd_2¬0</v>
      </c>
      <c r="M2" s="14" cm="1">
        <f t="array" aca="1" ref="M2" ca="1">_xll.QIns_ProductParRate(L2,AModel)</f>
        <v>709.65346790095555</v>
      </c>
      <c r="N2" s="11" cm="1">
        <f t="array" aca="1" ref="N2" ca="1">_xll.QModels_GetCompoVol(AModel,B2,H2,E2,D2)</f>
        <v>0.41959452129689295</v>
      </c>
      <c r="O2" t="str" cm="1">
        <f t="array" aca="1" ref="O2" ca="1">_xll.QIns_CreateEuropeanOption("euOpt_"&amp;ROW(),D2,B2,H2,E2,F2,G2,H2,J2,K2,I2)</f>
        <v>euOpt_2¬0</v>
      </c>
      <c r="P2" s="21" cm="1">
        <f t="array" aca="1" ref="P2" ca="1">_xll.QIns_ProductPV(O2,AModel,H2)</f>
        <v>77365659.366891697</v>
      </c>
      <c r="Q2" t="str" cm="1">
        <f t="array" aca="1" ref="Q2" ca="1">IF(VLOOKUP(B2,AssetStatic,4,FALSE),_xll.QRisk_PortfolioFxDeltaSpecific("euOpt_DeltaA"&amp;ROW(),O2,AModel,B2,"ZAR",FALSE),_xll.QRisk_PortfolioDelta("euOpt_DeltaA"&amp;ROW(),O2,AModel,FALSE))</f>
        <v>euOpt_DeltaA2¬0</v>
      </c>
      <c r="R2" s="21" cm="1">
        <f t="array" aca="1" ref="R2" ca="1">_xll.QCube_SumAllRows(Q2)</f>
        <v>-275000.73144361377</v>
      </c>
      <c r="S2" s="11">
        <f ca="1">R2/G2</f>
        <v>-0.27500073144361376</v>
      </c>
      <c r="T2" t="str" cm="1">
        <f t="array" aca="1" ref="T2" ca="1">_xll.QRisk_PortfolioVega("euopt_commVegaA"&amp;ROW(),O2,AModel,H2)</f>
        <v>euopt_commVegaA2¬0</v>
      </c>
      <c r="U2" s="21" cm="1">
        <f t="array" aca="1" ref="U2" ca="1">_xll.QCube_SumAllRows(T2)</f>
        <v>2231316.7547562718</v>
      </c>
      <c r="V2" s="120">
        <f ca="1">U2/D2</f>
        <v>50.336508634638868</v>
      </c>
      <c r="W2" t="str" cm="1">
        <f t="array" aca="1" ref="W2" ca="1">_xll.QRisk_PortfolioFxVega("euOpt_fxVegaA"&amp;ROW(),O2,AModel,H2)</f>
        <v>euOpt_fxVegaA2¬0</v>
      </c>
      <c r="X2" s="21" cm="1">
        <f t="array" aca="1" ref="X2" ca="1">_xll.QCube_SumAllRows(W2)</f>
        <v>306207.91882351041</v>
      </c>
      <c r="Y2" s="120">
        <f ca="1">X2/G2</f>
        <v>0.30620791882351039</v>
      </c>
    </row>
    <row r="3" spans="1:25" x14ac:dyDescent="0.25">
      <c r="A3" s="6"/>
      <c r="B3" s="6" t="s">
        <v>105</v>
      </c>
      <c r="C3" s="123">
        <v>44326</v>
      </c>
      <c r="D3" s="123" cm="1">
        <f t="array" aca="1" ref="D3" ca="1">IF(_xll.QUtils_IsTenor(C3),_xll.QDates_AddPeriod(valDate,C3,"F","NYC"),C3)</f>
        <v>44326</v>
      </c>
      <c r="E3" s="124">
        <f t="shared" ref="E3:E4" ca="1" si="0">M3*0.9</f>
        <v>1409.9491071428572</v>
      </c>
      <c r="F3" s="6" t="s">
        <v>168</v>
      </c>
      <c r="G3" s="124">
        <v>100</v>
      </c>
      <c r="H3" s="6" t="s">
        <v>21</v>
      </c>
      <c r="I3" s="125" t="str">
        <f>VLOOKUP(H3,'FX-IR'!$B$20:$C$27,2,FALSE)</f>
        <v>USD.LIBOR.3M</v>
      </c>
      <c r="J3" s="125" t="s">
        <v>173</v>
      </c>
      <c r="K3" s="125" t="str">
        <f>VLOOKUP(B3,AssetStatic,2,FALSE)</f>
        <v>2b</v>
      </c>
      <c r="L3" t="str" cm="1">
        <f t="array" aca="1" ref="L3" ca="1">_xll.QIns_CreateForward("EuOpt_Fwd_"&amp;ROW(),D3,B3,H3,0,G3,H3,J3,K3,I3)</f>
        <v>EuOpt_Fwd_3¬0</v>
      </c>
      <c r="M3" s="14" cm="1">
        <f t="array" aca="1" ref="M3" ca="1">_xll.QIns_ProductParRate(L3,AModel)</f>
        <v>1566.610119047619</v>
      </c>
      <c r="N3" s="11" cm="1">
        <f t="array" aca="1" ref="N3" ca="1">_xll.QModels_GetCompoVol(AModel,B3,H3,E3,D3)</f>
        <v>0.18792985281486466</v>
      </c>
      <c r="O3" t="str" cm="1">
        <f t="array" aca="1" ref="O3" ca="1">_xll.QIns_CreateEuropeanOption("euOpt_"&amp;ROW(),D3,B3,H3,E3,F3,G3,H3,J3,K3,I3)</f>
        <v>euOpt_3¬0</v>
      </c>
      <c r="P3" s="21" cm="1">
        <f t="array" aca="1" ref="P3" ca="1">_xll.QIns_ProductPV(O3,AModel,H3)</f>
        <v>4977.5661670407417</v>
      </c>
      <c r="Q3" t="str" cm="1">
        <f t="array" aca="1" ref="Q3" ca="1">IF(VLOOKUP(B3,AssetStatic,4,FALSE),_xll.QRisk_PortfolioFxDeltaSpecific("euOpt_DeltaA"&amp;ROW(),O3,AModel,B3,"ZAR",FALSE),_xll.QRisk_PortfolioDelta("euOpt_DeltaA"&amp;ROW(),O3,AModel,FALSE))</f>
        <v>euOpt_DeltaA3¬0</v>
      </c>
      <c r="R3" s="21" cm="1">
        <f t="array" aca="1" ref="R3" ca="1">_xll.QCube_SumAllRows(Q3)</f>
        <v>-21.818570291461448</v>
      </c>
      <c r="S3" s="11">
        <f t="shared" ref="S3:S4" ca="1" si="1">R3/G3</f>
        <v>-0.21818570291461448</v>
      </c>
      <c r="T3" t="str" cm="1">
        <f t="array" aca="1" ref="T3" ca="1">_xll.QRisk_PortfolioVega("euopt_commVegaA"&amp;ROW(),O3,AModel,H3)</f>
        <v>euopt_commVegaA3¬0</v>
      </c>
      <c r="U3" s="21" cm="1">
        <f t="array" aca="1" ref="U3" ca="1">_xll.QCube_SumAllRows(T3)</f>
        <v>213.25027657399914</v>
      </c>
      <c r="V3" s="120">
        <f t="shared" ref="V3:V4" ca="1" si="2">U3/D3</f>
        <v>4.8109524110905369E-3</v>
      </c>
      <c r="W3" t="str" cm="1">
        <f t="array" aca="1" ref="W3" ca="1">_xll.QRisk_PortfolioFxVega("euOpt_fxVegaA"&amp;ROW(),O3,AModel,H3)</f>
        <v>euOpt_fxVegaA3¬0</v>
      </c>
      <c r="X3" s="21" cm="1">
        <f t="array" aca="1" ref="X3" ca="1">_xll.QCube_SumAllRows(W3)</f>
        <v>0</v>
      </c>
      <c r="Y3" s="120">
        <f t="shared" ref="Y3:Y4" ca="1" si="3">X3/G3</f>
        <v>0</v>
      </c>
    </row>
    <row r="4" spans="1:25" x14ac:dyDescent="0.25">
      <c r="A4" s="6" t="s">
        <v>184</v>
      </c>
      <c r="B4" s="6" t="s">
        <v>136</v>
      </c>
      <c r="C4" s="123">
        <v>44326</v>
      </c>
      <c r="D4" s="123" cm="1">
        <f t="array" aca="1" ref="D4" ca="1">IF(_xll.QUtils_IsTenor(C4),_xll.QDates_AddPeriod(valDate,C4,"F","NYC"),C4)</f>
        <v>44326</v>
      </c>
      <c r="E4" s="124">
        <f t="shared" ca="1" si="0"/>
        <v>5668.2719423497856</v>
      </c>
      <c r="F4" s="6" t="s">
        <v>168</v>
      </c>
      <c r="G4" s="124">
        <v>100</v>
      </c>
      <c r="H4" s="6" t="s">
        <v>1</v>
      </c>
      <c r="I4" s="125" t="str">
        <f>VLOOKUP(H4,'FX-IR'!$B$20:$C$27,2,FALSE)</f>
        <v>ZAR.DISC.[USD.LIBOR.3M]</v>
      </c>
      <c r="J4" s="125" t="s">
        <v>173</v>
      </c>
      <c r="K4" s="125" t="str">
        <f>VLOOKUP(B4,AssetStatic,2,FALSE)</f>
        <v>0b</v>
      </c>
      <c r="L4" t="str" cm="1">
        <f t="array" aca="1" ref="L4" ca="1">_xll.QIns_CreateForward("EuOpt_Fwd_"&amp;ROW(),D4,B4,H4,0,G4,H4,J4,K4,I4)</f>
        <v>EuOpt_Fwd_4¬0</v>
      </c>
      <c r="M4" s="14" cm="1">
        <f t="array" aca="1" ref="M4" ca="1">_xll.QIns_ProductParRate(L4,AModel)</f>
        <v>6298.0799359442062</v>
      </c>
      <c r="N4" s="11" cm="1">
        <f t="array" aca="1" ref="N4" ca="1">_xll.QModels_GetCompoVol(AModel,B4,H4,E4,D4)</f>
        <v>0.34412693637307284</v>
      </c>
      <c r="O4" t="str" cm="1">
        <f t="array" aca="1" ref="O4" ca="1">_xll.QIns_CreateEuropeanOption("euOpt_"&amp;ROW(),D4,B4,H4,E4,F4,G4,H4,J4,K4,I4)</f>
        <v>euOpt_4¬0</v>
      </c>
      <c r="P4" s="21" cm="1">
        <f t="array" aca="1" ref="P4" ca="1">_xll.QIns_ProductPV(O4,AModel,H4)</f>
        <v>52042.415128094734</v>
      </c>
      <c r="Q4" t="str" cm="1">
        <f t="array" aca="1" ref="Q4" ca="1">IF(VLOOKUP(B4,AssetStatic,4,FALSE),_xll.QRisk_PortfolioFxDeltaSpecific("euOpt_DeltaA"&amp;ROW(),O4,AModel,B4,"ZAR",FALSE),_xll.QRisk_PortfolioDelta("euOpt_DeltaA"&amp;ROW(),O4,AModel,FALSE))</f>
        <v>euOpt_DeltaA4¬0</v>
      </c>
      <c r="R4" s="21" cm="1">
        <f t="array" aca="1" ref="R4" ca="1">_xll.QCube_SumAllRows(Q4)</f>
        <v>-28.157499823782928</v>
      </c>
      <c r="S4" s="11">
        <f t="shared" ca="1" si="1"/>
        <v>-0.28157499823782928</v>
      </c>
      <c r="T4" t="str" cm="1">
        <f t="array" aca="1" ref="T4" ca="1">_xll.QRisk_PortfolioVega("euopt_commVegaA"&amp;ROW(),O4,AModel,H4)</f>
        <v>euopt_commVegaA4¬0</v>
      </c>
      <c r="U4" s="21" cm="1">
        <f t="array" aca="1" ref="U4" ca="1">_xll.QCube_SumAllRows(T4)</f>
        <v>1837.8399604981678</v>
      </c>
      <c r="V4" s="120">
        <f t="shared" ca="1" si="2"/>
        <v>4.14618950615478E-2</v>
      </c>
      <c r="W4" t="str" cm="1">
        <f t="array" aca="1" ref="W4" ca="1">_xll.QRisk_PortfolioFxVega("euOpt_fxVegaA"&amp;ROW(),O4,AModel,H4)</f>
        <v>euOpt_fxVegaA4¬0</v>
      </c>
      <c r="X4" s="21" cm="1">
        <f t="array" aca="1" ref="X4" ca="1">_xll.QCube_SumAllRows(W4)</f>
        <v>487.73529737823992</v>
      </c>
      <c r="Y4" s="120">
        <f t="shared" ca="1" si="3"/>
        <v>4.8773529737823988</v>
      </c>
    </row>
    <row r="5" spans="1:25" x14ac:dyDescent="0.25">
      <c r="A5" s="6"/>
      <c r="B5" s="6" t="s">
        <v>10</v>
      </c>
      <c r="C5" s="123">
        <v>44326</v>
      </c>
      <c r="D5" s="123" cm="1">
        <f t="array" aca="1" ref="D5" ca="1">IF(_xll.QUtils_IsTenor(C5),_xll.QDates_AddPeriod(valDate,C5,"F","NYC"),C5)</f>
        <v>44326</v>
      </c>
      <c r="E5" s="124">
        <f t="shared" ref="E5" ca="1" si="4">M5*0.9</f>
        <v>1542.5209572949736</v>
      </c>
      <c r="F5" s="6" t="s">
        <v>168</v>
      </c>
      <c r="G5" s="124">
        <v>100</v>
      </c>
      <c r="H5" s="6" t="s">
        <v>21</v>
      </c>
      <c r="I5" s="125" t="str">
        <f>VLOOKUP(H5,'FX-IR'!$B$20:$C$27,2,FALSE)</f>
        <v>USD.LIBOR.3M</v>
      </c>
      <c r="J5" s="125" t="s">
        <v>173</v>
      </c>
      <c r="K5" s="125" t="str">
        <f>VLOOKUP(B5,AssetStatic,2,FALSE)</f>
        <v>2b</v>
      </c>
      <c r="L5" t="str" cm="1">
        <f t="array" aca="1" ref="L5" ca="1">_xll.QIns_CreateForward("EuOpt_Fwd_"&amp;ROW(),D5,B5,H5,0,G5,H5,J5,K5,I5)</f>
        <v>EuOpt_Fwd_5¬0</v>
      </c>
      <c r="M5" s="14" cm="1">
        <f t="array" aca="1" ref="M5" ca="1">_xll.QIns_ProductParRate(L5,AModel)</f>
        <v>1713.9121747721929</v>
      </c>
      <c r="N5" s="11" cm="1">
        <f t="array" aca="1" ref="N5" ca="1">_xll.QModels_GetCompoVol(AModel,B5,H5,E5,D5)</f>
        <v>0.23532565053031984</v>
      </c>
      <c r="O5" t="str" cm="1">
        <f t="array" aca="1" ref="O5" ca="1">_xll.QIns_CreateEuropeanOption("euOpt_"&amp;ROW(),D5,B5,H5,E5,F5,G5,H5,J5,K5,I5)</f>
        <v>euOpt_5¬0</v>
      </c>
      <c r="P5" s="21" cm="1">
        <f t="array" aca="1" ref="P5" ca="1">_xll.QIns_ProductPV(O5,AModel,H5)</f>
        <v>8128.9925337076947</v>
      </c>
      <c r="Q5" t="str" cm="1">
        <f t="array" aca="1" ref="Q5" ca="1">IF(VLOOKUP(B5,AssetStatic,4,FALSE),_xll.QRisk_PortfolioFxDeltaSpecific("euOpt_DeltaA"&amp;ROW(),O5,AModel,B5,"ZAR",FALSE),_xll.QRisk_PortfolioDelta("euOpt_DeltaA"&amp;ROW(),O5,AModel,FALSE))</f>
        <v>euOpt_DeltaA5¬0</v>
      </c>
      <c r="R5" s="21" cm="1">
        <f t="array" aca="1" ref="R5" ca="1">_xll.QCube_SumAllRows(Q5)</f>
        <v>-26.486789342427031</v>
      </c>
      <c r="S5" s="11">
        <f t="shared" ref="S5" ca="1" si="5">R5/G5</f>
        <v>-0.26486789342427031</v>
      </c>
      <c r="T5" t="str" cm="1">
        <f t="array" aca="1" ref="T5" ca="1">_xll.QRisk_PortfolioVega("euopt_commVegaA"&amp;ROW(),O5,AModel,H5)</f>
        <v>euopt_commVegaA5¬0</v>
      </c>
      <c r="U5" s="21" cm="1">
        <f t="array" aca="1" ref="U5" ca="1">_xll.QCube_SumAllRows(T5)</f>
        <v>0</v>
      </c>
      <c r="V5" s="120">
        <f t="shared" ref="V5" ca="1" si="6">U5/D5</f>
        <v>0</v>
      </c>
      <c r="W5" t="str" cm="1">
        <f t="array" aca="1" ref="W5" ca="1">_xll.QRisk_PortfolioFxVega("euOpt_fxVegaA"&amp;ROW(),O5,AModel,H5)</f>
        <v>euOpt_fxVegaA5¬0</v>
      </c>
      <c r="X5" s="21" cm="1">
        <f t="array" aca="1" ref="X5" ca="1">_xll.QCube_SumAllRows(W5)</f>
        <v>568.17190881593888</v>
      </c>
      <c r="Y5" s="120">
        <f t="shared" ref="Y5" ca="1" si="7">X5/G5</f>
        <v>5.6817190881593884</v>
      </c>
    </row>
    <row r="6" spans="1:25" x14ac:dyDescent="0.25">
      <c r="A6" s="6"/>
      <c r="B6" s="6" t="s">
        <v>10</v>
      </c>
      <c r="C6" s="123">
        <v>44327</v>
      </c>
      <c r="D6" s="123" cm="1">
        <f t="array" aca="1" ref="D6" ca="1">IF(_xll.QUtils_IsTenor(C6),_xll.QDates_AddPeriod(valDate,C6,"F","NYC"),C6)</f>
        <v>44327</v>
      </c>
      <c r="E6" s="124">
        <f t="shared" ref="E6:E7" ca="1" si="8">M6*0.9</f>
        <v>29275.569636714798</v>
      </c>
      <c r="F6" s="6" t="s">
        <v>168</v>
      </c>
      <c r="G6" s="124">
        <v>101</v>
      </c>
      <c r="H6" s="6" t="s">
        <v>1</v>
      </c>
      <c r="I6" s="125" t="str">
        <f>VLOOKUP(H6,'FX-IR'!$B$20:$C$27,2,FALSE)</f>
        <v>ZAR.DISC.[USD.LIBOR.3M]</v>
      </c>
      <c r="J6" s="125" t="s">
        <v>173</v>
      </c>
      <c r="K6" s="125" t="str">
        <f>VLOOKUP(B6,AssetStatic,2,FALSE)</f>
        <v>2b</v>
      </c>
      <c r="L6" t="str" cm="1">
        <f t="array" aca="1" ref="L6" ca="1">_xll.QIns_CreateForward("EuOpt_Fwd_"&amp;ROW(),D6,B6,H6,0,G6,H6,J6,K6,I6)</f>
        <v>EuOpt_Fwd_6¬0</v>
      </c>
      <c r="M6" s="14" cm="1">
        <f t="array" aca="1" ref="M6" ca="1">_xll.QIns_ProductParRate(L6,AModel)</f>
        <v>32528.410707460887</v>
      </c>
      <c r="N6" s="11" cm="1">
        <f t="array" aca="1" ref="N6" ca="1">_xll.QModels_GetCompoVol(AModel,B6,H6,E6,D6)</f>
        <v>0.25092295135965131</v>
      </c>
      <c r="O6" t="str" cm="1">
        <f t="array" aca="1" ref="O6" ca="1">_xll.QIns_CreateEuropeanOption("euOpt_"&amp;ROW(),D6,B6,H6,E6,F6,G6,H6,J6,K6,I6)</f>
        <v>euOpt_6¬0</v>
      </c>
      <c r="P6" s="21" cm="1">
        <f t="array" aca="1" ref="P6" ca="1">_xll.QIns_ProductPV(O6,AModel,H6)</f>
        <v>168267.61781041368</v>
      </c>
      <c r="Q6" t="str" cm="1">
        <f t="array" aca="1" ref="Q6" ca="1">IF(VLOOKUP(B6,AssetStatic,4,FALSE),_xll.QRisk_PortfolioFxDeltaSpecific("euOpt_DeltaA"&amp;ROW(),O6,AModel,B6,"ZAR",FALSE),_xll.QRisk_PortfolioDelta("euOpt_DeltaA"&amp;ROW(),O6,AModel,FALSE))</f>
        <v>euOpt_DeltaA6¬0</v>
      </c>
      <c r="R6" s="21" cm="1">
        <f t="array" aca="1" ref="R6" ca="1">_xll.QCube_SumAllRows(Q6)</f>
        <v>-28.070742218249457</v>
      </c>
      <c r="S6" s="11">
        <f t="shared" ref="S6:S7" ca="1" si="9">R6/G6</f>
        <v>-0.27792814077474709</v>
      </c>
      <c r="T6" t="str" cm="1">
        <f t="array" aca="1" ref="T6" ca="1">_xll.QRisk_PortfolioVega("euopt_commVegaA"&amp;ROW(),O6,AModel,H6)</f>
        <v>euopt_commVegaA6¬0</v>
      </c>
      <c r="U6" s="21" cm="1">
        <f t="array" aca="1" ref="U6" ca="1">_xll.QCube_SumAllRows(T6)</f>
        <v>0</v>
      </c>
      <c r="V6" s="120">
        <f t="shared" ref="V6:V7" ca="1" si="10">U6/D6</f>
        <v>0</v>
      </c>
      <c r="W6" t="str" cm="1">
        <f t="array" aca="1" ref="W6" ca="1">_xll.QRisk_PortfolioFxVega("euOpt_fxVegaA"&amp;ROW(),O6,AModel,H6)</f>
        <v>euOpt_fxVegaA6¬0</v>
      </c>
      <c r="X6" s="21" cm="1">
        <f t="array" aca="1" ref="X6" ca="1">_xll.QCube_SumAllRows(W6)</f>
        <v>12583.145170283387</v>
      </c>
      <c r="Y6" s="120">
        <f t="shared" ref="Y6:Y7" ca="1" si="11">X6/G6</f>
        <v>124.58559574538008</v>
      </c>
    </row>
    <row r="7" spans="1:25" x14ac:dyDescent="0.25">
      <c r="A7" s="6"/>
      <c r="B7" s="6" t="s">
        <v>9</v>
      </c>
      <c r="C7" s="123">
        <v>44328</v>
      </c>
      <c r="D7" s="123" cm="1">
        <f t="array" aca="1" ref="D7" ca="1">IF(_xll.QUtils_IsTenor(C7),_xll.QDates_AddPeriod(valDate,C7,"F","NYC"),C7)</f>
        <v>44328</v>
      </c>
      <c r="E7" s="124">
        <f t="shared" ca="1" si="8"/>
        <v>0.58351844229367766</v>
      </c>
      <c r="F7" s="6" t="s">
        <v>168</v>
      </c>
      <c r="G7" s="124">
        <v>100000</v>
      </c>
      <c r="H7" s="6" t="s">
        <v>21</v>
      </c>
      <c r="I7" s="125" t="str">
        <f>VLOOKUP(H7,'FX-IR'!$B$20:$C$27,2,FALSE)</f>
        <v>USD.LIBOR.3M</v>
      </c>
      <c r="J7" s="125" t="s">
        <v>173</v>
      </c>
      <c r="K7" s="125" t="str">
        <f>VLOOKUP(B7,AssetStatic,2,FALSE)</f>
        <v>2b</v>
      </c>
      <c r="L7" t="str" cm="1">
        <f t="array" aca="1" ref="L7" ca="1">_xll.QIns_CreateForward("EuOpt_Fwd_"&amp;ROW(),D7,B7,H7,0,G7,H7,J7,K7,I7)</f>
        <v>EuOpt_Fwd_7¬0</v>
      </c>
      <c r="M7" s="14" cm="1">
        <f t="array" aca="1" ref="M7" ca="1">_xll.QIns_ProductParRate(L7,AModel)</f>
        <v>0.64835382477075298</v>
      </c>
      <c r="N7" s="11" cm="1">
        <f t="array" aca="1" ref="N7" ca="1">_xll.QModels_GetCompoVol(AModel,B7,H7,E7,D7)</f>
        <v>0.15816213272497567</v>
      </c>
      <c r="O7" t="str" cm="1">
        <f t="array" aca="1" ref="O7" ca="1">_xll.QIns_CreateEuropeanOption("euOpt_"&amp;ROW(),D7,B7,H7,E7,F7,G7,H7,J7,K7,I7)</f>
        <v>euOpt_7¬0</v>
      </c>
      <c r="P7" s="21" cm="1">
        <f t="array" aca="1" ref="P7" ca="1">_xll.QIns_ProductPV(O7,AModel,H7)</f>
        <v>1467.7514910877806</v>
      </c>
      <c r="Q7" t="str" cm="1">
        <f t="array" aca="1" ref="Q7" ca="1">IF(VLOOKUP(B7,AssetStatic,4,FALSE),_xll.QRisk_PortfolioFxDeltaSpecific("euOpt_DeltaA"&amp;ROW(),O7,AModel,B7,"ZAR",FALSE),_xll.QRisk_PortfolioDelta("euOpt_DeltaA"&amp;ROW(),O7,AModel,FALSE))</f>
        <v>euOpt_DeltaA7¬0</v>
      </c>
      <c r="R7" s="21" cm="1">
        <f t="array" aca="1" ref="R7" ca="1">_xll.QCube_SumAllRows(Q7)</f>
        <v>-15052.271846486248</v>
      </c>
      <c r="S7" s="11">
        <f t="shared" ca="1" si="9"/>
        <v>-0.15052271846486248</v>
      </c>
      <c r="T7" t="str" cm="1">
        <f t="array" aca="1" ref="T7" ca="1">_xll.QRisk_PortfolioVega("euopt_commVegaA"&amp;ROW(),O7,AModel,H7)</f>
        <v>euopt_commVegaA7¬0</v>
      </c>
      <c r="U7" s="21" cm="1">
        <f t="array" aca="1" ref="U7" ca="1">_xll.QCube_SumAllRows(T7)</f>
        <v>0</v>
      </c>
      <c r="V7" s="120">
        <f t="shared" ca="1" si="10"/>
        <v>0</v>
      </c>
      <c r="W7" t="str" cm="1">
        <f t="array" aca="1" ref="W7" ca="1">_xll.QRisk_PortfolioFxVega("euOpt_fxVegaA"&amp;ROW(),O7,AModel,H7)</f>
        <v>euOpt_fxVegaA7¬0</v>
      </c>
      <c r="X7" s="21" cm="1">
        <f t="array" aca="1" ref="X7" ca="1">_xll.QCube_SumAllRows(W7)</f>
        <v>166.70145199160288</v>
      </c>
      <c r="Y7" s="120">
        <f t="shared" ca="1" si="11"/>
        <v>1.6670145199160287E-3</v>
      </c>
    </row>
    <row r="8" spans="1:25" x14ac:dyDescent="0.25">
      <c r="A8" s="6"/>
      <c r="B8" s="6"/>
      <c r="C8" s="123"/>
      <c r="D8" s="123"/>
      <c r="E8" s="124"/>
      <c r="F8" s="6"/>
      <c r="G8" s="124"/>
      <c r="H8" s="6"/>
      <c r="I8" s="125"/>
      <c r="J8" s="125"/>
      <c r="K8" s="125"/>
    </row>
    <row r="9" spans="1:25" x14ac:dyDescent="0.25">
      <c r="A9" s="6"/>
      <c r="B9" s="6"/>
      <c r="C9" s="123"/>
      <c r="D9" s="123"/>
      <c r="E9" s="124"/>
      <c r="F9" s="6"/>
      <c r="G9" s="124"/>
      <c r="H9" s="6"/>
      <c r="I9" s="125"/>
      <c r="J9" s="125"/>
      <c r="K9" s="125"/>
    </row>
    <row r="10" spans="1:25" x14ac:dyDescent="0.25">
      <c r="A10" s="6"/>
      <c r="B10" s="6"/>
      <c r="C10" s="123"/>
      <c r="D10" s="123"/>
      <c r="E10" s="124"/>
      <c r="F10" s="6"/>
      <c r="G10" s="124"/>
      <c r="H10" s="6"/>
      <c r="I10" s="125"/>
      <c r="J10" s="125"/>
      <c r="K10" s="125"/>
    </row>
    <row r="11" spans="1:25" x14ac:dyDescent="0.25">
      <c r="A11" s="6"/>
      <c r="B11" s="6"/>
      <c r="C11" s="123"/>
      <c r="D11" s="123"/>
      <c r="E11" s="124"/>
      <c r="F11" s="6"/>
      <c r="G11" s="124"/>
      <c r="H11" s="6"/>
      <c r="I11" s="125"/>
      <c r="J11" s="125"/>
      <c r="K11" s="125"/>
    </row>
    <row r="12" spans="1:25" x14ac:dyDescent="0.25">
      <c r="A12" s="6"/>
      <c r="B12" s="6"/>
      <c r="C12" s="123"/>
      <c r="D12" s="123"/>
      <c r="E12" s="124"/>
      <c r="F12" s="6"/>
      <c r="G12" s="124"/>
      <c r="H12" s="6"/>
      <c r="I12" s="125"/>
      <c r="J12" s="125"/>
      <c r="K12" s="125"/>
    </row>
    <row r="13" spans="1:25" x14ac:dyDescent="0.25">
      <c r="A13" s="6"/>
      <c r="B13" s="6"/>
      <c r="C13" s="123"/>
      <c r="D13" s="123"/>
      <c r="E13" s="124"/>
      <c r="F13" s="6"/>
      <c r="G13" s="124"/>
      <c r="H13" s="6"/>
      <c r="I13" s="125"/>
      <c r="J13" s="125"/>
      <c r="K13" s="125"/>
    </row>
    <row r="14" spans="1:25" x14ac:dyDescent="0.25">
      <c r="A14" s="6"/>
      <c r="B14" s="6"/>
      <c r="C14" s="123"/>
      <c r="D14" s="123"/>
      <c r="E14" s="124"/>
      <c r="F14" s="6"/>
      <c r="G14" s="124"/>
      <c r="H14" s="6"/>
      <c r="I14" s="125"/>
      <c r="J14" s="125"/>
      <c r="K14" s="125"/>
    </row>
    <row r="15" spans="1:25" x14ac:dyDescent="0.25">
      <c r="A15" s="6"/>
      <c r="B15" s="6"/>
      <c r="C15" s="123"/>
      <c r="D15" s="123"/>
      <c r="E15" s="124"/>
      <c r="F15" s="6"/>
      <c r="G15" s="124"/>
      <c r="H15" s="6"/>
      <c r="I15" s="125"/>
      <c r="J15" s="125"/>
      <c r="K15" s="125"/>
    </row>
    <row r="16" spans="1:25" x14ac:dyDescent="0.25">
      <c r="A16" s="6"/>
      <c r="B16" s="6"/>
      <c r="C16" s="123"/>
      <c r="D16" s="123"/>
      <c r="E16" s="124"/>
      <c r="F16" s="6"/>
      <c r="G16" s="124"/>
      <c r="H16" s="6"/>
      <c r="I16" s="125"/>
      <c r="J16" s="125"/>
      <c r="K16" s="125"/>
    </row>
    <row r="17" spans="1:11" x14ac:dyDescent="0.25">
      <c r="A17" s="6"/>
      <c r="B17" s="6"/>
      <c r="C17" s="123"/>
      <c r="D17" s="123"/>
      <c r="E17" s="124"/>
      <c r="F17" s="6"/>
      <c r="G17" s="124"/>
      <c r="H17" s="6"/>
      <c r="I17" s="125"/>
      <c r="J17" s="125"/>
      <c r="K17" s="125"/>
    </row>
    <row r="18" spans="1:11" x14ac:dyDescent="0.25">
      <c r="A18" s="6"/>
      <c r="B18" s="6"/>
      <c r="C18" s="123"/>
      <c r="D18" s="123"/>
      <c r="E18" s="124"/>
      <c r="F18" s="6"/>
      <c r="G18" s="124"/>
      <c r="H18" s="6"/>
      <c r="I18" s="125"/>
      <c r="J18" s="125"/>
      <c r="K18" s="125"/>
    </row>
    <row r="19" spans="1:11" x14ac:dyDescent="0.25">
      <c r="A19" s="6"/>
      <c r="B19" s="6"/>
      <c r="C19" s="123"/>
      <c r="D19" s="123"/>
      <c r="E19" s="124"/>
      <c r="F19" s="6"/>
      <c r="G19" s="124"/>
      <c r="H19" s="6"/>
      <c r="I19" s="125"/>
      <c r="J19" s="125"/>
      <c r="K19" s="125"/>
    </row>
    <row r="20" spans="1:11" x14ac:dyDescent="0.25">
      <c r="A20" s="6"/>
      <c r="B20" s="6"/>
      <c r="C20" s="123"/>
      <c r="D20" s="123"/>
      <c r="E20" s="124"/>
      <c r="F20" s="6"/>
      <c r="G20" s="124"/>
      <c r="H20" s="6"/>
      <c r="I20" s="125"/>
      <c r="J20" s="125"/>
      <c r="K20" s="125"/>
    </row>
    <row r="21" spans="1:11" x14ac:dyDescent="0.25">
      <c r="A21" s="6"/>
      <c r="B21" s="6"/>
      <c r="C21" s="123"/>
      <c r="D21" s="123"/>
      <c r="E21" s="124"/>
      <c r="F21" s="6"/>
      <c r="G21" s="124"/>
      <c r="H21" s="6"/>
      <c r="I21" s="125"/>
      <c r="J21" s="125"/>
      <c r="K21" s="125"/>
    </row>
    <row r="22" spans="1:11" x14ac:dyDescent="0.25">
      <c r="A22" s="6"/>
      <c r="B22" s="6"/>
      <c r="C22" s="123"/>
      <c r="D22" s="123"/>
      <c r="E22" s="124"/>
      <c r="F22" s="6"/>
      <c r="G22" s="124"/>
      <c r="H22" s="6"/>
      <c r="I22" s="125"/>
      <c r="J22" s="125"/>
      <c r="K22" s="125"/>
    </row>
    <row r="23" spans="1:11" x14ac:dyDescent="0.25">
      <c r="A23" s="6"/>
      <c r="B23" s="6"/>
      <c r="C23" s="123"/>
      <c r="D23" s="123"/>
      <c r="E23" s="124"/>
      <c r="F23" s="6"/>
      <c r="G23" s="124"/>
      <c r="H23" s="6"/>
      <c r="I23" s="125"/>
      <c r="J23" s="125"/>
      <c r="K23" s="125"/>
    </row>
    <row r="24" spans="1:11" x14ac:dyDescent="0.25">
      <c r="A24" s="6"/>
      <c r="B24" s="6"/>
      <c r="C24" s="123"/>
      <c r="D24" s="123"/>
      <c r="E24" s="124"/>
      <c r="F24" s="6"/>
      <c r="G24" s="124"/>
      <c r="H24" s="6"/>
      <c r="I24" s="125"/>
      <c r="J24" s="125"/>
      <c r="K24" s="125"/>
    </row>
    <row r="25" spans="1:11" x14ac:dyDescent="0.25">
      <c r="A25" s="6"/>
      <c r="B25" s="6"/>
      <c r="C25" s="123"/>
      <c r="D25" s="123"/>
      <c r="E25" s="124"/>
      <c r="F25" s="6"/>
      <c r="G25" s="124"/>
      <c r="H25" s="6"/>
      <c r="I25" s="125"/>
      <c r="J25" s="125"/>
      <c r="K25" s="125"/>
    </row>
    <row r="26" spans="1:11" x14ac:dyDescent="0.25">
      <c r="A26" s="6"/>
      <c r="B26" s="6"/>
      <c r="C26" s="123"/>
      <c r="D26" s="123"/>
      <c r="E26" s="124"/>
      <c r="F26" s="6"/>
      <c r="G26" s="124"/>
      <c r="H26" s="6"/>
      <c r="I26" s="125"/>
      <c r="J26" s="125"/>
      <c r="K26" s="125"/>
    </row>
    <row r="27" spans="1:11" x14ac:dyDescent="0.25">
      <c r="A27" s="6"/>
      <c r="B27" s="6"/>
      <c r="C27" s="123"/>
      <c r="D27" s="123"/>
      <c r="E27" s="124"/>
      <c r="F27" s="6"/>
      <c r="G27" s="124"/>
      <c r="H27" s="6"/>
      <c r="I27" s="125"/>
      <c r="J27" s="125"/>
      <c r="K27" s="125"/>
    </row>
    <row r="28" spans="1:11" x14ac:dyDescent="0.25">
      <c r="A28" s="6"/>
      <c r="B28" s="6"/>
      <c r="C28" s="123"/>
      <c r="D28" s="123"/>
      <c r="E28" s="124"/>
      <c r="F28" s="6"/>
      <c r="G28" s="124"/>
      <c r="H28" s="6"/>
      <c r="I28" s="125"/>
      <c r="J28" s="125"/>
      <c r="K28" s="125"/>
    </row>
    <row r="29" spans="1:11" x14ac:dyDescent="0.25">
      <c r="A29" s="6"/>
      <c r="B29" s="6"/>
      <c r="C29" s="123"/>
      <c r="D29" s="123"/>
      <c r="E29" s="124"/>
      <c r="F29" s="6"/>
      <c r="G29" s="124"/>
      <c r="H29" s="6"/>
      <c r="I29" s="125"/>
      <c r="J29" s="125"/>
      <c r="K29" s="125"/>
    </row>
    <row r="30" spans="1:11" x14ac:dyDescent="0.25">
      <c r="A30" s="6"/>
      <c r="B30" s="6"/>
      <c r="C30" s="123"/>
      <c r="D30" s="123"/>
      <c r="E30" s="124"/>
      <c r="F30" s="6"/>
      <c r="G30" s="124"/>
      <c r="H30" s="6"/>
      <c r="I30" s="125"/>
      <c r="J30" s="125"/>
      <c r="K30" s="125"/>
    </row>
    <row r="31" spans="1:11" x14ac:dyDescent="0.25">
      <c r="A31" s="6"/>
      <c r="B31" s="6"/>
      <c r="C31" s="123"/>
      <c r="D31" s="123"/>
      <c r="E31" s="124"/>
      <c r="F31" s="6"/>
      <c r="G31" s="124"/>
      <c r="H31" s="6"/>
      <c r="I31" s="125"/>
      <c r="J31" s="125"/>
      <c r="K31" s="125"/>
    </row>
    <row r="32" spans="1:11" x14ac:dyDescent="0.25">
      <c r="A32" s="6"/>
      <c r="B32" s="6"/>
      <c r="C32" s="123"/>
      <c r="D32" s="123"/>
      <c r="E32" s="124"/>
      <c r="F32" s="6"/>
      <c r="G32" s="124"/>
      <c r="H32" s="6"/>
      <c r="I32" s="125"/>
      <c r="J32" s="125"/>
      <c r="K32" s="125"/>
    </row>
    <row r="33" spans="1:11" x14ac:dyDescent="0.25">
      <c r="A33" s="6"/>
      <c r="B33" s="6"/>
      <c r="C33" s="123"/>
      <c r="D33" s="123"/>
      <c r="E33" s="124"/>
      <c r="F33" s="6"/>
      <c r="G33" s="124"/>
      <c r="H33" s="6"/>
      <c r="I33" s="125"/>
      <c r="J33" s="125"/>
      <c r="K33" s="125"/>
    </row>
    <row r="34" spans="1:11" x14ac:dyDescent="0.25">
      <c r="A34" s="6"/>
      <c r="B34" s="6"/>
      <c r="C34" s="123"/>
      <c r="D34" s="123"/>
      <c r="E34" s="124"/>
      <c r="F34" s="6"/>
      <c r="G34" s="124"/>
      <c r="H34" s="6"/>
      <c r="I34" s="125"/>
      <c r="J34" s="125"/>
      <c r="K34" s="125"/>
    </row>
    <row r="35" spans="1:11" x14ac:dyDescent="0.25">
      <c r="A35" s="6"/>
      <c r="B35" s="6"/>
      <c r="C35" s="123"/>
      <c r="D35" s="123"/>
      <c r="E35" s="124"/>
      <c r="F35" s="6"/>
      <c r="G35" s="124"/>
      <c r="H35" s="6"/>
      <c r="I35" s="125"/>
      <c r="J35" s="125"/>
      <c r="K35" s="125"/>
    </row>
    <row r="36" spans="1:11" x14ac:dyDescent="0.25">
      <c r="A36" s="6"/>
      <c r="B36" s="6"/>
      <c r="C36" s="123"/>
      <c r="D36" s="123"/>
      <c r="E36" s="124"/>
      <c r="F36" s="6"/>
      <c r="G36" s="124"/>
      <c r="H36" s="6"/>
      <c r="I36" s="125"/>
      <c r="J36" s="125"/>
      <c r="K36" s="125"/>
    </row>
    <row r="37" spans="1:11" x14ac:dyDescent="0.25">
      <c r="A37" s="6"/>
      <c r="B37" s="6"/>
      <c r="C37" s="123"/>
      <c r="D37" s="123"/>
      <c r="E37" s="124"/>
      <c r="F37" s="6"/>
      <c r="G37" s="124"/>
      <c r="H37" s="6"/>
      <c r="I37" s="125"/>
      <c r="J37" s="125"/>
      <c r="K37" s="125"/>
    </row>
    <row r="38" spans="1:11" x14ac:dyDescent="0.25">
      <c r="A38" s="6"/>
      <c r="B38" s="6"/>
      <c r="C38" s="123"/>
      <c r="D38" s="123"/>
      <c r="E38" s="124"/>
      <c r="F38" s="6"/>
      <c r="G38" s="124"/>
      <c r="H38" s="6"/>
      <c r="I38" s="125"/>
      <c r="J38" s="125"/>
      <c r="K38" s="125"/>
    </row>
    <row r="39" spans="1:11" x14ac:dyDescent="0.25">
      <c r="A39" s="6"/>
      <c r="B39" s="6"/>
      <c r="C39" s="123"/>
      <c r="D39" s="123"/>
      <c r="E39" s="124"/>
      <c r="F39" s="6"/>
      <c r="G39" s="124"/>
      <c r="H39" s="6"/>
      <c r="I39" s="125"/>
      <c r="J39" s="125"/>
      <c r="K39" s="125"/>
    </row>
    <row r="40" spans="1:11" x14ac:dyDescent="0.25">
      <c r="A40" s="6"/>
      <c r="B40" s="6"/>
      <c r="C40" s="123"/>
      <c r="D40" s="123"/>
      <c r="E40" s="124"/>
      <c r="F40" s="6"/>
      <c r="G40" s="124"/>
      <c r="H40" s="6"/>
      <c r="I40" s="125"/>
      <c r="J40" s="125"/>
      <c r="K40" s="125"/>
    </row>
    <row r="41" spans="1:11" x14ac:dyDescent="0.25">
      <c r="A41" s="6"/>
      <c r="B41" s="6"/>
      <c r="C41" s="123"/>
      <c r="D41" s="123"/>
      <c r="E41" s="124"/>
      <c r="F41" s="6"/>
      <c r="G41" s="124"/>
      <c r="H41" s="6"/>
      <c r="I41" s="125"/>
      <c r="J41" s="125"/>
      <c r="K41" s="125"/>
    </row>
    <row r="42" spans="1:11" x14ac:dyDescent="0.25">
      <c r="A42" s="6"/>
      <c r="B42" s="6"/>
      <c r="C42" s="123"/>
      <c r="D42" s="123"/>
      <c r="E42" s="124"/>
      <c r="F42" s="6"/>
      <c r="G42" s="124"/>
      <c r="H42" s="6"/>
      <c r="I42" s="125"/>
      <c r="J42" s="125"/>
      <c r="K42" s="125"/>
    </row>
    <row r="43" spans="1:11" x14ac:dyDescent="0.25">
      <c r="A43" s="6"/>
      <c r="B43" s="6"/>
      <c r="C43" s="123"/>
      <c r="D43" s="123"/>
      <c r="E43" s="124"/>
      <c r="F43" s="6"/>
      <c r="G43" s="124"/>
      <c r="H43" s="6"/>
      <c r="I43" s="125"/>
      <c r="J43" s="125"/>
      <c r="K43" s="125"/>
    </row>
    <row r="44" spans="1:11" x14ac:dyDescent="0.25">
      <c r="A44" s="6"/>
      <c r="B44" s="6"/>
      <c r="C44" s="123"/>
      <c r="D44" s="123"/>
      <c r="E44" s="124"/>
      <c r="F44" s="6"/>
      <c r="G44" s="124"/>
      <c r="H44" s="6"/>
      <c r="I44" s="125"/>
      <c r="J44" s="125"/>
      <c r="K44" s="125"/>
    </row>
    <row r="45" spans="1:11" x14ac:dyDescent="0.25">
      <c r="A45" s="6"/>
      <c r="B45" s="6"/>
      <c r="C45" s="123"/>
      <c r="D45" s="123"/>
      <c r="E45" s="124"/>
      <c r="F45" s="6"/>
      <c r="G45" s="124"/>
      <c r="H45" s="6"/>
      <c r="I45" s="125"/>
      <c r="J45" s="125"/>
      <c r="K45" s="125"/>
    </row>
    <row r="46" spans="1:11" x14ac:dyDescent="0.25">
      <c r="A46" s="6"/>
      <c r="B46" s="6"/>
      <c r="C46" s="123"/>
      <c r="D46" s="123"/>
      <c r="E46" s="124"/>
      <c r="F46" s="6"/>
      <c r="G46" s="124"/>
      <c r="H46" s="6"/>
      <c r="I46" s="125"/>
      <c r="J46" s="125"/>
      <c r="K46" s="125"/>
    </row>
    <row r="47" spans="1:11" x14ac:dyDescent="0.25">
      <c r="A47" s="6"/>
      <c r="B47" s="6"/>
      <c r="C47" s="123"/>
      <c r="D47" s="123"/>
      <c r="E47" s="124"/>
      <c r="F47" s="6"/>
      <c r="G47" s="124"/>
      <c r="H47" s="6"/>
      <c r="I47" s="125"/>
      <c r="J47" s="125"/>
      <c r="K47" s="125"/>
    </row>
    <row r="48" spans="1:11" x14ac:dyDescent="0.25">
      <c r="A48" s="6"/>
      <c r="B48" s="6"/>
      <c r="C48" s="123"/>
      <c r="D48" s="123"/>
      <c r="E48" s="124"/>
      <c r="F48" s="6"/>
      <c r="G48" s="124"/>
      <c r="H48" s="6"/>
      <c r="I48" s="125"/>
      <c r="J48" s="125"/>
      <c r="K48" s="125"/>
    </row>
    <row r="49" spans="1:11" x14ac:dyDescent="0.25">
      <c r="A49" s="6"/>
      <c r="B49" s="6"/>
      <c r="C49" s="123"/>
      <c r="D49" s="123"/>
      <c r="E49" s="124"/>
      <c r="F49" s="6"/>
      <c r="G49" s="124"/>
      <c r="H49" s="6"/>
      <c r="I49" s="125"/>
      <c r="J49" s="125"/>
      <c r="K49" s="125"/>
    </row>
    <row r="50" spans="1:11" x14ac:dyDescent="0.25">
      <c r="A50" s="6"/>
      <c r="B50" s="6"/>
      <c r="C50" s="123"/>
      <c r="D50" s="123"/>
      <c r="E50" s="124"/>
      <c r="F50" s="6"/>
      <c r="G50" s="124"/>
      <c r="H50" s="6"/>
      <c r="I50" s="125"/>
      <c r="J50" s="125"/>
      <c r="K50" s="125"/>
    </row>
    <row r="51" spans="1:11" x14ac:dyDescent="0.25">
      <c r="A51" s="6"/>
      <c r="B51" s="6"/>
      <c r="C51" s="123"/>
      <c r="D51" s="123"/>
      <c r="E51" s="124"/>
      <c r="F51" s="6"/>
      <c r="G51" s="124"/>
      <c r="H51" s="6"/>
      <c r="I51" s="125"/>
      <c r="J51" s="125"/>
      <c r="K51" s="125"/>
    </row>
    <row r="52" spans="1:11" x14ac:dyDescent="0.25">
      <c r="A52" s="6"/>
      <c r="B52" s="6"/>
      <c r="C52" s="123"/>
      <c r="D52" s="123"/>
      <c r="E52" s="124"/>
      <c r="F52" s="6"/>
      <c r="G52" s="124"/>
      <c r="H52" s="6"/>
      <c r="I52" s="125"/>
      <c r="J52" s="125"/>
      <c r="K52" s="125"/>
    </row>
    <row r="53" spans="1:11" x14ac:dyDescent="0.25">
      <c r="A53" s="6"/>
      <c r="B53" s="6"/>
      <c r="C53" s="123"/>
      <c r="D53" s="123"/>
      <c r="E53" s="124"/>
      <c r="F53" s="6"/>
      <c r="G53" s="124"/>
      <c r="H53" s="6"/>
      <c r="I53" s="125"/>
      <c r="J53" s="125"/>
      <c r="K53" s="125"/>
    </row>
    <row r="54" spans="1:11" x14ac:dyDescent="0.25">
      <c r="A54" s="6"/>
      <c r="B54" s="6"/>
      <c r="C54" s="123"/>
      <c r="D54" s="123"/>
      <c r="E54" s="124"/>
      <c r="F54" s="6"/>
      <c r="G54" s="124"/>
      <c r="H54" s="6"/>
      <c r="I54" s="125"/>
      <c r="J54" s="125"/>
      <c r="K54" s="125"/>
    </row>
    <row r="55" spans="1:11" x14ac:dyDescent="0.25">
      <c r="A55" s="6"/>
      <c r="B55" s="6"/>
      <c r="C55" s="123"/>
      <c r="D55" s="123"/>
      <c r="E55" s="124"/>
      <c r="F55" s="6"/>
      <c r="G55" s="124"/>
      <c r="H55" s="6"/>
      <c r="I55" s="125"/>
      <c r="J55" s="125"/>
      <c r="K55" s="125"/>
    </row>
    <row r="56" spans="1:11" x14ac:dyDescent="0.25">
      <c r="A56" s="6"/>
      <c r="B56" s="6"/>
      <c r="C56" s="123"/>
      <c r="D56" s="123"/>
      <c r="E56" s="124"/>
      <c r="F56" s="6"/>
      <c r="G56" s="124"/>
      <c r="H56" s="6"/>
      <c r="I56" s="125"/>
      <c r="J56" s="125"/>
      <c r="K56" s="125"/>
    </row>
    <row r="57" spans="1:11" x14ac:dyDescent="0.25">
      <c r="A57" s="6"/>
      <c r="B57" s="6"/>
      <c r="C57" s="123"/>
      <c r="D57" s="123"/>
      <c r="E57" s="124"/>
      <c r="F57" s="6"/>
      <c r="G57" s="124"/>
      <c r="H57" s="6"/>
      <c r="I57" s="125"/>
      <c r="J57" s="125"/>
      <c r="K57" s="125"/>
    </row>
    <row r="58" spans="1:11" x14ac:dyDescent="0.25">
      <c r="A58" s="6"/>
      <c r="B58" s="6"/>
      <c r="C58" s="123"/>
      <c r="D58" s="123"/>
      <c r="E58" s="124"/>
      <c r="F58" s="6"/>
      <c r="G58" s="124"/>
      <c r="H58" s="6"/>
      <c r="I58" s="125"/>
      <c r="J58" s="125"/>
      <c r="K58" s="125"/>
    </row>
    <row r="59" spans="1:11" x14ac:dyDescent="0.25">
      <c r="A59" s="6"/>
      <c r="B59" s="6"/>
      <c r="C59" s="123"/>
      <c r="D59" s="123"/>
      <c r="E59" s="124"/>
      <c r="F59" s="6"/>
      <c r="G59" s="124"/>
      <c r="H59" s="6"/>
      <c r="I59" s="125"/>
      <c r="J59" s="125"/>
      <c r="K59" s="125"/>
    </row>
    <row r="60" spans="1:11" x14ac:dyDescent="0.25">
      <c r="A60" s="6"/>
      <c r="B60" s="6"/>
      <c r="C60" s="123"/>
      <c r="D60" s="123"/>
      <c r="E60" s="124"/>
      <c r="F60" s="6"/>
      <c r="G60" s="124"/>
      <c r="H60" s="6"/>
      <c r="I60" s="125"/>
      <c r="J60" s="125"/>
      <c r="K60" s="125"/>
    </row>
    <row r="61" spans="1:11" x14ac:dyDescent="0.25">
      <c r="A61" s="6"/>
      <c r="B61" s="6"/>
      <c r="C61" s="123"/>
      <c r="D61" s="123"/>
      <c r="E61" s="124"/>
      <c r="F61" s="6"/>
      <c r="G61" s="124"/>
      <c r="H61" s="6"/>
      <c r="I61" s="125"/>
      <c r="J61" s="125"/>
      <c r="K61" s="125"/>
    </row>
    <row r="62" spans="1:11" x14ac:dyDescent="0.25">
      <c r="A62" s="6"/>
      <c r="B62" s="6"/>
      <c r="C62" s="123"/>
      <c r="D62" s="123"/>
      <c r="E62" s="124"/>
      <c r="F62" s="6"/>
      <c r="G62" s="124"/>
      <c r="H62" s="6"/>
      <c r="I62" s="125"/>
      <c r="J62" s="125"/>
      <c r="K62" s="125"/>
    </row>
    <row r="63" spans="1:11" x14ac:dyDescent="0.25">
      <c r="A63" s="6"/>
      <c r="B63" s="6"/>
      <c r="C63" s="123"/>
      <c r="D63" s="123"/>
      <c r="E63" s="124"/>
      <c r="F63" s="6"/>
      <c r="G63" s="124"/>
      <c r="H63" s="6"/>
      <c r="I63" s="125"/>
      <c r="J63" s="125"/>
      <c r="K63" s="125"/>
    </row>
    <row r="64" spans="1:11" x14ac:dyDescent="0.25">
      <c r="A64" s="6"/>
      <c r="B64" s="6"/>
      <c r="C64" s="123"/>
      <c r="D64" s="123"/>
      <c r="E64" s="124"/>
      <c r="F64" s="6"/>
      <c r="G64" s="124"/>
      <c r="H64" s="6"/>
      <c r="I64" s="125"/>
      <c r="J64" s="125"/>
      <c r="K64" s="125"/>
    </row>
    <row r="65" spans="1:11" x14ac:dyDescent="0.25">
      <c r="A65" s="6"/>
      <c r="B65" s="6"/>
      <c r="C65" s="123"/>
      <c r="D65" s="123"/>
      <c r="E65" s="124"/>
      <c r="F65" s="6"/>
      <c r="G65" s="124"/>
      <c r="H65" s="6"/>
      <c r="I65" s="125"/>
      <c r="J65" s="125"/>
      <c r="K65" s="125"/>
    </row>
    <row r="66" spans="1:11" x14ac:dyDescent="0.25">
      <c r="A66" s="6"/>
      <c r="B66" s="6"/>
      <c r="C66" s="123"/>
      <c r="D66" s="123"/>
      <c r="E66" s="124"/>
      <c r="F66" s="6"/>
      <c r="G66" s="124"/>
      <c r="H66" s="6"/>
      <c r="I66" s="125"/>
      <c r="J66" s="125"/>
      <c r="K66" s="125"/>
    </row>
    <row r="67" spans="1:11" x14ac:dyDescent="0.25">
      <c r="A67" s="6"/>
      <c r="B67" s="6"/>
      <c r="C67" s="123"/>
      <c r="D67" s="123"/>
      <c r="E67" s="124"/>
      <c r="F67" s="6"/>
      <c r="G67" s="124"/>
      <c r="H67" s="6"/>
      <c r="I67" s="125"/>
      <c r="J67" s="125"/>
      <c r="K67" s="125"/>
    </row>
    <row r="68" spans="1:11" x14ac:dyDescent="0.25">
      <c r="A68" s="6"/>
      <c r="B68" s="6"/>
      <c r="C68" s="123"/>
      <c r="D68" s="123"/>
      <c r="E68" s="124"/>
      <c r="F68" s="6"/>
      <c r="G68" s="124"/>
      <c r="H68" s="6"/>
      <c r="I68" s="125"/>
      <c r="J68" s="125"/>
      <c r="K68" s="125"/>
    </row>
    <row r="69" spans="1:11" x14ac:dyDescent="0.25">
      <c r="A69" s="6"/>
      <c r="B69" s="6"/>
      <c r="C69" s="123"/>
      <c r="D69" s="123"/>
      <c r="E69" s="124"/>
      <c r="F69" s="6"/>
      <c r="G69" s="124"/>
      <c r="H69" s="6"/>
      <c r="I69" s="125"/>
      <c r="J69" s="125"/>
      <c r="K69" s="125"/>
    </row>
    <row r="70" spans="1:11" x14ac:dyDescent="0.25">
      <c r="A70" s="6"/>
      <c r="B70" s="6"/>
      <c r="C70" s="123"/>
      <c r="D70" s="123"/>
      <c r="E70" s="124"/>
      <c r="F70" s="6"/>
      <c r="G70" s="124"/>
      <c r="H70" s="6"/>
      <c r="I70" s="125"/>
      <c r="J70" s="125"/>
      <c r="K70" s="125"/>
    </row>
    <row r="71" spans="1:11" x14ac:dyDescent="0.25">
      <c r="A71" s="6"/>
      <c r="B71" s="6"/>
      <c r="C71" s="123"/>
      <c r="D71" s="123"/>
      <c r="E71" s="124"/>
      <c r="F71" s="6"/>
      <c r="G71" s="124"/>
      <c r="H71" s="6"/>
      <c r="I71" s="125"/>
      <c r="J71" s="125"/>
      <c r="K71" s="125"/>
    </row>
    <row r="72" spans="1:11" x14ac:dyDescent="0.25">
      <c r="A72" s="6"/>
      <c r="B72" s="6"/>
      <c r="C72" s="123"/>
      <c r="D72" s="123"/>
      <c r="E72" s="124"/>
      <c r="F72" s="6"/>
      <c r="G72" s="124"/>
      <c r="H72" s="6"/>
      <c r="I72" s="125"/>
      <c r="J72" s="125"/>
      <c r="K72" s="125"/>
    </row>
    <row r="73" spans="1:11" x14ac:dyDescent="0.25">
      <c r="A73" s="6"/>
      <c r="B73" s="6"/>
      <c r="C73" s="123"/>
      <c r="D73" s="123"/>
      <c r="E73" s="124"/>
      <c r="F73" s="6"/>
      <c r="G73" s="124"/>
      <c r="H73" s="6"/>
      <c r="I73" s="125"/>
      <c r="J73" s="125"/>
      <c r="K73" s="125"/>
    </row>
    <row r="74" spans="1:11" x14ac:dyDescent="0.25">
      <c r="A74" s="6"/>
      <c r="B74" s="6"/>
      <c r="C74" s="123"/>
      <c r="D74" s="123"/>
      <c r="E74" s="124"/>
      <c r="F74" s="6"/>
      <c r="G74" s="124"/>
      <c r="H74" s="6"/>
      <c r="I74" s="125"/>
      <c r="J74" s="125"/>
      <c r="K74" s="125"/>
    </row>
    <row r="75" spans="1:11" x14ac:dyDescent="0.25">
      <c r="A75" s="6"/>
      <c r="B75" s="6"/>
      <c r="C75" s="123"/>
      <c r="D75" s="123"/>
      <c r="E75" s="124"/>
      <c r="F75" s="6"/>
      <c r="G75" s="124"/>
      <c r="H75" s="6"/>
      <c r="I75" s="125"/>
      <c r="J75" s="125"/>
      <c r="K75" s="125"/>
    </row>
    <row r="76" spans="1:11" x14ac:dyDescent="0.25">
      <c r="A76" s="6"/>
      <c r="B76" s="6"/>
      <c r="C76" s="123"/>
      <c r="D76" s="123"/>
      <c r="E76" s="124"/>
      <c r="F76" s="6"/>
      <c r="G76" s="124"/>
      <c r="H76" s="6"/>
      <c r="I76" s="125"/>
      <c r="J76" s="125"/>
      <c r="K76" s="125"/>
    </row>
    <row r="77" spans="1:11" x14ac:dyDescent="0.25">
      <c r="A77" s="6"/>
      <c r="B77" s="6"/>
      <c r="C77" s="123"/>
      <c r="D77" s="123"/>
      <c r="E77" s="124"/>
      <c r="F77" s="6"/>
      <c r="G77" s="124"/>
      <c r="H77" s="6"/>
      <c r="I77" s="125"/>
      <c r="J77" s="125"/>
      <c r="K77" s="125"/>
    </row>
    <row r="78" spans="1:11" x14ac:dyDescent="0.25">
      <c r="A78" s="6"/>
      <c r="B78" s="6"/>
      <c r="C78" s="123"/>
      <c r="D78" s="123"/>
      <c r="E78" s="124"/>
      <c r="F78" s="6"/>
      <c r="G78" s="124"/>
      <c r="H78" s="6"/>
      <c r="I78" s="125"/>
      <c r="J78" s="125"/>
      <c r="K78" s="125"/>
    </row>
    <row r="79" spans="1:11" x14ac:dyDescent="0.25">
      <c r="A79" s="6"/>
      <c r="B79" s="6"/>
      <c r="C79" s="123"/>
      <c r="D79" s="123"/>
      <c r="E79" s="124"/>
      <c r="F79" s="6"/>
      <c r="G79" s="124"/>
      <c r="H79" s="6"/>
      <c r="I79" s="125"/>
      <c r="J79" s="125"/>
      <c r="K79" s="125"/>
    </row>
    <row r="80" spans="1:11" x14ac:dyDescent="0.25">
      <c r="A80" s="6"/>
      <c r="B80" s="6"/>
      <c r="C80" s="123"/>
      <c r="D80" s="123"/>
      <c r="E80" s="124"/>
      <c r="F80" s="6"/>
      <c r="G80" s="124"/>
      <c r="H80" s="6"/>
      <c r="I80" s="125"/>
      <c r="J80" s="125"/>
      <c r="K80" s="125"/>
    </row>
    <row r="81" spans="1:11" x14ac:dyDescent="0.25">
      <c r="A81" s="6"/>
      <c r="B81" s="6"/>
      <c r="C81" s="123"/>
      <c r="D81" s="123"/>
      <c r="E81" s="124"/>
      <c r="F81" s="6"/>
      <c r="G81" s="124"/>
      <c r="H81" s="6"/>
      <c r="I81" s="125"/>
      <c r="J81" s="125"/>
      <c r="K81" s="125"/>
    </row>
    <row r="82" spans="1:11" x14ac:dyDescent="0.25">
      <c r="A82" s="6"/>
      <c r="B82" s="6"/>
      <c r="C82" s="123"/>
      <c r="D82" s="123"/>
      <c r="E82" s="124"/>
      <c r="F82" s="6"/>
      <c r="G82" s="124"/>
      <c r="H82" s="6"/>
      <c r="I82" s="125"/>
      <c r="J82" s="125"/>
      <c r="K82" s="125"/>
    </row>
    <row r="83" spans="1:11" x14ac:dyDescent="0.25">
      <c r="A83" s="6"/>
      <c r="B83" s="6"/>
      <c r="C83" s="123"/>
      <c r="D83" s="123"/>
      <c r="E83" s="124"/>
      <c r="F83" s="6"/>
      <c r="G83" s="124"/>
      <c r="H83" s="6"/>
      <c r="I83" s="125"/>
      <c r="J83" s="125"/>
      <c r="K83" s="125"/>
    </row>
    <row r="84" spans="1:11" x14ac:dyDescent="0.25">
      <c r="A84" s="6"/>
      <c r="B84" s="6"/>
      <c r="C84" s="123"/>
      <c r="D84" s="123"/>
      <c r="E84" s="124"/>
      <c r="F84" s="6"/>
      <c r="G84" s="124"/>
      <c r="H84" s="6"/>
      <c r="I84" s="125"/>
      <c r="J84" s="125"/>
      <c r="K84" s="125"/>
    </row>
    <row r="85" spans="1:11" x14ac:dyDescent="0.25">
      <c r="A85" s="6"/>
      <c r="B85" s="6"/>
      <c r="C85" s="123"/>
      <c r="D85" s="123"/>
      <c r="E85" s="124"/>
      <c r="F85" s="6"/>
      <c r="G85" s="124"/>
      <c r="H85" s="6"/>
      <c r="I85" s="125"/>
      <c r="J85" s="125"/>
      <c r="K85" s="125"/>
    </row>
    <row r="86" spans="1:11" x14ac:dyDescent="0.25">
      <c r="A86" s="6"/>
      <c r="B86" s="6"/>
      <c r="C86" s="123"/>
      <c r="D86" s="123"/>
      <c r="E86" s="124"/>
      <c r="F86" s="6"/>
      <c r="G86" s="124"/>
      <c r="H86" s="6"/>
      <c r="I86" s="125"/>
      <c r="J86" s="125"/>
      <c r="K86" s="125"/>
    </row>
    <row r="87" spans="1:11" x14ac:dyDescent="0.25">
      <c r="A87" s="6"/>
      <c r="B87" s="6"/>
      <c r="C87" s="123"/>
      <c r="D87" s="123"/>
      <c r="E87" s="124"/>
      <c r="F87" s="6"/>
      <c r="G87" s="124"/>
      <c r="H87" s="6"/>
      <c r="I87" s="125"/>
      <c r="J87" s="125"/>
      <c r="K87" s="125"/>
    </row>
    <row r="88" spans="1:11" x14ac:dyDescent="0.25">
      <c r="A88" s="6"/>
      <c r="B88" s="6"/>
      <c r="C88" s="123"/>
      <c r="D88" s="123"/>
      <c r="E88" s="124"/>
      <c r="F88" s="6"/>
      <c r="G88" s="124"/>
      <c r="H88" s="6"/>
      <c r="I88" s="125"/>
      <c r="J88" s="125"/>
      <c r="K88" s="125"/>
    </row>
    <row r="89" spans="1:11" x14ac:dyDescent="0.25">
      <c r="A89" s="6"/>
      <c r="B89" s="6"/>
      <c r="C89" s="123"/>
      <c r="D89" s="123"/>
      <c r="E89" s="124"/>
      <c r="F89" s="6"/>
      <c r="G89" s="124"/>
      <c r="H89" s="6"/>
      <c r="I89" s="125"/>
      <c r="J89" s="125"/>
      <c r="K89" s="125"/>
    </row>
    <row r="90" spans="1:11" x14ac:dyDescent="0.25">
      <c r="A90" s="6"/>
      <c r="B90" s="6"/>
      <c r="C90" s="123"/>
      <c r="D90" s="123"/>
      <c r="E90" s="124"/>
      <c r="F90" s="6"/>
      <c r="G90" s="124"/>
      <c r="H90" s="6"/>
      <c r="I90" s="125"/>
      <c r="J90" s="125"/>
      <c r="K90" s="125"/>
    </row>
    <row r="91" spans="1:11" x14ac:dyDescent="0.25">
      <c r="A91" s="6"/>
      <c r="B91" s="6"/>
      <c r="C91" s="123"/>
      <c r="D91" s="123"/>
      <c r="E91" s="124"/>
      <c r="F91" s="6"/>
      <c r="G91" s="124"/>
      <c r="H91" s="6"/>
      <c r="I91" s="125"/>
      <c r="J91" s="125"/>
      <c r="K91" s="125"/>
    </row>
    <row r="92" spans="1:11" x14ac:dyDescent="0.25">
      <c r="A92" s="6"/>
      <c r="B92" s="6"/>
      <c r="C92" s="123"/>
      <c r="D92" s="123"/>
      <c r="E92" s="124"/>
      <c r="F92" s="6"/>
      <c r="G92" s="124"/>
      <c r="H92" s="6"/>
      <c r="I92" s="125"/>
      <c r="J92" s="125"/>
      <c r="K92" s="125"/>
    </row>
    <row r="93" spans="1:11" x14ac:dyDescent="0.25">
      <c r="A93" s="6"/>
      <c r="B93" s="6"/>
      <c r="C93" s="123"/>
      <c r="D93" s="123"/>
      <c r="E93" s="124"/>
      <c r="F93" s="6"/>
      <c r="G93" s="124"/>
      <c r="H93" s="6"/>
      <c r="I93" s="125"/>
      <c r="J93" s="125"/>
      <c r="K93" s="125"/>
    </row>
    <row r="94" spans="1:11" x14ac:dyDescent="0.25">
      <c r="A94" s="6"/>
      <c r="B94" s="6"/>
      <c r="C94" s="123"/>
      <c r="D94" s="123"/>
      <c r="E94" s="124"/>
      <c r="F94" s="6"/>
      <c r="G94" s="124"/>
      <c r="H94" s="6"/>
      <c r="I94" s="125"/>
      <c r="J94" s="125"/>
      <c r="K94" s="125"/>
    </row>
    <row r="95" spans="1:11" x14ac:dyDescent="0.25">
      <c r="A95" s="6"/>
      <c r="B95" s="6"/>
      <c r="C95" s="123"/>
      <c r="D95" s="123"/>
      <c r="E95" s="124"/>
      <c r="F95" s="6"/>
      <c r="G95" s="124"/>
      <c r="H95" s="6"/>
      <c r="I95" s="125"/>
      <c r="J95" s="125"/>
      <c r="K95" s="125"/>
    </row>
    <row r="96" spans="1:11" x14ac:dyDescent="0.25">
      <c r="A96" s="6"/>
      <c r="B96" s="6"/>
      <c r="C96" s="123"/>
      <c r="D96" s="123"/>
      <c r="E96" s="124"/>
      <c r="F96" s="6"/>
      <c r="G96" s="124"/>
      <c r="H96" s="6"/>
      <c r="I96" s="125"/>
      <c r="J96" s="125"/>
      <c r="K96" s="125"/>
    </row>
    <row r="97" spans="1:11" x14ac:dyDescent="0.25">
      <c r="A97" s="6"/>
      <c r="B97" s="6"/>
      <c r="C97" s="123"/>
      <c r="D97" s="123"/>
      <c r="E97" s="124"/>
      <c r="F97" s="6"/>
      <c r="G97" s="124"/>
      <c r="H97" s="6"/>
      <c r="I97" s="125"/>
      <c r="J97" s="125"/>
      <c r="K97" s="125"/>
    </row>
    <row r="98" spans="1:11" x14ac:dyDescent="0.25">
      <c r="A98" s="6"/>
      <c r="B98" s="6"/>
      <c r="C98" s="123"/>
      <c r="D98" s="123"/>
      <c r="E98" s="124"/>
      <c r="F98" s="6"/>
      <c r="G98" s="124"/>
      <c r="H98" s="6"/>
      <c r="I98" s="125"/>
      <c r="J98" s="125"/>
      <c r="K98" s="125"/>
    </row>
    <row r="99" spans="1:11" x14ac:dyDescent="0.25">
      <c r="A99" s="6"/>
      <c r="B99" s="6"/>
      <c r="C99" s="123"/>
      <c r="D99" s="123"/>
      <c r="E99" s="124"/>
      <c r="F99" s="6"/>
      <c r="G99" s="124"/>
      <c r="H99" s="6"/>
      <c r="I99" s="125"/>
      <c r="J99" s="125"/>
      <c r="K99" s="125"/>
    </row>
    <row r="100" spans="1:11" x14ac:dyDescent="0.25">
      <c r="A100" s="6"/>
      <c r="B100" s="6"/>
      <c r="C100" s="123"/>
      <c r="D100" s="123"/>
      <c r="E100" s="124"/>
      <c r="F100" s="6"/>
      <c r="G100" s="124"/>
      <c r="H100" s="6"/>
      <c r="I100" s="125"/>
      <c r="J100" s="125"/>
      <c r="K100" s="125"/>
    </row>
    <row r="101" spans="1:11" x14ac:dyDescent="0.25">
      <c r="A101" s="6"/>
      <c r="B101" s="6"/>
      <c r="C101" s="123"/>
      <c r="D101" s="123"/>
      <c r="E101" s="124"/>
      <c r="F101" s="6"/>
      <c r="G101" s="124"/>
      <c r="H101" s="6"/>
      <c r="I101" s="125"/>
      <c r="J101" s="125"/>
      <c r="K101" s="125"/>
    </row>
    <row r="102" spans="1:11" x14ac:dyDescent="0.25">
      <c r="A102" s="6"/>
      <c r="B102" s="6"/>
      <c r="C102" s="123"/>
      <c r="D102" s="123"/>
      <c r="E102" s="124"/>
      <c r="F102" s="6"/>
      <c r="G102" s="124"/>
      <c r="H102" s="6"/>
      <c r="I102" s="125"/>
      <c r="J102" s="125"/>
      <c r="K102" s="125"/>
    </row>
    <row r="103" spans="1:11" x14ac:dyDescent="0.25">
      <c r="A103" s="6"/>
      <c r="B103" s="6"/>
      <c r="C103" s="123"/>
      <c r="D103" s="123"/>
      <c r="E103" s="124"/>
      <c r="F103" s="6"/>
      <c r="G103" s="124"/>
      <c r="H103" s="6"/>
      <c r="I103" s="125"/>
      <c r="J103" s="125"/>
      <c r="K103" s="125"/>
    </row>
    <row r="104" spans="1:11" x14ac:dyDescent="0.25">
      <c r="A104" s="6"/>
      <c r="B104" s="6"/>
      <c r="C104" s="123"/>
      <c r="D104" s="123"/>
      <c r="E104" s="124"/>
      <c r="F104" s="6"/>
      <c r="G104" s="124"/>
      <c r="H104" s="6"/>
      <c r="I104" s="125"/>
      <c r="J104" s="125"/>
      <c r="K104" s="125"/>
    </row>
    <row r="105" spans="1:11" x14ac:dyDescent="0.25">
      <c r="A105" s="6"/>
      <c r="B105" s="6"/>
      <c r="C105" s="123"/>
      <c r="D105" s="123"/>
      <c r="E105" s="124"/>
      <c r="F105" s="6"/>
      <c r="G105" s="124"/>
      <c r="H105" s="6"/>
      <c r="I105" s="125"/>
      <c r="J105" s="125"/>
      <c r="K105" s="125"/>
    </row>
    <row r="106" spans="1:11" x14ac:dyDescent="0.25">
      <c r="A106" s="6"/>
      <c r="B106" s="6"/>
      <c r="C106" s="123"/>
      <c r="D106" s="123"/>
      <c r="E106" s="124"/>
      <c r="F106" s="6"/>
      <c r="G106" s="124"/>
      <c r="H106" s="6"/>
      <c r="I106" s="125"/>
      <c r="J106" s="125"/>
      <c r="K106" s="125"/>
    </row>
    <row r="107" spans="1:11" x14ac:dyDescent="0.25">
      <c r="A107" s="6"/>
      <c r="B107" s="6"/>
      <c r="C107" s="123"/>
      <c r="D107" s="123"/>
      <c r="E107" s="124"/>
      <c r="F107" s="6"/>
      <c r="G107" s="124"/>
      <c r="H107" s="6"/>
      <c r="I107" s="125"/>
      <c r="J107" s="125"/>
      <c r="K107" s="125"/>
    </row>
    <row r="108" spans="1:11" x14ac:dyDescent="0.25">
      <c r="A108" s="6"/>
      <c r="B108" s="6"/>
      <c r="C108" s="123"/>
      <c r="D108" s="123"/>
      <c r="E108" s="124"/>
      <c r="F108" s="6"/>
      <c r="G108" s="124"/>
      <c r="H108" s="6"/>
      <c r="I108" s="125"/>
      <c r="J108" s="125"/>
      <c r="K108" s="125"/>
    </row>
    <row r="109" spans="1:11" x14ac:dyDescent="0.25">
      <c r="A109" s="6"/>
      <c r="B109" s="6"/>
      <c r="C109" s="123"/>
      <c r="D109" s="123"/>
      <c r="E109" s="124"/>
      <c r="F109" s="6"/>
      <c r="G109" s="124"/>
      <c r="H109" s="6"/>
      <c r="I109" s="125"/>
      <c r="J109" s="125"/>
      <c r="K109" s="125"/>
    </row>
    <row r="110" spans="1:11" x14ac:dyDescent="0.25">
      <c r="A110" s="6"/>
      <c r="B110" s="6"/>
      <c r="C110" s="123"/>
      <c r="D110" s="123"/>
      <c r="E110" s="124"/>
      <c r="F110" s="6"/>
      <c r="G110" s="124"/>
      <c r="H110" s="6"/>
      <c r="I110" s="125"/>
      <c r="J110" s="125"/>
      <c r="K110" s="125"/>
    </row>
    <row r="111" spans="1:11" x14ac:dyDescent="0.25">
      <c r="A111" s="6"/>
      <c r="B111" s="6"/>
      <c r="C111" s="123"/>
      <c r="D111" s="123"/>
      <c r="E111" s="124"/>
      <c r="F111" s="6"/>
      <c r="G111" s="124"/>
      <c r="H111" s="6"/>
      <c r="I111" s="125"/>
      <c r="J111" s="125"/>
      <c r="K111" s="125"/>
    </row>
    <row r="112" spans="1:11" x14ac:dyDescent="0.25">
      <c r="A112" s="6"/>
      <c r="B112" s="6"/>
      <c r="C112" s="123"/>
      <c r="D112" s="123"/>
      <c r="E112" s="124"/>
      <c r="F112" s="6"/>
      <c r="G112" s="124"/>
      <c r="H112" s="6"/>
      <c r="I112" s="125"/>
      <c r="J112" s="125"/>
      <c r="K112" s="125"/>
    </row>
    <row r="113" spans="1:11" x14ac:dyDescent="0.25">
      <c r="A113" s="6"/>
      <c r="B113" s="6"/>
      <c r="C113" s="123"/>
      <c r="D113" s="123"/>
      <c r="E113" s="124"/>
      <c r="F113" s="6"/>
      <c r="G113" s="124"/>
      <c r="H113" s="6"/>
      <c r="I113" s="125"/>
      <c r="J113" s="125"/>
      <c r="K113" s="125"/>
    </row>
    <row r="114" spans="1:11" x14ac:dyDescent="0.25">
      <c r="A114" s="6"/>
      <c r="B114" s="6"/>
      <c r="C114" s="123"/>
      <c r="D114" s="123"/>
      <c r="E114" s="124"/>
      <c r="F114" s="6"/>
      <c r="G114" s="124"/>
      <c r="H114" s="6"/>
      <c r="I114" s="125"/>
      <c r="J114" s="125"/>
      <c r="K114" s="125"/>
    </row>
    <row r="115" spans="1:11" x14ac:dyDescent="0.25">
      <c r="A115" s="6"/>
      <c r="B115" s="6"/>
      <c r="C115" s="123"/>
      <c r="D115" s="123"/>
      <c r="E115" s="124"/>
      <c r="F115" s="6"/>
      <c r="G115" s="124"/>
      <c r="H115" s="6"/>
      <c r="I115" s="125"/>
      <c r="J115" s="125"/>
      <c r="K115" s="125"/>
    </row>
    <row r="116" spans="1:11" x14ac:dyDescent="0.25">
      <c r="A116" s="6"/>
      <c r="B116" s="6"/>
      <c r="C116" s="123"/>
      <c r="D116" s="123"/>
      <c r="E116" s="124"/>
      <c r="F116" s="6"/>
      <c r="G116" s="124"/>
      <c r="H116" s="6"/>
      <c r="I116" s="125"/>
      <c r="J116" s="125"/>
      <c r="K116" s="125"/>
    </row>
    <row r="117" spans="1:11" x14ac:dyDescent="0.25">
      <c r="A117" s="6"/>
      <c r="B117" s="6"/>
      <c r="C117" s="123"/>
      <c r="D117" s="123"/>
      <c r="E117" s="124"/>
      <c r="F117" s="6"/>
      <c r="G117" s="124"/>
      <c r="H117" s="6"/>
      <c r="I117" s="125"/>
      <c r="J117" s="125"/>
      <c r="K117" s="125"/>
    </row>
    <row r="118" spans="1:11" x14ac:dyDescent="0.25">
      <c r="A118" s="6"/>
      <c r="B118" s="6"/>
      <c r="C118" s="123"/>
      <c r="D118" s="123"/>
      <c r="E118" s="124"/>
      <c r="F118" s="6"/>
      <c r="G118" s="124"/>
      <c r="H118" s="6"/>
      <c r="I118" s="125"/>
      <c r="J118" s="125"/>
      <c r="K118" s="125"/>
    </row>
    <row r="119" spans="1:11" x14ac:dyDescent="0.25">
      <c r="A119" s="6"/>
      <c r="B119" s="6"/>
      <c r="C119" s="123"/>
      <c r="D119" s="123"/>
      <c r="E119" s="124"/>
      <c r="F119" s="6"/>
      <c r="G119" s="124"/>
      <c r="H119" s="6"/>
      <c r="I119" s="125"/>
      <c r="J119" s="125"/>
      <c r="K119" s="125"/>
    </row>
    <row r="120" spans="1:11" x14ac:dyDescent="0.25">
      <c r="A120" s="6"/>
      <c r="B120" s="6"/>
      <c r="C120" s="123"/>
      <c r="D120" s="123"/>
      <c r="E120" s="124"/>
      <c r="F120" s="6"/>
      <c r="G120" s="124"/>
      <c r="H120" s="6"/>
      <c r="I120" s="125"/>
      <c r="J120" s="125"/>
      <c r="K120" s="125"/>
    </row>
    <row r="121" spans="1:11" x14ac:dyDescent="0.25">
      <c r="A121" s="6"/>
      <c r="B121" s="6"/>
      <c r="C121" s="123"/>
      <c r="D121" s="123"/>
      <c r="E121" s="124"/>
      <c r="F121" s="6"/>
      <c r="G121" s="124"/>
      <c r="H121" s="6"/>
      <c r="I121" s="125"/>
      <c r="J121" s="125"/>
      <c r="K121" s="125"/>
    </row>
    <row r="122" spans="1:11" x14ac:dyDescent="0.25">
      <c r="A122" s="6"/>
      <c r="B122" s="6"/>
      <c r="C122" s="123"/>
      <c r="D122" s="123"/>
      <c r="E122" s="124"/>
      <c r="F122" s="6"/>
      <c r="G122" s="124"/>
      <c r="H122" s="6"/>
      <c r="I122" s="125"/>
      <c r="J122" s="125"/>
      <c r="K122" s="125"/>
    </row>
    <row r="123" spans="1:11" x14ac:dyDescent="0.25">
      <c r="A123" s="6"/>
      <c r="B123" s="6"/>
      <c r="C123" s="123"/>
      <c r="D123" s="123"/>
      <c r="E123" s="124"/>
      <c r="F123" s="6"/>
      <c r="G123" s="124"/>
      <c r="H123" s="6"/>
      <c r="I123" s="125"/>
      <c r="J123" s="125"/>
      <c r="K123" s="125"/>
    </row>
    <row r="124" spans="1:11" x14ac:dyDescent="0.25">
      <c r="A124" s="6"/>
      <c r="B124" s="6"/>
      <c r="C124" s="123"/>
      <c r="D124" s="123"/>
      <c r="E124" s="124"/>
      <c r="F124" s="6"/>
      <c r="G124" s="124"/>
      <c r="H124" s="6"/>
      <c r="I124" s="125"/>
      <c r="J124" s="125"/>
      <c r="K124" s="125"/>
    </row>
    <row r="125" spans="1:11" x14ac:dyDescent="0.25">
      <c r="A125" s="6"/>
      <c r="B125" s="6"/>
      <c r="C125" s="123"/>
      <c r="D125" s="123"/>
      <c r="E125" s="124"/>
      <c r="F125" s="6"/>
      <c r="G125" s="124"/>
      <c r="H125" s="6"/>
      <c r="I125" s="125"/>
      <c r="J125" s="125"/>
      <c r="K125" s="125"/>
    </row>
    <row r="126" spans="1:11" x14ac:dyDescent="0.25">
      <c r="A126" s="6"/>
      <c r="B126" s="6"/>
      <c r="C126" s="123"/>
      <c r="D126" s="123"/>
      <c r="E126" s="124"/>
      <c r="F126" s="6"/>
      <c r="G126" s="124"/>
      <c r="H126" s="6"/>
      <c r="I126" s="125"/>
      <c r="J126" s="125"/>
      <c r="K126" s="125"/>
    </row>
    <row r="127" spans="1:11" x14ac:dyDescent="0.25">
      <c r="A127" s="6"/>
      <c r="B127" s="6"/>
      <c r="C127" s="123"/>
      <c r="D127" s="123"/>
      <c r="E127" s="124"/>
      <c r="F127" s="6"/>
      <c r="G127" s="124"/>
      <c r="H127" s="6"/>
      <c r="I127" s="125"/>
      <c r="J127" s="125"/>
      <c r="K127" s="125"/>
    </row>
    <row r="128" spans="1:11" x14ac:dyDescent="0.25">
      <c r="A128" s="6"/>
      <c r="B128" s="6"/>
      <c r="C128" s="123"/>
      <c r="D128" s="123"/>
      <c r="E128" s="124"/>
      <c r="F128" s="6"/>
      <c r="G128" s="124"/>
      <c r="H128" s="6"/>
      <c r="I128" s="125"/>
      <c r="J128" s="125"/>
      <c r="K128" s="125"/>
    </row>
    <row r="129" spans="1:11" x14ac:dyDescent="0.25">
      <c r="A129" s="6"/>
      <c r="B129" s="6"/>
      <c r="C129" s="123"/>
      <c r="D129" s="123"/>
      <c r="E129" s="124"/>
      <c r="F129" s="6"/>
      <c r="G129" s="124"/>
      <c r="H129" s="6"/>
      <c r="I129" s="125"/>
      <c r="J129" s="125"/>
      <c r="K129" s="125"/>
    </row>
    <row r="130" spans="1:11" x14ac:dyDescent="0.25">
      <c r="A130" s="6"/>
      <c r="B130" s="6"/>
      <c r="C130" s="123"/>
      <c r="D130" s="123"/>
      <c r="E130" s="124"/>
      <c r="F130" s="6"/>
      <c r="G130" s="124"/>
      <c r="H130" s="6"/>
      <c r="I130" s="125"/>
      <c r="J130" s="125"/>
      <c r="K130" s="125"/>
    </row>
    <row r="131" spans="1:11" x14ac:dyDescent="0.25">
      <c r="A131" s="6"/>
      <c r="B131" s="6"/>
      <c r="C131" s="123"/>
      <c r="D131" s="123"/>
      <c r="E131" s="124"/>
      <c r="F131" s="6"/>
      <c r="G131" s="124"/>
      <c r="H131" s="6"/>
      <c r="I131" s="125"/>
      <c r="J131" s="125"/>
      <c r="K131" s="125"/>
    </row>
    <row r="132" spans="1:11" x14ac:dyDescent="0.25">
      <c r="A132" s="6"/>
      <c r="B132" s="6"/>
      <c r="C132" s="123"/>
      <c r="D132" s="123"/>
      <c r="E132" s="124"/>
      <c r="F132" s="6"/>
      <c r="G132" s="124"/>
      <c r="H132" s="6"/>
      <c r="I132" s="125"/>
      <c r="J132" s="125"/>
      <c r="K132" s="125"/>
    </row>
    <row r="133" spans="1:11" x14ac:dyDescent="0.25">
      <c r="A133" s="6"/>
      <c r="B133" s="6"/>
      <c r="C133" s="123"/>
      <c r="D133" s="123"/>
      <c r="E133" s="124"/>
      <c r="F133" s="6"/>
      <c r="G133" s="124"/>
      <c r="H133" s="6"/>
      <c r="I133" s="125"/>
      <c r="J133" s="125"/>
      <c r="K133" s="125"/>
    </row>
    <row r="134" spans="1:11" x14ac:dyDescent="0.25">
      <c r="A134" s="6"/>
      <c r="B134" s="6"/>
      <c r="C134" s="123"/>
      <c r="D134" s="123"/>
      <c r="E134" s="124"/>
      <c r="F134" s="6"/>
      <c r="G134" s="124"/>
      <c r="H134" s="6"/>
      <c r="I134" s="125"/>
      <c r="J134" s="125"/>
      <c r="K134" s="125"/>
    </row>
    <row r="135" spans="1:11" x14ac:dyDescent="0.25">
      <c r="A135" s="6"/>
      <c r="B135" s="6"/>
      <c r="C135" s="123"/>
      <c r="D135" s="123"/>
      <c r="E135" s="124"/>
      <c r="F135" s="6"/>
      <c r="G135" s="124"/>
      <c r="H135" s="6"/>
      <c r="I135" s="125"/>
      <c r="J135" s="125"/>
      <c r="K135" s="125"/>
    </row>
    <row r="136" spans="1:11" x14ac:dyDescent="0.25">
      <c r="A136" s="6"/>
      <c r="B136" s="6"/>
      <c r="C136" s="123"/>
      <c r="D136" s="123"/>
      <c r="E136" s="124"/>
      <c r="F136" s="6"/>
      <c r="G136" s="124"/>
      <c r="H136" s="6"/>
      <c r="I136" s="125"/>
      <c r="J136" s="125"/>
      <c r="K136" s="125"/>
    </row>
    <row r="137" spans="1:11" x14ac:dyDescent="0.25">
      <c r="A137" s="6"/>
      <c r="B137" s="6"/>
      <c r="C137" s="123"/>
      <c r="D137" s="123"/>
      <c r="E137" s="124"/>
      <c r="F137" s="6"/>
      <c r="G137" s="124"/>
      <c r="H137" s="6"/>
      <c r="I137" s="125"/>
      <c r="J137" s="125"/>
      <c r="K137" s="125"/>
    </row>
    <row r="138" spans="1:11" x14ac:dyDescent="0.25">
      <c r="A138" s="6"/>
      <c r="B138" s="6"/>
      <c r="C138" s="123"/>
      <c r="D138" s="123"/>
      <c r="E138" s="124"/>
      <c r="F138" s="6"/>
      <c r="G138" s="124"/>
      <c r="H138" s="6"/>
      <c r="I138" s="125"/>
      <c r="J138" s="125"/>
      <c r="K138" s="125"/>
    </row>
    <row r="139" spans="1:11" x14ac:dyDescent="0.25">
      <c r="A139" s="6"/>
      <c r="B139" s="6"/>
      <c r="C139" s="123"/>
      <c r="D139" s="123"/>
      <c r="E139" s="124"/>
      <c r="F139" s="6"/>
      <c r="G139" s="124"/>
      <c r="H139" s="6"/>
      <c r="I139" s="125"/>
      <c r="J139" s="125"/>
      <c r="K139" s="125"/>
    </row>
    <row r="140" spans="1:11" x14ac:dyDescent="0.25">
      <c r="A140" s="6"/>
      <c r="B140" s="6"/>
      <c r="C140" s="123"/>
      <c r="D140" s="123"/>
      <c r="E140" s="124"/>
      <c r="F140" s="6"/>
      <c r="G140" s="124"/>
      <c r="H140" s="6"/>
      <c r="I140" s="125"/>
      <c r="J140" s="125"/>
      <c r="K140" s="125"/>
    </row>
    <row r="141" spans="1:11" x14ac:dyDescent="0.25">
      <c r="A141" s="6"/>
      <c r="B141" s="6"/>
      <c r="C141" s="123"/>
      <c r="D141" s="123"/>
      <c r="E141" s="124"/>
      <c r="F141" s="6"/>
      <c r="G141" s="124"/>
      <c r="H141" s="6"/>
      <c r="I141" s="125"/>
      <c r="J141" s="125"/>
      <c r="K141" s="125"/>
    </row>
    <row r="142" spans="1:11" x14ac:dyDescent="0.25">
      <c r="A142" s="6"/>
      <c r="B142" s="6"/>
      <c r="C142" s="123"/>
      <c r="D142" s="123"/>
      <c r="E142" s="124"/>
      <c r="F142" s="6"/>
      <c r="G142" s="124"/>
      <c r="H142" s="6"/>
      <c r="I142" s="125"/>
      <c r="J142" s="125"/>
      <c r="K142" s="125"/>
    </row>
    <row r="143" spans="1:11" x14ac:dyDescent="0.25">
      <c r="A143" s="6"/>
      <c r="B143" s="6"/>
      <c r="C143" s="123"/>
      <c r="D143" s="123"/>
      <c r="E143" s="124"/>
      <c r="F143" s="6"/>
      <c r="G143" s="124"/>
      <c r="H143" s="6"/>
      <c r="I143" s="125"/>
      <c r="J143" s="125"/>
      <c r="K143" s="125"/>
    </row>
    <row r="144" spans="1:11" x14ac:dyDescent="0.25">
      <c r="A144" s="6"/>
      <c r="B144" s="6"/>
      <c r="C144" s="123"/>
      <c r="D144" s="123"/>
      <c r="E144" s="124"/>
      <c r="F144" s="6"/>
      <c r="G144" s="124"/>
      <c r="H144" s="6"/>
      <c r="I144" s="125"/>
      <c r="J144" s="125"/>
      <c r="K144" s="125"/>
    </row>
    <row r="145" spans="1:11" x14ac:dyDescent="0.25">
      <c r="A145" s="6"/>
      <c r="B145" s="6"/>
      <c r="C145" s="123"/>
      <c r="D145" s="123"/>
      <c r="E145" s="124"/>
      <c r="F145" s="6"/>
      <c r="G145" s="124"/>
      <c r="H145" s="6"/>
      <c r="I145" s="125"/>
      <c r="J145" s="125"/>
      <c r="K145" s="125"/>
    </row>
    <row r="146" spans="1:11" x14ac:dyDescent="0.25">
      <c r="A146" s="6"/>
      <c r="B146" s="6"/>
      <c r="C146" s="123"/>
      <c r="D146" s="123"/>
      <c r="E146" s="124"/>
      <c r="F146" s="6"/>
      <c r="G146" s="124"/>
      <c r="H146" s="6"/>
      <c r="I146" s="125"/>
      <c r="J146" s="125"/>
      <c r="K146" s="125"/>
    </row>
    <row r="147" spans="1:11" x14ac:dyDescent="0.25">
      <c r="A147" s="6"/>
      <c r="B147" s="6"/>
      <c r="C147" s="123"/>
      <c r="D147" s="123"/>
      <c r="E147" s="124"/>
      <c r="F147" s="6"/>
      <c r="G147" s="124"/>
      <c r="H147" s="6"/>
      <c r="I147" s="125"/>
      <c r="J147" s="125"/>
      <c r="K147" s="125"/>
    </row>
    <row r="148" spans="1:11" x14ac:dyDescent="0.25">
      <c r="A148" s="6"/>
      <c r="B148" s="6"/>
      <c r="C148" s="123"/>
      <c r="D148" s="123"/>
      <c r="E148" s="124"/>
      <c r="F148" s="6"/>
      <c r="G148" s="124"/>
      <c r="H148" s="6"/>
      <c r="I148" s="125"/>
      <c r="J148" s="125"/>
      <c r="K148" s="125"/>
    </row>
    <row r="149" spans="1:11" x14ac:dyDescent="0.25">
      <c r="A149" s="6"/>
      <c r="B149" s="6"/>
      <c r="C149" s="123"/>
      <c r="D149" s="123"/>
      <c r="E149" s="124"/>
      <c r="F149" s="6"/>
      <c r="G149" s="124"/>
      <c r="H149" s="6"/>
      <c r="I149" s="125"/>
      <c r="J149" s="125"/>
      <c r="K149" s="125"/>
    </row>
    <row r="150" spans="1:11" x14ac:dyDescent="0.25">
      <c r="A150" s="6"/>
      <c r="B150" s="6"/>
      <c r="C150" s="123"/>
      <c r="D150" s="123"/>
      <c r="E150" s="124"/>
      <c r="F150" s="6"/>
      <c r="G150" s="124"/>
      <c r="H150" s="6"/>
      <c r="I150" s="125"/>
      <c r="J150" s="125"/>
      <c r="K150" s="125"/>
    </row>
    <row r="151" spans="1:11" x14ac:dyDescent="0.25">
      <c r="A151" s="6"/>
      <c r="B151" s="6"/>
      <c r="C151" s="123"/>
      <c r="D151" s="123"/>
      <c r="E151" s="124"/>
      <c r="F151" s="6"/>
      <c r="G151" s="124"/>
      <c r="H151" s="6"/>
      <c r="I151" s="125"/>
      <c r="J151" s="125"/>
      <c r="K151" s="125"/>
    </row>
    <row r="152" spans="1:11" x14ac:dyDescent="0.25">
      <c r="A152" s="6"/>
      <c r="B152" s="6"/>
      <c r="C152" s="123"/>
      <c r="D152" s="123"/>
      <c r="E152" s="124"/>
      <c r="F152" s="6"/>
      <c r="G152" s="124"/>
      <c r="H152" s="6"/>
      <c r="I152" s="125"/>
      <c r="J152" s="125"/>
      <c r="K152" s="125"/>
    </row>
    <row r="153" spans="1:11" x14ac:dyDescent="0.25">
      <c r="A153" s="6"/>
      <c r="B153" s="6"/>
      <c r="C153" s="123"/>
      <c r="D153" s="123"/>
      <c r="E153" s="124"/>
      <c r="F153" s="6"/>
      <c r="G153" s="124"/>
      <c r="H153" s="6"/>
      <c r="I153" s="125"/>
      <c r="J153" s="125"/>
      <c r="K153" s="125"/>
    </row>
    <row r="154" spans="1:11" x14ac:dyDescent="0.25">
      <c r="A154" s="6"/>
      <c r="B154" s="6"/>
      <c r="C154" s="123"/>
      <c r="D154" s="123"/>
      <c r="E154" s="124"/>
      <c r="F154" s="6"/>
      <c r="G154" s="124"/>
      <c r="H154" s="6"/>
      <c r="I154" s="125"/>
      <c r="J154" s="125"/>
      <c r="K154" s="125"/>
    </row>
    <row r="155" spans="1:11" x14ac:dyDescent="0.25">
      <c r="A155" s="6"/>
      <c r="B155" s="6"/>
      <c r="C155" s="123"/>
      <c r="D155" s="123"/>
      <c r="E155" s="124"/>
      <c r="F155" s="6"/>
      <c r="G155" s="124"/>
      <c r="H155" s="6"/>
      <c r="I155" s="125"/>
      <c r="J155" s="125"/>
      <c r="K155" s="125"/>
    </row>
    <row r="156" spans="1:11" x14ac:dyDescent="0.25">
      <c r="A156" s="6"/>
      <c r="B156" s="6"/>
      <c r="C156" s="123"/>
      <c r="D156" s="123"/>
      <c r="E156" s="124"/>
      <c r="F156" s="6"/>
      <c r="G156" s="124"/>
      <c r="H156" s="6"/>
      <c r="I156" s="125"/>
      <c r="J156" s="125"/>
      <c r="K156" s="125"/>
    </row>
    <row r="157" spans="1:11" x14ac:dyDescent="0.25">
      <c r="A157" s="6"/>
      <c r="B157" s="6"/>
      <c r="C157" s="123"/>
      <c r="D157" s="123"/>
      <c r="E157" s="124"/>
      <c r="F157" s="6"/>
      <c r="G157" s="124"/>
      <c r="H157" s="6"/>
      <c r="I157" s="125"/>
      <c r="J157" s="125"/>
      <c r="K157" s="125"/>
    </row>
    <row r="158" spans="1:11" x14ac:dyDescent="0.25">
      <c r="A158" s="6"/>
      <c r="B158" s="6"/>
      <c r="C158" s="123"/>
      <c r="D158" s="123"/>
      <c r="E158" s="124"/>
      <c r="F158" s="6"/>
      <c r="G158" s="124"/>
      <c r="H158" s="6"/>
      <c r="I158" s="125"/>
      <c r="J158" s="125"/>
      <c r="K158" s="125"/>
    </row>
    <row r="159" spans="1:11" x14ac:dyDescent="0.25">
      <c r="A159" s="6"/>
      <c r="B159" s="6"/>
      <c r="C159" s="123"/>
      <c r="D159" s="123"/>
      <c r="E159" s="124"/>
      <c r="F159" s="6"/>
      <c r="G159" s="124"/>
      <c r="H159" s="6"/>
      <c r="I159" s="125"/>
      <c r="J159" s="125"/>
      <c r="K159" s="125"/>
    </row>
    <row r="160" spans="1:11" x14ac:dyDescent="0.25">
      <c r="A160" s="6"/>
      <c r="B160" s="6"/>
      <c r="C160" s="123"/>
      <c r="D160" s="123"/>
      <c r="E160" s="124"/>
      <c r="F160" s="6"/>
      <c r="G160" s="124"/>
      <c r="H160" s="6"/>
      <c r="I160" s="125"/>
      <c r="J160" s="125"/>
      <c r="K160" s="125"/>
    </row>
    <row r="161" spans="1:11" x14ac:dyDescent="0.25">
      <c r="A161" s="6"/>
      <c r="B161" s="6"/>
      <c r="C161" s="123"/>
      <c r="D161" s="123"/>
      <c r="E161" s="124"/>
      <c r="F161" s="6"/>
      <c r="G161" s="124"/>
      <c r="H161" s="6"/>
      <c r="I161" s="125"/>
      <c r="J161" s="125"/>
      <c r="K161" s="125"/>
    </row>
    <row r="162" spans="1:11" x14ac:dyDescent="0.25">
      <c r="A162" s="6"/>
      <c r="B162" s="6"/>
      <c r="C162" s="123"/>
      <c r="D162" s="123"/>
      <c r="E162" s="124"/>
      <c r="F162" s="6"/>
      <c r="G162" s="124"/>
      <c r="H162" s="6"/>
      <c r="I162" s="125"/>
      <c r="J162" s="125"/>
      <c r="K162" s="125"/>
    </row>
    <row r="163" spans="1:11" x14ac:dyDescent="0.25">
      <c r="A163" s="6"/>
      <c r="B163" s="6"/>
      <c r="C163" s="123"/>
      <c r="D163" s="123"/>
      <c r="E163" s="124"/>
      <c r="F163" s="6"/>
      <c r="G163" s="124"/>
      <c r="H163" s="6"/>
      <c r="I163" s="125"/>
      <c r="J163" s="125"/>
      <c r="K163" s="125"/>
    </row>
    <row r="164" spans="1:11" x14ac:dyDescent="0.25">
      <c r="A164" s="6"/>
      <c r="B164" s="6"/>
      <c r="C164" s="123"/>
      <c r="D164" s="123"/>
      <c r="E164" s="124"/>
      <c r="F164" s="6"/>
      <c r="G164" s="124"/>
      <c r="H164" s="6"/>
      <c r="I164" s="125"/>
      <c r="J164" s="125"/>
      <c r="K164" s="125"/>
    </row>
    <row r="165" spans="1:11" x14ac:dyDescent="0.25">
      <c r="A165" s="6"/>
      <c r="B165" s="6"/>
      <c r="C165" s="123"/>
      <c r="D165" s="123"/>
      <c r="E165" s="124"/>
      <c r="F165" s="6"/>
      <c r="G165" s="124"/>
      <c r="H165" s="6"/>
      <c r="I165" s="125"/>
      <c r="J165" s="125"/>
      <c r="K165" s="125"/>
    </row>
    <row r="166" spans="1:11" x14ac:dyDescent="0.25">
      <c r="A166" s="6"/>
      <c r="B166" s="6"/>
      <c r="C166" s="123"/>
      <c r="D166" s="123"/>
      <c r="E166" s="124"/>
      <c r="F166" s="6"/>
      <c r="G166" s="124"/>
      <c r="H166" s="6"/>
      <c r="I166" s="125"/>
      <c r="J166" s="125"/>
      <c r="K166" s="125"/>
    </row>
    <row r="167" spans="1:11" x14ac:dyDescent="0.25">
      <c r="A167" s="6"/>
      <c r="B167" s="6"/>
      <c r="C167" s="123"/>
      <c r="D167" s="123"/>
      <c r="E167" s="124"/>
      <c r="F167" s="6"/>
      <c r="G167" s="124"/>
      <c r="H167" s="6"/>
      <c r="I167" s="125"/>
      <c r="J167" s="125"/>
      <c r="K167" s="125"/>
    </row>
    <row r="168" spans="1:11" x14ac:dyDescent="0.25">
      <c r="A168" s="6"/>
      <c r="B168" s="6"/>
      <c r="C168" s="123"/>
      <c r="D168" s="123"/>
      <c r="E168" s="124"/>
      <c r="F168" s="6"/>
      <c r="G168" s="124"/>
      <c r="H168" s="6"/>
      <c r="I168" s="125"/>
      <c r="J168" s="125"/>
      <c r="K168" s="125"/>
    </row>
    <row r="169" spans="1:11" x14ac:dyDescent="0.25">
      <c r="A169" s="6"/>
      <c r="B169" s="6"/>
      <c r="C169" s="123"/>
      <c r="D169" s="123"/>
      <c r="E169" s="124"/>
      <c r="F169" s="6"/>
      <c r="G169" s="124"/>
      <c r="H169" s="6"/>
      <c r="I169" s="125"/>
      <c r="J169" s="125"/>
      <c r="K169" s="125"/>
    </row>
    <row r="170" spans="1:11" x14ac:dyDescent="0.25">
      <c r="A170" s="6"/>
      <c r="B170" s="6"/>
      <c r="C170" s="123"/>
      <c r="D170" s="123"/>
      <c r="E170" s="124"/>
      <c r="F170" s="6"/>
      <c r="G170" s="124"/>
      <c r="H170" s="6"/>
      <c r="I170" s="125"/>
      <c r="J170" s="125"/>
      <c r="K170" s="125"/>
    </row>
    <row r="171" spans="1:11" x14ac:dyDescent="0.25">
      <c r="A171" s="6"/>
      <c r="B171" s="6"/>
      <c r="C171" s="123"/>
      <c r="D171" s="123"/>
      <c r="E171" s="124"/>
      <c r="F171" s="6"/>
      <c r="G171" s="124"/>
      <c r="H171" s="6"/>
      <c r="I171" s="125"/>
      <c r="J171" s="125"/>
      <c r="K171" s="125"/>
    </row>
    <row r="172" spans="1:11" x14ac:dyDescent="0.25">
      <c r="A172" s="6"/>
      <c r="B172" s="6"/>
      <c r="C172" s="123"/>
      <c r="D172" s="123"/>
      <c r="E172" s="124"/>
      <c r="F172" s="6"/>
      <c r="G172" s="124"/>
      <c r="H172" s="6"/>
      <c r="I172" s="125"/>
      <c r="J172" s="125"/>
      <c r="K172" s="125"/>
    </row>
    <row r="173" spans="1:11" x14ac:dyDescent="0.25">
      <c r="A173" s="6"/>
      <c r="B173" s="6"/>
      <c r="C173" s="123"/>
      <c r="D173" s="123"/>
      <c r="E173" s="124"/>
      <c r="F173" s="6"/>
      <c r="G173" s="124"/>
      <c r="H173" s="6"/>
      <c r="I173" s="125"/>
      <c r="J173" s="125"/>
      <c r="K173" s="125"/>
    </row>
    <row r="174" spans="1:11" x14ac:dyDescent="0.25">
      <c r="A174" s="6"/>
      <c r="B174" s="6"/>
      <c r="C174" s="123"/>
      <c r="D174" s="123"/>
      <c r="E174" s="124"/>
      <c r="F174" s="6"/>
      <c r="G174" s="124"/>
      <c r="H174" s="6"/>
      <c r="I174" s="125"/>
      <c r="J174" s="125"/>
      <c r="K174" s="125"/>
    </row>
    <row r="175" spans="1:11" x14ac:dyDescent="0.25">
      <c r="A175" s="6"/>
      <c r="B175" s="6"/>
      <c r="C175" s="123"/>
      <c r="D175" s="123"/>
      <c r="E175" s="124"/>
      <c r="F175" s="6"/>
      <c r="G175" s="124"/>
      <c r="H175" s="6"/>
      <c r="I175" s="125"/>
      <c r="J175" s="125"/>
      <c r="K175" s="125"/>
    </row>
    <row r="176" spans="1:11" x14ac:dyDescent="0.25">
      <c r="A176" s="6"/>
      <c r="B176" s="6"/>
      <c r="C176" s="123"/>
      <c r="D176" s="123"/>
      <c r="E176" s="124"/>
      <c r="F176" s="6"/>
      <c r="G176" s="124"/>
      <c r="H176" s="6"/>
      <c r="I176" s="125"/>
      <c r="J176" s="125"/>
      <c r="K176" s="125"/>
    </row>
    <row r="177" spans="1:11" x14ac:dyDescent="0.25">
      <c r="A177" s="6"/>
      <c r="B177" s="6"/>
      <c r="C177" s="123"/>
      <c r="D177" s="123"/>
      <c r="E177" s="124"/>
      <c r="F177" s="6"/>
      <c r="G177" s="124"/>
      <c r="H177" s="6"/>
      <c r="I177" s="125"/>
      <c r="J177" s="125"/>
      <c r="K177" s="125"/>
    </row>
    <row r="178" spans="1:11" x14ac:dyDescent="0.25">
      <c r="A178" s="6"/>
      <c r="B178" s="6"/>
      <c r="C178" s="123"/>
      <c r="D178" s="123"/>
      <c r="E178" s="124"/>
      <c r="F178" s="6"/>
      <c r="G178" s="124"/>
      <c r="H178" s="6"/>
      <c r="I178" s="125"/>
      <c r="J178" s="125"/>
      <c r="K178" s="125"/>
    </row>
    <row r="179" spans="1:11" x14ac:dyDescent="0.25">
      <c r="A179" s="6"/>
      <c r="B179" s="6"/>
      <c r="C179" s="123"/>
      <c r="D179" s="123"/>
      <c r="E179" s="124"/>
      <c r="F179" s="6"/>
      <c r="G179" s="124"/>
      <c r="H179" s="6"/>
      <c r="I179" s="125"/>
      <c r="J179" s="125"/>
      <c r="K179" s="125"/>
    </row>
    <row r="180" spans="1:11" x14ac:dyDescent="0.25">
      <c r="A180" s="6"/>
      <c r="B180" s="6"/>
      <c r="C180" s="123"/>
      <c r="D180" s="123"/>
      <c r="E180" s="124"/>
      <c r="F180" s="6"/>
      <c r="G180" s="124"/>
      <c r="H180" s="6"/>
      <c r="I180" s="125"/>
      <c r="J180" s="125"/>
      <c r="K180" s="125"/>
    </row>
    <row r="181" spans="1:11" x14ac:dyDescent="0.25">
      <c r="A181" s="6"/>
      <c r="B181" s="6"/>
      <c r="C181" s="123"/>
      <c r="D181" s="123"/>
      <c r="E181" s="124"/>
      <c r="F181" s="6"/>
      <c r="G181" s="124"/>
      <c r="H181" s="6"/>
      <c r="I181" s="125"/>
      <c r="J181" s="125"/>
      <c r="K181" s="125"/>
    </row>
    <row r="182" spans="1:11" x14ac:dyDescent="0.25">
      <c r="A182" s="6"/>
      <c r="B182" s="6"/>
      <c r="C182" s="123"/>
      <c r="D182" s="123"/>
      <c r="E182" s="124"/>
      <c r="F182" s="6"/>
      <c r="G182" s="124"/>
      <c r="H182" s="6"/>
      <c r="I182" s="125"/>
      <c r="J182" s="125"/>
      <c r="K182" s="125"/>
    </row>
    <row r="183" spans="1:11" x14ac:dyDescent="0.25">
      <c r="A183" s="6"/>
      <c r="B183" s="6"/>
      <c r="C183" s="123"/>
      <c r="D183" s="123"/>
      <c r="E183" s="124"/>
      <c r="F183" s="6"/>
      <c r="G183" s="124"/>
      <c r="H183" s="6"/>
      <c r="I183" s="125"/>
      <c r="J183" s="125"/>
      <c r="K183" s="125"/>
    </row>
    <row r="184" spans="1:11" x14ac:dyDescent="0.25">
      <c r="A184" s="6"/>
      <c r="B184" s="6"/>
      <c r="C184" s="123"/>
      <c r="D184" s="123"/>
      <c r="E184" s="124"/>
      <c r="F184" s="6"/>
      <c r="G184" s="124"/>
      <c r="H184" s="6"/>
      <c r="I184" s="125"/>
      <c r="J184" s="125"/>
      <c r="K184" s="125"/>
    </row>
    <row r="185" spans="1:11" x14ac:dyDescent="0.25">
      <c r="A185" s="6"/>
      <c r="B185" s="6"/>
      <c r="C185" s="123"/>
      <c r="D185" s="123"/>
      <c r="E185" s="124"/>
      <c r="F185" s="6"/>
      <c r="G185" s="124"/>
      <c r="H185" s="6"/>
      <c r="I185" s="125"/>
      <c r="J185" s="125"/>
      <c r="K185" s="125"/>
    </row>
    <row r="186" spans="1:11" x14ac:dyDescent="0.25">
      <c r="A186" s="6"/>
      <c r="B186" s="6"/>
      <c r="C186" s="123"/>
      <c r="D186" s="123"/>
      <c r="E186" s="124"/>
      <c r="F186" s="6"/>
      <c r="G186" s="124"/>
      <c r="H186" s="6"/>
      <c r="I186" s="125"/>
      <c r="J186" s="125"/>
      <c r="K186" s="125"/>
    </row>
    <row r="187" spans="1:11" x14ac:dyDescent="0.25">
      <c r="A187" s="6"/>
      <c r="B187" s="6"/>
      <c r="C187" s="123"/>
      <c r="D187" s="123"/>
      <c r="E187" s="124"/>
      <c r="F187" s="6"/>
      <c r="G187" s="124"/>
      <c r="H187" s="6"/>
      <c r="I187" s="125"/>
      <c r="J187" s="125"/>
      <c r="K187" s="125"/>
    </row>
    <row r="188" spans="1:11" x14ac:dyDescent="0.25">
      <c r="A188" s="6"/>
      <c r="B188" s="6"/>
      <c r="C188" s="123"/>
      <c r="D188" s="123"/>
      <c r="E188" s="124"/>
      <c r="F188" s="6"/>
      <c r="G188" s="124"/>
      <c r="H188" s="6"/>
      <c r="I188" s="125"/>
      <c r="J188" s="125"/>
      <c r="K188" s="125"/>
    </row>
    <row r="189" spans="1:11" x14ac:dyDescent="0.25">
      <c r="A189" s="6"/>
      <c r="B189" s="6"/>
      <c r="C189" s="123"/>
      <c r="D189" s="123"/>
      <c r="E189" s="124"/>
      <c r="F189" s="6"/>
      <c r="G189" s="124"/>
      <c r="H189" s="6"/>
      <c r="I189" s="125"/>
      <c r="J189" s="125"/>
      <c r="K189" s="125"/>
    </row>
    <row r="190" spans="1:11" x14ac:dyDescent="0.25">
      <c r="A190" s="6"/>
      <c r="B190" s="6"/>
      <c r="C190" s="123"/>
      <c r="D190" s="123"/>
      <c r="E190" s="124"/>
      <c r="F190" s="6"/>
      <c r="G190" s="124"/>
      <c r="H190" s="6"/>
      <c r="I190" s="125"/>
      <c r="J190" s="125"/>
      <c r="K190" s="125"/>
    </row>
    <row r="191" spans="1:11" x14ac:dyDescent="0.25">
      <c r="A191" s="6"/>
      <c r="B191" s="6"/>
      <c r="C191" s="123"/>
      <c r="D191" s="123"/>
      <c r="E191" s="124"/>
      <c r="F191" s="6"/>
      <c r="G191" s="124"/>
      <c r="H191" s="6"/>
      <c r="I191" s="125"/>
      <c r="J191" s="125"/>
      <c r="K191" s="125"/>
    </row>
    <row r="192" spans="1:11" x14ac:dyDescent="0.25">
      <c r="A192" s="6"/>
      <c r="B192" s="6"/>
      <c r="C192" s="123"/>
      <c r="D192" s="123"/>
      <c r="E192" s="124"/>
      <c r="F192" s="6"/>
      <c r="G192" s="124"/>
      <c r="H192" s="6"/>
      <c r="I192" s="125"/>
      <c r="J192" s="125"/>
      <c r="K192" s="125"/>
    </row>
    <row r="193" spans="1:11" x14ac:dyDescent="0.25">
      <c r="A193" s="6"/>
      <c r="B193" s="6"/>
      <c r="C193" s="123"/>
      <c r="D193" s="123"/>
      <c r="E193" s="124"/>
      <c r="F193" s="6"/>
      <c r="G193" s="124"/>
      <c r="H193" s="6"/>
      <c r="I193" s="125"/>
      <c r="J193" s="125"/>
      <c r="K193" s="125"/>
    </row>
    <row r="194" spans="1:11" x14ac:dyDescent="0.25">
      <c r="A194" s="6"/>
      <c r="B194" s="6"/>
      <c r="C194" s="123"/>
      <c r="D194" s="123"/>
      <c r="E194" s="124"/>
      <c r="F194" s="6"/>
      <c r="G194" s="124"/>
      <c r="H194" s="6"/>
      <c r="I194" s="125"/>
      <c r="J194" s="125"/>
      <c r="K194" s="125"/>
    </row>
    <row r="195" spans="1:11" x14ac:dyDescent="0.25">
      <c r="A195" s="6"/>
      <c r="B195" s="6"/>
      <c r="C195" s="123"/>
      <c r="D195" s="123"/>
      <c r="E195" s="124"/>
      <c r="F195" s="6"/>
      <c r="G195" s="124"/>
      <c r="H195" s="6"/>
      <c r="I195" s="125"/>
      <c r="J195" s="125"/>
      <c r="K195" s="125"/>
    </row>
    <row r="196" spans="1:11" x14ac:dyDescent="0.25">
      <c r="A196" s="6"/>
      <c r="B196" s="6"/>
      <c r="C196" s="123"/>
      <c r="D196" s="123"/>
      <c r="E196" s="124"/>
      <c r="F196" s="6"/>
      <c r="G196" s="124"/>
      <c r="H196" s="6"/>
      <c r="I196" s="125"/>
      <c r="J196" s="125"/>
      <c r="K196" s="125"/>
    </row>
    <row r="197" spans="1:11" x14ac:dyDescent="0.25">
      <c r="A197" s="6"/>
      <c r="B197" s="6"/>
      <c r="C197" s="123"/>
      <c r="D197" s="123"/>
      <c r="E197" s="124"/>
      <c r="F197" s="6"/>
      <c r="G197" s="124"/>
      <c r="H197" s="6"/>
      <c r="I197" s="125"/>
      <c r="J197" s="125"/>
      <c r="K197" s="125"/>
    </row>
    <row r="198" spans="1:11" x14ac:dyDescent="0.25">
      <c r="A198" s="6"/>
      <c r="B198" s="6"/>
      <c r="C198" s="123"/>
      <c r="D198" s="123"/>
      <c r="E198" s="124"/>
      <c r="F198" s="6"/>
      <c r="G198" s="124"/>
      <c r="H198" s="6"/>
      <c r="I198" s="125"/>
      <c r="J198" s="125"/>
      <c r="K198" s="125"/>
    </row>
    <row r="199" spans="1:11" x14ac:dyDescent="0.25">
      <c r="A199" s="6"/>
      <c r="B199" s="6"/>
      <c r="C199" s="123"/>
      <c r="D199" s="123"/>
      <c r="E199" s="124"/>
      <c r="F199" s="6"/>
      <c r="G199" s="124"/>
      <c r="H199" s="6"/>
      <c r="I199" s="125"/>
      <c r="J199" s="125"/>
      <c r="K199" s="125"/>
    </row>
    <row r="200" spans="1:11" x14ac:dyDescent="0.25">
      <c r="A200" s="6"/>
      <c r="B200" s="6"/>
      <c r="C200" s="123"/>
      <c r="D200" s="123"/>
      <c r="E200" s="124"/>
      <c r="F200" s="6"/>
      <c r="G200" s="124"/>
      <c r="H200" s="6"/>
      <c r="I200" s="125"/>
      <c r="J200" s="125"/>
      <c r="K200" s="125"/>
    </row>
    <row r="201" spans="1:11" x14ac:dyDescent="0.25">
      <c r="A201" s="6"/>
      <c r="B201" s="6"/>
      <c r="C201" s="123"/>
      <c r="D201" s="123"/>
      <c r="E201" s="124"/>
      <c r="F201" s="6"/>
      <c r="G201" s="124"/>
      <c r="H201" s="6"/>
      <c r="I201" s="125"/>
      <c r="J201" s="125"/>
      <c r="K201" s="125"/>
    </row>
    <row r="202" spans="1:11" x14ac:dyDescent="0.25">
      <c r="A202" s="6"/>
      <c r="B202" s="6"/>
      <c r="C202" s="123"/>
      <c r="D202" s="123"/>
      <c r="E202" s="124"/>
      <c r="F202" s="6"/>
      <c r="G202" s="124"/>
      <c r="H202" s="6"/>
      <c r="I202" s="125"/>
      <c r="J202" s="125"/>
      <c r="K202" s="125"/>
    </row>
    <row r="203" spans="1:11" x14ac:dyDescent="0.25">
      <c r="A203" s="6"/>
      <c r="B203" s="6"/>
      <c r="C203" s="123"/>
      <c r="D203" s="123"/>
      <c r="E203" s="124"/>
      <c r="F203" s="6"/>
      <c r="G203" s="124"/>
      <c r="H203" s="6"/>
      <c r="I203" s="125"/>
      <c r="J203" s="125"/>
      <c r="K203" s="125"/>
    </row>
    <row r="204" spans="1:11" x14ac:dyDescent="0.25">
      <c r="A204" s="6"/>
      <c r="B204" s="6"/>
      <c r="C204" s="123"/>
      <c r="D204" s="123"/>
      <c r="E204" s="124"/>
      <c r="F204" s="6"/>
      <c r="G204" s="124"/>
      <c r="H204" s="6"/>
      <c r="I204" s="125"/>
      <c r="J204" s="125"/>
      <c r="K204" s="125"/>
    </row>
    <row r="205" spans="1:11" x14ac:dyDescent="0.25">
      <c r="A205" s="6"/>
      <c r="B205" s="6"/>
      <c r="C205" s="123"/>
      <c r="D205" s="123"/>
      <c r="E205" s="124"/>
      <c r="F205" s="6"/>
      <c r="G205" s="124"/>
      <c r="H205" s="6"/>
      <c r="I205" s="125"/>
      <c r="J205" s="125"/>
      <c r="K205" s="125"/>
    </row>
    <row r="206" spans="1:11" x14ac:dyDescent="0.25">
      <c r="A206" s="6"/>
      <c r="B206" s="6"/>
      <c r="C206" s="123"/>
      <c r="D206" s="123"/>
      <c r="E206" s="124"/>
      <c r="F206" s="6"/>
      <c r="G206" s="124"/>
      <c r="H206" s="6"/>
      <c r="I206" s="125"/>
      <c r="J206" s="125"/>
      <c r="K206" s="125"/>
    </row>
    <row r="207" spans="1:11" x14ac:dyDescent="0.25">
      <c r="A207" s="6"/>
      <c r="B207" s="6"/>
      <c r="C207" s="123"/>
      <c r="D207" s="123"/>
      <c r="E207" s="124"/>
      <c r="F207" s="6"/>
      <c r="G207" s="124"/>
      <c r="H207" s="6"/>
      <c r="I207" s="125"/>
      <c r="J207" s="125"/>
      <c r="K207" s="125"/>
    </row>
    <row r="208" spans="1:11" x14ac:dyDescent="0.25">
      <c r="A208" s="6"/>
      <c r="B208" s="6"/>
      <c r="C208" s="123"/>
      <c r="D208" s="123"/>
      <c r="E208" s="124"/>
      <c r="F208" s="6"/>
      <c r="G208" s="124"/>
      <c r="H208" s="6"/>
      <c r="I208" s="125"/>
      <c r="J208" s="125"/>
      <c r="K208" s="125"/>
    </row>
    <row r="209" spans="1:11" x14ac:dyDescent="0.25">
      <c r="A209" s="6"/>
      <c r="B209" s="6"/>
      <c r="C209" s="123"/>
      <c r="D209" s="123"/>
      <c r="E209" s="124"/>
      <c r="F209" s="6"/>
      <c r="G209" s="124"/>
      <c r="H209" s="6"/>
      <c r="I209" s="125"/>
      <c r="J209" s="125"/>
      <c r="K209" s="125"/>
    </row>
    <row r="210" spans="1:11" x14ac:dyDescent="0.25">
      <c r="A210" s="6"/>
      <c r="B210" s="6"/>
      <c r="C210" s="123"/>
      <c r="D210" s="123"/>
      <c r="E210" s="124"/>
      <c r="F210" s="6"/>
      <c r="G210" s="124"/>
      <c r="H210" s="6"/>
      <c r="I210" s="125"/>
      <c r="J210" s="125"/>
      <c r="K210" s="125"/>
    </row>
    <row r="211" spans="1:11" x14ac:dyDescent="0.25">
      <c r="A211" s="6"/>
      <c r="B211" s="6"/>
      <c r="C211" s="123"/>
      <c r="D211" s="123"/>
      <c r="E211" s="124"/>
      <c r="F211" s="6"/>
      <c r="G211" s="124"/>
      <c r="H211" s="6"/>
      <c r="I211" s="125"/>
      <c r="J211" s="125"/>
      <c r="K211" s="125"/>
    </row>
    <row r="212" spans="1:11" x14ac:dyDescent="0.25">
      <c r="A212" s="6"/>
      <c r="B212" s="6"/>
      <c r="C212" s="123"/>
      <c r="D212" s="123"/>
      <c r="E212" s="124"/>
      <c r="F212" s="6"/>
      <c r="G212" s="124"/>
      <c r="H212" s="6"/>
      <c r="I212" s="125"/>
      <c r="J212" s="125"/>
      <c r="K212" s="125"/>
    </row>
    <row r="213" spans="1:11" x14ac:dyDescent="0.25">
      <c r="A213" s="6"/>
      <c r="B213" s="6"/>
      <c r="C213" s="123"/>
      <c r="D213" s="123"/>
      <c r="E213" s="124"/>
      <c r="F213" s="6"/>
      <c r="G213" s="124"/>
      <c r="H213" s="6"/>
      <c r="I213" s="125"/>
      <c r="J213" s="125"/>
      <c r="K213" s="125"/>
    </row>
    <row r="214" spans="1:11" x14ac:dyDescent="0.25">
      <c r="A214" s="6"/>
      <c r="B214" s="6"/>
      <c r="C214" s="123"/>
      <c r="D214" s="123"/>
      <c r="E214" s="124"/>
      <c r="F214" s="6"/>
      <c r="G214" s="124"/>
      <c r="H214" s="6"/>
      <c r="I214" s="125"/>
      <c r="J214" s="125"/>
      <c r="K214" s="125"/>
    </row>
    <row r="215" spans="1:11" x14ac:dyDescent="0.25">
      <c r="A215" s="6"/>
      <c r="B215" s="6"/>
      <c r="C215" s="123"/>
      <c r="D215" s="123"/>
      <c r="E215" s="124"/>
      <c r="F215" s="6"/>
      <c r="G215" s="124"/>
      <c r="H215" s="6"/>
      <c r="I215" s="125"/>
      <c r="J215" s="125"/>
      <c r="K215" s="125"/>
    </row>
    <row r="216" spans="1:11" x14ac:dyDescent="0.25">
      <c r="A216" s="6"/>
      <c r="B216" s="6"/>
      <c r="C216" s="123"/>
      <c r="D216" s="123"/>
      <c r="E216" s="124"/>
      <c r="F216" s="6"/>
      <c r="G216" s="124"/>
      <c r="H216" s="6"/>
      <c r="I216" s="125"/>
      <c r="J216" s="125"/>
      <c r="K216" s="125"/>
    </row>
    <row r="217" spans="1:11" x14ac:dyDescent="0.25">
      <c r="A217" s="6"/>
      <c r="B217" s="6"/>
      <c r="C217" s="123"/>
      <c r="D217" s="123"/>
      <c r="E217" s="124"/>
      <c r="F217" s="6"/>
      <c r="G217" s="124"/>
      <c r="H217" s="6"/>
      <c r="I217" s="125"/>
      <c r="J217" s="125"/>
      <c r="K217" s="125"/>
    </row>
    <row r="218" spans="1:11" x14ac:dyDescent="0.25">
      <c r="A218" s="6"/>
      <c r="B218" s="6"/>
      <c r="C218" s="123"/>
      <c r="D218" s="123"/>
      <c r="E218" s="124"/>
      <c r="F218" s="6"/>
      <c r="G218" s="124"/>
      <c r="H218" s="6"/>
      <c r="I218" s="125"/>
      <c r="J218" s="125"/>
      <c r="K218" s="125"/>
    </row>
    <row r="219" spans="1:11" x14ac:dyDescent="0.25">
      <c r="A219" s="6"/>
      <c r="B219" s="6"/>
      <c r="C219" s="123"/>
      <c r="D219" s="123"/>
      <c r="E219" s="124"/>
      <c r="F219" s="6"/>
      <c r="G219" s="124"/>
      <c r="H219" s="6"/>
      <c r="I219" s="125"/>
      <c r="J219" s="125"/>
      <c r="K219" s="125"/>
    </row>
    <row r="220" spans="1:11" x14ac:dyDescent="0.25">
      <c r="A220" s="6"/>
      <c r="B220" s="6"/>
      <c r="C220" s="123"/>
      <c r="D220" s="123"/>
      <c r="E220" s="124"/>
      <c r="F220" s="6"/>
      <c r="G220" s="124"/>
      <c r="H220" s="6"/>
      <c r="I220" s="125"/>
      <c r="J220" s="125"/>
      <c r="K220" s="125"/>
    </row>
    <row r="221" spans="1:11" x14ac:dyDescent="0.25">
      <c r="A221" s="6"/>
      <c r="B221" s="6"/>
      <c r="C221" s="123"/>
      <c r="D221" s="123"/>
      <c r="E221" s="124"/>
      <c r="F221" s="6"/>
      <c r="G221" s="124"/>
      <c r="H221" s="6"/>
      <c r="I221" s="125"/>
      <c r="J221" s="125"/>
      <c r="K221" s="125"/>
    </row>
    <row r="222" spans="1:11" x14ac:dyDescent="0.25">
      <c r="A222" s="6"/>
      <c r="B222" s="6"/>
      <c r="C222" s="123"/>
      <c r="D222" s="123"/>
      <c r="E222" s="124"/>
      <c r="F222" s="6"/>
      <c r="G222" s="124"/>
      <c r="H222" s="6"/>
      <c r="I222" s="125"/>
      <c r="J222" s="125"/>
      <c r="K222" s="125"/>
    </row>
    <row r="223" spans="1:11" x14ac:dyDescent="0.25">
      <c r="A223" s="6"/>
      <c r="B223" s="6"/>
      <c r="C223" s="123"/>
      <c r="D223" s="123"/>
      <c r="E223" s="124"/>
      <c r="F223" s="6"/>
      <c r="G223" s="124"/>
      <c r="H223" s="6"/>
      <c r="I223" s="125"/>
      <c r="J223" s="125"/>
      <c r="K223" s="125"/>
    </row>
    <row r="224" spans="1:11" x14ac:dyDescent="0.25">
      <c r="A224" s="6"/>
      <c r="B224" s="6"/>
      <c r="C224" s="123"/>
      <c r="D224" s="123"/>
      <c r="E224" s="124"/>
      <c r="F224" s="6"/>
      <c r="G224" s="124"/>
      <c r="H224" s="6"/>
      <c r="I224" s="125"/>
      <c r="J224" s="125"/>
      <c r="K224" s="125"/>
    </row>
    <row r="225" spans="1:11" x14ac:dyDescent="0.25">
      <c r="A225" s="6"/>
      <c r="B225" s="6"/>
      <c r="C225" s="123"/>
      <c r="D225" s="123"/>
      <c r="E225" s="124"/>
      <c r="F225" s="6"/>
      <c r="G225" s="124"/>
      <c r="H225" s="6"/>
      <c r="I225" s="125"/>
      <c r="J225" s="125"/>
      <c r="K225" s="125"/>
    </row>
    <row r="226" spans="1:11" x14ac:dyDescent="0.25">
      <c r="A226" s="6"/>
      <c r="B226" s="6"/>
      <c r="C226" s="123"/>
      <c r="D226" s="123"/>
      <c r="E226" s="124"/>
      <c r="F226" s="6"/>
      <c r="G226" s="124"/>
      <c r="H226" s="6"/>
      <c r="I226" s="125"/>
      <c r="J226" s="125"/>
      <c r="K226" s="125"/>
    </row>
    <row r="227" spans="1:11" x14ac:dyDescent="0.25">
      <c r="A227" s="6"/>
      <c r="B227" s="6"/>
      <c r="C227" s="123"/>
      <c r="D227" s="123"/>
      <c r="E227" s="124"/>
      <c r="F227" s="6"/>
      <c r="G227" s="124"/>
      <c r="H227" s="6"/>
      <c r="I227" s="125"/>
      <c r="J227" s="125"/>
      <c r="K227" s="125"/>
    </row>
    <row r="228" spans="1:11" x14ac:dyDescent="0.25">
      <c r="A228" s="6"/>
      <c r="B228" s="6"/>
      <c r="C228" s="123"/>
      <c r="D228" s="123"/>
      <c r="E228" s="124"/>
      <c r="F228" s="6"/>
      <c r="G228" s="124"/>
      <c r="H228" s="6"/>
      <c r="I228" s="125"/>
      <c r="J228" s="125"/>
      <c r="K228" s="125"/>
    </row>
    <row r="229" spans="1:11" x14ac:dyDescent="0.25">
      <c r="A229" s="6"/>
      <c r="B229" s="6"/>
      <c r="C229" s="123"/>
      <c r="D229" s="123"/>
      <c r="E229" s="124"/>
      <c r="F229" s="6"/>
      <c r="G229" s="124"/>
      <c r="H229" s="6"/>
      <c r="I229" s="125"/>
      <c r="J229" s="125"/>
      <c r="K229" s="125"/>
    </row>
    <row r="230" spans="1:11" x14ac:dyDescent="0.25">
      <c r="A230" s="6"/>
      <c r="B230" s="6"/>
      <c r="C230" s="123"/>
      <c r="D230" s="123"/>
      <c r="E230" s="124"/>
      <c r="F230" s="6"/>
      <c r="G230" s="124"/>
      <c r="H230" s="6"/>
      <c r="I230" s="125"/>
      <c r="J230" s="125"/>
      <c r="K230" s="125"/>
    </row>
    <row r="231" spans="1:11" x14ac:dyDescent="0.25">
      <c r="A231" s="6"/>
      <c r="B231" s="6"/>
      <c r="C231" s="123"/>
      <c r="D231" s="123"/>
      <c r="E231" s="124"/>
      <c r="F231" s="6"/>
      <c r="G231" s="124"/>
      <c r="H231" s="6"/>
      <c r="I231" s="125"/>
      <c r="J231" s="125"/>
      <c r="K231" s="125"/>
    </row>
    <row r="232" spans="1:11" x14ac:dyDescent="0.25">
      <c r="A232" s="6"/>
      <c r="B232" s="6"/>
      <c r="C232" s="123"/>
      <c r="D232" s="123"/>
      <c r="E232" s="124"/>
      <c r="F232" s="6"/>
      <c r="G232" s="124"/>
      <c r="H232" s="6"/>
      <c r="I232" s="125"/>
      <c r="J232" s="125"/>
      <c r="K232" s="125"/>
    </row>
    <row r="233" spans="1:11" x14ac:dyDescent="0.25">
      <c r="A233" s="6"/>
      <c r="B233" s="6"/>
      <c r="C233" s="123"/>
      <c r="D233" s="123"/>
      <c r="E233" s="124"/>
      <c r="F233" s="6"/>
      <c r="G233" s="124"/>
      <c r="H233" s="6"/>
      <c r="I233" s="125"/>
      <c r="J233" s="125"/>
      <c r="K233" s="125"/>
    </row>
    <row r="234" spans="1:11" x14ac:dyDescent="0.25">
      <c r="A234" s="6"/>
      <c r="B234" s="6"/>
      <c r="C234" s="123"/>
      <c r="D234" s="123"/>
      <c r="E234" s="124"/>
      <c r="F234" s="6"/>
      <c r="G234" s="124"/>
      <c r="H234" s="6"/>
      <c r="I234" s="125"/>
      <c r="J234" s="125"/>
      <c r="K234" s="125"/>
    </row>
    <row r="235" spans="1:11" x14ac:dyDescent="0.25">
      <c r="A235" s="6"/>
      <c r="B235" s="6"/>
      <c r="C235" s="123"/>
      <c r="D235" s="123"/>
      <c r="E235" s="124"/>
      <c r="F235" s="6"/>
      <c r="G235" s="124"/>
      <c r="H235" s="6"/>
      <c r="I235" s="125"/>
      <c r="J235" s="125"/>
      <c r="K235" s="125"/>
    </row>
    <row r="236" spans="1:11" x14ac:dyDescent="0.25">
      <c r="A236" s="6"/>
      <c r="B236" s="6"/>
      <c r="C236" s="123"/>
      <c r="D236" s="123"/>
      <c r="E236" s="124"/>
      <c r="F236" s="6"/>
      <c r="G236" s="124"/>
      <c r="H236" s="6"/>
      <c r="I236" s="125"/>
      <c r="J236" s="125"/>
      <c r="K236" s="125"/>
    </row>
    <row r="237" spans="1:11" x14ac:dyDescent="0.25">
      <c r="A237" s="6"/>
      <c r="B237" s="6"/>
      <c r="C237" s="123"/>
      <c r="D237" s="123"/>
      <c r="E237" s="124"/>
      <c r="F237" s="6"/>
      <c r="G237" s="124"/>
      <c r="H237" s="6"/>
      <c r="I237" s="125"/>
      <c r="J237" s="125"/>
      <c r="K237" s="125"/>
    </row>
    <row r="238" spans="1:11" x14ac:dyDescent="0.25">
      <c r="A238" s="6"/>
      <c r="B238" s="6"/>
      <c r="C238" s="123"/>
      <c r="D238" s="123"/>
      <c r="E238" s="124"/>
      <c r="F238" s="6"/>
      <c r="G238" s="124"/>
      <c r="H238" s="6"/>
      <c r="I238" s="125"/>
      <c r="J238" s="125"/>
      <c r="K238" s="125"/>
    </row>
    <row r="239" spans="1:11" x14ac:dyDescent="0.25">
      <c r="A239" s="6"/>
      <c r="B239" s="6"/>
      <c r="C239" s="123"/>
      <c r="D239" s="123"/>
      <c r="E239" s="124"/>
      <c r="F239" s="6"/>
      <c r="G239" s="124"/>
      <c r="H239" s="6"/>
      <c r="I239" s="125"/>
      <c r="J239" s="125"/>
      <c r="K239" s="125"/>
    </row>
    <row r="240" spans="1:11" x14ac:dyDescent="0.25">
      <c r="A240" s="6"/>
      <c r="B240" s="6"/>
      <c r="C240" s="123"/>
      <c r="D240" s="123"/>
      <c r="E240" s="124"/>
      <c r="F240" s="6"/>
      <c r="G240" s="124"/>
      <c r="H240" s="6"/>
      <c r="I240" s="125"/>
      <c r="J240" s="125"/>
      <c r="K240" s="125"/>
    </row>
    <row r="241" spans="1:11" x14ac:dyDescent="0.25">
      <c r="A241" s="6"/>
      <c r="B241" s="6"/>
      <c r="C241" s="123"/>
      <c r="D241" s="123"/>
      <c r="E241" s="124"/>
      <c r="F241" s="6"/>
      <c r="G241" s="124"/>
      <c r="H241" s="6"/>
      <c r="I241" s="125"/>
      <c r="J241" s="125"/>
      <c r="K241" s="125"/>
    </row>
    <row r="242" spans="1:11" x14ac:dyDescent="0.25">
      <c r="A242" s="6"/>
      <c r="B242" s="6"/>
      <c r="C242" s="123"/>
      <c r="D242" s="123"/>
      <c r="E242" s="124"/>
      <c r="F242" s="6"/>
      <c r="G242" s="124"/>
      <c r="H242" s="6"/>
      <c r="I242" s="125"/>
      <c r="J242" s="125"/>
      <c r="K242" s="125"/>
    </row>
    <row r="243" spans="1:11" x14ac:dyDescent="0.25">
      <c r="A243" s="6"/>
      <c r="B243" s="6"/>
      <c r="C243" s="123"/>
      <c r="D243" s="123"/>
      <c r="E243" s="124"/>
      <c r="F243" s="6"/>
      <c r="G243" s="124"/>
      <c r="H243" s="6"/>
      <c r="I243" s="125"/>
      <c r="J243" s="125"/>
      <c r="K243" s="125"/>
    </row>
    <row r="244" spans="1:11" x14ac:dyDescent="0.25">
      <c r="A244" s="6"/>
      <c r="B244" s="6"/>
      <c r="C244" s="123"/>
      <c r="D244" s="123"/>
      <c r="E244" s="124"/>
      <c r="F244" s="6"/>
      <c r="G244" s="124"/>
      <c r="H244" s="6"/>
      <c r="I244" s="125"/>
      <c r="J244" s="125"/>
      <c r="K244" s="125"/>
    </row>
    <row r="245" spans="1:11" x14ac:dyDescent="0.25">
      <c r="A245" s="6"/>
      <c r="B245" s="6"/>
      <c r="C245" s="123"/>
      <c r="D245" s="123"/>
      <c r="E245" s="124"/>
      <c r="F245" s="6"/>
      <c r="G245" s="124"/>
      <c r="H245" s="6"/>
      <c r="I245" s="125"/>
      <c r="J245" s="125"/>
      <c r="K245" s="125"/>
    </row>
    <row r="246" spans="1:11" x14ac:dyDescent="0.25">
      <c r="A246" s="6"/>
      <c r="B246" s="6"/>
      <c r="C246" s="123"/>
      <c r="D246" s="123"/>
      <c r="E246" s="124"/>
      <c r="F246" s="6"/>
      <c r="G246" s="124"/>
      <c r="H246" s="6"/>
      <c r="I246" s="125"/>
      <c r="J246" s="125"/>
      <c r="K246" s="125"/>
    </row>
    <row r="247" spans="1:11" x14ac:dyDescent="0.25">
      <c r="A247" s="6"/>
      <c r="B247" s="6"/>
      <c r="C247" s="123"/>
      <c r="D247" s="123"/>
      <c r="E247" s="124"/>
      <c r="F247" s="6"/>
      <c r="G247" s="124"/>
      <c r="H247" s="6"/>
      <c r="I247" s="125"/>
      <c r="J247" s="125"/>
      <c r="K247" s="125"/>
    </row>
    <row r="248" spans="1:11" x14ac:dyDescent="0.25">
      <c r="A248" s="6"/>
      <c r="B248" s="6"/>
      <c r="C248" s="123"/>
      <c r="D248" s="123"/>
      <c r="E248" s="124"/>
      <c r="F248" s="6"/>
      <c r="G248" s="124"/>
      <c r="H248" s="6"/>
      <c r="I248" s="125"/>
      <c r="J248" s="125"/>
      <c r="K248" s="125"/>
    </row>
    <row r="249" spans="1:11" x14ac:dyDescent="0.25">
      <c r="A249" s="6"/>
      <c r="B249" s="6"/>
      <c r="C249" s="123"/>
      <c r="D249" s="123"/>
      <c r="E249" s="124"/>
      <c r="F249" s="6"/>
      <c r="G249" s="124"/>
      <c r="H249" s="6"/>
      <c r="I249" s="125"/>
      <c r="J249" s="125"/>
      <c r="K249" s="125"/>
    </row>
    <row r="250" spans="1:11" x14ac:dyDescent="0.25">
      <c r="A250" s="6"/>
      <c r="B250" s="6"/>
      <c r="C250" s="123"/>
      <c r="D250" s="123"/>
      <c r="E250" s="124"/>
      <c r="F250" s="6"/>
      <c r="G250" s="124"/>
      <c r="H250" s="6"/>
      <c r="I250" s="125"/>
      <c r="J250" s="125"/>
      <c r="K250" s="125"/>
    </row>
    <row r="251" spans="1:11" x14ac:dyDescent="0.25">
      <c r="A251" s="6"/>
      <c r="B251" s="6"/>
      <c r="C251" s="123"/>
      <c r="D251" s="123"/>
      <c r="E251" s="124"/>
      <c r="F251" s="6"/>
      <c r="G251" s="124"/>
      <c r="H251" s="6"/>
      <c r="I251" s="125"/>
      <c r="J251" s="125"/>
      <c r="K251" s="125"/>
    </row>
    <row r="252" spans="1:11" x14ac:dyDescent="0.25">
      <c r="A252" s="6"/>
      <c r="B252" s="6"/>
      <c r="C252" s="123"/>
      <c r="D252" s="123"/>
      <c r="E252" s="124"/>
      <c r="F252" s="6"/>
      <c r="G252" s="124"/>
      <c r="H252" s="6"/>
      <c r="I252" s="125"/>
      <c r="J252" s="125"/>
      <c r="K252" s="125"/>
    </row>
    <row r="253" spans="1:11" x14ac:dyDescent="0.25">
      <c r="A253" s="6"/>
      <c r="B253" s="6"/>
      <c r="C253" s="123"/>
      <c r="D253" s="123"/>
      <c r="E253" s="124"/>
      <c r="F253" s="6"/>
      <c r="G253" s="124"/>
      <c r="H253" s="6"/>
      <c r="I253" s="125"/>
      <c r="J253" s="125"/>
      <c r="K253" s="125"/>
    </row>
    <row r="254" spans="1:11" x14ac:dyDescent="0.25">
      <c r="A254" s="6"/>
      <c r="B254" s="6"/>
      <c r="C254" s="123"/>
      <c r="D254" s="123"/>
      <c r="E254" s="124"/>
      <c r="F254" s="6"/>
      <c r="G254" s="124"/>
      <c r="H254" s="6"/>
      <c r="I254" s="125"/>
      <c r="J254" s="125"/>
      <c r="K254" s="125"/>
    </row>
    <row r="255" spans="1:11" x14ac:dyDescent="0.25">
      <c r="A255" s="6"/>
      <c r="B255" s="6"/>
      <c r="C255" s="123"/>
      <c r="D255" s="123"/>
      <c r="E255" s="124"/>
      <c r="F255" s="6"/>
      <c r="G255" s="124"/>
      <c r="H255" s="6"/>
      <c r="I255" s="125"/>
      <c r="J255" s="125"/>
      <c r="K255" s="125"/>
    </row>
    <row r="256" spans="1:11" x14ac:dyDescent="0.25">
      <c r="A256" s="6"/>
      <c r="B256" s="6"/>
      <c r="C256" s="123"/>
      <c r="D256" s="123"/>
      <c r="E256" s="124"/>
      <c r="F256" s="6"/>
      <c r="G256" s="124"/>
      <c r="H256" s="6"/>
      <c r="I256" s="125"/>
      <c r="J256" s="125"/>
      <c r="K256" s="125"/>
    </row>
    <row r="257" spans="1:11" x14ac:dyDescent="0.25">
      <c r="A257" s="6"/>
      <c r="B257" s="6"/>
      <c r="C257" s="123"/>
      <c r="D257" s="123"/>
      <c r="E257" s="124"/>
      <c r="F257" s="6"/>
      <c r="G257" s="124"/>
      <c r="H257" s="6"/>
      <c r="I257" s="125"/>
      <c r="J257" s="125"/>
      <c r="K257" s="125"/>
    </row>
    <row r="258" spans="1:11" x14ac:dyDescent="0.25">
      <c r="A258" s="6"/>
      <c r="B258" s="6"/>
      <c r="C258" s="123"/>
      <c r="D258" s="123"/>
      <c r="E258" s="124"/>
      <c r="F258" s="6"/>
      <c r="G258" s="124"/>
      <c r="H258" s="6"/>
      <c r="I258" s="125"/>
      <c r="J258" s="125"/>
      <c r="K258" s="125"/>
    </row>
    <row r="259" spans="1:11" x14ac:dyDescent="0.25">
      <c r="A259" s="6"/>
      <c r="B259" s="6"/>
      <c r="C259" s="123"/>
      <c r="D259" s="123"/>
      <c r="E259" s="124"/>
      <c r="F259" s="6"/>
      <c r="G259" s="124"/>
      <c r="H259" s="6"/>
      <c r="I259" s="125"/>
      <c r="J259" s="125"/>
      <c r="K259" s="125"/>
    </row>
    <row r="260" spans="1:11" x14ac:dyDescent="0.25">
      <c r="A260" s="6"/>
      <c r="B260" s="6"/>
      <c r="C260" s="123"/>
      <c r="D260" s="123"/>
      <c r="E260" s="124"/>
      <c r="F260" s="6"/>
      <c r="G260" s="124"/>
      <c r="H260" s="6"/>
      <c r="I260" s="125"/>
      <c r="J260" s="125"/>
      <c r="K260" s="125"/>
    </row>
    <row r="261" spans="1:11" x14ac:dyDescent="0.25">
      <c r="A261" s="6"/>
      <c r="B261" s="6"/>
      <c r="C261" s="123"/>
      <c r="D261" s="123"/>
      <c r="E261" s="124"/>
      <c r="F261" s="6"/>
      <c r="G261" s="124"/>
      <c r="H261" s="6"/>
      <c r="I261" s="125"/>
      <c r="J261" s="125"/>
      <c r="K261" s="125"/>
    </row>
    <row r="262" spans="1:11" x14ac:dyDescent="0.25">
      <c r="A262" s="6"/>
      <c r="B262" s="6"/>
      <c r="C262" s="123"/>
      <c r="D262" s="123"/>
      <c r="E262" s="124"/>
      <c r="F262" s="6"/>
      <c r="G262" s="124"/>
      <c r="H262" s="6"/>
      <c r="I262" s="125"/>
      <c r="J262" s="125"/>
      <c r="K262" s="125"/>
    </row>
    <row r="263" spans="1:11" x14ac:dyDescent="0.25">
      <c r="A263" s="6"/>
      <c r="B263" s="6"/>
      <c r="C263" s="123"/>
      <c r="D263" s="123"/>
      <c r="E263" s="124"/>
      <c r="F263" s="6"/>
      <c r="G263" s="124"/>
      <c r="H263" s="6"/>
      <c r="I263" s="125"/>
      <c r="J263" s="125"/>
      <c r="K263" s="125"/>
    </row>
    <row r="264" spans="1:11" x14ac:dyDescent="0.25">
      <c r="A264" s="6"/>
      <c r="B264" s="6"/>
      <c r="C264" s="123"/>
      <c r="D264" s="123"/>
      <c r="E264" s="124"/>
      <c r="F264" s="6"/>
      <c r="G264" s="124"/>
      <c r="H264" s="6"/>
      <c r="I264" s="125"/>
      <c r="J264" s="125"/>
      <c r="K264" s="125"/>
    </row>
    <row r="265" spans="1:11" x14ac:dyDescent="0.25">
      <c r="A265" s="6"/>
      <c r="B265" s="6"/>
      <c r="C265" s="123"/>
      <c r="D265" s="123"/>
      <c r="E265" s="124"/>
      <c r="F265" s="6"/>
      <c r="G265" s="124"/>
      <c r="H265" s="6"/>
      <c r="I265" s="125"/>
      <c r="J265" s="125"/>
      <c r="K265" s="125"/>
    </row>
    <row r="266" spans="1:11" x14ac:dyDescent="0.25">
      <c r="A266" s="6"/>
      <c r="B266" s="6"/>
      <c r="C266" s="123"/>
      <c r="D266" s="123"/>
      <c r="E266" s="124"/>
      <c r="F266" s="6"/>
      <c r="G266" s="124"/>
      <c r="H266" s="6"/>
      <c r="I266" s="125"/>
      <c r="J266" s="125"/>
      <c r="K266" s="125"/>
    </row>
    <row r="267" spans="1:11" x14ac:dyDescent="0.25">
      <c r="A267" s="6"/>
      <c r="B267" s="6"/>
      <c r="C267" s="123"/>
      <c r="D267" s="123"/>
      <c r="E267" s="124"/>
      <c r="F267" s="6"/>
      <c r="G267" s="124"/>
      <c r="H267" s="6"/>
      <c r="I267" s="125"/>
      <c r="J267" s="125"/>
      <c r="K267" s="125"/>
    </row>
    <row r="268" spans="1:11" x14ac:dyDescent="0.25">
      <c r="A268" s="6"/>
      <c r="B268" s="6"/>
      <c r="C268" s="123"/>
      <c r="D268" s="123"/>
      <c r="E268" s="124"/>
      <c r="F268" s="6"/>
      <c r="G268" s="124"/>
      <c r="H268" s="6"/>
      <c r="I268" s="125"/>
      <c r="J268" s="125"/>
      <c r="K268" s="125"/>
    </row>
    <row r="269" spans="1:11" x14ac:dyDescent="0.25">
      <c r="A269" s="6"/>
      <c r="B269" s="6"/>
      <c r="C269" s="123"/>
      <c r="D269" s="123"/>
      <c r="E269" s="124"/>
      <c r="F269" s="6"/>
      <c r="G269" s="124"/>
      <c r="H269" s="6"/>
      <c r="I269" s="125"/>
      <c r="J269" s="125"/>
      <c r="K269" s="125"/>
    </row>
    <row r="270" spans="1:11" x14ac:dyDescent="0.25">
      <c r="A270" s="6"/>
      <c r="B270" s="6"/>
      <c r="C270" s="123"/>
      <c r="D270" s="123"/>
      <c r="E270" s="124"/>
      <c r="F270" s="6"/>
      <c r="G270" s="124"/>
      <c r="H270" s="6"/>
      <c r="I270" s="125"/>
      <c r="J270" s="125"/>
      <c r="K270" s="125"/>
    </row>
    <row r="271" spans="1:11" x14ac:dyDescent="0.25">
      <c r="A271" s="6"/>
      <c r="B271" s="6"/>
      <c r="C271" s="123"/>
      <c r="D271" s="123"/>
      <c r="E271" s="124"/>
      <c r="F271" s="6"/>
      <c r="G271" s="124"/>
      <c r="H271" s="6"/>
      <c r="I271" s="125"/>
      <c r="J271" s="125"/>
      <c r="K271" s="125"/>
    </row>
    <row r="272" spans="1:11" x14ac:dyDescent="0.25">
      <c r="A272" s="6"/>
      <c r="B272" s="6"/>
      <c r="C272" s="123"/>
      <c r="D272" s="123"/>
      <c r="E272" s="124"/>
      <c r="F272" s="6"/>
      <c r="G272" s="124"/>
      <c r="H272" s="6"/>
      <c r="I272" s="125"/>
      <c r="J272" s="125"/>
      <c r="K272" s="125"/>
    </row>
    <row r="273" spans="1:11" x14ac:dyDescent="0.25">
      <c r="A273" s="6"/>
      <c r="B273" s="6"/>
      <c r="C273" s="123"/>
      <c r="D273" s="123"/>
      <c r="E273" s="124"/>
      <c r="F273" s="6"/>
      <c r="G273" s="124"/>
      <c r="H273" s="6"/>
      <c r="I273" s="125"/>
      <c r="J273" s="125"/>
      <c r="K273" s="125"/>
    </row>
    <row r="274" spans="1:11" x14ac:dyDescent="0.25">
      <c r="A274" s="6"/>
      <c r="B274" s="6"/>
      <c r="C274" s="123"/>
      <c r="D274" s="123"/>
      <c r="E274" s="124"/>
      <c r="F274" s="6"/>
      <c r="G274" s="124"/>
      <c r="H274" s="6"/>
      <c r="I274" s="125"/>
      <c r="J274" s="125"/>
      <c r="K274" s="125"/>
    </row>
    <row r="275" spans="1:11" x14ac:dyDescent="0.25">
      <c r="A275" s="6"/>
      <c r="B275" s="6"/>
      <c r="C275" s="123"/>
      <c r="D275" s="123"/>
      <c r="E275" s="124"/>
      <c r="F275" s="6"/>
      <c r="G275" s="124"/>
      <c r="H275" s="6"/>
      <c r="I275" s="125"/>
      <c r="J275" s="125"/>
      <c r="K275" s="125"/>
    </row>
    <row r="276" spans="1:11" x14ac:dyDescent="0.25">
      <c r="A276" s="6"/>
      <c r="B276" s="6"/>
      <c r="C276" s="123"/>
      <c r="D276" s="123"/>
      <c r="E276" s="124"/>
      <c r="F276" s="6"/>
      <c r="G276" s="124"/>
      <c r="H276" s="6"/>
      <c r="I276" s="125"/>
      <c r="J276" s="125"/>
      <c r="K276" s="125"/>
    </row>
    <row r="277" spans="1:11" x14ac:dyDescent="0.25">
      <c r="A277" s="6"/>
      <c r="B277" s="6"/>
      <c r="C277" s="123"/>
      <c r="D277" s="123"/>
      <c r="E277" s="124"/>
      <c r="F277" s="6"/>
      <c r="G277" s="124"/>
      <c r="H277" s="6"/>
      <c r="I277" s="125"/>
      <c r="J277" s="125"/>
      <c r="K277" s="125"/>
    </row>
    <row r="278" spans="1:11" x14ac:dyDescent="0.25">
      <c r="A278" s="6"/>
      <c r="B278" s="6"/>
      <c r="C278" s="123"/>
      <c r="D278" s="123"/>
      <c r="E278" s="124"/>
      <c r="F278" s="6"/>
      <c r="G278" s="124"/>
      <c r="H278" s="6"/>
      <c r="I278" s="125"/>
      <c r="J278" s="125"/>
      <c r="K278" s="125"/>
    </row>
    <row r="279" spans="1:11" x14ac:dyDescent="0.25">
      <c r="A279" s="6"/>
      <c r="B279" s="6"/>
      <c r="C279" s="123"/>
      <c r="D279" s="123"/>
      <c r="E279" s="124"/>
      <c r="F279" s="6"/>
      <c r="G279" s="124"/>
      <c r="H279" s="6"/>
      <c r="I279" s="125"/>
      <c r="J279" s="125"/>
      <c r="K279" s="125"/>
    </row>
    <row r="280" spans="1:11" x14ac:dyDescent="0.25">
      <c r="A280" s="6"/>
      <c r="B280" s="6"/>
      <c r="C280" s="123"/>
      <c r="D280" s="123"/>
      <c r="E280" s="124"/>
      <c r="F280" s="6"/>
      <c r="G280" s="124"/>
      <c r="H280" s="6"/>
      <c r="I280" s="125"/>
      <c r="J280" s="125"/>
      <c r="K280" s="125"/>
    </row>
    <row r="281" spans="1:11" x14ac:dyDescent="0.25">
      <c r="A281" s="6"/>
      <c r="B281" s="6"/>
      <c r="C281" s="123"/>
      <c r="D281" s="123"/>
      <c r="E281" s="124"/>
      <c r="F281" s="6"/>
      <c r="G281" s="124"/>
      <c r="H281" s="6"/>
      <c r="I281" s="125"/>
      <c r="J281" s="125"/>
      <c r="K281" s="125"/>
    </row>
    <row r="282" spans="1:11" x14ac:dyDescent="0.25">
      <c r="A282" s="6"/>
      <c r="B282" s="6"/>
      <c r="C282" s="123"/>
      <c r="D282" s="123"/>
      <c r="E282" s="124"/>
      <c r="F282" s="6"/>
      <c r="G282" s="124"/>
      <c r="H282" s="6"/>
      <c r="I282" s="125"/>
      <c r="J282" s="125"/>
      <c r="K282" s="125"/>
    </row>
    <row r="283" spans="1:11" x14ac:dyDescent="0.25">
      <c r="A283" s="6"/>
      <c r="B283" s="6"/>
      <c r="C283" s="123"/>
      <c r="D283" s="123"/>
      <c r="E283" s="124"/>
      <c r="F283" s="6"/>
      <c r="G283" s="124"/>
      <c r="H283" s="6"/>
      <c r="I283" s="125"/>
      <c r="J283" s="125"/>
      <c r="K283" s="125"/>
    </row>
    <row r="284" spans="1:11" x14ac:dyDescent="0.25">
      <c r="A284" s="6"/>
      <c r="B284" s="6"/>
      <c r="C284" s="123"/>
      <c r="D284" s="123"/>
      <c r="E284" s="124"/>
      <c r="F284" s="6"/>
      <c r="G284" s="124"/>
      <c r="H284" s="6"/>
      <c r="I284" s="125"/>
      <c r="J284" s="125"/>
      <c r="K284" s="125"/>
    </row>
    <row r="285" spans="1:11" x14ac:dyDescent="0.25">
      <c r="A285" s="6"/>
      <c r="B285" s="6"/>
      <c r="C285" s="123"/>
      <c r="D285" s="123"/>
      <c r="E285" s="124"/>
      <c r="F285" s="6"/>
      <c r="G285" s="124"/>
      <c r="H285" s="6"/>
      <c r="I285" s="125"/>
      <c r="J285" s="125"/>
      <c r="K285" s="125"/>
    </row>
    <row r="286" spans="1:11" x14ac:dyDescent="0.25">
      <c r="A286" s="6"/>
      <c r="B286" s="6"/>
      <c r="C286" s="123"/>
      <c r="D286" s="123"/>
      <c r="E286" s="124"/>
      <c r="F286" s="6"/>
      <c r="G286" s="124"/>
      <c r="H286" s="6"/>
      <c r="I286" s="125"/>
      <c r="J286" s="125"/>
      <c r="K286" s="125"/>
    </row>
    <row r="287" spans="1:11" x14ac:dyDescent="0.25">
      <c r="A287" s="6"/>
      <c r="B287" s="6"/>
      <c r="C287" s="123"/>
      <c r="D287" s="123"/>
      <c r="E287" s="124"/>
      <c r="F287" s="6"/>
      <c r="G287" s="124"/>
      <c r="H287" s="6"/>
      <c r="I287" s="125"/>
      <c r="J287" s="125"/>
      <c r="K287" s="125"/>
    </row>
    <row r="288" spans="1:11" x14ac:dyDescent="0.25">
      <c r="A288" s="6"/>
      <c r="B288" s="6"/>
      <c r="C288" s="123"/>
      <c r="D288" s="123"/>
      <c r="E288" s="124"/>
      <c r="F288" s="6"/>
      <c r="G288" s="124"/>
      <c r="H288" s="6"/>
      <c r="I288" s="125"/>
      <c r="J288" s="125"/>
      <c r="K288" s="125"/>
    </row>
    <row r="289" spans="1:11" x14ac:dyDescent="0.25">
      <c r="A289" s="6"/>
      <c r="B289" s="6"/>
      <c r="C289" s="123"/>
      <c r="D289" s="123"/>
      <c r="E289" s="124"/>
      <c r="F289" s="6"/>
      <c r="G289" s="124"/>
      <c r="H289" s="6"/>
      <c r="I289" s="125"/>
      <c r="J289" s="125"/>
      <c r="K289" s="125"/>
    </row>
    <row r="290" spans="1:11" x14ac:dyDescent="0.25">
      <c r="A290" s="6"/>
      <c r="B290" s="6"/>
      <c r="C290" s="123"/>
      <c r="D290" s="123"/>
      <c r="E290" s="124"/>
      <c r="F290" s="6"/>
      <c r="G290" s="124"/>
      <c r="H290" s="6"/>
      <c r="I290" s="125"/>
      <c r="J290" s="125"/>
      <c r="K290" s="125"/>
    </row>
    <row r="291" spans="1:11" x14ac:dyDescent="0.25">
      <c r="A291" s="6"/>
      <c r="B291" s="6"/>
      <c r="C291" s="123"/>
      <c r="D291" s="123"/>
      <c r="E291" s="124"/>
      <c r="F291" s="6"/>
      <c r="G291" s="124"/>
      <c r="H291" s="6"/>
      <c r="I291" s="125"/>
      <c r="J291" s="125"/>
      <c r="K291" s="125"/>
    </row>
    <row r="292" spans="1:11" x14ac:dyDescent="0.25">
      <c r="A292" s="6"/>
      <c r="B292" s="6"/>
      <c r="C292" s="123"/>
      <c r="D292" s="123"/>
      <c r="E292" s="124"/>
      <c r="F292" s="6"/>
      <c r="G292" s="124"/>
      <c r="H292" s="6"/>
      <c r="I292" s="125"/>
      <c r="J292" s="125"/>
      <c r="K292" s="125"/>
    </row>
    <row r="293" spans="1:11" x14ac:dyDescent="0.25">
      <c r="A293" s="6"/>
      <c r="B293" s="6"/>
      <c r="C293" s="123"/>
      <c r="D293" s="123"/>
      <c r="E293" s="124"/>
      <c r="F293" s="6"/>
      <c r="G293" s="124"/>
      <c r="H293" s="6"/>
      <c r="I293" s="125"/>
      <c r="J293" s="125"/>
      <c r="K293" s="125"/>
    </row>
    <row r="294" spans="1:11" x14ac:dyDescent="0.25">
      <c r="A294" s="6"/>
      <c r="B294" s="6"/>
      <c r="C294" s="123"/>
      <c r="D294" s="123"/>
      <c r="E294" s="124"/>
      <c r="F294" s="6"/>
      <c r="G294" s="124"/>
      <c r="H294" s="6"/>
      <c r="I294" s="125"/>
      <c r="J294" s="125"/>
      <c r="K294" s="125"/>
    </row>
    <row r="295" spans="1:11" x14ac:dyDescent="0.25">
      <c r="A295" s="6"/>
      <c r="B295" s="6"/>
      <c r="C295" s="123"/>
      <c r="D295" s="123"/>
      <c r="E295" s="124"/>
      <c r="F295" s="6"/>
      <c r="G295" s="124"/>
      <c r="H295" s="6"/>
      <c r="I295" s="125"/>
      <c r="J295" s="125"/>
      <c r="K295" s="125"/>
    </row>
    <row r="296" spans="1:11" x14ac:dyDescent="0.25">
      <c r="A296" s="6"/>
      <c r="B296" s="6"/>
      <c r="C296" s="123"/>
      <c r="D296" s="123"/>
      <c r="E296" s="124"/>
      <c r="F296" s="6"/>
      <c r="G296" s="124"/>
      <c r="H296" s="6"/>
      <c r="I296" s="125"/>
      <c r="J296" s="125"/>
      <c r="K296" s="125"/>
    </row>
    <row r="297" spans="1:11" x14ac:dyDescent="0.25">
      <c r="A297" s="6"/>
      <c r="B297" s="6"/>
      <c r="C297" s="123"/>
      <c r="D297" s="123"/>
      <c r="E297" s="124"/>
      <c r="F297" s="6"/>
      <c r="G297" s="124"/>
      <c r="H297" s="6"/>
      <c r="I297" s="125"/>
      <c r="J297" s="125"/>
      <c r="K297" s="125"/>
    </row>
    <row r="298" spans="1:11" x14ac:dyDescent="0.25">
      <c r="A298" s="6"/>
      <c r="B298" s="6"/>
      <c r="C298" s="123"/>
      <c r="D298" s="123"/>
      <c r="E298" s="124"/>
      <c r="F298" s="6"/>
      <c r="G298" s="124"/>
      <c r="H298" s="6"/>
      <c r="I298" s="125"/>
      <c r="J298" s="125"/>
      <c r="K298" s="125"/>
    </row>
    <row r="299" spans="1:11" x14ac:dyDescent="0.25">
      <c r="A299" s="6"/>
      <c r="B299" s="6"/>
      <c r="C299" s="123"/>
      <c r="D299" s="123"/>
      <c r="E299" s="124"/>
      <c r="F299" s="6"/>
      <c r="G299" s="124"/>
      <c r="H299" s="6"/>
      <c r="I299" s="125"/>
      <c r="J299" s="125"/>
      <c r="K299" s="125"/>
    </row>
    <row r="300" spans="1:11" x14ac:dyDescent="0.25">
      <c r="A300" s="6"/>
      <c r="B300" s="6"/>
      <c r="C300" s="123"/>
      <c r="D300" s="123"/>
      <c r="E300" s="124"/>
      <c r="F300" s="6"/>
      <c r="G300" s="124"/>
      <c r="H300" s="6"/>
      <c r="I300" s="125"/>
      <c r="J300" s="125"/>
      <c r="K300" s="125"/>
    </row>
    <row r="301" spans="1:11" x14ac:dyDescent="0.25">
      <c r="A301" s="6"/>
      <c r="B301" s="6"/>
      <c r="C301" s="123"/>
      <c r="D301" s="123"/>
      <c r="E301" s="124"/>
      <c r="F301" s="6"/>
      <c r="G301" s="124"/>
      <c r="H301" s="6"/>
      <c r="I301" s="125"/>
      <c r="J301" s="125"/>
      <c r="K301" s="125"/>
    </row>
    <row r="302" spans="1:11" x14ac:dyDescent="0.25">
      <c r="A302" s="6"/>
      <c r="B302" s="6"/>
      <c r="C302" s="123"/>
      <c r="D302" s="123"/>
      <c r="E302" s="124"/>
      <c r="F302" s="6"/>
      <c r="G302" s="124"/>
      <c r="H302" s="6"/>
      <c r="I302" s="125"/>
      <c r="J302" s="125"/>
      <c r="K302" s="125"/>
    </row>
    <row r="303" spans="1:11" x14ac:dyDescent="0.25">
      <c r="A303" s="6"/>
      <c r="B303" s="6"/>
      <c r="C303" s="123"/>
      <c r="D303" s="123"/>
      <c r="E303" s="124"/>
      <c r="F303" s="6"/>
      <c r="G303" s="124"/>
      <c r="H303" s="6"/>
      <c r="I303" s="125"/>
      <c r="J303" s="125"/>
      <c r="K303" s="125"/>
    </row>
    <row r="304" spans="1:11" x14ac:dyDescent="0.25">
      <c r="A304" s="6"/>
      <c r="B304" s="6"/>
      <c r="C304" s="123"/>
      <c r="D304" s="123"/>
      <c r="E304" s="124"/>
      <c r="F304" s="6"/>
      <c r="G304" s="124"/>
      <c r="H304" s="6"/>
      <c r="I304" s="125"/>
      <c r="J304" s="125"/>
      <c r="K304" s="125"/>
    </row>
    <row r="305" spans="1:11" x14ac:dyDescent="0.25">
      <c r="A305" s="6"/>
      <c r="B305" s="6"/>
      <c r="C305" s="123"/>
      <c r="D305" s="123"/>
      <c r="E305" s="124"/>
      <c r="F305" s="6"/>
      <c r="G305" s="124"/>
      <c r="H305" s="6"/>
      <c r="I305" s="125"/>
      <c r="J305" s="125"/>
      <c r="K305" s="125"/>
    </row>
    <row r="306" spans="1:11" x14ac:dyDescent="0.25">
      <c r="A306" s="6"/>
      <c r="B306" s="6"/>
      <c r="C306" s="123"/>
      <c r="D306" s="123"/>
      <c r="E306" s="124"/>
      <c r="F306" s="6"/>
      <c r="G306" s="124"/>
      <c r="H306" s="6"/>
      <c r="I306" s="125"/>
      <c r="J306" s="125"/>
      <c r="K306" s="125"/>
    </row>
    <row r="307" spans="1:11" x14ac:dyDescent="0.25">
      <c r="A307" s="6"/>
      <c r="B307" s="6"/>
      <c r="C307" s="123"/>
      <c r="D307" s="123"/>
      <c r="E307" s="124"/>
      <c r="F307" s="6"/>
      <c r="G307" s="124"/>
      <c r="H307" s="6"/>
      <c r="I307" s="125"/>
      <c r="J307" s="125"/>
      <c r="K307" s="125"/>
    </row>
    <row r="308" spans="1:11" x14ac:dyDescent="0.25">
      <c r="A308" s="6"/>
      <c r="B308" s="6"/>
      <c r="C308" s="123"/>
      <c r="D308" s="123"/>
      <c r="E308" s="124"/>
      <c r="F308" s="6"/>
      <c r="G308" s="124"/>
      <c r="H308" s="6"/>
      <c r="I308" s="125"/>
      <c r="J308" s="125"/>
      <c r="K308" s="125"/>
    </row>
    <row r="309" spans="1:11" x14ac:dyDescent="0.25">
      <c r="A309" s="6"/>
      <c r="B309" s="6"/>
      <c r="C309" s="123"/>
      <c r="D309" s="123"/>
      <c r="E309" s="124"/>
      <c r="F309" s="6"/>
      <c r="G309" s="124"/>
      <c r="H309" s="6"/>
      <c r="I309" s="125"/>
      <c r="J309" s="125"/>
      <c r="K309" s="125"/>
    </row>
    <row r="310" spans="1:11" x14ac:dyDescent="0.25">
      <c r="A310" s="6"/>
      <c r="B310" s="6"/>
      <c r="C310" s="123"/>
      <c r="D310" s="123"/>
      <c r="E310" s="124"/>
      <c r="F310" s="6"/>
      <c r="G310" s="124"/>
      <c r="H310" s="6"/>
      <c r="I310" s="125"/>
      <c r="J310" s="125"/>
      <c r="K310" s="125"/>
    </row>
    <row r="311" spans="1:11" x14ac:dyDescent="0.25">
      <c r="A311" s="6"/>
      <c r="B311" s="6"/>
      <c r="C311" s="123"/>
      <c r="D311" s="123"/>
      <c r="E311" s="124"/>
      <c r="F311" s="6"/>
      <c r="G311" s="124"/>
      <c r="H311" s="6"/>
      <c r="I311" s="125"/>
      <c r="J311" s="125"/>
      <c r="K311" s="125"/>
    </row>
    <row r="312" spans="1:11" x14ac:dyDescent="0.25">
      <c r="A312" s="6"/>
      <c r="B312" s="6"/>
      <c r="C312" s="123"/>
      <c r="D312" s="123"/>
      <c r="E312" s="124"/>
      <c r="F312" s="6"/>
      <c r="G312" s="124"/>
      <c r="H312" s="6"/>
      <c r="I312" s="125"/>
      <c r="J312" s="125"/>
      <c r="K312" s="125"/>
    </row>
    <row r="313" spans="1:11" x14ac:dyDescent="0.25">
      <c r="A313" s="6"/>
      <c r="B313" s="6"/>
      <c r="C313" s="123"/>
      <c r="D313" s="123"/>
      <c r="E313" s="124"/>
      <c r="F313" s="6"/>
      <c r="G313" s="124"/>
      <c r="H313" s="6"/>
      <c r="I313" s="125"/>
      <c r="J313" s="125"/>
      <c r="K313" s="125"/>
    </row>
    <row r="314" spans="1:11" x14ac:dyDescent="0.25">
      <c r="A314" s="6"/>
      <c r="B314" s="6"/>
      <c r="C314" s="123"/>
      <c r="D314" s="123"/>
      <c r="E314" s="124"/>
      <c r="F314" s="6"/>
      <c r="G314" s="124"/>
      <c r="H314" s="6"/>
      <c r="I314" s="125"/>
      <c r="J314" s="125"/>
      <c r="K314" s="125"/>
    </row>
    <row r="315" spans="1:11" x14ac:dyDescent="0.25">
      <c r="A315" s="6"/>
      <c r="B315" s="6"/>
      <c r="C315" s="123"/>
      <c r="D315" s="123"/>
      <c r="E315" s="124"/>
      <c r="F315" s="6"/>
      <c r="G315" s="124"/>
      <c r="H315" s="6"/>
      <c r="I315" s="125"/>
      <c r="J315" s="125"/>
      <c r="K315" s="125"/>
    </row>
    <row r="316" spans="1:11" x14ac:dyDescent="0.25">
      <c r="A316" s="6"/>
      <c r="B316" s="6"/>
      <c r="C316" s="123"/>
      <c r="D316" s="123"/>
      <c r="E316" s="124"/>
      <c r="F316" s="6"/>
      <c r="G316" s="124"/>
      <c r="H316" s="6"/>
      <c r="I316" s="125"/>
      <c r="J316" s="125"/>
      <c r="K316" s="125"/>
    </row>
    <row r="317" spans="1:11" x14ac:dyDescent="0.25">
      <c r="A317" s="6"/>
      <c r="B317" s="6"/>
      <c r="C317" s="123"/>
      <c r="D317" s="123"/>
      <c r="E317" s="124"/>
      <c r="F317" s="6"/>
      <c r="G317" s="124"/>
      <c r="H317" s="6"/>
      <c r="I317" s="125"/>
      <c r="J317" s="125"/>
      <c r="K317" s="125"/>
    </row>
    <row r="318" spans="1:11" x14ac:dyDescent="0.25">
      <c r="A318" s="6"/>
      <c r="B318" s="6"/>
      <c r="C318" s="123"/>
      <c r="D318" s="123"/>
      <c r="E318" s="124"/>
      <c r="F318" s="6"/>
      <c r="G318" s="124"/>
      <c r="H318" s="6"/>
      <c r="I318" s="125"/>
      <c r="J318" s="125"/>
      <c r="K318" s="125"/>
    </row>
    <row r="319" spans="1:11" x14ac:dyDescent="0.25">
      <c r="A319" s="6"/>
      <c r="B319" s="6"/>
      <c r="C319" s="123"/>
      <c r="D319" s="123"/>
      <c r="E319" s="124"/>
      <c r="F319" s="6"/>
      <c r="G319" s="124"/>
      <c r="H319" s="6"/>
      <c r="I319" s="125"/>
      <c r="J319" s="125"/>
      <c r="K319" s="125"/>
    </row>
    <row r="320" spans="1:11" x14ac:dyDescent="0.25">
      <c r="A320" s="6"/>
      <c r="B320" s="6"/>
      <c r="C320" s="123"/>
      <c r="D320" s="123"/>
      <c r="E320" s="124"/>
      <c r="F320" s="6"/>
      <c r="G320" s="124"/>
      <c r="H320" s="6"/>
      <c r="I320" s="125"/>
      <c r="J320" s="125"/>
      <c r="K320" s="125"/>
    </row>
    <row r="321" spans="1:11" x14ac:dyDescent="0.25">
      <c r="A321" s="6"/>
      <c r="B321" s="6"/>
      <c r="C321" s="123"/>
      <c r="D321" s="123"/>
      <c r="E321" s="124"/>
      <c r="F321" s="6"/>
      <c r="G321" s="124"/>
      <c r="H321" s="6"/>
      <c r="I321" s="125"/>
      <c r="J321" s="125"/>
      <c r="K321" s="125"/>
    </row>
    <row r="322" spans="1:11" x14ac:dyDescent="0.25">
      <c r="A322" s="6"/>
      <c r="B322" s="6"/>
      <c r="C322" s="123"/>
      <c r="D322" s="123"/>
      <c r="E322" s="124"/>
      <c r="F322" s="6"/>
      <c r="G322" s="124"/>
      <c r="H322" s="6"/>
      <c r="I322" s="125"/>
      <c r="J322" s="125"/>
      <c r="K322" s="125"/>
    </row>
    <row r="323" spans="1:11" x14ac:dyDescent="0.25">
      <c r="A323" s="6"/>
      <c r="B323" s="6"/>
      <c r="C323" s="123"/>
      <c r="D323" s="123"/>
      <c r="E323" s="124"/>
      <c r="F323" s="6"/>
      <c r="G323" s="124"/>
      <c r="H323" s="6"/>
      <c r="I323" s="125"/>
      <c r="J323" s="125"/>
      <c r="K323" s="125"/>
    </row>
    <row r="324" spans="1:11" x14ac:dyDescent="0.25">
      <c r="A324" s="6"/>
      <c r="B324" s="6"/>
      <c r="C324" s="123"/>
      <c r="D324" s="123"/>
      <c r="E324" s="124"/>
      <c r="F324" s="6"/>
      <c r="G324" s="124"/>
      <c r="H324" s="6"/>
      <c r="I324" s="125"/>
      <c r="J324" s="125"/>
      <c r="K324" s="125"/>
    </row>
    <row r="325" spans="1:11" x14ac:dyDescent="0.25">
      <c r="A325" s="6"/>
      <c r="B325" s="6"/>
      <c r="C325" s="123"/>
      <c r="D325" s="123"/>
      <c r="E325" s="124"/>
      <c r="F325" s="6"/>
      <c r="G325" s="124"/>
      <c r="H325" s="6"/>
      <c r="I325" s="125"/>
      <c r="J325" s="125"/>
      <c r="K325" s="125"/>
    </row>
    <row r="326" spans="1:11" x14ac:dyDescent="0.25">
      <c r="A326" s="6"/>
      <c r="B326" s="6"/>
      <c r="C326" s="123"/>
      <c r="D326" s="123"/>
      <c r="E326" s="124"/>
      <c r="F326" s="6"/>
      <c r="G326" s="124"/>
      <c r="H326" s="6"/>
      <c r="I326" s="125"/>
      <c r="J326" s="125"/>
      <c r="K326" s="125"/>
    </row>
    <row r="327" spans="1:11" x14ac:dyDescent="0.25">
      <c r="A327" s="6"/>
      <c r="B327" s="6"/>
      <c r="C327" s="123"/>
      <c r="D327" s="123"/>
      <c r="E327" s="124"/>
      <c r="F327" s="6"/>
      <c r="G327" s="124"/>
      <c r="H327" s="6"/>
      <c r="I327" s="125"/>
      <c r="J327" s="125"/>
      <c r="K327" s="125"/>
    </row>
    <row r="328" spans="1:11" x14ac:dyDescent="0.25">
      <c r="A328" s="6"/>
      <c r="B328" s="6"/>
      <c r="C328" s="123"/>
      <c r="D328" s="123"/>
      <c r="E328" s="124"/>
      <c r="F328" s="6"/>
      <c r="G328" s="124"/>
      <c r="H328" s="6"/>
      <c r="I328" s="125"/>
      <c r="J328" s="125"/>
      <c r="K328" s="125"/>
    </row>
    <row r="329" spans="1:11" x14ac:dyDescent="0.25">
      <c r="A329" s="6"/>
      <c r="B329" s="6"/>
      <c r="C329" s="123"/>
      <c r="D329" s="123"/>
      <c r="E329" s="124"/>
      <c r="F329" s="6"/>
      <c r="G329" s="124"/>
      <c r="H329" s="6"/>
      <c r="I329" s="125"/>
      <c r="J329" s="125"/>
      <c r="K329" s="125"/>
    </row>
    <row r="330" spans="1:11" x14ac:dyDescent="0.25">
      <c r="A330" s="6"/>
      <c r="B330" s="6"/>
      <c r="C330" s="123"/>
      <c r="D330" s="123"/>
      <c r="E330" s="124"/>
      <c r="F330" s="6"/>
      <c r="G330" s="124"/>
      <c r="H330" s="6"/>
      <c r="I330" s="125"/>
      <c r="J330" s="125"/>
      <c r="K330" s="125"/>
    </row>
    <row r="331" spans="1:11" x14ac:dyDescent="0.25">
      <c r="A331" s="6"/>
      <c r="B331" s="6"/>
      <c r="C331" s="123"/>
      <c r="D331" s="123"/>
      <c r="E331" s="124"/>
      <c r="F331" s="6"/>
      <c r="G331" s="124"/>
      <c r="H331" s="6"/>
      <c r="I331" s="125"/>
      <c r="J331" s="125"/>
      <c r="K331" s="125"/>
    </row>
    <row r="332" spans="1:11" x14ac:dyDescent="0.25">
      <c r="A332" s="6"/>
      <c r="B332" s="6"/>
      <c r="C332" s="123"/>
      <c r="D332" s="123"/>
      <c r="E332" s="124"/>
      <c r="F332" s="6"/>
      <c r="G332" s="124"/>
      <c r="H332" s="6"/>
      <c r="I332" s="125"/>
      <c r="J332" s="125"/>
      <c r="K332" s="125"/>
    </row>
    <row r="333" spans="1:11" x14ac:dyDescent="0.25">
      <c r="A333" s="6"/>
      <c r="B333" s="6"/>
      <c r="C333" s="123"/>
      <c r="D333" s="123"/>
      <c r="E333" s="124"/>
      <c r="F333" s="6"/>
      <c r="G333" s="124"/>
      <c r="H333" s="6"/>
      <c r="I333" s="125"/>
      <c r="J333" s="125"/>
      <c r="K333" s="125"/>
    </row>
    <row r="334" spans="1:11" x14ac:dyDescent="0.25">
      <c r="A334" s="6"/>
      <c r="B334" s="6"/>
      <c r="C334" s="123"/>
      <c r="D334" s="123"/>
      <c r="E334" s="124"/>
      <c r="F334" s="6"/>
      <c r="G334" s="124"/>
      <c r="H334" s="6"/>
      <c r="I334" s="125"/>
      <c r="J334" s="125"/>
      <c r="K334" s="125"/>
    </row>
    <row r="335" spans="1:11" x14ac:dyDescent="0.25">
      <c r="A335" s="6"/>
      <c r="B335" s="6"/>
      <c r="C335" s="123"/>
      <c r="D335" s="123"/>
      <c r="E335" s="124"/>
      <c r="F335" s="6"/>
      <c r="G335" s="124"/>
      <c r="H335" s="6"/>
      <c r="I335" s="125"/>
      <c r="J335" s="125"/>
      <c r="K335" s="125"/>
    </row>
    <row r="336" spans="1:11" x14ac:dyDescent="0.25">
      <c r="A336" s="6"/>
      <c r="B336" s="6"/>
      <c r="C336" s="123"/>
      <c r="D336" s="123"/>
      <c r="E336" s="124"/>
      <c r="F336" s="6"/>
      <c r="G336" s="124"/>
      <c r="H336" s="6"/>
      <c r="I336" s="125"/>
      <c r="J336" s="125"/>
      <c r="K336" s="125"/>
    </row>
    <row r="337" spans="1:11" x14ac:dyDescent="0.25">
      <c r="A337" s="6"/>
      <c r="B337" s="6"/>
      <c r="C337" s="123"/>
      <c r="D337" s="123"/>
      <c r="E337" s="124"/>
      <c r="F337" s="6"/>
      <c r="G337" s="124"/>
      <c r="H337" s="6"/>
      <c r="I337" s="125"/>
      <c r="J337" s="125"/>
      <c r="K337" s="125"/>
    </row>
    <row r="338" spans="1:11" x14ac:dyDescent="0.25">
      <c r="A338" s="6"/>
      <c r="B338" s="6"/>
      <c r="C338" s="123"/>
      <c r="D338" s="123"/>
      <c r="E338" s="124"/>
      <c r="F338" s="6"/>
      <c r="G338" s="124"/>
      <c r="H338" s="6"/>
      <c r="I338" s="125"/>
      <c r="J338" s="125"/>
      <c r="K338" s="125"/>
    </row>
    <row r="339" spans="1:11" x14ac:dyDescent="0.25">
      <c r="A339" s="6"/>
      <c r="B339" s="6"/>
      <c r="C339" s="123"/>
      <c r="D339" s="123"/>
      <c r="E339" s="124"/>
      <c r="F339" s="6"/>
      <c r="G339" s="124"/>
      <c r="H339" s="6"/>
      <c r="I339" s="125"/>
      <c r="J339" s="125"/>
      <c r="K339" s="125"/>
    </row>
    <row r="340" spans="1:11" x14ac:dyDescent="0.25">
      <c r="A340" s="6"/>
      <c r="B340" s="6"/>
      <c r="C340" s="123"/>
      <c r="D340" s="123"/>
      <c r="E340" s="124"/>
      <c r="F340" s="6"/>
      <c r="G340" s="124"/>
      <c r="H340" s="6"/>
      <c r="I340" s="125"/>
      <c r="J340" s="125"/>
      <c r="K340" s="125"/>
    </row>
    <row r="341" spans="1:11" x14ac:dyDescent="0.25">
      <c r="A341" s="6"/>
      <c r="B341" s="6"/>
      <c r="C341" s="123"/>
      <c r="D341" s="123"/>
      <c r="E341" s="124"/>
      <c r="F341" s="6"/>
      <c r="G341" s="124"/>
      <c r="H341" s="6"/>
      <c r="I341" s="125"/>
      <c r="J341" s="125"/>
      <c r="K341" s="125"/>
    </row>
    <row r="342" spans="1:11" x14ac:dyDescent="0.25">
      <c r="A342" s="6"/>
      <c r="B342" s="6"/>
      <c r="C342" s="123"/>
      <c r="D342" s="123"/>
      <c r="E342" s="124"/>
      <c r="F342" s="6"/>
      <c r="G342" s="124"/>
      <c r="H342" s="6"/>
      <c r="I342" s="125"/>
      <c r="J342" s="125"/>
      <c r="K342" s="125"/>
    </row>
    <row r="343" spans="1:11" x14ac:dyDescent="0.25">
      <c r="A343" s="6"/>
      <c r="B343" s="6"/>
      <c r="C343" s="123"/>
      <c r="D343" s="123"/>
      <c r="E343" s="124"/>
      <c r="F343" s="6"/>
      <c r="G343" s="124"/>
      <c r="H343" s="6"/>
      <c r="I343" s="125"/>
      <c r="J343" s="125"/>
      <c r="K343" s="125"/>
    </row>
    <row r="344" spans="1:11" x14ac:dyDescent="0.25">
      <c r="A344" s="6"/>
      <c r="B344" s="6"/>
      <c r="C344" s="123"/>
      <c r="D344" s="123"/>
      <c r="E344" s="124"/>
      <c r="F344" s="6"/>
      <c r="G344" s="124"/>
      <c r="H344" s="6"/>
      <c r="I344" s="125"/>
      <c r="J344" s="125"/>
      <c r="K344" s="125"/>
    </row>
    <row r="345" spans="1:11" x14ac:dyDescent="0.25">
      <c r="A345" s="6"/>
      <c r="B345" s="6"/>
      <c r="C345" s="123"/>
      <c r="D345" s="123"/>
      <c r="E345" s="124"/>
      <c r="F345" s="6"/>
      <c r="G345" s="124"/>
      <c r="H345" s="6"/>
      <c r="I345" s="125"/>
      <c r="J345" s="125"/>
      <c r="K345" s="125"/>
    </row>
    <row r="346" spans="1:11" x14ac:dyDescent="0.25">
      <c r="A346" s="6"/>
      <c r="B346" s="6"/>
      <c r="C346" s="123"/>
      <c r="D346" s="123"/>
      <c r="E346" s="124"/>
      <c r="F346" s="6"/>
      <c r="G346" s="124"/>
      <c r="H346" s="6"/>
      <c r="I346" s="125"/>
      <c r="J346" s="125"/>
      <c r="K346" s="125"/>
    </row>
    <row r="347" spans="1:11" x14ac:dyDescent="0.25">
      <c r="A347" s="6"/>
      <c r="B347" s="6"/>
      <c r="C347" s="123"/>
      <c r="D347" s="123"/>
      <c r="E347" s="124"/>
      <c r="F347" s="6"/>
      <c r="G347" s="124"/>
      <c r="H347" s="6"/>
      <c r="I347" s="125"/>
      <c r="J347" s="125"/>
      <c r="K347" s="125"/>
    </row>
    <row r="348" spans="1:11" x14ac:dyDescent="0.25">
      <c r="A348" s="6"/>
      <c r="B348" s="6"/>
      <c r="C348" s="123"/>
      <c r="D348" s="123"/>
      <c r="E348" s="124"/>
      <c r="F348" s="6"/>
      <c r="G348" s="124"/>
      <c r="H348" s="6"/>
      <c r="I348" s="125"/>
      <c r="J348" s="125"/>
      <c r="K348" s="125"/>
    </row>
    <row r="349" spans="1:11" x14ac:dyDescent="0.25">
      <c r="A349" s="6"/>
      <c r="B349" s="6"/>
      <c r="C349" s="123"/>
      <c r="D349" s="123"/>
      <c r="E349" s="124"/>
      <c r="F349" s="6"/>
      <c r="G349" s="124"/>
      <c r="H349" s="6"/>
      <c r="I349" s="125"/>
      <c r="J349" s="125"/>
      <c r="K349" s="125"/>
    </row>
    <row r="350" spans="1:11" x14ac:dyDescent="0.25">
      <c r="A350" s="6"/>
      <c r="B350" s="6"/>
      <c r="C350" s="123"/>
      <c r="D350" s="123"/>
      <c r="E350" s="124"/>
      <c r="F350" s="6"/>
      <c r="G350" s="124"/>
      <c r="H350" s="6"/>
      <c r="I350" s="125"/>
      <c r="J350" s="125"/>
      <c r="K350" s="125"/>
    </row>
    <row r="351" spans="1:11" x14ac:dyDescent="0.25">
      <c r="A351" s="6"/>
      <c r="B351" s="6"/>
      <c r="C351" s="123"/>
      <c r="D351" s="123"/>
      <c r="E351" s="124"/>
      <c r="F351" s="6"/>
      <c r="G351" s="124"/>
      <c r="H351" s="6"/>
      <c r="I351" s="125"/>
      <c r="J351" s="125"/>
      <c r="K351" s="125"/>
    </row>
    <row r="352" spans="1:11" x14ac:dyDescent="0.25">
      <c r="A352" s="6"/>
      <c r="B352" s="6"/>
      <c r="C352" s="123"/>
      <c r="D352" s="123"/>
      <c r="E352" s="124"/>
      <c r="F352" s="6"/>
      <c r="G352" s="124"/>
      <c r="H352" s="6"/>
      <c r="I352" s="125"/>
      <c r="J352" s="125"/>
      <c r="K352" s="125"/>
    </row>
    <row r="353" spans="1:11" x14ac:dyDescent="0.25">
      <c r="A353" s="6"/>
      <c r="B353" s="6"/>
      <c r="C353" s="123"/>
      <c r="D353" s="123"/>
      <c r="E353" s="124"/>
      <c r="F353" s="6"/>
      <c r="G353" s="124"/>
      <c r="H353" s="6"/>
      <c r="I353" s="125"/>
      <c r="J353" s="125"/>
      <c r="K353" s="125"/>
    </row>
    <row r="354" spans="1:11" x14ac:dyDescent="0.25">
      <c r="A354" s="6"/>
      <c r="B354" s="6"/>
      <c r="C354" s="123"/>
      <c r="D354" s="123"/>
      <c r="E354" s="124"/>
      <c r="F354" s="6"/>
      <c r="G354" s="124"/>
      <c r="H354" s="6"/>
      <c r="I354" s="125"/>
      <c r="J354" s="125"/>
      <c r="K354" s="125"/>
    </row>
    <row r="355" spans="1:11" x14ac:dyDescent="0.25">
      <c r="A355" s="6"/>
      <c r="B355" s="6"/>
      <c r="C355" s="123"/>
      <c r="D355" s="123"/>
      <c r="E355" s="124"/>
      <c r="F355" s="6"/>
      <c r="G355" s="124"/>
      <c r="H355" s="6"/>
      <c r="I355" s="125"/>
      <c r="J355" s="125"/>
      <c r="K355" s="125"/>
    </row>
    <row r="356" spans="1:11" x14ac:dyDescent="0.25">
      <c r="A356" s="6"/>
      <c r="B356" s="6"/>
      <c r="C356" s="123"/>
      <c r="D356" s="123"/>
      <c r="E356" s="124"/>
      <c r="F356" s="6"/>
      <c r="G356" s="124"/>
      <c r="H356" s="6"/>
      <c r="I356" s="125"/>
      <c r="J356" s="125"/>
      <c r="K356" s="125"/>
    </row>
    <row r="357" spans="1:11" x14ac:dyDescent="0.25">
      <c r="A357" s="6"/>
      <c r="B357" s="6"/>
      <c r="C357" s="123"/>
      <c r="D357" s="123"/>
      <c r="E357" s="124"/>
      <c r="F357" s="6"/>
      <c r="G357" s="124"/>
      <c r="H357" s="6"/>
      <c r="I357" s="125"/>
      <c r="J357" s="125"/>
      <c r="K357" s="125"/>
    </row>
    <row r="358" spans="1:11" x14ac:dyDescent="0.25">
      <c r="A358" s="6"/>
      <c r="B358" s="6"/>
      <c r="C358" s="123"/>
      <c r="D358" s="123"/>
      <c r="E358" s="124"/>
      <c r="F358" s="6"/>
      <c r="G358" s="124"/>
      <c r="H358" s="6"/>
      <c r="I358" s="125"/>
      <c r="J358" s="125"/>
      <c r="K358" s="125"/>
    </row>
    <row r="359" spans="1:11" x14ac:dyDescent="0.25">
      <c r="A359" s="6"/>
      <c r="B359" s="6"/>
      <c r="C359" s="123"/>
      <c r="D359" s="123"/>
      <c r="E359" s="124"/>
      <c r="F359" s="6"/>
      <c r="G359" s="124"/>
      <c r="H359" s="6"/>
      <c r="I359" s="125"/>
      <c r="J359" s="125"/>
      <c r="K359" s="125"/>
    </row>
    <row r="360" spans="1:11" x14ac:dyDescent="0.25">
      <c r="A360" s="6"/>
      <c r="B360" s="6"/>
      <c r="C360" s="123"/>
      <c r="D360" s="123"/>
      <c r="E360" s="124"/>
      <c r="F360" s="6"/>
      <c r="G360" s="124"/>
      <c r="H360" s="6"/>
      <c r="I360" s="125"/>
      <c r="J360" s="125"/>
      <c r="K360" s="125"/>
    </row>
    <row r="361" spans="1:11" x14ac:dyDescent="0.25">
      <c r="A361" s="6"/>
      <c r="B361" s="6"/>
      <c r="C361" s="123"/>
      <c r="D361" s="123"/>
      <c r="E361" s="124"/>
      <c r="F361" s="6"/>
      <c r="G361" s="124"/>
      <c r="H361" s="6"/>
      <c r="I361" s="125"/>
      <c r="J361" s="125"/>
      <c r="K361" s="125"/>
    </row>
    <row r="362" spans="1:11" x14ac:dyDescent="0.25">
      <c r="A362" s="6"/>
      <c r="B362" s="6"/>
      <c r="C362" s="123"/>
      <c r="D362" s="123"/>
      <c r="E362" s="124"/>
      <c r="F362" s="6"/>
      <c r="G362" s="124"/>
      <c r="H362" s="6"/>
      <c r="I362" s="125"/>
      <c r="J362" s="125"/>
      <c r="K362" s="125"/>
    </row>
    <row r="363" spans="1:11" x14ac:dyDescent="0.25">
      <c r="A363" s="6"/>
      <c r="B363" s="6"/>
      <c r="C363" s="123"/>
      <c r="D363" s="123"/>
      <c r="E363" s="124"/>
      <c r="F363" s="6"/>
      <c r="G363" s="124"/>
      <c r="H363" s="6"/>
      <c r="I363" s="125"/>
      <c r="J363" s="125"/>
      <c r="K363" s="125"/>
    </row>
    <row r="364" spans="1:11" x14ac:dyDescent="0.25">
      <c r="A364" s="6"/>
      <c r="B364" s="6"/>
      <c r="C364" s="123"/>
      <c r="D364" s="123"/>
      <c r="E364" s="124"/>
      <c r="F364" s="6"/>
      <c r="G364" s="124"/>
      <c r="H364" s="6"/>
      <c r="I364" s="125"/>
      <c r="J364" s="125"/>
      <c r="K364" s="125"/>
    </row>
    <row r="365" spans="1:11" x14ac:dyDescent="0.25">
      <c r="A365" s="6"/>
      <c r="B365" s="6"/>
      <c r="C365" s="123"/>
      <c r="D365" s="123"/>
      <c r="E365" s="124"/>
      <c r="F365" s="6"/>
      <c r="G365" s="124"/>
      <c r="H365" s="6"/>
      <c r="I365" s="125"/>
      <c r="J365" s="125"/>
      <c r="K365" s="125"/>
    </row>
    <row r="366" spans="1:11" x14ac:dyDescent="0.25">
      <c r="A366" s="6"/>
      <c r="B366" s="6"/>
      <c r="C366" s="123"/>
      <c r="D366" s="123"/>
      <c r="E366" s="124"/>
      <c r="F366" s="6"/>
      <c r="G366" s="124"/>
      <c r="H366" s="6"/>
      <c r="I366" s="125"/>
      <c r="J366" s="125"/>
      <c r="K366" s="125"/>
    </row>
    <row r="367" spans="1:11" x14ac:dyDescent="0.25">
      <c r="A367" s="6"/>
      <c r="B367" s="6"/>
      <c r="C367" s="123"/>
      <c r="D367" s="123"/>
      <c r="E367" s="124"/>
      <c r="F367" s="6"/>
      <c r="G367" s="124"/>
      <c r="H367" s="6"/>
      <c r="I367" s="125"/>
      <c r="J367" s="125"/>
      <c r="K367" s="125"/>
    </row>
    <row r="368" spans="1:11" x14ac:dyDescent="0.25">
      <c r="A368" s="6"/>
      <c r="B368" s="6"/>
      <c r="C368" s="123"/>
      <c r="D368" s="123"/>
      <c r="E368" s="124"/>
      <c r="F368" s="6"/>
      <c r="G368" s="124"/>
      <c r="H368" s="6"/>
      <c r="I368" s="125"/>
      <c r="J368" s="125"/>
      <c r="K368" s="125"/>
    </row>
    <row r="369" spans="1:11" x14ac:dyDescent="0.25">
      <c r="A369" s="6"/>
      <c r="B369" s="6"/>
      <c r="C369" s="123"/>
      <c r="D369" s="123"/>
      <c r="E369" s="124"/>
      <c r="F369" s="6"/>
      <c r="G369" s="124"/>
      <c r="H369" s="6"/>
      <c r="I369" s="125"/>
      <c r="J369" s="125"/>
      <c r="K369" s="125"/>
    </row>
    <row r="370" spans="1:11" x14ac:dyDescent="0.25">
      <c r="A370" s="6"/>
      <c r="B370" s="6"/>
      <c r="C370" s="123"/>
      <c r="D370" s="123"/>
      <c r="E370" s="124"/>
      <c r="F370" s="6"/>
      <c r="G370" s="124"/>
      <c r="H370" s="6"/>
      <c r="I370" s="125"/>
      <c r="J370" s="125"/>
      <c r="K370" s="125"/>
    </row>
    <row r="371" spans="1:11" x14ac:dyDescent="0.25">
      <c r="A371" s="6"/>
      <c r="B371" s="6"/>
      <c r="C371" s="123"/>
      <c r="D371" s="123"/>
      <c r="E371" s="124"/>
      <c r="F371" s="6"/>
      <c r="G371" s="124"/>
      <c r="H371" s="6"/>
      <c r="I371" s="125"/>
      <c r="J371" s="125"/>
      <c r="K371" s="125"/>
    </row>
    <row r="372" spans="1:11" x14ac:dyDescent="0.25">
      <c r="A372" s="6"/>
      <c r="B372" s="6"/>
      <c r="C372" s="123"/>
      <c r="D372" s="123"/>
      <c r="E372" s="124"/>
      <c r="F372" s="6"/>
      <c r="G372" s="124"/>
      <c r="H372" s="6"/>
      <c r="I372" s="125"/>
      <c r="J372" s="125"/>
      <c r="K372" s="125"/>
    </row>
    <row r="373" spans="1:11" x14ac:dyDescent="0.25">
      <c r="A373" s="6"/>
      <c r="B373" s="6"/>
      <c r="C373" s="123"/>
      <c r="D373" s="123"/>
      <c r="E373" s="124"/>
      <c r="F373" s="6"/>
      <c r="G373" s="124"/>
      <c r="H373" s="6"/>
      <c r="I373" s="125"/>
      <c r="J373" s="125"/>
      <c r="K373" s="125"/>
    </row>
    <row r="374" spans="1:11" x14ac:dyDescent="0.25">
      <c r="A374" s="6"/>
      <c r="B374" s="6"/>
      <c r="C374" s="123"/>
      <c r="D374" s="123"/>
      <c r="E374" s="124"/>
      <c r="F374" s="6"/>
      <c r="G374" s="124"/>
      <c r="H374" s="6"/>
      <c r="I374" s="125"/>
      <c r="J374" s="125"/>
      <c r="K374" s="125"/>
    </row>
    <row r="375" spans="1:11" x14ac:dyDescent="0.25">
      <c r="A375" s="6"/>
      <c r="B375" s="6"/>
      <c r="C375" s="123"/>
      <c r="D375" s="123"/>
      <c r="E375" s="124"/>
      <c r="F375" s="6"/>
      <c r="G375" s="124"/>
      <c r="H375" s="6"/>
      <c r="I375" s="125"/>
      <c r="J375" s="125"/>
      <c r="K375" s="125"/>
    </row>
    <row r="376" spans="1:11" x14ac:dyDescent="0.25">
      <c r="A376" s="6"/>
      <c r="B376" s="6"/>
      <c r="C376" s="123"/>
      <c r="D376" s="123"/>
      <c r="E376" s="124"/>
      <c r="F376" s="6"/>
      <c r="G376" s="124"/>
      <c r="H376" s="6"/>
      <c r="I376" s="125"/>
      <c r="J376" s="125"/>
      <c r="K376" s="125"/>
    </row>
    <row r="377" spans="1:11" x14ac:dyDescent="0.25">
      <c r="A377" s="6"/>
      <c r="B377" s="6"/>
      <c r="C377" s="123"/>
      <c r="D377" s="123"/>
      <c r="E377" s="124"/>
      <c r="F377" s="6"/>
      <c r="G377" s="124"/>
      <c r="H377" s="6"/>
      <c r="I377" s="125"/>
      <c r="J377" s="125"/>
      <c r="K377" s="125"/>
    </row>
    <row r="378" spans="1:11" x14ac:dyDescent="0.25">
      <c r="A378" s="6"/>
      <c r="B378" s="6"/>
      <c r="C378" s="123"/>
      <c r="D378" s="123"/>
      <c r="E378" s="124"/>
      <c r="F378" s="6"/>
      <c r="G378" s="124"/>
      <c r="H378" s="6"/>
      <c r="I378" s="125"/>
      <c r="J378" s="125"/>
      <c r="K378" s="125"/>
    </row>
    <row r="379" spans="1:11" x14ac:dyDescent="0.25">
      <c r="A379" s="6"/>
      <c r="B379" s="6"/>
      <c r="C379" s="123"/>
      <c r="D379" s="123"/>
      <c r="E379" s="124"/>
      <c r="F379" s="6"/>
      <c r="G379" s="124"/>
      <c r="H379" s="6"/>
      <c r="I379" s="125"/>
      <c r="J379" s="125"/>
      <c r="K379" s="125"/>
    </row>
    <row r="380" spans="1:11" x14ac:dyDescent="0.25">
      <c r="A380" s="6"/>
      <c r="B380" s="6"/>
      <c r="C380" s="123"/>
      <c r="D380" s="123"/>
      <c r="E380" s="124"/>
      <c r="F380" s="6"/>
      <c r="G380" s="124"/>
      <c r="H380" s="6"/>
      <c r="I380" s="125"/>
      <c r="J380" s="125"/>
      <c r="K380" s="125"/>
    </row>
    <row r="381" spans="1:11" x14ac:dyDescent="0.25">
      <c r="A381" s="6"/>
      <c r="B381" s="6"/>
      <c r="C381" s="123"/>
      <c r="D381" s="123"/>
      <c r="E381" s="124"/>
      <c r="F381" s="6"/>
      <c r="G381" s="124"/>
      <c r="H381" s="6"/>
      <c r="I381" s="125"/>
      <c r="J381" s="125"/>
      <c r="K381" s="125"/>
    </row>
    <row r="382" spans="1:11" x14ac:dyDescent="0.25">
      <c r="A382" s="6"/>
      <c r="B382" s="6"/>
      <c r="C382" s="123"/>
      <c r="D382" s="123"/>
      <c r="E382" s="124"/>
      <c r="F382" s="6"/>
      <c r="G382" s="124"/>
      <c r="H382" s="6"/>
      <c r="I382" s="125"/>
      <c r="J382" s="125"/>
      <c r="K382" s="125"/>
    </row>
    <row r="383" spans="1:11" x14ac:dyDescent="0.25">
      <c r="A383" s="6"/>
      <c r="B383" s="6"/>
      <c r="C383" s="123"/>
      <c r="D383" s="123"/>
      <c r="E383" s="124"/>
      <c r="F383" s="6"/>
      <c r="G383" s="124"/>
      <c r="H383" s="6"/>
      <c r="I383" s="125"/>
      <c r="J383" s="125"/>
      <c r="K383" s="125"/>
    </row>
    <row r="384" spans="1:11" x14ac:dyDescent="0.25">
      <c r="A384" s="6"/>
      <c r="B384" s="6"/>
      <c r="C384" s="123"/>
      <c r="D384" s="123"/>
      <c r="E384" s="124"/>
      <c r="F384" s="6"/>
      <c r="G384" s="124"/>
      <c r="H384" s="6"/>
      <c r="I384" s="125"/>
      <c r="J384" s="125"/>
      <c r="K384" s="125"/>
    </row>
    <row r="385" spans="1:11" x14ac:dyDescent="0.25">
      <c r="A385" s="6"/>
      <c r="B385" s="6"/>
      <c r="C385" s="123"/>
      <c r="D385" s="123"/>
      <c r="E385" s="124"/>
      <c r="F385" s="6"/>
      <c r="G385" s="124"/>
      <c r="H385" s="6"/>
      <c r="I385" s="125"/>
      <c r="J385" s="125"/>
      <c r="K385" s="125"/>
    </row>
    <row r="386" spans="1:11" x14ac:dyDescent="0.25">
      <c r="A386" s="6"/>
      <c r="B386" s="6"/>
      <c r="C386" s="123"/>
      <c r="D386" s="123"/>
      <c r="E386" s="124"/>
      <c r="F386" s="6"/>
      <c r="G386" s="124"/>
      <c r="H386" s="6"/>
      <c r="I386" s="125"/>
      <c r="J386" s="125"/>
      <c r="K386" s="125"/>
    </row>
    <row r="387" spans="1:11" x14ac:dyDescent="0.25">
      <c r="A387" s="6"/>
      <c r="B387" s="6"/>
      <c r="C387" s="123"/>
      <c r="D387" s="123"/>
      <c r="E387" s="124"/>
      <c r="F387" s="6"/>
      <c r="G387" s="124"/>
      <c r="H387" s="6"/>
      <c r="I387" s="125"/>
      <c r="J387" s="125"/>
      <c r="K387" s="125"/>
    </row>
    <row r="388" spans="1:11" x14ac:dyDescent="0.25">
      <c r="A388" s="6"/>
      <c r="B388" s="6"/>
      <c r="C388" s="123"/>
      <c r="D388" s="123"/>
      <c r="E388" s="124"/>
      <c r="F388" s="6"/>
      <c r="G388" s="124"/>
      <c r="H388" s="6"/>
      <c r="I388" s="125"/>
      <c r="J388" s="125"/>
      <c r="K388" s="125"/>
    </row>
    <row r="389" spans="1:11" x14ac:dyDescent="0.25">
      <c r="A389" s="6"/>
      <c r="B389" s="6"/>
      <c r="C389" s="123"/>
      <c r="D389" s="123"/>
      <c r="E389" s="124"/>
      <c r="F389" s="6"/>
      <c r="G389" s="124"/>
      <c r="H389" s="6"/>
      <c r="I389" s="125"/>
      <c r="J389" s="125"/>
      <c r="K389" s="125"/>
    </row>
    <row r="390" spans="1:11" x14ac:dyDescent="0.25">
      <c r="A390" s="6"/>
      <c r="B390" s="6"/>
      <c r="C390" s="123"/>
      <c r="D390" s="123"/>
      <c r="E390" s="124"/>
      <c r="F390" s="6"/>
      <c r="G390" s="124"/>
      <c r="H390" s="6"/>
      <c r="I390" s="125"/>
      <c r="J390" s="125"/>
      <c r="K390" s="125"/>
    </row>
    <row r="391" spans="1:11" x14ac:dyDescent="0.25">
      <c r="A391" s="6"/>
      <c r="B391" s="6"/>
      <c r="C391" s="123"/>
      <c r="D391" s="123"/>
      <c r="E391" s="124"/>
      <c r="F391" s="6"/>
      <c r="G391" s="124"/>
      <c r="H391" s="6"/>
      <c r="I391" s="125"/>
      <c r="J391" s="125"/>
      <c r="K391" s="125"/>
    </row>
    <row r="392" spans="1:11" x14ac:dyDescent="0.25">
      <c r="A392" s="6"/>
      <c r="B392" s="6"/>
      <c r="C392" s="123"/>
      <c r="D392" s="123"/>
      <c r="E392" s="124"/>
      <c r="F392" s="6"/>
      <c r="G392" s="124"/>
      <c r="H392" s="6"/>
      <c r="I392" s="125"/>
      <c r="J392" s="125"/>
      <c r="K392" s="125"/>
    </row>
    <row r="393" spans="1:11" x14ac:dyDescent="0.25">
      <c r="A393" s="6"/>
      <c r="B393" s="6"/>
      <c r="C393" s="123"/>
      <c r="D393" s="123"/>
      <c r="E393" s="124"/>
      <c r="F393" s="6"/>
      <c r="G393" s="124"/>
      <c r="H393" s="6"/>
      <c r="I393" s="125"/>
      <c r="J393" s="125"/>
      <c r="K393" s="125"/>
    </row>
    <row r="394" spans="1:11" x14ac:dyDescent="0.25">
      <c r="A394" s="6"/>
      <c r="B394" s="6"/>
      <c r="C394" s="123"/>
      <c r="D394" s="123"/>
      <c r="E394" s="124"/>
      <c r="F394" s="6"/>
      <c r="G394" s="124"/>
      <c r="H394" s="6"/>
      <c r="I394" s="125"/>
      <c r="J394" s="125"/>
      <c r="K394" s="125"/>
    </row>
    <row r="395" spans="1:11" x14ac:dyDescent="0.25">
      <c r="A395" s="6"/>
      <c r="B395" s="6"/>
      <c r="C395" s="123"/>
      <c r="D395" s="123"/>
      <c r="E395" s="124"/>
      <c r="F395" s="6"/>
      <c r="G395" s="124"/>
      <c r="H395" s="6"/>
      <c r="I395" s="125"/>
      <c r="J395" s="125"/>
      <c r="K395" s="125"/>
    </row>
    <row r="396" spans="1:11" x14ac:dyDescent="0.25">
      <c r="A396" s="6"/>
      <c r="B396" s="6"/>
      <c r="C396" s="123"/>
      <c r="D396" s="123"/>
      <c r="E396" s="124"/>
      <c r="F396" s="6"/>
      <c r="G396" s="124"/>
      <c r="H396" s="6"/>
      <c r="I396" s="125"/>
      <c r="J396" s="125"/>
      <c r="K396" s="125"/>
    </row>
    <row r="397" spans="1:11" x14ac:dyDescent="0.25">
      <c r="A397" s="6"/>
      <c r="B397" s="6"/>
      <c r="C397" s="123"/>
      <c r="D397" s="123"/>
      <c r="E397" s="124"/>
      <c r="F397" s="6"/>
      <c r="G397" s="124"/>
      <c r="H397" s="6"/>
      <c r="I397" s="125"/>
      <c r="J397" s="125"/>
      <c r="K397" s="125"/>
    </row>
    <row r="398" spans="1:11" x14ac:dyDescent="0.25">
      <c r="A398" s="6"/>
      <c r="B398" s="6"/>
      <c r="C398" s="123"/>
      <c r="D398" s="123"/>
      <c r="E398" s="124"/>
      <c r="F398" s="6"/>
      <c r="G398" s="124"/>
      <c r="H398" s="6"/>
      <c r="I398" s="125"/>
      <c r="J398" s="125"/>
      <c r="K398" s="125"/>
    </row>
    <row r="399" spans="1:11" x14ac:dyDescent="0.25">
      <c r="A399" s="6"/>
      <c r="B399" s="6"/>
      <c r="C399" s="123"/>
      <c r="D399" s="123"/>
      <c r="E399" s="124"/>
      <c r="F399" s="6"/>
      <c r="G399" s="124"/>
      <c r="H399" s="6"/>
      <c r="I399" s="125"/>
      <c r="J399" s="125"/>
      <c r="K399" s="125"/>
    </row>
    <row r="400" spans="1:11" x14ac:dyDescent="0.25">
      <c r="A400" s="6"/>
      <c r="B400" s="6"/>
      <c r="C400" s="123"/>
      <c r="D400" s="123"/>
      <c r="E400" s="124"/>
      <c r="F400" s="6"/>
      <c r="G400" s="124"/>
      <c r="H400" s="6"/>
      <c r="I400" s="125"/>
      <c r="J400" s="125"/>
      <c r="K400" s="125"/>
    </row>
    <row r="401" spans="1:11" x14ac:dyDescent="0.25">
      <c r="A401" s="6"/>
      <c r="B401" s="6"/>
      <c r="C401" s="123"/>
      <c r="D401" s="123"/>
      <c r="E401" s="124"/>
      <c r="F401" s="6"/>
      <c r="G401" s="124"/>
      <c r="H401" s="6"/>
      <c r="I401" s="125"/>
      <c r="J401" s="125"/>
      <c r="K401" s="125"/>
    </row>
    <row r="402" spans="1:11" x14ac:dyDescent="0.25">
      <c r="A402" s="6"/>
      <c r="B402" s="6"/>
      <c r="C402" s="123"/>
      <c r="D402" s="123"/>
      <c r="E402" s="124"/>
      <c r="F402" s="6"/>
      <c r="G402" s="124"/>
      <c r="H402" s="6"/>
      <c r="I402" s="125"/>
      <c r="J402" s="125"/>
      <c r="K402" s="125"/>
    </row>
    <row r="403" spans="1:11" x14ac:dyDescent="0.25">
      <c r="A403" s="6"/>
      <c r="B403" s="6"/>
      <c r="C403" s="123"/>
      <c r="D403" s="123"/>
      <c r="E403" s="124"/>
      <c r="F403" s="6"/>
      <c r="G403" s="124"/>
      <c r="H403" s="6"/>
      <c r="I403" s="125"/>
      <c r="J403" s="125"/>
      <c r="K403" s="125"/>
    </row>
    <row r="404" spans="1:11" x14ac:dyDescent="0.25">
      <c r="A404" s="6"/>
      <c r="B404" s="6"/>
      <c r="C404" s="123"/>
      <c r="D404" s="123"/>
      <c r="E404" s="124"/>
      <c r="F404" s="6"/>
      <c r="G404" s="124"/>
      <c r="H404" s="6"/>
      <c r="I404" s="125"/>
      <c r="J404" s="125"/>
      <c r="K404" s="125"/>
    </row>
    <row r="405" spans="1:11" x14ac:dyDescent="0.25">
      <c r="A405" s="6"/>
      <c r="B405" s="6"/>
      <c r="C405" s="123"/>
      <c r="D405" s="123"/>
      <c r="E405" s="124"/>
      <c r="F405" s="6"/>
      <c r="G405" s="124"/>
      <c r="H405" s="6"/>
      <c r="I405" s="125"/>
      <c r="J405" s="125"/>
      <c r="K405" s="125"/>
    </row>
    <row r="406" spans="1:11" x14ac:dyDescent="0.25">
      <c r="A406" s="6"/>
      <c r="B406" s="6"/>
      <c r="C406" s="123"/>
      <c r="D406" s="123"/>
      <c r="E406" s="124"/>
      <c r="F406" s="6"/>
      <c r="G406" s="124"/>
      <c r="H406" s="6"/>
      <c r="I406" s="125"/>
      <c r="J406" s="125"/>
      <c r="K406" s="125"/>
    </row>
    <row r="407" spans="1:11" x14ac:dyDescent="0.25">
      <c r="A407" s="6"/>
      <c r="B407" s="6"/>
      <c r="C407" s="123"/>
      <c r="D407" s="123"/>
      <c r="E407" s="124"/>
      <c r="F407" s="6"/>
      <c r="G407" s="124"/>
      <c r="H407" s="6"/>
      <c r="I407" s="125"/>
      <c r="J407" s="125"/>
      <c r="K407" s="125"/>
    </row>
    <row r="408" spans="1:11" x14ac:dyDescent="0.25">
      <c r="A408" s="6"/>
      <c r="B408" s="6"/>
      <c r="C408" s="123"/>
      <c r="D408" s="123"/>
      <c r="E408" s="124"/>
      <c r="F408" s="6"/>
      <c r="G408" s="124"/>
      <c r="H408" s="6"/>
      <c r="I408" s="125"/>
      <c r="J408" s="125"/>
      <c r="K408" s="125"/>
    </row>
    <row r="409" spans="1:11" x14ac:dyDescent="0.25">
      <c r="A409" s="6"/>
      <c r="B409" s="6"/>
      <c r="C409" s="123"/>
      <c r="D409" s="123"/>
      <c r="E409" s="124"/>
      <c r="F409" s="6"/>
      <c r="G409" s="124"/>
      <c r="H409" s="6"/>
      <c r="I409" s="125"/>
      <c r="J409" s="125"/>
      <c r="K409" s="125"/>
    </row>
    <row r="410" spans="1:11" x14ac:dyDescent="0.25">
      <c r="A410" s="6"/>
      <c r="B410" s="6"/>
      <c r="C410" s="123"/>
      <c r="D410" s="123"/>
      <c r="E410" s="124"/>
      <c r="F410" s="6"/>
      <c r="G410" s="124"/>
      <c r="H410" s="6"/>
      <c r="I410" s="125"/>
      <c r="J410" s="125"/>
      <c r="K410" s="125"/>
    </row>
    <row r="411" spans="1:11" x14ac:dyDescent="0.25">
      <c r="A411" s="6"/>
      <c r="B411" s="6"/>
      <c r="C411" s="123"/>
      <c r="D411" s="123"/>
      <c r="E411" s="124"/>
      <c r="F411" s="6"/>
      <c r="G411" s="124"/>
      <c r="H411" s="6"/>
      <c r="I411" s="125"/>
      <c r="J411" s="125"/>
      <c r="K411" s="125"/>
    </row>
    <row r="412" spans="1:11" x14ac:dyDescent="0.25">
      <c r="A412" s="6"/>
      <c r="B412" s="6"/>
      <c r="C412" s="123"/>
      <c r="D412" s="123"/>
      <c r="E412" s="124"/>
      <c r="F412" s="6"/>
      <c r="G412" s="124"/>
      <c r="H412" s="6"/>
      <c r="I412" s="125"/>
      <c r="J412" s="125"/>
      <c r="K412" s="125"/>
    </row>
    <row r="413" spans="1:11" x14ac:dyDescent="0.25">
      <c r="A413" s="6"/>
      <c r="B413" s="6"/>
      <c r="C413" s="123"/>
      <c r="D413" s="123"/>
      <c r="E413" s="124"/>
      <c r="F413" s="6"/>
      <c r="G413" s="124"/>
      <c r="H413" s="6"/>
      <c r="I413" s="125"/>
      <c r="J413" s="125"/>
      <c r="K413" s="125"/>
    </row>
    <row r="414" spans="1:11" x14ac:dyDescent="0.25">
      <c r="A414" s="6"/>
      <c r="B414" s="6"/>
      <c r="C414" s="123"/>
      <c r="D414" s="123"/>
      <c r="E414" s="124"/>
      <c r="F414" s="6"/>
      <c r="G414" s="124"/>
      <c r="H414" s="6"/>
      <c r="I414" s="125"/>
      <c r="J414" s="125"/>
      <c r="K414" s="125"/>
    </row>
    <row r="415" spans="1:11" x14ac:dyDescent="0.25">
      <c r="A415" s="6"/>
      <c r="B415" s="6"/>
      <c r="C415" s="123"/>
      <c r="D415" s="123"/>
      <c r="E415" s="124"/>
      <c r="F415" s="6"/>
      <c r="G415" s="124"/>
      <c r="H415" s="6"/>
      <c r="I415" s="125"/>
      <c r="J415" s="125"/>
      <c r="K415" s="125"/>
    </row>
    <row r="416" spans="1:11" x14ac:dyDescent="0.25">
      <c r="A416" s="6"/>
      <c r="B416" s="6"/>
      <c r="C416" s="123"/>
      <c r="D416" s="123"/>
      <c r="E416" s="124"/>
      <c r="F416" s="6"/>
      <c r="G416" s="124"/>
      <c r="H416" s="6"/>
      <c r="I416" s="125"/>
      <c r="J416" s="125"/>
      <c r="K416" s="125"/>
    </row>
    <row r="417" spans="1:11" x14ac:dyDescent="0.25">
      <c r="A417" s="6"/>
      <c r="B417" s="6"/>
      <c r="C417" s="123"/>
      <c r="D417" s="123"/>
      <c r="E417" s="124"/>
      <c r="F417" s="6"/>
      <c r="G417" s="124"/>
      <c r="H417" s="6"/>
      <c r="I417" s="125"/>
      <c r="J417" s="125"/>
      <c r="K417" s="125"/>
    </row>
    <row r="418" spans="1:11" x14ac:dyDescent="0.25">
      <c r="A418" s="6"/>
      <c r="B418" s="6"/>
      <c r="C418" s="123"/>
      <c r="D418" s="123"/>
      <c r="E418" s="124"/>
      <c r="F418" s="6"/>
      <c r="G418" s="124"/>
      <c r="H418" s="6"/>
      <c r="I418" s="125"/>
      <c r="J418" s="125"/>
      <c r="K418" s="125"/>
    </row>
    <row r="419" spans="1:11" x14ac:dyDescent="0.25">
      <c r="A419" s="6"/>
      <c r="B419" s="6"/>
      <c r="C419" s="123"/>
      <c r="D419" s="123"/>
      <c r="E419" s="124"/>
      <c r="F419" s="6"/>
      <c r="G419" s="124"/>
      <c r="H419" s="6"/>
      <c r="I419" s="125"/>
      <c r="J419" s="125"/>
      <c r="K419" s="125"/>
    </row>
    <row r="420" spans="1:11" x14ac:dyDescent="0.25">
      <c r="A420" s="6"/>
      <c r="B420" s="6"/>
      <c r="C420" s="123"/>
      <c r="D420" s="123"/>
      <c r="E420" s="124"/>
      <c r="F420" s="6"/>
      <c r="G420" s="124"/>
      <c r="H420" s="6"/>
      <c r="I420" s="125"/>
      <c r="J420" s="125"/>
      <c r="K420" s="125"/>
    </row>
    <row r="421" spans="1:11" x14ac:dyDescent="0.25">
      <c r="A421" s="6"/>
      <c r="B421" s="6"/>
      <c r="C421" s="123"/>
      <c r="D421" s="123"/>
      <c r="E421" s="124"/>
      <c r="F421" s="6"/>
      <c r="G421" s="124"/>
      <c r="H421" s="6"/>
      <c r="I421" s="125"/>
      <c r="J421" s="125"/>
      <c r="K421" s="125"/>
    </row>
    <row r="422" spans="1:11" x14ac:dyDescent="0.25">
      <c r="A422" s="6"/>
      <c r="B422" s="6"/>
      <c r="C422" s="123"/>
      <c r="D422" s="123"/>
      <c r="E422" s="124"/>
      <c r="F422" s="6"/>
      <c r="G422" s="124"/>
      <c r="H422" s="6"/>
      <c r="I422" s="125"/>
      <c r="J422" s="125"/>
      <c r="K422" s="125"/>
    </row>
    <row r="423" spans="1:11" x14ac:dyDescent="0.25">
      <c r="A423" s="6"/>
      <c r="B423" s="6"/>
      <c r="C423" s="123"/>
      <c r="D423" s="123"/>
      <c r="E423" s="124"/>
      <c r="F423" s="6"/>
      <c r="G423" s="124"/>
      <c r="H423" s="6"/>
      <c r="I423" s="125"/>
      <c r="J423" s="125"/>
      <c r="K423" s="125"/>
    </row>
    <row r="424" spans="1:11" x14ac:dyDescent="0.25">
      <c r="A424" s="6"/>
      <c r="B424" s="6"/>
      <c r="C424" s="123"/>
      <c r="D424" s="123"/>
      <c r="E424" s="124"/>
      <c r="F424" s="6"/>
      <c r="G424" s="124"/>
      <c r="H424" s="6"/>
      <c r="I424" s="125"/>
      <c r="J424" s="125"/>
      <c r="K424" s="125"/>
    </row>
    <row r="425" spans="1:11" x14ac:dyDescent="0.25">
      <c r="A425" s="6"/>
      <c r="B425" s="6"/>
      <c r="C425" s="123"/>
      <c r="D425" s="123"/>
      <c r="E425" s="124"/>
      <c r="F425" s="6"/>
      <c r="G425" s="124"/>
      <c r="H425" s="6"/>
      <c r="I425" s="125"/>
      <c r="J425" s="125"/>
      <c r="K425" s="125"/>
    </row>
    <row r="426" spans="1:11" x14ac:dyDescent="0.25">
      <c r="A426" s="6"/>
      <c r="B426" s="6"/>
      <c r="C426" s="123"/>
      <c r="D426" s="123"/>
      <c r="E426" s="124"/>
      <c r="F426" s="6"/>
      <c r="G426" s="124"/>
      <c r="H426" s="6"/>
      <c r="I426" s="125"/>
      <c r="J426" s="125"/>
      <c r="K426" s="125"/>
    </row>
    <row r="427" spans="1:11" x14ac:dyDescent="0.25">
      <c r="A427" s="6"/>
      <c r="B427" s="6"/>
      <c r="C427" s="123"/>
      <c r="D427" s="123"/>
      <c r="E427" s="124"/>
      <c r="F427" s="6"/>
      <c r="G427" s="124"/>
      <c r="H427" s="6"/>
      <c r="I427" s="125"/>
      <c r="J427" s="125"/>
      <c r="K427" s="125"/>
    </row>
    <row r="428" spans="1:11" x14ac:dyDescent="0.25">
      <c r="A428" s="6"/>
      <c r="B428" s="6"/>
      <c r="C428" s="123"/>
      <c r="D428" s="123"/>
      <c r="E428" s="124"/>
      <c r="F428" s="6"/>
      <c r="G428" s="124"/>
      <c r="H428" s="6"/>
      <c r="I428" s="125"/>
      <c r="J428" s="125"/>
      <c r="K428" s="125"/>
    </row>
    <row r="429" spans="1:11" x14ac:dyDescent="0.25">
      <c r="A429" s="6"/>
      <c r="B429" s="6"/>
      <c r="C429" s="123"/>
      <c r="D429" s="123"/>
      <c r="E429" s="124"/>
      <c r="F429" s="6"/>
      <c r="G429" s="124"/>
      <c r="H429" s="6"/>
      <c r="I429" s="125"/>
      <c r="J429" s="125"/>
      <c r="K429" s="125"/>
    </row>
    <row r="430" spans="1:11" x14ac:dyDescent="0.25">
      <c r="A430" s="6"/>
      <c r="B430" s="6"/>
      <c r="C430" s="123"/>
      <c r="D430" s="123"/>
      <c r="E430" s="124"/>
      <c r="F430" s="6"/>
      <c r="G430" s="124"/>
      <c r="H430" s="6"/>
      <c r="I430" s="125"/>
      <c r="J430" s="125"/>
      <c r="K430" s="125"/>
    </row>
    <row r="431" spans="1:11" x14ac:dyDescent="0.25">
      <c r="A431" s="6"/>
      <c r="B431" s="6"/>
      <c r="C431" s="123"/>
      <c r="D431" s="123"/>
      <c r="E431" s="124"/>
      <c r="F431" s="6"/>
      <c r="G431" s="124"/>
      <c r="H431" s="6"/>
      <c r="I431" s="125"/>
      <c r="J431" s="125"/>
      <c r="K431" s="125"/>
    </row>
    <row r="432" spans="1:11" x14ac:dyDescent="0.25">
      <c r="A432" s="6"/>
      <c r="B432" s="6"/>
      <c r="C432" s="123"/>
      <c r="D432" s="123"/>
      <c r="E432" s="124"/>
      <c r="F432" s="6"/>
      <c r="G432" s="124"/>
      <c r="H432" s="6"/>
      <c r="I432" s="125"/>
      <c r="J432" s="125"/>
      <c r="K432" s="125"/>
    </row>
    <row r="433" spans="1:11" x14ac:dyDescent="0.25">
      <c r="A433" s="6"/>
      <c r="B433" s="6"/>
      <c r="C433" s="123"/>
      <c r="D433" s="123"/>
      <c r="E433" s="124"/>
      <c r="F433" s="6"/>
      <c r="G433" s="124"/>
      <c r="H433" s="6"/>
      <c r="I433" s="125"/>
      <c r="J433" s="125"/>
      <c r="K433" s="125"/>
    </row>
    <row r="434" spans="1:11" x14ac:dyDescent="0.25">
      <c r="A434" s="6"/>
      <c r="B434" s="6"/>
      <c r="C434" s="123"/>
      <c r="D434" s="123"/>
      <c r="E434" s="124"/>
      <c r="F434" s="6"/>
      <c r="G434" s="124"/>
      <c r="H434" s="6"/>
      <c r="I434" s="125"/>
      <c r="J434" s="125"/>
      <c r="K434" s="125"/>
    </row>
    <row r="435" spans="1:11" x14ac:dyDescent="0.25">
      <c r="A435" s="6"/>
      <c r="B435" s="6"/>
      <c r="C435" s="123"/>
      <c r="D435" s="123"/>
      <c r="E435" s="124"/>
      <c r="F435" s="6"/>
      <c r="G435" s="124"/>
      <c r="H435" s="6"/>
      <c r="I435" s="125"/>
      <c r="J435" s="125"/>
      <c r="K435" s="125"/>
    </row>
    <row r="436" spans="1:11" x14ac:dyDescent="0.25">
      <c r="A436" s="6"/>
      <c r="B436" s="6"/>
      <c r="C436" s="123"/>
      <c r="D436" s="123"/>
      <c r="E436" s="124"/>
      <c r="F436" s="6"/>
      <c r="G436" s="124"/>
      <c r="H436" s="6"/>
      <c r="I436" s="125"/>
      <c r="J436" s="125"/>
      <c r="K436" s="125"/>
    </row>
    <row r="437" spans="1:11" x14ac:dyDescent="0.25">
      <c r="A437" s="6"/>
      <c r="B437" s="6"/>
      <c r="C437" s="123"/>
      <c r="D437" s="123"/>
      <c r="E437" s="124"/>
      <c r="F437" s="6"/>
      <c r="G437" s="124"/>
      <c r="H437" s="6"/>
      <c r="I437" s="125"/>
      <c r="J437" s="125"/>
      <c r="K437" s="125"/>
    </row>
    <row r="438" spans="1:11" x14ac:dyDescent="0.25">
      <c r="A438" s="6"/>
      <c r="B438" s="6"/>
      <c r="C438" s="123"/>
      <c r="D438" s="123"/>
      <c r="E438" s="124"/>
      <c r="F438" s="6"/>
      <c r="G438" s="124"/>
      <c r="H438" s="6"/>
      <c r="I438" s="125"/>
      <c r="J438" s="125"/>
      <c r="K438" s="125"/>
    </row>
    <row r="439" spans="1:11" x14ac:dyDescent="0.25">
      <c r="A439" s="6"/>
      <c r="B439" s="6"/>
      <c r="C439" s="123"/>
      <c r="D439" s="123"/>
      <c r="E439" s="124"/>
      <c r="F439" s="6"/>
      <c r="G439" s="124"/>
      <c r="H439" s="6"/>
      <c r="I439" s="125"/>
      <c r="J439" s="125"/>
      <c r="K439" s="125"/>
    </row>
    <row r="440" spans="1:11" x14ac:dyDescent="0.25">
      <c r="A440" s="6"/>
      <c r="B440" s="6"/>
      <c r="C440" s="123"/>
      <c r="D440" s="123"/>
      <c r="E440" s="124"/>
      <c r="F440" s="6"/>
      <c r="G440" s="124"/>
      <c r="H440" s="6"/>
      <c r="I440" s="125"/>
      <c r="J440" s="125"/>
      <c r="K440" s="125"/>
    </row>
    <row r="441" spans="1:11" x14ac:dyDescent="0.25">
      <c r="A441" s="6"/>
      <c r="B441" s="6"/>
      <c r="C441" s="123"/>
      <c r="D441" s="123"/>
      <c r="E441" s="124"/>
      <c r="F441" s="6"/>
      <c r="G441" s="124"/>
      <c r="H441" s="6"/>
      <c r="I441" s="125"/>
      <c r="J441" s="125"/>
      <c r="K441" s="125"/>
    </row>
    <row r="442" spans="1:11" x14ac:dyDescent="0.25">
      <c r="A442" s="6"/>
      <c r="B442" s="6"/>
      <c r="C442" s="123"/>
      <c r="D442" s="123"/>
      <c r="E442" s="124"/>
      <c r="F442" s="6"/>
      <c r="G442" s="124"/>
      <c r="H442" s="6"/>
      <c r="I442" s="125"/>
      <c r="J442" s="125"/>
      <c r="K442" s="125"/>
    </row>
    <row r="443" spans="1:11" x14ac:dyDescent="0.25">
      <c r="A443" s="6"/>
      <c r="B443" s="6"/>
      <c r="C443" s="123"/>
      <c r="D443" s="123"/>
      <c r="E443" s="124"/>
      <c r="F443" s="6"/>
      <c r="G443" s="124"/>
      <c r="H443" s="6"/>
      <c r="I443" s="125"/>
      <c r="J443" s="125"/>
      <c r="K443" s="125"/>
    </row>
    <row r="444" spans="1:11" x14ac:dyDescent="0.25">
      <c r="A444" s="6"/>
      <c r="B444" s="6"/>
      <c r="C444" s="123"/>
      <c r="D444" s="123"/>
      <c r="E444" s="124"/>
      <c r="F444" s="6"/>
      <c r="G444" s="124"/>
      <c r="H444" s="6"/>
      <c r="I444" s="125"/>
      <c r="J444" s="125"/>
      <c r="K444" s="125"/>
    </row>
    <row r="445" spans="1:11" x14ac:dyDescent="0.25">
      <c r="A445" s="6"/>
      <c r="B445" s="6"/>
      <c r="C445" s="123"/>
      <c r="D445" s="123"/>
      <c r="E445" s="124"/>
      <c r="F445" s="6"/>
      <c r="G445" s="124"/>
      <c r="H445" s="6"/>
      <c r="I445" s="125"/>
      <c r="J445" s="125"/>
      <c r="K445" s="125"/>
    </row>
    <row r="446" spans="1:11" x14ac:dyDescent="0.25">
      <c r="A446" s="6"/>
      <c r="B446" s="6"/>
      <c r="C446" s="123"/>
      <c r="D446" s="123"/>
      <c r="E446" s="124"/>
      <c r="F446" s="6"/>
      <c r="G446" s="124"/>
      <c r="H446" s="6"/>
      <c r="I446" s="125"/>
      <c r="J446" s="125"/>
      <c r="K446" s="125"/>
    </row>
    <row r="447" spans="1:11" x14ac:dyDescent="0.25">
      <c r="A447" s="6"/>
      <c r="B447" s="6"/>
      <c r="C447" s="123"/>
      <c r="D447" s="123"/>
      <c r="E447" s="124"/>
      <c r="F447" s="6"/>
      <c r="G447" s="124"/>
      <c r="H447" s="6"/>
      <c r="I447" s="125"/>
      <c r="J447" s="125"/>
      <c r="K447" s="125"/>
    </row>
    <row r="448" spans="1:11" x14ac:dyDescent="0.25">
      <c r="A448" s="6"/>
      <c r="B448" s="6"/>
      <c r="C448" s="123"/>
      <c r="D448" s="123"/>
      <c r="E448" s="124"/>
      <c r="F448" s="6"/>
      <c r="G448" s="124"/>
      <c r="H448" s="6"/>
      <c r="I448" s="125"/>
      <c r="J448" s="125"/>
      <c r="K448" s="125"/>
    </row>
    <row r="449" spans="1:11" x14ac:dyDescent="0.25">
      <c r="A449" s="6"/>
      <c r="B449" s="6"/>
      <c r="C449" s="123"/>
      <c r="D449" s="123"/>
      <c r="E449" s="124"/>
      <c r="F449" s="6"/>
      <c r="G449" s="124"/>
      <c r="H449" s="6"/>
      <c r="I449" s="125"/>
      <c r="J449" s="125"/>
      <c r="K449" s="125"/>
    </row>
    <row r="450" spans="1:11" x14ac:dyDescent="0.25">
      <c r="A450" s="6"/>
      <c r="B450" s="6"/>
      <c r="C450" s="123"/>
      <c r="D450" s="123"/>
      <c r="E450" s="124"/>
      <c r="F450" s="6"/>
      <c r="G450" s="124"/>
      <c r="H450" s="6"/>
      <c r="I450" s="125"/>
      <c r="J450" s="125"/>
      <c r="K450" s="125"/>
    </row>
    <row r="451" spans="1:11" x14ac:dyDescent="0.25">
      <c r="A451" s="6"/>
      <c r="B451" s="6"/>
      <c r="C451" s="123"/>
      <c r="D451" s="123"/>
      <c r="E451" s="124"/>
      <c r="F451" s="6"/>
      <c r="G451" s="124"/>
      <c r="H451" s="6"/>
      <c r="I451" s="125"/>
      <c r="J451" s="125"/>
      <c r="K451" s="125"/>
    </row>
    <row r="452" spans="1:11" x14ac:dyDescent="0.25">
      <c r="A452" s="6"/>
      <c r="B452" s="6"/>
      <c r="C452" s="123"/>
      <c r="D452" s="123"/>
      <c r="E452" s="124"/>
      <c r="F452" s="6"/>
      <c r="G452" s="124"/>
      <c r="H452" s="6"/>
      <c r="I452" s="125"/>
      <c r="J452" s="125"/>
      <c r="K452" s="125"/>
    </row>
    <row r="453" spans="1:11" x14ac:dyDescent="0.25">
      <c r="A453" s="6"/>
      <c r="B453" s="6"/>
      <c r="C453" s="123"/>
      <c r="D453" s="123"/>
      <c r="E453" s="124"/>
      <c r="F453" s="6"/>
      <c r="G453" s="124"/>
      <c r="H453" s="6"/>
      <c r="I453" s="125"/>
      <c r="J453" s="125"/>
      <c r="K453" s="125"/>
    </row>
    <row r="454" spans="1:11" x14ac:dyDescent="0.25">
      <c r="A454" s="6"/>
      <c r="B454" s="6"/>
      <c r="C454" s="123"/>
      <c r="D454" s="123"/>
      <c r="E454" s="124"/>
      <c r="F454" s="6"/>
      <c r="G454" s="124"/>
      <c r="H454" s="6"/>
      <c r="I454" s="125"/>
      <c r="J454" s="125"/>
      <c r="K454" s="125"/>
    </row>
    <row r="455" spans="1:11" x14ac:dyDescent="0.25">
      <c r="A455" s="6"/>
      <c r="B455" s="6"/>
      <c r="C455" s="123"/>
      <c r="D455" s="123"/>
      <c r="E455" s="124"/>
      <c r="F455" s="6"/>
      <c r="G455" s="124"/>
      <c r="H455" s="6"/>
      <c r="I455" s="125"/>
      <c r="J455" s="125"/>
      <c r="K455" s="125"/>
    </row>
    <row r="456" spans="1:11" x14ac:dyDescent="0.25">
      <c r="A456" s="6"/>
      <c r="B456" s="6"/>
      <c r="C456" s="123"/>
      <c r="D456" s="123"/>
      <c r="E456" s="124"/>
      <c r="F456" s="6"/>
      <c r="G456" s="124"/>
      <c r="H456" s="6"/>
      <c r="I456" s="125"/>
      <c r="J456" s="125"/>
      <c r="K456" s="125"/>
    </row>
    <row r="457" spans="1:11" x14ac:dyDescent="0.25">
      <c r="A457" s="6"/>
      <c r="B457" s="6"/>
      <c r="C457" s="123"/>
      <c r="D457" s="123"/>
      <c r="E457" s="124"/>
      <c r="F457" s="6"/>
      <c r="G457" s="124"/>
      <c r="H457" s="6"/>
      <c r="I457" s="125"/>
      <c r="J457" s="125"/>
      <c r="K457" s="125"/>
    </row>
    <row r="458" spans="1:11" x14ac:dyDescent="0.25">
      <c r="A458" s="6"/>
      <c r="B458" s="6"/>
      <c r="C458" s="123"/>
      <c r="D458" s="123"/>
      <c r="E458" s="124"/>
      <c r="F458" s="6"/>
      <c r="G458" s="124"/>
      <c r="H458" s="6"/>
      <c r="I458" s="125"/>
      <c r="J458" s="125"/>
      <c r="K458" s="125"/>
    </row>
    <row r="459" spans="1:11" x14ac:dyDescent="0.25">
      <c r="A459" s="6"/>
      <c r="B459" s="6"/>
      <c r="C459" s="123"/>
      <c r="D459" s="123"/>
      <c r="E459" s="124"/>
      <c r="F459" s="6"/>
      <c r="G459" s="124"/>
      <c r="H459" s="6"/>
      <c r="I459" s="125"/>
      <c r="J459" s="125"/>
      <c r="K459" s="125"/>
    </row>
    <row r="460" spans="1:11" x14ac:dyDescent="0.25">
      <c r="A460" s="6"/>
      <c r="B460" s="6"/>
      <c r="C460" s="123"/>
      <c r="D460" s="123"/>
      <c r="E460" s="124"/>
      <c r="F460" s="6"/>
      <c r="G460" s="124"/>
      <c r="H460" s="6"/>
      <c r="I460" s="125"/>
      <c r="J460" s="125"/>
      <c r="K460" s="125"/>
    </row>
    <row r="461" spans="1:11" x14ac:dyDescent="0.25">
      <c r="A461" s="6"/>
      <c r="B461" s="6"/>
      <c r="C461" s="123"/>
      <c r="D461" s="123"/>
      <c r="E461" s="124"/>
      <c r="F461" s="6"/>
      <c r="G461" s="124"/>
      <c r="H461" s="6"/>
      <c r="I461" s="125"/>
      <c r="J461" s="125"/>
      <c r="K461" s="125"/>
    </row>
    <row r="462" spans="1:11" x14ac:dyDescent="0.25">
      <c r="A462" s="6"/>
      <c r="B462" s="6"/>
      <c r="C462" s="123"/>
      <c r="D462" s="123"/>
      <c r="E462" s="124"/>
      <c r="F462" s="6"/>
      <c r="G462" s="124"/>
      <c r="H462" s="6"/>
      <c r="I462" s="125"/>
      <c r="J462" s="125"/>
      <c r="K462" s="125"/>
    </row>
    <row r="463" spans="1:11" x14ac:dyDescent="0.25">
      <c r="A463" s="6"/>
      <c r="B463" s="6"/>
      <c r="C463" s="123"/>
      <c r="D463" s="123"/>
      <c r="E463" s="124"/>
      <c r="F463" s="6"/>
      <c r="G463" s="124"/>
      <c r="H463" s="6"/>
      <c r="I463" s="125"/>
      <c r="J463" s="125"/>
      <c r="K463" s="125"/>
    </row>
    <row r="464" spans="1:11" x14ac:dyDescent="0.25">
      <c r="A464" s="6"/>
      <c r="B464" s="6"/>
      <c r="C464" s="123"/>
      <c r="D464" s="123"/>
      <c r="E464" s="124"/>
      <c r="F464" s="6"/>
      <c r="G464" s="124"/>
      <c r="H464" s="6"/>
      <c r="I464" s="125"/>
      <c r="J464" s="125"/>
      <c r="K464" s="125"/>
    </row>
    <row r="465" spans="1:11" x14ac:dyDescent="0.25">
      <c r="A465" s="6"/>
      <c r="B465" s="6"/>
      <c r="C465" s="123"/>
      <c r="D465" s="123"/>
      <c r="E465" s="124"/>
      <c r="F465" s="6"/>
      <c r="G465" s="124"/>
      <c r="H465" s="6"/>
      <c r="I465" s="125"/>
      <c r="J465" s="125"/>
      <c r="K465" s="125"/>
    </row>
    <row r="466" spans="1:11" x14ac:dyDescent="0.25">
      <c r="A466" s="6"/>
      <c r="B466" s="6"/>
      <c r="C466" s="123"/>
      <c r="D466" s="123"/>
      <c r="E466" s="124"/>
      <c r="F466" s="6"/>
      <c r="G466" s="124"/>
      <c r="H466" s="6"/>
      <c r="I466" s="125"/>
      <c r="J466" s="125"/>
      <c r="K466" s="125"/>
    </row>
    <row r="467" spans="1:11" x14ac:dyDescent="0.25">
      <c r="A467" s="6"/>
      <c r="B467" s="6"/>
      <c r="C467" s="123"/>
      <c r="D467" s="123"/>
      <c r="E467" s="124"/>
      <c r="F467" s="6"/>
      <c r="G467" s="124"/>
      <c r="H467" s="6"/>
      <c r="I467" s="125"/>
      <c r="J467" s="125"/>
      <c r="K467" s="125"/>
    </row>
    <row r="468" spans="1:11" x14ac:dyDescent="0.25">
      <c r="A468" s="6"/>
      <c r="B468" s="6"/>
      <c r="C468" s="123"/>
      <c r="D468" s="123"/>
      <c r="E468" s="124"/>
      <c r="F468" s="6"/>
      <c r="G468" s="124"/>
      <c r="H468" s="6"/>
      <c r="I468" s="125"/>
      <c r="J468" s="125"/>
      <c r="K468" s="125"/>
    </row>
    <row r="469" spans="1:11" x14ac:dyDescent="0.25">
      <c r="A469" s="6"/>
      <c r="B469" s="6"/>
      <c r="C469" s="123"/>
      <c r="D469" s="123"/>
      <c r="E469" s="124"/>
      <c r="F469" s="6"/>
      <c r="G469" s="124"/>
      <c r="H469" s="6"/>
      <c r="I469" s="125"/>
      <c r="J469" s="125"/>
      <c r="K469" s="125"/>
    </row>
    <row r="470" spans="1:11" x14ac:dyDescent="0.25">
      <c r="A470" s="6"/>
      <c r="B470" s="6"/>
      <c r="C470" s="123"/>
      <c r="D470" s="123"/>
      <c r="E470" s="124"/>
      <c r="F470" s="6"/>
      <c r="G470" s="124"/>
      <c r="H470" s="6"/>
      <c r="I470" s="125"/>
      <c r="J470" s="125"/>
      <c r="K470" s="125"/>
    </row>
    <row r="471" spans="1:11" x14ac:dyDescent="0.25">
      <c r="A471" s="6"/>
      <c r="B471" s="6"/>
      <c r="C471" s="123"/>
      <c r="D471" s="123"/>
      <c r="E471" s="124"/>
      <c r="F471" s="6"/>
      <c r="G471" s="124"/>
      <c r="H471" s="6"/>
      <c r="I471" s="125"/>
      <c r="J471" s="125"/>
      <c r="K471" s="125"/>
    </row>
    <row r="472" spans="1:11" x14ac:dyDescent="0.25">
      <c r="A472" s="6"/>
      <c r="B472" s="6"/>
      <c r="C472" s="123"/>
      <c r="D472" s="123"/>
      <c r="E472" s="124"/>
      <c r="F472" s="6"/>
      <c r="G472" s="124"/>
      <c r="H472" s="6"/>
      <c r="I472" s="125"/>
      <c r="J472" s="125"/>
      <c r="K472" s="125"/>
    </row>
    <row r="473" spans="1:11" x14ac:dyDescent="0.25">
      <c r="A473" s="6"/>
      <c r="B473" s="6"/>
      <c r="C473" s="123"/>
      <c r="D473" s="123"/>
      <c r="E473" s="124"/>
      <c r="F473" s="6"/>
      <c r="G473" s="124"/>
      <c r="H473" s="6"/>
      <c r="I473" s="125"/>
      <c r="J473" s="125"/>
      <c r="K473" s="125"/>
    </row>
    <row r="474" spans="1:11" x14ac:dyDescent="0.25">
      <c r="A474" s="6"/>
      <c r="B474" s="6"/>
      <c r="C474" s="123"/>
      <c r="D474" s="123"/>
      <c r="E474" s="124"/>
      <c r="F474" s="6"/>
      <c r="G474" s="124"/>
      <c r="H474" s="6"/>
      <c r="I474" s="125"/>
      <c r="J474" s="125"/>
      <c r="K474" s="125"/>
    </row>
    <row r="475" spans="1:11" x14ac:dyDescent="0.25">
      <c r="A475" s="6"/>
      <c r="B475" s="6"/>
      <c r="C475" s="123"/>
      <c r="D475" s="123"/>
      <c r="E475" s="124"/>
      <c r="F475" s="6"/>
      <c r="G475" s="124"/>
      <c r="H475" s="6"/>
      <c r="I475" s="125"/>
      <c r="J475" s="125"/>
      <c r="K475" s="125"/>
    </row>
    <row r="476" spans="1:11" x14ac:dyDescent="0.25">
      <c r="A476" s="6"/>
      <c r="B476" s="6"/>
      <c r="C476" s="123"/>
      <c r="D476" s="123"/>
      <c r="E476" s="124"/>
      <c r="F476" s="6"/>
      <c r="G476" s="124"/>
      <c r="H476" s="6"/>
      <c r="I476" s="125"/>
      <c r="J476" s="125"/>
      <c r="K476" s="125"/>
    </row>
    <row r="477" spans="1:11" x14ac:dyDescent="0.25">
      <c r="A477" s="6"/>
      <c r="B477" s="6"/>
      <c r="C477" s="123"/>
      <c r="D477" s="123"/>
      <c r="E477" s="124"/>
      <c r="F477" s="6"/>
      <c r="G477" s="124"/>
      <c r="H477" s="6"/>
      <c r="I477" s="125"/>
      <c r="J477" s="125"/>
      <c r="K477" s="125"/>
    </row>
    <row r="478" spans="1:11" x14ac:dyDescent="0.25">
      <c r="A478" s="6"/>
      <c r="B478" s="6"/>
      <c r="C478" s="123"/>
      <c r="D478" s="123"/>
      <c r="E478" s="124"/>
      <c r="F478" s="6"/>
      <c r="G478" s="124"/>
      <c r="H478" s="6"/>
      <c r="I478" s="125"/>
      <c r="J478" s="125"/>
      <c r="K478" s="125"/>
    </row>
    <row r="479" spans="1:11" x14ac:dyDescent="0.25">
      <c r="A479" s="6"/>
      <c r="B479" s="6"/>
      <c r="C479" s="123"/>
      <c r="D479" s="123"/>
      <c r="E479" s="124"/>
      <c r="F479" s="6"/>
      <c r="G479" s="124"/>
      <c r="H479" s="6"/>
      <c r="I479" s="125"/>
      <c r="J479" s="125"/>
      <c r="K479" s="125"/>
    </row>
    <row r="480" spans="1:11" x14ac:dyDescent="0.25">
      <c r="A480" s="6"/>
      <c r="B480" s="6"/>
      <c r="C480" s="123"/>
      <c r="D480" s="123"/>
      <c r="E480" s="124"/>
      <c r="F480" s="6"/>
      <c r="G480" s="124"/>
      <c r="H480" s="6"/>
      <c r="I480" s="125"/>
      <c r="J480" s="125"/>
      <c r="K480" s="125"/>
    </row>
    <row r="481" spans="1:11" x14ac:dyDescent="0.25">
      <c r="A481" s="6"/>
      <c r="B481" s="6"/>
      <c r="C481" s="123"/>
      <c r="D481" s="123"/>
      <c r="E481" s="124"/>
      <c r="F481" s="6"/>
      <c r="G481" s="124"/>
      <c r="H481" s="6"/>
      <c r="I481" s="125"/>
      <c r="J481" s="125"/>
      <c r="K481" s="125"/>
    </row>
    <row r="482" spans="1:11" x14ac:dyDescent="0.25">
      <c r="A482" s="6"/>
      <c r="B482" s="6"/>
      <c r="C482" s="123"/>
      <c r="D482" s="123"/>
      <c r="E482" s="124"/>
      <c r="F482" s="6"/>
      <c r="G482" s="124"/>
      <c r="H482" s="6"/>
      <c r="I482" s="125"/>
      <c r="J482" s="125"/>
      <c r="K482" s="125"/>
    </row>
    <row r="483" spans="1:11" x14ac:dyDescent="0.25">
      <c r="A483" s="6"/>
      <c r="B483" s="6"/>
      <c r="C483" s="123"/>
      <c r="D483" s="123"/>
      <c r="E483" s="124"/>
      <c r="F483" s="6"/>
      <c r="G483" s="124"/>
      <c r="H483" s="6"/>
      <c r="I483" s="125"/>
      <c r="J483" s="125"/>
      <c r="K483" s="125"/>
    </row>
    <row r="484" spans="1:11" x14ac:dyDescent="0.25">
      <c r="A484" s="6"/>
      <c r="B484" s="6"/>
      <c r="C484" s="123"/>
      <c r="D484" s="123"/>
      <c r="E484" s="124"/>
      <c r="F484" s="6"/>
      <c r="G484" s="124"/>
      <c r="H484" s="6"/>
      <c r="I484" s="125"/>
      <c r="J484" s="125"/>
      <c r="K484" s="125"/>
    </row>
    <row r="485" spans="1:11" x14ac:dyDescent="0.25">
      <c r="A485" s="6"/>
      <c r="B485" s="6"/>
      <c r="C485" s="123"/>
      <c r="D485" s="123"/>
      <c r="E485" s="124"/>
      <c r="F485" s="6"/>
      <c r="G485" s="124"/>
      <c r="H485" s="6"/>
      <c r="I485" s="125"/>
      <c r="J485" s="125"/>
      <c r="K485" s="125"/>
    </row>
    <row r="486" spans="1:11" x14ac:dyDescent="0.25">
      <c r="A486" s="6"/>
      <c r="B486" s="6"/>
      <c r="C486" s="123"/>
      <c r="D486" s="123"/>
      <c r="E486" s="124"/>
      <c r="F486" s="6"/>
      <c r="G486" s="124"/>
      <c r="H486" s="6"/>
      <c r="I486" s="125"/>
      <c r="J486" s="125"/>
      <c r="K486" s="125"/>
    </row>
    <row r="487" spans="1:11" x14ac:dyDescent="0.25">
      <c r="A487" s="6"/>
      <c r="B487" s="6"/>
      <c r="C487" s="123"/>
      <c r="D487" s="123"/>
      <c r="E487" s="124"/>
      <c r="F487" s="6"/>
      <c r="G487" s="124"/>
      <c r="H487" s="6"/>
      <c r="I487" s="125"/>
      <c r="J487" s="125"/>
      <c r="K487" s="125"/>
    </row>
    <row r="488" spans="1:11" x14ac:dyDescent="0.25">
      <c r="A488" s="6"/>
      <c r="B488" s="6"/>
      <c r="C488" s="123"/>
      <c r="D488" s="123"/>
      <c r="E488" s="124"/>
      <c r="F488" s="6"/>
      <c r="G488" s="124"/>
      <c r="H488" s="6"/>
      <c r="I488" s="125"/>
      <c r="J488" s="125"/>
      <c r="K488" s="125"/>
    </row>
    <row r="489" spans="1:11" x14ac:dyDescent="0.25">
      <c r="A489" s="6"/>
      <c r="B489" s="6"/>
      <c r="C489" s="123"/>
      <c r="D489" s="123"/>
      <c r="E489" s="124"/>
      <c r="F489" s="6"/>
      <c r="G489" s="124"/>
      <c r="H489" s="6"/>
      <c r="I489" s="125"/>
      <c r="J489" s="125"/>
      <c r="K489" s="125"/>
    </row>
    <row r="490" spans="1:11" x14ac:dyDescent="0.25">
      <c r="A490" s="6"/>
      <c r="B490" s="6"/>
      <c r="C490" s="123"/>
      <c r="D490" s="123"/>
      <c r="E490" s="124"/>
      <c r="F490" s="6"/>
      <c r="G490" s="124"/>
      <c r="H490" s="6"/>
      <c r="I490" s="125"/>
      <c r="J490" s="125"/>
      <c r="K490" s="125"/>
    </row>
    <row r="491" spans="1:11" x14ac:dyDescent="0.25">
      <c r="A491" s="6"/>
      <c r="B491" s="6"/>
      <c r="C491" s="123"/>
      <c r="D491" s="123"/>
      <c r="E491" s="124"/>
      <c r="F491" s="6"/>
      <c r="G491" s="124"/>
      <c r="H491" s="6"/>
      <c r="I491" s="125"/>
      <c r="J491" s="125"/>
      <c r="K491" s="125"/>
    </row>
    <row r="492" spans="1:11" x14ac:dyDescent="0.25">
      <c r="A492" s="6"/>
      <c r="B492" s="6"/>
      <c r="C492" s="123"/>
      <c r="D492" s="123"/>
      <c r="E492" s="124"/>
      <c r="F492" s="6"/>
      <c r="G492" s="124"/>
      <c r="H492" s="6"/>
      <c r="I492" s="125"/>
      <c r="J492" s="125"/>
      <c r="K492" s="125"/>
    </row>
    <row r="493" spans="1:11" x14ac:dyDescent="0.25">
      <c r="A493" s="6"/>
      <c r="B493" s="6"/>
      <c r="C493" s="123"/>
      <c r="D493" s="123"/>
      <c r="E493" s="124"/>
      <c r="F493" s="6"/>
      <c r="G493" s="124"/>
      <c r="H493" s="6"/>
      <c r="I493" s="125"/>
      <c r="J493" s="125"/>
      <c r="K493" s="125"/>
    </row>
    <row r="494" spans="1:11" x14ac:dyDescent="0.25">
      <c r="A494" s="6"/>
      <c r="B494" s="6"/>
      <c r="C494" s="123"/>
      <c r="D494" s="123"/>
      <c r="E494" s="124"/>
      <c r="F494" s="6"/>
      <c r="G494" s="124"/>
      <c r="H494" s="6"/>
      <c r="I494" s="125"/>
      <c r="J494" s="125"/>
      <c r="K494" s="125"/>
    </row>
    <row r="495" spans="1:11" x14ac:dyDescent="0.25">
      <c r="A495" s="6"/>
      <c r="B495" s="6"/>
      <c r="C495" s="123"/>
      <c r="D495" s="123"/>
      <c r="E495" s="124"/>
      <c r="F495" s="6"/>
      <c r="G495" s="124"/>
      <c r="H495" s="6"/>
      <c r="I495" s="125"/>
      <c r="J495" s="125"/>
      <c r="K495" s="125"/>
    </row>
    <row r="496" spans="1:11" x14ac:dyDescent="0.25">
      <c r="A496" s="6"/>
      <c r="B496" s="6"/>
      <c r="C496" s="123"/>
      <c r="D496" s="123"/>
      <c r="E496" s="124"/>
      <c r="F496" s="6"/>
      <c r="G496" s="124"/>
      <c r="H496" s="6"/>
      <c r="I496" s="125"/>
      <c r="J496" s="125"/>
      <c r="K496" s="125"/>
    </row>
    <row r="497" spans="1:11" x14ac:dyDescent="0.25">
      <c r="A497" s="6"/>
      <c r="B497" s="6"/>
      <c r="C497" s="123"/>
      <c r="D497" s="123"/>
      <c r="E497" s="124"/>
      <c r="F497" s="6"/>
      <c r="G497" s="124"/>
      <c r="H497" s="6"/>
      <c r="I497" s="125"/>
      <c r="J497" s="125"/>
      <c r="K497" s="125"/>
    </row>
    <row r="498" spans="1:11" x14ac:dyDescent="0.25">
      <c r="A498" s="6"/>
      <c r="B498" s="6"/>
      <c r="C498" s="123"/>
      <c r="D498" s="123"/>
      <c r="E498" s="124"/>
      <c r="F498" s="6"/>
      <c r="G498" s="124"/>
      <c r="H498" s="6"/>
      <c r="I498" s="125"/>
      <c r="J498" s="125"/>
      <c r="K498" s="125"/>
    </row>
    <row r="499" spans="1:11" x14ac:dyDescent="0.25">
      <c r="A499" s="6"/>
      <c r="B499" s="6"/>
      <c r="C499" s="123"/>
      <c r="D499" s="123"/>
      <c r="E499" s="124"/>
      <c r="F499" s="6"/>
      <c r="G499" s="124"/>
      <c r="H499" s="6"/>
      <c r="I499" s="125"/>
      <c r="J499" s="125"/>
      <c r="K499" s="125"/>
    </row>
    <row r="500" spans="1:11" x14ac:dyDescent="0.25">
      <c r="A500" s="6"/>
      <c r="B500" s="6"/>
      <c r="C500" s="123"/>
      <c r="D500" s="123"/>
      <c r="E500" s="124"/>
      <c r="F500" s="6"/>
      <c r="G500" s="124"/>
      <c r="H500" s="6"/>
      <c r="I500" s="125"/>
      <c r="J500" s="125"/>
      <c r="K500" s="125"/>
    </row>
    <row r="501" spans="1:11" x14ac:dyDescent="0.25">
      <c r="A501" s="6"/>
      <c r="B501" s="6"/>
      <c r="C501" s="123"/>
      <c r="D501" s="123"/>
      <c r="E501" s="124"/>
      <c r="F501" s="6"/>
      <c r="G501" s="124"/>
      <c r="H501" s="6"/>
      <c r="I501" s="125"/>
      <c r="J501" s="125"/>
      <c r="K501" s="125"/>
    </row>
    <row r="502" spans="1:11" x14ac:dyDescent="0.25">
      <c r="A502" s="6"/>
      <c r="B502" s="6"/>
      <c r="C502" s="123"/>
      <c r="D502" s="123"/>
      <c r="E502" s="124"/>
      <c r="F502" s="6"/>
      <c r="G502" s="124"/>
      <c r="H502" s="6"/>
      <c r="I502" s="125"/>
      <c r="J502" s="125"/>
      <c r="K502" s="125"/>
    </row>
    <row r="503" spans="1:11" x14ac:dyDescent="0.25">
      <c r="A503" s="6"/>
      <c r="B503" s="6"/>
      <c r="C503" s="123"/>
      <c r="D503" s="123"/>
      <c r="E503" s="124"/>
      <c r="F503" s="6"/>
      <c r="G503" s="124"/>
      <c r="H503" s="6"/>
      <c r="I503" s="125"/>
      <c r="J503" s="125"/>
      <c r="K503" s="125"/>
    </row>
    <row r="504" spans="1:11" x14ac:dyDescent="0.25">
      <c r="A504" s="6"/>
      <c r="B504" s="6"/>
      <c r="C504" s="123"/>
      <c r="D504" s="123"/>
      <c r="E504" s="124"/>
      <c r="F504" s="6"/>
      <c r="G504" s="124"/>
      <c r="H504" s="6"/>
      <c r="I504" s="125"/>
      <c r="J504" s="125"/>
      <c r="K504" s="125"/>
    </row>
    <row r="505" spans="1:11" x14ac:dyDescent="0.25">
      <c r="A505" s="6"/>
      <c r="B505" s="6"/>
      <c r="C505" s="123"/>
      <c r="D505" s="123"/>
      <c r="E505" s="124"/>
      <c r="F505" s="6"/>
      <c r="G505" s="124"/>
      <c r="H505" s="6"/>
      <c r="I505" s="125"/>
      <c r="J505" s="125"/>
      <c r="K505" s="125"/>
    </row>
    <row r="506" spans="1:11" x14ac:dyDescent="0.25">
      <c r="A506" s="6"/>
      <c r="B506" s="6"/>
      <c r="C506" s="123"/>
      <c r="D506" s="123"/>
      <c r="E506" s="124"/>
      <c r="F506" s="6"/>
      <c r="G506" s="124"/>
      <c r="H506" s="6"/>
      <c r="I506" s="125"/>
      <c r="J506" s="125"/>
      <c r="K506" s="125"/>
    </row>
    <row r="507" spans="1:11" x14ac:dyDescent="0.25">
      <c r="A507" s="6"/>
      <c r="B507" s="6"/>
      <c r="C507" s="123"/>
      <c r="D507" s="123"/>
      <c r="E507" s="124"/>
      <c r="F507" s="6"/>
      <c r="G507" s="124"/>
      <c r="H507" s="6"/>
      <c r="I507" s="125"/>
      <c r="J507" s="125"/>
      <c r="K507" s="125"/>
    </row>
    <row r="508" spans="1:11" x14ac:dyDescent="0.25">
      <c r="A508" s="6"/>
      <c r="B508" s="6"/>
      <c r="C508" s="123"/>
      <c r="D508" s="123"/>
      <c r="E508" s="124"/>
      <c r="F508" s="6"/>
      <c r="G508" s="124"/>
      <c r="H508" s="6"/>
      <c r="I508" s="125"/>
      <c r="J508" s="125"/>
      <c r="K508" s="125"/>
    </row>
    <row r="509" spans="1:11" x14ac:dyDescent="0.25">
      <c r="A509" s="6"/>
      <c r="B509" s="6"/>
      <c r="C509" s="123"/>
      <c r="D509" s="123"/>
      <c r="E509" s="124"/>
      <c r="F509" s="6"/>
      <c r="G509" s="124"/>
      <c r="H509" s="6"/>
      <c r="I509" s="125"/>
      <c r="J509" s="125"/>
      <c r="K509" s="125"/>
    </row>
    <row r="510" spans="1:11" x14ac:dyDescent="0.25">
      <c r="A510" s="6"/>
      <c r="B510" s="6"/>
      <c r="C510" s="123"/>
      <c r="D510" s="123"/>
      <c r="E510" s="124"/>
      <c r="F510" s="6"/>
      <c r="G510" s="124"/>
      <c r="H510" s="6"/>
      <c r="I510" s="125"/>
      <c r="J510" s="125"/>
      <c r="K510" s="125"/>
    </row>
    <row r="511" spans="1:11" x14ac:dyDescent="0.25">
      <c r="A511" s="6"/>
      <c r="B511" s="6"/>
      <c r="C511" s="123"/>
      <c r="D511" s="123"/>
      <c r="E511" s="124"/>
      <c r="F511" s="6"/>
      <c r="G511" s="124"/>
      <c r="H511" s="6"/>
      <c r="I511" s="125"/>
      <c r="J511" s="125"/>
      <c r="K511" s="125"/>
    </row>
    <row r="512" spans="1:11" x14ac:dyDescent="0.25">
      <c r="A512" s="6"/>
      <c r="B512" s="6"/>
      <c r="C512" s="123"/>
      <c r="D512" s="123"/>
      <c r="E512" s="124"/>
      <c r="F512" s="6"/>
      <c r="G512" s="124"/>
      <c r="H512" s="6"/>
      <c r="I512" s="125"/>
      <c r="J512" s="125"/>
      <c r="K512" s="125"/>
    </row>
    <row r="513" spans="1:11" x14ac:dyDescent="0.25">
      <c r="A513" s="6"/>
      <c r="B513" s="6"/>
      <c r="C513" s="123"/>
      <c r="D513" s="123"/>
      <c r="E513" s="124"/>
      <c r="F513" s="6"/>
      <c r="G513" s="124"/>
      <c r="H513" s="6"/>
      <c r="I513" s="125"/>
      <c r="J513" s="125"/>
      <c r="K513" s="125"/>
    </row>
    <row r="514" spans="1:11" x14ac:dyDescent="0.25">
      <c r="A514" s="6"/>
      <c r="B514" s="6"/>
      <c r="C514" s="123"/>
      <c r="D514" s="123"/>
      <c r="E514" s="124"/>
      <c r="F514" s="6"/>
      <c r="G514" s="124"/>
      <c r="H514" s="6"/>
      <c r="I514" s="125"/>
      <c r="J514" s="125"/>
      <c r="K514" s="125"/>
    </row>
    <row r="515" spans="1:11" x14ac:dyDescent="0.25">
      <c r="A515" s="6"/>
      <c r="B515" s="6"/>
      <c r="C515" s="123"/>
      <c r="D515" s="123"/>
      <c r="E515" s="124"/>
      <c r="F515" s="6"/>
      <c r="G515" s="124"/>
      <c r="H515" s="6"/>
      <c r="I515" s="125"/>
      <c r="J515" s="125"/>
      <c r="K515" s="125"/>
    </row>
    <row r="516" spans="1:11" x14ac:dyDescent="0.25">
      <c r="A516" s="6"/>
      <c r="B516" s="6"/>
      <c r="C516" s="123"/>
      <c r="D516" s="123"/>
      <c r="E516" s="124"/>
      <c r="F516" s="6"/>
      <c r="G516" s="124"/>
      <c r="H516" s="6"/>
      <c r="I516" s="125"/>
      <c r="J516" s="125"/>
      <c r="K516" s="125"/>
    </row>
    <row r="517" spans="1:11" x14ac:dyDescent="0.25">
      <c r="A517" s="6"/>
      <c r="B517" s="6"/>
      <c r="C517" s="123"/>
      <c r="D517" s="123"/>
      <c r="E517" s="124"/>
      <c r="F517" s="6"/>
      <c r="G517" s="124"/>
      <c r="H517" s="6"/>
      <c r="I517" s="125"/>
      <c r="J517" s="125"/>
      <c r="K517" s="125"/>
    </row>
    <row r="518" spans="1:11" x14ac:dyDescent="0.25">
      <c r="A518" s="6"/>
      <c r="B518" s="6"/>
      <c r="C518" s="123"/>
      <c r="D518" s="123"/>
      <c r="E518" s="124"/>
      <c r="F518" s="6"/>
      <c r="G518" s="124"/>
      <c r="H518" s="6"/>
      <c r="I518" s="125"/>
      <c r="J518" s="125"/>
      <c r="K518" s="125"/>
    </row>
    <row r="519" spans="1:11" x14ac:dyDescent="0.25">
      <c r="A519" s="6"/>
      <c r="B519" s="6"/>
      <c r="C519" s="123"/>
      <c r="D519" s="123"/>
      <c r="E519" s="124"/>
      <c r="F519" s="6"/>
      <c r="G519" s="124"/>
      <c r="H519" s="6"/>
      <c r="I519" s="125"/>
      <c r="J519" s="125"/>
      <c r="K519" s="125"/>
    </row>
    <row r="520" spans="1:11" x14ac:dyDescent="0.25">
      <c r="A520" s="6"/>
      <c r="B520" s="6"/>
      <c r="C520" s="123"/>
      <c r="D520" s="123"/>
      <c r="E520" s="124"/>
      <c r="F520" s="6"/>
      <c r="G520" s="124"/>
      <c r="H520" s="6"/>
      <c r="I520" s="125"/>
      <c r="J520" s="125"/>
      <c r="K520" s="125"/>
    </row>
    <row r="521" spans="1:11" x14ac:dyDescent="0.25">
      <c r="A521" s="6"/>
      <c r="B521" s="6"/>
      <c r="C521" s="123"/>
      <c r="D521" s="123"/>
      <c r="E521" s="124"/>
      <c r="F521" s="6"/>
      <c r="G521" s="124"/>
      <c r="H521" s="6"/>
      <c r="I521" s="125"/>
      <c r="J521" s="125"/>
      <c r="K521" s="125"/>
    </row>
    <row r="522" spans="1:11" x14ac:dyDescent="0.25">
      <c r="A522" s="6"/>
      <c r="B522" s="6"/>
      <c r="C522" s="123"/>
      <c r="D522" s="123"/>
      <c r="E522" s="124"/>
      <c r="F522" s="6"/>
      <c r="G522" s="124"/>
      <c r="H522" s="6"/>
      <c r="I522" s="125"/>
      <c r="J522" s="125"/>
      <c r="K522" s="125"/>
    </row>
    <row r="523" spans="1:11" x14ac:dyDescent="0.25">
      <c r="A523" s="6"/>
      <c r="B523" s="6"/>
      <c r="C523" s="123"/>
      <c r="D523" s="123"/>
      <c r="E523" s="124"/>
      <c r="F523" s="6"/>
      <c r="G523" s="124"/>
      <c r="H523" s="6"/>
      <c r="I523" s="125"/>
      <c r="J523" s="125"/>
      <c r="K523" s="125"/>
    </row>
    <row r="524" spans="1:11" x14ac:dyDescent="0.25">
      <c r="A524" s="6"/>
      <c r="B524" s="6"/>
      <c r="C524" s="123"/>
      <c r="D524" s="123"/>
      <c r="E524" s="124"/>
      <c r="F524" s="6"/>
      <c r="G524" s="124"/>
      <c r="H524" s="6"/>
      <c r="I524" s="125"/>
      <c r="J524" s="125"/>
      <c r="K524" s="125"/>
    </row>
    <row r="525" spans="1:11" x14ac:dyDescent="0.25">
      <c r="A525" s="6"/>
      <c r="B525" s="6"/>
      <c r="C525" s="123"/>
      <c r="D525" s="123"/>
      <c r="E525" s="124"/>
      <c r="F525" s="6"/>
      <c r="G525" s="124"/>
      <c r="H525" s="6"/>
      <c r="I525" s="125"/>
      <c r="J525" s="125"/>
      <c r="K525" s="125"/>
    </row>
    <row r="526" spans="1:11" x14ac:dyDescent="0.25">
      <c r="A526" s="6"/>
      <c r="B526" s="6"/>
      <c r="C526" s="123"/>
      <c r="D526" s="123"/>
      <c r="E526" s="124"/>
      <c r="F526" s="6"/>
      <c r="G526" s="124"/>
      <c r="H526" s="6"/>
      <c r="I526" s="125"/>
      <c r="J526" s="125"/>
      <c r="K526" s="125"/>
    </row>
    <row r="527" spans="1:11" x14ac:dyDescent="0.25">
      <c r="A527" s="6"/>
      <c r="B527" s="6"/>
      <c r="C527" s="123"/>
      <c r="D527" s="123"/>
      <c r="E527" s="124"/>
      <c r="F527" s="6"/>
      <c r="G527" s="124"/>
      <c r="H527" s="6"/>
      <c r="I527" s="125"/>
      <c r="J527" s="125"/>
      <c r="K527" s="125"/>
    </row>
    <row r="528" spans="1:11" x14ac:dyDescent="0.25">
      <c r="A528" s="6"/>
      <c r="B528" s="6"/>
      <c r="C528" s="123"/>
      <c r="D528" s="123"/>
      <c r="E528" s="124"/>
      <c r="F528" s="6"/>
      <c r="G528" s="124"/>
      <c r="H528" s="6"/>
      <c r="I528" s="125"/>
      <c r="J528" s="125"/>
      <c r="K528" s="125"/>
    </row>
    <row r="529" spans="1:11" x14ac:dyDescent="0.25">
      <c r="A529" s="6"/>
      <c r="B529" s="6"/>
      <c r="C529" s="123"/>
      <c r="D529" s="123"/>
      <c r="E529" s="124"/>
      <c r="F529" s="6"/>
      <c r="G529" s="124"/>
      <c r="H529" s="6"/>
      <c r="I529" s="125"/>
      <c r="J529" s="125"/>
      <c r="K529" s="125"/>
    </row>
    <row r="530" spans="1:11" x14ac:dyDescent="0.25">
      <c r="A530" s="6"/>
      <c r="B530" s="6"/>
      <c r="C530" s="123"/>
      <c r="D530" s="123"/>
      <c r="E530" s="124"/>
      <c r="F530" s="6"/>
      <c r="G530" s="124"/>
      <c r="H530" s="6"/>
      <c r="I530" s="125"/>
      <c r="J530" s="125"/>
      <c r="K530" s="125"/>
    </row>
    <row r="531" spans="1:11" x14ac:dyDescent="0.25">
      <c r="A531" s="6"/>
      <c r="B531" s="6"/>
      <c r="C531" s="123"/>
      <c r="D531" s="123"/>
      <c r="E531" s="124"/>
      <c r="F531" s="6"/>
      <c r="G531" s="124"/>
      <c r="H531" s="6"/>
      <c r="I531" s="125"/>
      <c r="J531" s="125"/>
      <c r="K531" s="125"/>
    </row>
    <row r="532" spans="1:11" x14ac:dyDescent="0.25">
      <c r="A532" s="6"/>
      <c r="B532" s="6"/>
      <c r="C532" s="123"/>
      <c r="D532" s="123"/>
      <c r="E532" s="124"/>
      <c r="F532" s="6"/>
      <c r="G532" s="124"/>
      <c r="H532" s="6"/>
      <c r="I532" s="125"/>
      <c r="J532" s="125"/>
      <c r="K532" s="125"/>
    </row>
    <row r="533" spans="1:11" x14ac:dyDescent="0.25">
      <c r="A533" s="6"/>
      <c r="B533" s="6"/>
      <c r="C533" s="123"/>
      <c r="D533" s="123"/>
      <c r="E533" s="124"/>
      <c r="F533" s="6"/>
      <c r="G533" s="124"/>
      <c r="H533" s="6"/>
      <c r="I533" s="125"/>
      <c r="J533" s="125"/>
      <c r="K533" s="125"/>
    </row>
    <row r="534" spans="1:11" x14ac:dyDescent="0.25">
      <c r="A534" s="6"/>
      <c r="B534" s="6"/>
      <c r="C534" s="123"/>
      <c r="D534" s="123"/>
      <c r="E534" s="124"/>
      <c r="F534" s="6"/>
      <c r="G534" s="124"/>
      <c r="H534" s="6"/>
      <c r="I534" s="125"/>
      <c r="J534" s="125"/>
      <c r="K534" s="125"/>
    </row>
    <row r="535" spans="1:11" x14ac:dyDescent="0.25">
      <c r="A535" s="6"/>
      <c r="B535" s="6"/>
      <c r="C535" s="123"/>
      <c r="D535" s="123"/>
      <c r="E535" s="124"/>
      <c r="F535" s="6"/>
      <c r="G535" s="124"/>
      <c r="H535" s="6"/>
      <c r="I535" s="125"/>
      <c r="J535" s="125"/>
      <c r="K535" s="125"/>
    </row>
    <row r="536" spans="1:11" x14ac:dyDescent="0.25">
      <c r="A536" s="6"/>
      <c r="B536" s="6"/>
      <c r="C536" s="123"/>
      <c r="D536" s="123"/>
      <c r="E536" s="124"/>
      <c r="F536" s="6"/>
      <c r="G536" s="124"/>
      <c r="H536" s="6"/>
      <c r="I536" s="125"/>
      <c r="J536" s="125"/>
      <c r="K536" s="125"/>
    </row>
    <row r="537" spans="1:11" x14ac:dyDescent="0.25">
      <c r="A537" s="6"/>
      <c r="B537" s="6"/>
      <c r="C537" s="123"/>
      <c r="D537" s="123"/>
      <c r="E537" s="124"/>
      <c r="F537" s="6"/>
      <c r="G537" s="124"/>
      <c r="H537" s="6"/>
      <c r="I537" s="125"/>
      <c r="J537" s="125"/>
      <c r="K537" s="125"/>
    </row>
    <row r="538" spans="1:11" x14ac:dyDescent="0.25">
      <c r="A538" s="6"/>
      <c r="B538" s="6"/>
      <c r="C538" s="123"/>
      <c r="D538" s="123"/>
      <c r="E538" s="124"/>
      <c r="F538" s="6"/>
      <c r="G538" s="124"/>
      <c r="H538" s="6"/>
      <c r="I538" s="125"/>
      <c r="J538" s="125"/>
      <c r="K538" s="125"/>
    </row>
    <row r="539" spans="1:11" x14ac:dyDescent="0.25">
      <c r="A539" s="6"/>
      <c r="B539" s="6"/>
      <c r="C539" s="123"/>
      <c r="D539" s="123"/>
      <c r="E539" s="124"/>
      <c r="F539" s="6"/>
      <c r="G539" s="124"/>
      <c r="H539" s="6"/>
      <c r="I539" s="125"/>
      <c r="J539" s="125"/>
      <c r="K539" s="125"/>
    </row>
    <row r="540" spans="1:11" x14ac:dyDescent="0.25">
      <c r="A540" s="6"/>
      <c r="B540" s="6"/>
      <c r="C540" s="123"/>
      <c r="D540" s="123"/>
      <c r="E540" s="124"/>
      <c r="F540" s="6"/>
      <c r="G540" s="124"/>
      <c r="H540" s="6"/>
      <c r="I540" s="125"/>
      <c r="J540" s="125"/>
      <c r="K540" s="125"/>
    </row>
    <row r="541" spans="1:11" x14ac:dyDescent="0.25">
      <c r="A541" s="6"/>
      <c r="B541" s="6"/>
      <c r="C541" s="123"/>
      <c r="D541" s="123"/>
      <c r="E541" s="124"/>
      <c r="F541" s="6"/>
      <c r="G541" s="124"/>
      <c r="H541" s="6"/>
      <c r="I541" s="125"/>
      <c r="J541" s="125"/>
      <c r="K541" s="125"/>
    </row>
    <row r="542" spans="1:11" x14ac:dyDescent="0.25">
      <c r="A542" s="6"/>
      <c r="B542" s="6"/>
      <c r="C542" s="123"/>
      <c r="D542" s="123"/>
      <c r="E542" s="124"/>
      <c r="F542" s="6"/>
      <c r="G542" s="124"/>
      <c r="H542" s="6"/>
      <c r="I542" s="125"/>
      <c r="J542" s="125"/>
      <c r="K542" s="125"/>
    </row>
    <row r="543" spans="1:11" x14ac:dyDescent="0.25">
      <c r="A543" s="6"/>
      <c r="B543" s="6"/>
      <c r="C543" s="123"/>
      <c r="D543" s="123"/>
      <c r="E543" s="124"/>
      <c r="F543" s="6"/>
      <c r="G543" s="124"/>
      <c r="H543" s="6"/>
      <c r="I543" s="125"/>
      <c r="J543" s="125"/>
      <c r="K543" s="125"/>
    </row>
    <row r="544" spans="1:11" x14ac:dyDescent="0.25">
      <c r="A544" s="6"/>
      <c r="B544" s="6"/>
      <c r="C544" s="123"/>
      <c r="D544" s="123"/>
      <c r="E544" s="124"/>
      <c r="F544" s="6"/>
      <c r="G544" s="124"/>
      <c r="H544" s="6"/>
      <c r="I544" s="125"/>
      <c r="J544" s="125"/>
      <c r="K544" s="125"/>
    </row>
    <row r="545" spans="1:11" x14ac:dyDescent="0.25">
      <c r="A545" s="6"/>
      <c r="B545" s="6"/>
      <c r="C545" s="123"/>
      <c r="D545" s="123"/>
      <c r="E545" s="124"/>
      <c r="F545" s="6"/>
      <c r="G545" s="124"/>
      <c r="H545" s="6"/>
      <c r="I545" s="125"/>
      <c r="J545" s="125"/>
      <c r="K545" s="125"/>
    </row>
    <row r="546" spans="1:11" x14ac:dyDescent="0.25">
      <c r="A546" s="6"/>
      <c r="B546" s="6"/>
      <c r="C546" s="123"/>
      <c r="D546" s="123"/>
      <c r="E546" s="124"/>
      <c r="F546" s="6"/>
      <c r="G546" s="124"/>
      <c r="H546" s="6"/>
      <c r="I546" s="125"/>
      <c r="J546" s="125"/>
      <c r="K546" s="125"/>
    </row>
    <row r="547" spans="1:11" x14ac:dyDescent="0.25">
      <c r="A547" s="6"/>
      <c r="B547" s="6"/>
      <c r="C547" s="123"/>
      <c r="D547" s="123"/>
      <c r="E547" s="124"/>
      <c r="F547" s="6"/>
      <c r="G547" s="124"/>
      <c r="H547" s="6"/>
      <c r="I547" s="125"/>
      <c r="J547" s="125"/>
      <c r="K547" s="125"/>
    </row>
    <row r="548" spans="1:11" x14ac:dyDescent="0.25">
      <c r="A548" s="6"/>
      <c r="B548" s="6"/>
      <c r="C548" s="123"/>
      <c r="D548" s="123"/>
      <c r="E548" s="124"/>
      <c r="F548" s="6"/>
      <c r="G548" s="124"/>
      <c r="H548" s="6"/>
      <c r="I548" s="125"/>
      <c r="J548" s="125"/>
      <c r="K548" s="125"/>
    </row>
    <row r="549" spans="1:11" x14ac:dyDescent="0.25">
      <c r="A549" s="6"/>
      <c r="B549" s="6"/>
      <c r="C549" s="123"/>
      <c r="D549" s="123"/>
      <c r="E549" s="124"/>
      <c r="F549" s="6"/>
      <c r="G549" s="124"/>
      <c r="H549" s="6"/>
      <c r="I549" s="125"/>
      <c r="J549" s="125"/>
      <c r="K549" s="125"/>
    </row>
    <row r="550" spans="1:11" x14ac:dyDescent="0.25">
      <c r="A550" s="6"/>
      <c r="B550" s="6"/>
      <c r="C550" s="123"/>
      <c r="D550" s="123"/>
      <c r="E550" s="124"/>
      <c r="F550" s="6"/>
      <c r="G550" s="124"/>
      <c r="H550" s="6"/>
      <c r="I550" s="125"/>
      <c r="J550" s="125"/>
      <c r="K550" s="125"/>
    </row>
    <row r="551" spans="1:11" x14ac:dyDescent="0.25">
      <c r="A551" s="6"/>
      <c r="B551" s="6"/>
      <c r="C551" s="123"/>
      <c r="D551" s="123"/>
      <c r="E551" s="124"/>
      <c r="F551" s="6"/>
      <c r="G551" s="124"/>
      <c r="H551" s="6"/>
      <c r="I551" s="125"/>
      <c r="J551" s="125"/>
      <c r="K551" s="125"/>
    </row>
    <row r="552" spans="1:11" x14ac:dyDescent="0.25">
      <c r="A552" s="6"/>
      <c r="B552" s="6"/>
      <c r="C552" s="123"/>
      <c r="D552" s="123"/>
      <c r="E552" s="124"/>
      <c r="F552" s="6"/>
      <c r="G552" s="124"/>
      <c r="H552" s="6"/>
      <c r="I552" s="125"/>
      <c r="J552" s="125"/>
      <c r="K552" s="125"/>
    </row>
    <row r="553" spans="1:11" x14ac:dyDescent="0.25">
      <c r="A553" s="6"/>
      <c r="B553" s="6"/>
      <c r="C553" s="123"/>
      <c r="D553" s="123"/>
      <c r="E553" s="124"/>
      <c r="F553" s="6"/>
      <c r="G553" s="124"/>
      <c r="H553" s="6"/>
      <c r="I553" s="125"/>
      <c r="J553" s="125"/>
      <c r="K553" s="125"/>
    </row>
    <row r="554" spans="1:11" x14ac:dyDescent="0.25">
      <c r="A554" s="6"/>
      <c r="B554" s="6"/>
      <c r="C554" s="123"/>
      <c r="D554" s="123"/>
      <c r="E554" s="124"/>
      <c r="F554" s="6"/>
      <c r="G554" s="124"/>
      <c r="H554" s="6"/>
      <c r="I554" s="125"/>
      <c r="J554" s="125"/>
      <c r="K554" s="125"/>
    </row>
    <row r="555" spans="1:11" x14ac:dyDescent="0.25">
      <c r="A555" s="6"/>
      <c r="B555" s="6"/>
      <c r="C555" s="123"/>
      <c r="D555" s="123"/>
      <c r="E555" s="124"/>
      <c r="F555" s="6"/>
      <c r="G555" s="124"/>
      <c r="H555" s="6"/>
      <c r="I555" s="125"/>
      <c r="J555" s="125"/>
      <c r="K555" s="125"/>
    </row>
    <row r="556" spans="1:11" x14ac:dyDescent="0.25">
      <c r="A556" s="6"/>
      <c r="B556" s="6"/>
      <c r="C556" s="123"/>
      <c r="D556" s="123"/>
      <c r="E556" s="124"/>
      <c r="F556" s="6"/>
      <c r="G556" s="124"/>
      <c r="H556" s="6"/>
      <c r="I556" s="125"/>
      <c r="J556" s="125"/>
      <c r="K556" s="125"/>
    </row>
    <row r="557" spans="1:11" x14ac:dyDescent="0.25">
      <c r="A557" s="6"/>
      <c r="B557" s="6"/>
      <c r="C557" s="123"/>
      <c r="D557" s="123"/>
      <c r="E557" s="124"/>
      <c r="F557" s="6"/>
      <c r="G557" s="124"/>
      <c r="H557" s="6"/>
      <c r="I557" s="125"/>
      <c r="J557" s="125"/>
      <c r="K557" s="125"/>
    </row>
    <row r="558" spans="1:11" x14ac:dyDescent="0.25">
      <c r="A558" s="6"/>
      <c r="B558" s="6"/>
      <c r="C558" s="123"/>
      <c r="D558" s="123"/>
      <c r="E558" s="124"/>
      <c r="F558" s="6"/>
      <c r="G558" s="124"/>
      <c r="H558" s="6"/>
      <c r="I558" s="125"/>
      <c r="J558" s="125"/>
      <c r="K558" s="125"/>
    </row>
    <row r="559" spans="1:11" x14ac:dyDescent="0.25">
      <c r="A559" s="6"/>
      <c r="B559" s="6"/>
      <c r="C559" s="123"/>
      <c r="D559" s="123"/>
      <c r="E559" s="124"/>
      <c r="F559" s="6"/>
      <c r="G559" s="124"/>
      <c r="H559" s="6"/>
      <c r="I559" s="125"/>
      <c r="J559" s="125"/>
      <c r="K559" s="125"/>
    </row>
    <row r="560" spans="1:11" x14ac:dyDescent="0.25">
      <c r="A560" s="6"/>
      <c r="B560" s="6"/>
      <c r="C560" s="123"/>
      <c r="D560" s="123"/>
      <c r="E560" s="124"/>
      <c r="F560" s="6"/>
      <c r="G560" s="124"/>
      <c r="H560" s="6"/>
      <c r="I560" s="125"/>
      <c r="J560" s="125"/>
      <c r="K560" s="125"/>
    </row>
    <row r="561" spans="1:11" x14ac:dyDescent="0.25">
      <c r="A561" s="6"/>
      <c r="B561" s="6"/>
      <c r="C561" s="123"/>
      <c r="D561" s="123"/>
      <c r="E561" s="124"/>
      <c r="F561" s="6"/>
      <c r="G561" s="124"/>
      <c r="H561" s="6"/>
      <c r="I561" s="125"/>
      <c r="J561" s="125"/>
      <c r="K561" s="125"/>
    </row>
    <row r="562" spans="1:11" x14ac:dyDescent="0.25">
      <c r="A562" s="6"/>
      <c r="B562" s="6"/>
      <c r="C562" s="123"/>
      <c r="D562" s="123"/>
      <c r="E562" s="124"/>
      <c r="F562" s="6"/>
      <c r="G562" s="124"/>
      <c r="H562" s="6"/>
      <c r="I562" s="125"/>
      <c r="J562" s="125"/>
      <c r="K562" s="125"/>
    </row>
    <row r="563" spans="1:11" x14ac:dyDescent="0.25">
      <c r="A563" s="6"/>
      <c r="B563" s="6"/>
      <c r="C563" s="123"/>
      <c r="D563" s="123"/>
      <c r="E563" s="124"/>
      <c r="F563" s="6"/>
      <c r="G563" s="124"/>
      <c r="H563" s="6"/>
      <c r="I563" s="125"/>
      <c r="J563" s="125"/>
      <c r="K563" s="125"/>
    </row>
    <row r="564" spans="1:11" x14ac:dyDescent="0.25">
      <c r="A564" s="6"/>
      <c r="B564" s="6"/>
      <c r="C564" s="123"/>
      <c r="D564" s="123"/>
      <c r="E564" s="124"/>
      <c r="F564" s="6"/>
      <c r="G564" s="124"/>
      <c r="H564" s="6"/>
      <c r="I564" s="125"/>
      <c r="J564" s="125"/>
      <c r="K564" s="125"/>
    </row>
    <row r="565" spans="1:11" x14ac:dyDescent="0.25">
      <c r="A565" s="6"/>
      <c r="B565" s="6"/>
      <c r="C565" s="123"/>
      <c r="D565" s="123"/>
      <c r="E565" s="124"/>
      <c r="F565" s="6"/>
      <c r="G565" s="124"/>
      <c r="H565" s="6"/>
      <c r="I565" s="125"/>
      <c r="J565" s="125"/>
      <c r="K565" s="125"/>
    </row>
    <row r="566" spans="1:11" x14ac:dyDescent="0.25">
      <c r="A566" s="6"/>
      <c r="B566" s="6"/>
      <c r="C566" s="123"/>
      <c r="D566" s="123"/>
      <c r="E566" s="124"/>
      <c r="F566" s="6"/>
      <c r="G566" s="124"/>
      <c r="H566" s="6"/>
      <c r="I566" s="125"/>
      <c r="J566" s="125"/>
      <c r="K566" s="125"/>
    </row>
    <row r="567" spans="1:11" x14ac:dyDescent="0.25">
      <c r="A567" s="6"/>
      <c r="B567" s="6"/>
      <c r="C567" s="123"/>
      <c r="D567" s="123"/>
      <c r="E567" s="124"/>
      <c r="F567" s="6"/>
      <c r="G567" s="124"/>
      <c r="H567" s="6"/>
      <c r="I567" s="125"/>
      <c r="J567" s="125"/>
      <c r="K567" s="125"/>
    </row>
    <row r="568" spans="1:11" x14ac:dyDescent="0.25">
      <c r="A568" s="6"/>
      <c r="B568" s="6"/>
      <c r="C568" s="123"/>
      <c r="D568" s="123"/>
      <c r="E568" s="124"/>
      <c r="F568" s="6"/>
      <c r="G568" s="124"/>
      <c r="H568" s="6"/>
      <c r="I568" s="125"/>
      <c r="J568" s="125"/>
      <c r="K568" s="125"/>
    </row>
    <row r="569" spans="1:11" x14ac:dyDescent="0.25">
      <c r="A569" s="6"/>
      <c r="B569" s="6"/>
      <c r="C569" s="123"/>
      <c r="D569" s="123"/>
      <c r="E569" s="124"/>
      <c r="F569" s="6"/>
      <c r="G569" s="124"/>
      <c r="H569" s="6"/>
      <c r="I569" s="125"/>
      <c r="J569" s="125"/>
      <c r="K569" s="125"/>
    </row>
    <row r="570" spans="1:11" x14ac:dyDescent="0.25">
      <c r="A570" s="6"/>
      <c r="B570" s="6"/>
      <c r="C570" s="123"/>
      <c r="D570" s="123"/>
      <c r="E570" s="124"/>
      <c r="F570" s="6"/>
      <c r="G570" s="124"/>
      <c r="H570" s="6"/>
      <c r="I570" s="125"/>
      <c r="J570" s="125"/>
      <c r="K570" s="125"/>
    </row>
    <row r="571" spans="1:11" x14ac:dyDescent="0.25">
      <c r="A571" s="6"/>
      <c r="B571" s="6"/>
      <c r="C571" s="123"/>
      <c r="D571" s="123"/>
      <c r="E571" s="124"/>
      <c r="F571" s="6"/>
      <c r="G571" s="124"/>
      <c r="H571" s="6"/>
      <c r="I571" s="125"/>
      <c r="J571" s="125"/>
      <c r="K571" s="125"/>
    </row>
    <row r="572" spans="1:11" x14ac:dyDescent="0.25">
      <c r="A572" s="6"/>
      <c r="B572" s="6"/>
      <c r="C572" s="123"/>
      <c r="D572" s="123"/>
      <c r="E572" s="124"/>
      <c r="F572" s="6"/>
      <c r="G572" s="124"/>
      <c r="H572" s="6"/>
      <c r="I572" s="125"/>
      <c r="J572" s="125"/>
      <c r="K572" s="125"/>
    </row>
    <row r="573" spans="1:11" x14ac:dyDescent="0.25">
      <c r="A573" s="6"/>
      <c r="B573" s="6"/>
      <c r="C573" s="123"/>
      <c r="D573" s="123"/>
      <c r="E573" s="124"/>
      <c r="F573" s="6"/>
      <c r="G573" s="124"/>
      <c r="H573" s="6"/>
      <c r="I573" s="125"/>
      <c r="J573" s="125"/>
      <c r="K573" s="125"/>
    </row>
    <row r="574" spans="1:11" x14ac:dyDescent="0.25">
      <c r="A574" s="6"/>
      <c r="B574" s="6"/>
      <c r="C574" s="123"/>
      <c r="D574" s="123"/>
      <c r="E574" s="124"/>
      <c r="F574" s="6"/>
      <c r="G574" s="124"/>
      <c r="H574" s="6"/>
      <c r="I574" s="125"/>
      <c r="J574" s="125"/>
      <c r="K574" s="125"/>
    </row>
    <row r="575" spans="1:11" x14ac:dyDescent="0.25">
      <c r="A575" s="6"/>
      <c r="B575" s="6"/>
      <c r="C575" s="123"/>
      <c r="D575" s="123"/>
      <c r="E575" s="124"/>
      <c r="F575" s="6"/>
      <c r="G575" s="124"/>
      <c r="H575" s="6"/>
      <c r="I575" s="125"/>
      <c r="J575" s="125"/>
      <c r="K575" s="125"/>
    </row>
    <row r="576" spans="1:11" x14ac:dyDescent="0.25">
      <c r="A576" s="6"/>
      <c r="B576" s="6"/>
      <c r="C576" s="123"/>
      <c r="D576" s="123"/>
      <c r="E576" s="124"/>
      <c r="F576" s="6"/>
      <c r="G576" s="124"/>
      <c r="H576" s="6"/>
      <c r="I576" s="125"/>
      <c r="J576" s="125"/>
      <c r="K576" s="125"/>
    </row>
    <row r="577" spans="1:11" x14ac:dyDescent="0.25">
      <c r="A577" s="6"/>
      <c r="B577" s="6"/>
      <c r="C577" s="123"/>
      <c r="D577" s="123"/>
      <c r="E577" s="124"/>
      <c r="F577" s="6"/>
      <c r="G577" s="124"/>
      <c r="H577" s="6"/>
      <c r="I577" s="125"/>
      <c r="J577" s="125"/>
      <c r="K577" s="125"/>
    </row>
    <row r="578" spans="1:11" x14ac:dyDescent="0.25">
      <c r="A578" s="6"/>
      <c r="B578" s="6"/>
      <c r="C578" s="123"/>
      <c r="D578" s="123"/>
      <c r="E578" s="124"/>
      <c r="F578" s="6"/>
      <c r="G578" s="124"/>
      <c r="H578" s="6"/>
      <c r="I578" s="125"/>
      <c r="J578" s="125"/>
      <c r="K578" s="125"/>
    </row>
    <row r="579" spans="1:11" x14ac:dyDescent="0.25">
      <c r="A579" s="6"/>
      <c r="B579" s="6"/>
      <c r="C579" s="123"/>
      <c r="D579" s="123"/>
      <c r="E579" s="124"/>
      <c r="F579" s="6"/>
      <c r="G579" s="124"/>
      <c r="H579" s="6"/>
      <c r="I579" s="125"/>
      <c r="J579" s="125"/>
      <c r="K579" s="125"/>
    </row>
    <row r="580" spans="1:11" x14ac:dyDescent="0.25">
      <c r="A580" s="6"/>
      <c r="B580" s="6"/>
      <c r="C580" s="123"/>
      <c r="D580" s="123"/>
      <c r="E580" s="124"/>
      <c r="F580" s="6"/>
      <c r="G580" s="124"/>
      <c r="H580" s="6"/>
      <c r="I580" s="125"/>
      <c r="J580" s="125"/>
      <c r="K580" s="125"/>
    </row>
    <row r="581" spans="1:11" x14ac:dyDescent="0.25">
      <c r="A581" s="6"/>
      <c r="B581" s="6"/>
      <c r="C581" s="123"/>
      <c r="D581" s="123"/>
      <c r="E581" s="124"/>
      <c r="F581" s="6"/>
      <c r="G581" s="124"/>
      <c r="H581" s="6"/>
      <c r="I581" s="125"/>
      <c r="J581" s="125"/>
      <c r="K581" s="125"/>
    </row>
    <row r="582" spans="1:11" x14ac:dyDescent="0.25">
      <c r="A582" s="6"/>
      <c r="B582" s="6"/>
      <c r="C582" s="123"/>
      <c r="D582" s="123"/>
      <c r="E582" s="124"/>
      <c r="F582" s="6"/>
      <c r="G582" s="124"/>
      <c r="H582" s="6"/>
      <c r="I582" s="125"/>
      <c r="J582" s="125"/>
      <c r="K582" s="125"/>
    </row>
    <row r="583" spans="1:11" x14ac:dyDescent="0.25">
      <c r="A583" s="6"/>
      <c r="B583" s="6"/>
      <c r="C583" s="123"/>
      <c r="D583" s="123"/>
      <c r="E583" s="124"/>
      <c r="F583" s="6"/>
      <c r="G583" s="124"/>
      <c r="H583" s="6"/>
      <c r="I583" s="125"/>
      <c r="J583" s="125"/>
      <c r="K583" s="125"/>
    </row>
    <row r="584" spans="1:11" x14ac:dyDescent="0.25">
      <c r="A584" s="6"/>
      <c r="B584" s="6"/>
      <c r="C584" s="123"/>
      <c r="D584" s="123"/>
      <c r="E584" s="124"/>
      <c r="F584" s="6"/>
      <c r="G584" s="124"/>
      <c r="H584" s="6"/>
      <c r="I584" s="125"/>
      <c r="J584" s="125"/>
      <c r="K584" s="125"/>
    </row>
    <row r="585" spans="1:11" x14ac:dyDescent="0.25">
      <c r="A585" s="6"/>
      <c r="B585" s="6"/>
      <c r="C585" s="123"/>
      <c r="D585" s="123"/>
      <c r="E585" s="124"/>
      <c r="F585" s="6"/>
      <c r="G585" s="124"/>
      <c r="H585" s="6"/>
      <c r="I585" s="125"/>
      <c r="J585" s="125"/>
      <c r="K585" s="125"/>
    </row>
    <row r="586" spans="1:11" x14ac:dyDescent="0.25">
      <c r="A586" s="6"/>
      <c r="B586" s="6"/>
      <c r="C586" s="123"/>
      <c r="D586" s="123"/>
      <c r="E586" s="124"/>
      <c r="F586" s="6"/>
      <c r="G586" s="124"/>
      <c r="H586" s="6"/>
      <c r="I586" s="125"/>
      <c r="J586" s="125"/>
      <c r="K586" s="125"/>
    </row>
    <row r="587" spans="1:11" x14ac:dyDescent="0.25">
      <c r="A587" s="6"/>
      <c r="B587" s="6"/>
      <c r="C587" s="123"/>
      <c r="D587" s="123"/>
      <c r="E587" s="124"/>
      <c r="F587" s="6"/>
      <c r="G587" s="124"/>
      <c r="H587" s="6"/>
      <c r="I587" s="125"/>
      <c r="J587" s="125"/>
      <c r="K587" s="125"/>
    </row>
    <row r="588" spans="1:11" x14ac:dyDescent="0.25">
      <c r="A588" s="6"/>
      <c r="B588" s="6"/>
      <c r="C588" s="123"/>
      <c r="D588" s="123"/>
      <c r="E588" s="124"/>
      <c r="F588" s="6"/>
      <c r="G588" s="124"/>
      <c r="H588" s="6"/>
      <c r="I588" s="125"/>
      <c r="J588" s="125"/>
      <c r="K588" s="125"/>
    </row>
    <row r="589" spans="1:11" x14ac:dyDescent="0.25">
      <c r="A589" s="6"/>
      <c r="B589" s="6"/>
      <c r="C589" s="123"/>
      <c r="D589" s="123"/>
      <c r="E589" s="124"/>
      <c r="F589" s="6"/>
      <c r="G589" s="124"/>
      <c r="H589" s="6"/>
      <c r="I589" s="125"/>
      <c r="J589" s="125"/>
      <c r="K589" s="125"/>
    </row>
    <row r="590" spans="1:11" x14ac:dyDescent="0.25">
      <c r="A590" s="6"/>
      <c r="B590" s="6"/>
      <c r="C590" s="123"/>
      <c r="D590" s="123"/>
      <c r="E590" s="124"/>
      <c r="F590" s="6"/>
      <c r="G590" s="124"/>
      <c r="H590" s="6"/>
      <c r="I590" s="125"/>
      <c r="J590" s="125"/>
      <c r="K590" s="125"/>
    </row>
    <row r="591" spans="1:11" x14ac:dyDescent="0.25">
      <c r="A591" s="6"/>
      <c r="B591" s="6"/>
      <c r="C591" s="123"/>
      <c r="D591" s="123"/>
      <c r="E591" s="124"/>
      <c r="F591" s="6"/>
      <c r="G591" s="124"/>
      <c r="H591" s="6"/>
      <c r="I591" s="125"/>
      <c r="J591" s="125"/>
      <c r="K591" s="125"/>
    </row>
    <row r="592" spans="1:11" x14ac:dyDescent="0.25">
      <c r="A592" s="6"/>
      <c r="B592" s="6"/>
      <c r="C592" s="123"/>
      <c r="D592" s="123"/>
      <c r="E592" s="124"/>
      <c r="F592" s="6"/>
      <c r="G592" s="124"/>
      <c r="H592" s="6"/>
      <c r="I592" s="125"/>
      <c r="J592" s="125"/>
      <c r="K592" s="125"/>
    </row>
    <row r="593" spans="1:11" x14ac:dyDescent="0.25">
      <c r="A593" s="6"/>
      <c r="B593" s="6"/>
      <c r="C593" s="123"/>
      <c r="D593" s="123"/>
      <c r="E593" s="124"/>
      <c r="F593" s="6"/>
      <c r="G593" s="124"/>
      <c r="H593" s="6"/>
      <c r="I593" s="125"/>
      <c r="J593" s="125"/>
      <c r="K593" s="125"/>
    </row>
    <row r="594" spans="1:11" x14ac:dyDescent="0.25">
      <c r="A594" s="6"/>
      <c r="B594" s="6"/>
      <c r="C594" s="123"/>
      <c r="D594" s="123"/>
      <c r="E594" s="124"/>
      <c r="F594" s="6"/>
      <c r="G594" s="124"/>
      <c r="H594" s="6"/>
      <c r="I594" s="125"/>
      <c r="J594" s="125"/>
      <c r="K594" s="125"/>
    </row>
    <row r="595" spans="1:11" x14ac:dyDescent="0.25">
      <c r="A595" s="6"/>
      <c r="B595" s="6"/>
      <c r="C595" s="123"/>
      <c r="D595" s="123"/>
      <c r="E595" s="124"/>
      <c r="F595" s="6"/>
      <c r="G595" s="124"/>
      <c r="H595" s="6"/>
      <c r="I595" s="125"/>
      <c r="J595" s="125"/>
      <c r="K595" s="125"/>
    </row>
    <row r="596" spans="1:11" x14ac:dyDescent="0.25">
      <c r="A596" s="6"/>
      <c r="B596" s="6"/>
      <c r="C596" s="123"/>
      <c r="D596" s="123"/>
      <c r="E596" s="124"/>
      <c r="F596" s="6"/>
      <c r="G596" s="124"/>
      <c r="H596" s="6"/>
      <c r="I596" s="125"/>
      <c r="J596" s="125"/>
      <c r="K596" s="125"/>
    </row>
    <row r="597" spans="1:11" x14ac:dyDescent="0.25">
      <c r="A597" s="6"/>
      <c r="B597" s="6"/>
      <c r="C597" s="123"/>
      <c r="D597" s="123"/>
      <c r="E597" s="124"/>
      <c r="F597" s="6"/>
      <c r="G597" s="124"/>
      <c r="H597" s="6"/>
      <c r="I597" s="125"/>
      <c r="J597" s="125"/>
      <c r="K597" s="125"/>
    </row>
    <row r="598" spans="1:11" x14ac:dyDescent="0.25">
      <c r="A598" s="6"/>
      <c r="B598" s="6"/>
      <c r="C598" s="123"/>
      <c r="D598" s="123"/>
      <c r="E598" s="124"/>
      <c r="F598" s="6"/>
      <c r="G598" s="124"/>
      <c r="H598" s="6"/>
      <c r="I598" s="125"/>
      <c r="J598" s="125"/>
      <c r="K598" s="125"/>
    </row>
    <row r="599" spans="1:11" x14ac:dyDescent="0.25">
      <c r="A599" s="6"/>
      <c r="B599" s="6"/>
      <c r="C599" s="123"/>
      <c r="D599" s="123"/>
      <c r="E599" s="124"/>
      <c r="F599" s="6"/>
      <c r="G599" s="124"/>
      <c r="H599" s="6"/>
      <c r="I599" s="125"/>
      <c r="J599" s="125"/>
      <c r="K599" s="125"/>
    </row>
    <row r="600" spans="1:11" x14ac:dyDescent="0.25">
      <c r="A600" s="6"/>
      <c r="B600" s="6"/>
      <c r="C600" s="123"/>
      <c r="D600" s="123"/>
      <c r="E600" s="124"/>
      <c r="F600" s="6"/>
      <c r="G600" s="124"/>
      <c r="H600" s="6"/>
      <c r="I600" s="125"/>
      <c r="J600" s="125"/>
      <c r="K600" s="125"/>
    </row>
    <row r="601" spans="1:11" x14ac:dyDescent="0.25">
      <c r="A601" s="6"/>
      <c r="B601" s="6"/>
      <c r="C601" s="123"/>
      <c r="D601" s="123"/>
      <c r="E601" s="124"/>
      <c r="F601" s="6"/>
      <c r="G601" s="124"/>
      <c r="H601" s="6"/>
      <c r="I601" s="125"/>
      <c r="J601" s="125"/>
      <c r="K601" s="125"/>
    </row>
    <row r="602" spans="1:11" x14ac:dyDescent="0.25">
      <c r="A602" s="6"/>
      <c r="B602" s="6"/>
      <c r="C602" s="123"/>
      <c r="D602" s="123"/>
      <c r="E602" s="124"/>
      <c r="F602" s="6"/>
      <c r="G602" s="124"/>
      <c r="H602" s="6"/>
      <c r="I602" s="125"/>
      <c r="J602" s="125"/>
      <c r="K602" s="125"/>
    </row>
    <row r="603" spans="1:11" x14ac:dyDescent="0.25">
      <c r="A603" s="6"/>
      <c r="B603" s="6"/>
      <c r="C603" s="123"/>
      <c r="D603" s="123"/>
      <c r="E603" s="124"/>
      <c r="F603" s="6"/>
      <c r="G603" s="124"/>
      <c r="H603" s="6"/>
      <c r="I603" s="125"/>
      <c r="J603" s="125"/>
      <c r="K603" s="125"/>
    </row>
    <row r="604" spans="1:11" x14ac:dyDescent="0.25">
      <c r="A604" s="6"/>
      <c r="B604" s="6"/>
      <c r="C604" s="123"/>
      <c r="D604" s="123"/>
      <c r="E604" s="124"/>
      <c r="F604" s="6"/>
      <c r="G604" s="124"/>
      <c r="H604" s="6"/>
      <c r="I604" s="125"/>
      <c r="J604" s="125"/>
      <c r="K604" s="125"/>
    </row>
    <row r="605" spans="1:11" x14ac:dyDescent="0.25">
      <c r="A605" s="6"/>
      <c r="B605" s="6"/>
      <c r="C605" s="123"/>
      <c r="D605" s="123"/>
      <c r="E605" s="124"/>
      <c r="F605" s="6"/>
      <c r="G605" s="124"/>
      <c r="H605" s="6"/>
      <c r="I605" s="125"/>
      <c r="J605" s="125"/>
      <c r="K605" s="125"/>
    </row>
    <row r="606" spans="1:11" x14ac:dyDescent="0.25">
      <c r="A606" s="6"/>
      <c r="B606" s="6"/>
      <c r="C606" s="123"/>
      <c r="D606" s="123"/>
      <c r="E606" s="124"/>
      <c r="F606" s="6"/>
      <c r="G606" s="124"/>
      <c r="H606" s="6"/>
      <c r="I606" s="125"/>
      <c r="J606" s="125"/>
      <c r="K606" s="125"/>
    </row>
    <row r="607" spans="1:11" x14ac:dyDescent="0.25">
      <c r="A607" s="6"/>
      <c r="B607" s="6"/>
      <c r="C607" s="123"/>
      <c r="D607" s="123"/>
      <c r="E607" s="124"/>
      <c r="F607" s="6"/>
      <c r="G607" s="124"/>
      <c r="H607" s="6"/>
      <c r="I607" s="125"/>
      <c r="J607" s="125"/>
      <c r="K607" s="125"/>
    </row>
    <row r="608" spans="1:11" x14ac:dyDescent="0.25">
      <c r="A608" s="6"/>
      <c r="B608" s="6"/>
      <c r="C608" s="123"/>
      <c r="D608" s="123"/>
      <c r="E608" s="124"/>
      <c r="F608" s="6"/>
      <c r="G608" s="124"/>
      <c r="H608" s="6"/>
      <c r="I608" s="125"/>
      <c r="J608" s="125"/>
      <c r="K608" s="125"/>
    </row>
    <row r="609" spans="1:11" x14ac:dyDescent="0.25">
      <c r="A609" s="6"/>
      <c r="B609" s="6"/>
      <c r="C609" s="123"/>
      <c r="D609" s="123"/>
      <c r="E609" s="124"/>
      <c r="F609" s="6"/>
      <c r="G609" s="124"/>
      <c r="H609" s="6"/>
      <c r="I609" s="125"/>
      <c r="J609" s="125"/>
      <c r="K609" s="125"/>
    </row>
    <row r="610" spans="1:11" x14ac:dyDescent="0.25">
      <c r="A610" s="6"/>
      <c r="B610" s="6"/>
      <c r="C610" s="123"/>
      <c r="D610" s="123"/>
      <c r="E610" s="124"/>
      <c r="F610" s="6"/>
      <c r="G610" s="124"/>
      <c r="H610" s="6"/>
      <c r="I610" s="125"/>
      <c r="J610" s="125"/>
      <c r="K610" s="125"/>
    </row>
    <row r="611" spans="1:11" x14ac:dyDescent="0.25">
      <c r="A611" s="6"/>
      <c r="B611" s="6"/>
      <c r="C611" s="123"/>
      <c r="D611" s="123"/>
      <c r="E611" s="124"/>
      <c r="F611" s="6"/>
      <c r="G611" s="124"/>
      <c r="H611" s="6"/>
      <c r="I611" s="125"/>
      <c r="J611" s="125"/>
      <c r="K611" s="125"/>
    </row>
    <row r="612" spans="1:11" x14ac:dyDescent="0.25">
      <c r="A612" s="6"/>
      <c r="B612" s="6"/>
      <c r="C612" s="123"/>
      <c r="D612" s="123"/>
      <c r="E612" s="124"/>
      <c r="F612" s="6"/>
      <c r="G612" s="124"/>
      <c r="H612" s="6"/>
      <c r="I612" s="125"/>
      <c r="J612" s="125"/>
      <c r="K612" s="125"/>
    </row>
    <row r="613" spans="1:11" x14ac:dyDescent="0.25">
      <c r="A613" s="6"/>
      <c r="B613" s="6"/>
      <c r="C613" s="123"/>
      <c r="D613" s="123"/>
      <c r="E613" s="124"/>
      <c r="F613" s="6"/>
      <c r="G613" s="124"/>
      <c r="H613" s="6"/>
      <c r="I613" s="125"/>
      <c r="J613" s="125"/>
      <c r="K613" s="125"/>
    </row>
    <row r="614" spans="1:11" x14ac:dyDescent="0.25">
      <c r="A614" s="6"/>
      <c r="B614" s="6"/>
      <c r="C614" s="123"/>
      <c r="D614" s="123"/>
      <c r="E614" s="124"/>
      <c r="F614" s="6"/>
      <c r="G614" s="124"/>
      <c r="H614" s="6"/>
      <c r="I614" s="125"/>
      <c r="J614" s="125"/>
      <c r="K614" s="125"/>
    </row>
    <row r="615" spans="1:11" x14ac:dyDescent="0.25">
      <c r="A615" s="6"/>
      <c r="B615" s="6"/>
      <c r="C615" s="123"/>
      <c r="D615" s="123"/>
      <c r="E615" s="124"/>
      <c r="F615" s="6"/>
      <c r="G615" s="124"/>
      <c r="H615" s="6"/>
      <c r="I615" s="125"/>
      <c r="J615" s="125"/>
      <c r="K615" s="125"/>
    </row>
    <row r="616" spans="1:11" x14ac:dyDescent="0.25">
      <c r="A616" s="6"/>
      <c r="B616" s="6"/>
      <c r="C616" s="123"/>
      <c r="D616" s="123"/>
      <c r="E616" s="124"/>
      <c r="F616" s="6"/>
      <c r="G616" s="124"/>
      <c r="H616" s="6"/>
      <c r="I616" s="125"/>
      <c r="J616" s="125"/>
      <c r="K616" s="125"/>
    </row>
    <row r="617" spans="1:11" x14ac:dyDescent="0.25">
      <c r="A617" s="6"/>
      <c r="B617" s="6"/>
      <c r="C617" s="123"/>
      <c r="D617" s="123"/>
      <c r="E617" s="124"/>
      <c r="F617" s="6"/>
      <c r="G617" s="124"/>
      <c r="H617" s="6"/>
      <c r="I617" s="125"/>
      <c r="J617" s="125"/>
      <c r="K617" s="125"/>
    </row>
    <row r="618" spans="1:11" x14ac:dyDescent="0.25">
      <c r="A618" s="6"/>
      <c r="B618" s="6"/>
      <c r="C618" s="123"/>
      <c r="D618" s="123"/>
      <c r="E618" s="124"/>
      <c r="F618" s="6"/>
      <c r="G618" s="124"/>
      <c r="H618" s="6"/>
      <c r="I618" s="125"/>
      <c r="J618" s="125"/>
      <c r="K618" s="125"/>
    </row>
    <row r="619" spans="1:11" x14ac:dyDescent="0.25">
      <c r="A619" s="6"/>
      <c r="B619" s="6"/>
      <c r="C619" s="123"/>
      <c r="D619" s="123"/>
      <c r="E619" s="124"/>
      <c r="F619" s="6"/>
      <c r="G619" s="124"/>
      <c r="H619" s="6"/>
      <c r="I619" s="125"/>
      <c r="J619" s="125"/>
      <c r="K619" s="125"/>
    </row>
    <row r="620" spans="1:11" x14ac:dyDescent="0.25">
      <c r="A620" s="6"/>
      <c r="B620" s="6"/>
      <c r="C620" s="123"/>
      <c r="D620" s="123"/>
      <c r="E620" s="124"/>
      <c r="F620" s="6"/>
      <c r="G620" s="124"/>
      <c r="H620" s="6"/>
      <c r="I620" s="125"/>
      <c r="J620" s="125"/>
      <c r="K620" s="125"/>
    </row>
    <row r="621" spans="1:11" x14ac:dyDescent="0.25">
      <c r="A621" s="6"/>
      <c r="B621" s="6"/>
      <c r="C621" s="123"/>
      <c r="D621" s="123"/>
      <c r="E621" s="124"/>
      <c r="F621" s="6"/>
      <c r="G621" s="124"/>
      <c r="H621" s="6"/>
      <c r="I621" s="125"/>
      <c r="J621" s="125"/>
      <c r="K621" s="125"/>
    </row>
    <row r="622" spans="1:11" x14ac:dyDescent="0.25">
      <c r="A622" s="6"/>
      <c r="B622" s="6"/>
      <c r="C622" s="123"/>
      <c r="D622" s="123"/>
      <c r="E622" s="124"/>
      <c r="F622" s="6"/>
      <c r="G622" s="124"/>
      <c r="H622" s="6"/>
      <c r="I622" s="125"/>
      <c r="J622" s="125"/>
      <c r="K622" s="125"/>
    </row>
    <row r="623" spans="1:11" x14ac:dyDescent="0.25">
      <c r="A623" s="6"/>
      <c r="B623" s="6"/>
      <c r="C623" s="123"/>
      <c r="D623" s="123"/>
      <c r="E623" s="124"/>
      <c r="F623" s="6"/>
      <c r="G623" s="124"/>
      <c r="H623" s="6"/>
      <c r="I623" s="125"/>
      <c r="J623" s="125"/>
      <c r="K623" s="125"/>
    </row>
    <row r="624" spans="1:11" x14ac:dyDescent="0.25">
      <c r="A624" s="6"/>
      <c r="B624" s="6"/>
      <c r="C624" s="123"/>
      <c r="D624" s="123"/>
      <c r="E624" s="124"/>
      <c r="F624" s="6"/>
      <c r="G624" s="124"/>
      <c r="H624" s="6"/>
      <c r="I624" s="125"/>
      <c r="J624" s="125"/>
      <c r="K624" s="125"/>
    </row>
    <row r="625" spans="1:11" x14ac:dyDescent="0.25">
      <c r="A625" s="6"/>
      <c r="B625" s="6"/>
      <c r="C625" s="123"/>
      <c r="D625" s="123"/>
      <c r="E625" s="124"/>
      <c r="F625" s="6"/>
      <c r="G625" s="124"/>
      <c r="H625" s="6"/>
      <c r="I625" s="125"/>
      <c r="J625" s="125"/>
      <c r="K625" s="125"/>
    </row>
    <row r="626" spans="1:11" x14ac:dyDescent="0.25">
      <c r="A626" s="6"/>
      <c r="B626" s="6"/>
      <c r="C626" s="123"/>
      <c r="D626" s="123"/>
      <c r="E626" s="124"/>
      <c r="F626" s="6"/>
      <c r="G626" s="124"/>
      <c r="H626" s="6"/>
      <c r="I626" s="125"/>
      <c r="J626" s="125"/>
      <c r="K626" s="125"/>
    </row>
    <row r="627" spans="1:11" x14ac:dyDescent="0.25">
      <c r="A627" s="6"/>
      <c r="B627" s="6"/>
      <c r="C627" s="123"/>
      <c r="D627" s="123"/>
      <c r="E627" s="124"/>
      <c r="F627" s="6"/>
      <c r="G627" s="124"/>
      <c r="H627" s="6"/>
      <c r="I627" s="125"/>
      <c r="J627" s="125"/>
      <c r="K627" s="125"/>
    </row>
    <row r="628" spans="1:11" x14ac:dyDescent="0.25">
      <c r="A628" s="6"/>
      <c r="B628" s="6"/>
      <c r="C628" s="123"/>
      <c r="D628" s="123"/>
      <c r="E628" s="124"/>
      <c r="F628" s="6"/>
      <c r="G628" s="124"/>
      <c r="H628" s="6"/>
      <c r="I628" s="125"/>
      <c r="J628" s="125"/>
      <c r="K628" s="125"/>
    </row>
    <row r="629" spans="1:11" x14ac:dyDescent="0.25">
      <c r="A629" s="6"/>
      <c r="B629" s="6"/>
      <c r="C629" s="123"/>
      <c r="D629" s="123"/>
      <c r="E629" s="124"/>
      <c r="F629" s="6"/>
      <c r="G629" s="124"/>
      <c r="H629" s="6"/>
      <c r="I629" s="125"/>
      <c r="J629" s="125"/>
      <c r="K629" s="125"/>
    </row>
    <row r="630" spans="1:11" x14ac:dyDescent="0.25">
      <c r="A630" s="6"/>
      <c r="B630" s="6"/>
      <c r="C630" s="123"/>
      <c r="D630" s="123"/>
      <c r="E630" s="124"/>
      <c r="F630" s="6"/>
      <c r="G630" s="124"/>
      <c r="H630" s="6"/>
      <c r="I630" s="125"/>
      <c r="J630" s="125"/>
      <c r="K630" s="125"/>
    </row>
    <row r="631" spans="1:11" x14ac:dyDescent="0.25">
      <c r="A631" s="6"/>
      <c r="B631" s="6"/>
      <c r="C631" s="123"/>
      <c r="D631" s="123"/>
      <c r="E631" s="124"/>
      <c r="F631" s="6"/>
      <c r="G631" s="124"/>
      <c r="H631" s="6"/>
      <c r="I631" s="125"/>
      <c r="J631" s="125"/>
      <c r="K631" s="125"/>
    </row>
    <row r="632" spans="1:11" x14ac:dyDescent="0.25">
      <c r="A632" s="6"/>
      <c r="B632" s="6"/>
      <c r="C632" s="123"/>
      <c r="D632" s="123"/>
      <c r="E632" s="124"/>
      <c r="F632" s="6"/>
      <c r="G632" s="124"/>
      <c r="H632" s="6"/>
      <c r="I632" s="125"/>
      <c r="J632" s="125"/>
      <c r="K632" s="125"/>
    </row>
    <row r="633" spans="1:11" x14ac:dyDescent="0.25">
      <c r="A633" s="6"/>
      <c r="B633" s="6"/>
      <c r="C633" s="123"/>
      <c r="D633" s="123"/>
      <c r="E633" s="124"/>
      <c r="F633" s="6"/>
      <c r="G633" s="124"/>
      <c r="H633" s="6"/>
      <c r="I633" s="125"/>
      <c r="J633" s="125"/>
      <c r="K633" s="125"/>
    </row>
    <row r="634" spans="1:11" x14ac:dyDescent="0.25">
      <c r="A634" s="6"/>
      <c r="B634" s="6"/>
      <c r="C634" s="123"/>
      <c r="D634" s="123"/>
      <c r="E634" s="124"/>
      <c r="F634" s="6"/>
      <c r="G634" s="124"/>
      <c r="H634" s="6"/>
      <c r="I634" s="125"/>
      <c r="J634" s="125"/>
      <c r="K634" s="125"/>
    </row>
    <row r="635" spans="1:11" x14ac:dyDescent="0.25">
      <c r="A635" s="6"/>
      <c r="B635" s="6"/>
      <c r="C635" s="123"/>
      <c r="D635" s="123"/>
      <c r="E635" s="124"/>
      <c r="F635" s="6"/>
      <c r="G635" s="124"/>
      <c r="H635" s="6"/>
      <c r="I635" s="125"/>
      <c r="J635" s="125"/>
      <c r="K635" s="125"/>
    </row>
    <row r="636" spans="1:11" x14ac:dyDescent="0.25">
      <c r="A636" s="6"/>
      <c r="B636" s="6"/>
      <c r="C636" s="123"/>
      <c r="D636" s="123"/>
      <c r="E636" s="124"/>
      <c r="F636" s="6"/>
      <c r="G636" s="124"/>
      <c r="H636" s="6"/>
      <c r="I636" s="125"/>
      <c r="J636" s="125"/>
      <c r="K636" s="125"/>
    </row>
    <row r="637" spans="1:11" x14ac:dyDescent="0.25">
      <c r="A637" s="6"/>
      <c r="B637" s="6"/>
      <c r="C637" s="123"/>
      <c r="D637" s="123"/>
      <c r="E637" s="124"/>
      <c r="F637" s="6"/>
      <c r="G637" s="124"/>
      <c r="H637" s="6"/>
      <c r="I637" s="125"/>
      <c r="J637" s="125"/>
      <c r="K637" s="125"/>
    </row>
    <row r="638" spans="1:11" x14ac:dyDescent="0.25">
      <c r="A638" s="6"/>
      <c r="B638" s="6"/>
      <c r="C638" s="123"/>
      <c r="D638" s="123"/>
      <c r="E638" s="124"/>
      <c r="F638" s="6"/>
      <c r="G638" s="124"/>
      <c r="H638" s="6"/>
      <c r="I638" s="125"/>
      <c r="J638" s="125"/>
      <c r="K638" s="125"/>
    </row>
    <row r="639" spans="1:11" x14ac:dyDescent="0.25">
      <c r="A639" s="6"/>
      <c r="B639" s="6"/>
      <c r="C639" s="123"/>
      <c r="D639" s="123"/>
      <c r="E639" s="124"/>
      <c r="F639" s="6"/>
      <c r="G639" s="124"/>
      <c r="H639" s="6"/>
      <c r="I639" s="125"/>
      <c r="J639" s="125"/>
      <c r="K639" s="125"/>
    </row>
    <row r="640" spans="1:11" x14ac:dyDescent="0.25">
      <c r="A640" s="6"/>
      <c r="B640" s="6"/>
      <c r="C640" s="123"/>
      <c r="D640" s="123"/>
      <c r="E640" s="124"/>
      <c r="F640" s="6"/>
      <c r="G640" s="124"/>
      <c r="H640" s="6"/>
      <c r="I640" s="125"/>
      <c r="J640" s="125"/>
      <c r="K640" s="125"/>
    </row>
    <row r="641" spans="1:11" x14ac:dyDescent="0.25">
      <c r="A641" s="6"/>
      <c r="B641" s="6"/>
      <c r="C641" s="123"/>
      <c r="D641" s="123"/>
      <c r="E641" s="124"/>
      <c r="F641" s="6"/>
      <c r="G641" s="124"/>
      <c r="H641" s="6"/>
      <c r="I641" s="125"/>
      <c r="J641" s="125"/>
      <c r="K641" s="125"/>
    </row>
    <row r="642" spans="1:11" x14ac:dyDescent="0.25">
      <c r="A642" s="6"/>
      <c r="B642" s="6"/>
      <c r="C642" s="123"/>
      <c r="D642" s="123"/>
      <c r="E642" s="124"/>
      <c r="F642" s="6"/>
      <c r="G642" s="124"/>
      <c r="H642" s="6"/>
      <c r="I642" s="125"/>
      <c r="J642" s="125"/>
      <c r="K642" s="125"/>
    </row>
    <row r="643" spans="1:11" x14ac:dyDescent="0.25">
      <c r="A643" s="6"/>
      <c r="B643" s="6"/>
      <c r="C643" s="123"/>
      <c r="D643" s="123"/>
      <c r="E643" s="124"/>
      <c r="F643" s="6"/>
      <c r="G643" s="124"/>
      <c r="H643" s="6"/>
      <c r="I643" s="125"/>
      <c r="J643" s="125"/>
      <c r="K643" s="125"/>
    </row>
    <row r="644" spans="1:11" x14ac:dyDescent="0.25">
      <c r="A644" s="6"/>
      <c r="B644" s="6"/>
      <c r="C644" s="123"/>
      <c r="D644" s="123"/>
      <c r="E644" s="124"/>
      <c r="F644" s="6"/>
      <c r="G644" s="124"/>
      <c r="H644" s="6"/>
      <c r="I644" s="125"/>
      <c r="J644" s="125"/>
      <c r="K644" s="125"/>
    </row>
    <row r="645" spans="1:11" x14ac:dyDescent="0.25">
      <c r="A645" s="6"/>
      <c r="B645" s="6"/>
      <c r="C645" s="123"/>
      <c r="D645" s="123"/>
      <c r="E645" s="124"/>
      <c r="F645" s="6"/>
      <c r="G645" s="124"/>
      <c r="H645" s="6"/>
      <c r="I645" s="125"/>
      <c r="J645" s="125"/>
      <c r="K645" s="125"/>
    </row>
    <row r="646" spans="1:11" x14ac:dyDescent="0.25">
      <c r="A646" s="6"/>
      <c r="B646" s="6"/>
      <c r="C646" s="123"/>
      <c r="D646" s="123"/>
      <c r="E646" s="124"/>
      <c r="F646" s="6"/>
      <c r="G646" s="124"/>
      <c r="H646" s="6"/>
      <c r="I646" s="125"/>
      <c r="J646" s="125"/>
      <c r="K646" s="125"/>
    </row>
    <row r="647" spans="1:11" x14ac:dyDescent="0.25">
      <c r="A647" s="6"/>
      <c r="B647" s="6"/>
      <c r="C647" s="123"/>
      <c r="D647" s="123"/>
      <c r="E647" s="124"/>
      <c r="F647" s="6"/>
      <c r="G647" s="124"/>
      <c r="H647" s="6"/>
      <c r="I647" s="125"/>
      <c r="J647" s="125"/>
      <c r="K647" s="125"/>
    </row>
    <row r="648" spans="1:11" x14ac:dyDescent="0.25">
      <c r="A648" s="6"/>
      <c r="B648" s="6"/>
      <c r="C648" s="123"/>
      <c r="D648" s="123"/>
      <c r="E648" s="124"/>
      <c r="F648" s="6"/>
      <c r="G648" s="124"/>
      <c r="H648" s="6"/>
      <c r="I648" s="125"/>
      <c r="J648" s="125"/>
      <c r="K648" s="125"/>
    </row>
    <row r="649" spans="1:11" x14ac:dyDescent="0.25">
      <c r="A649" s="6"/>
      <c r="B649" s="6"/>
      <c r="C649" s="123"/>
      <c r="D649" s="123"/>
      <c r="E649" s="124"/>
      <c r="F649" s="6"/>
      <c r="G649" s="124"/>
      <c r="H649" s="6"/>
      <c r="I649" s="125"/>
      <c r="J649" s="125"/>
      <c r="K649" s="125"/>
    </row>
    <row r="650" spans="1:11" x14ac:dyDescent="0.25">
      <c r="A650" s="6"/>
      <c r="B650" s="6"/>
      <c r="C650" s="123"/>
      <c r="D650" s="123"/>
      <c r="E650" s="124"/>
      <c r="F650" s="6"/>
      <c r="G650" s="124"/>
      <c r="H650" s="6"/>
      <c r="I650" s="125"/>
      <c r="J650" s="125"/>
      <c r="K650" s="125"/>
    </row>
    <row r="651" spans="1:11" x14ac:dyDescent="0.25">
      <c r="A651" s="6"/>
      <c r="B651" s="6"/>
      <c r="C651" s="123"/>
      <c r="D651" s="123"/>
      <c r="E651" s="124"/>
      <c r="F651" s="6"/>
      <c r="G651" s="124"/>
      <c r="H651" s="6"/>
      <c r="I651" s="125"/>
      <c r="J651" s="125"/>
      <c r="K651" s="125"/>
    </row>
    <row r="652" spans="1:11" x14ac:dyDescent="0.25">
      <c r="A652" s="6"/>
      <c r="B652" s="6"/>
      <c r="C652" s="123"/>
      <c r="D652" s="123"/>
      <c r="E652" s="124"/>
      <c r="F652" s="6"/>
      <c r="G652" s="124"/>
      <c r="H652" s="6"/>
      <c r="I652" s="125"/>
      <c r="J652" s="125"/>
      <c r="K652" s="125"/>
    </row>
    <row r="653" spans="1:11" x14ac:dyDescent="0.25">
      <c r="A653" s="6"/>
      <c r="B653" s="6"/>
      <c r="C653" s="123"/>
      <c r="D653" s="123"/>
      <c r="E653" s="124"/>
      <c r="F653" s="6"/>
      <c r="G653" s="124"/>
      <c r="H653" s="6"/>
      <c r="I653" s="125"/>
      <c r="J653" s="125"/>
      <c r="K653" s="125"/>
    </row>
    <row r="654" spans="1:11" x14ac:dyDescent="0.25">
      <c r="A654" s="6"/>
      <c r="B654" s="6"/>
      <c r="C654" s="123"/>
      <c r="D654" s="123"/>
      <c r="E654" s="124"/>
      <c r="F654" s="6"/>
      <c r="G654" s="124"/>
      <c r="H654" s="6"/>
      <c r="I654" s="125"/>
      <c r="J654" s="125"/>
      <c r="K654" s="125"/>
    </row>
    <row r="655" spans="1:11" x14ac:dyDescent="0.25">
      <c r="A655" s="6"/>
      <c r="B655" s="6"/>
      <c r="C655" s="123"/>
      <c r="D655" s="123"/>
      <c r="E655" s="124"/>
      <c r="F655" s="6"/>
      <c r="G655" s="124"/>
      <c r="H655" s="6"/>
      <c r="I655" s="125"/>
      <c r="J655" s="125"/>
      <c r="K655" s="125"/>
    </row>
    <row r="656" spans="1:11" x14ac:dyDescent="0.25">
      <c r="A656" s="6"/>
      <c r="B656" s="6"/>
      <c r="C656" s="123"/>
      <c r="D656" s="123"/>
      <c r="E656" s="124"/>
      <c r="F656" s="6"/>
      <c r="G656" s="124"/>
      <c r="H656" s="6"/>
      <c r="I656" s="125"/>
      <c r="J656" s="125"/>
      <c r="K656" s="125"/>
    </row>
    <row r="657" spans="1:11" x14ac:dyDescent="0.25">
      <c r="A657" s="6"/>
      <c r="B657" s="6"/>
      <c r="C657" s="123"/>
      <c r="D657" s="123"/>
      <c r="E657" s="124"/>
      <c r="F657" s="6"/>
      <c r="G657" s="124"/>
      <c r="H657" s="6"/>
      <c r="I657" s="125"/>
      <c r="J657" s="125"/>
      <c r="K657" s="125"/>
    </row>
    <row r="658" spans="1:11" x14ac:dyDescent="0.25">
      <c r="A658" s="6"/>
      <c r="B658" s="6"/>
      <c r="C658" s="123"/>
      <c r="D658" s="123"/>
      <c r="E658" s="124"/>
      <c r="F658" s="6"/>
      <c r="G658" s="124"/>
      <c r="H658" s="6"/>
      <c r="I658" s="125"/>
      <c r="J658" s="125"/>
      <c r="K658" s="125"/>
    </row>
    <row r="659" spans="1:11" x14ac:dyDescent="0.25">
      <c r="A659" s="6"/>
      <c r="B659" s="6"/>
      <c r="C659" s="123"/>
      <c r="D659" s="123"/>
      <c r="E659" s="124"/>
      <c r="F659" s="6"/>
      <c r="G659" s="124"/>
      <c r="H659" s="6"/>
      <c r="I659" s="125"/>
      <c r="J659" s="125"/>
      <c r="K659" s="125"/>
    </row>
    <row r="660" spans="1:11" x14ac:dyDescent="0.25">
      <c r="A660" s="6"/>
      <c r="B660" s="6"/>
      <c r="C660" s="123"/>
      <c r="D660" s="123"/>
      <c r="E660" s="124"/>
      <c r="F660" s="6"/>
      <c r="G660" s="124"/>
      <c r="H660" s="6"/>
      <c r="I660" s="125"/>
      <c r="J660" s="125"/>
      <c r="K660" s="125"/>
    </row>
    <row r="661" spans="1:11" x14ac:dyDescent="0.25">
      <c r="A661" s="6"/>
      <c r="B661" s="6"/>
      <c r="C661" s="123"/>
      <c r="D661" s="123"/>
      <c r="E661" s="124"/>
      <c r="F661" s="6"/>
      <c r="G661" s="124"/>
      <c r="H661" s="6"/>
      <c r="I661" s="125"/>
      <c r="J661" s="125"/>
      <c r="K661" s="125"/>
    </row>
    <row r="662" spans="1:11" x14ac:dyDescent="0.25">
      <c r="A662" s="6"/>
      <c r="B662" s="6"/>
      <c r="C662" s="123"/>
      <c r="D662" s="123"/>
      <c r="E662" s="124"/>
      <c r="F662" s="6"/>
      <c r="G662" s="124"/>
      <c r="H662" s="6"/>
      <c r="I662" s="125"/>
      <c r="J662" s="125"/>
      <c r="K662" s="125"/>
    </row>
    <row r="663" spans="1:11" x14ac:dyDescent="0.25">
      <c r="A663" s="6"/>
      <c r="B663" s="6"/>
      <c r="C663" s="123"/>
      <c r="D663" s="123"/>
      <c r="E663" s="124"/>
      <c r="F663" s="6"/>
      <c r="G663" s="124"/>
      <c r="H663" s="6"/>
      <c r="I663" s="125"/>
      <c r="J663" s="125"/>
      <c r="K663" s="125"/>
    </row>
    <row r="664" spans="1:11" x14ac:dyDescent="0.25">
      <c r="A664" s="6"/>
      <c r="B664" s="6"/>
      <c r="C664" s="123"/>
      <c r="D664" s="123"/>
      <c r="E664" s="124"/>
      <c r="F664" s="6"/>
      <c r="G664" s="124"/>
      <c r="H664" s="6"/>
      <c r="I664" s="125"/>
      <c r="J664" s="125"/>
      <c r="K664" s="125"/>
    </row>
    <row r="665" spans="1:11" x14ac:dyDescent="0.25">
      <c r="A665" s="6"/>
      <c r="B665" s="6"/>
      <c r="C665" s="123"/>
      <c r="D665" s="123"/>
      <c r="E665" s="124"/>
      <c r="F665" s="6"/>
      <c r="G665" s="124"/>
      <c r="H665" s="6"/>
      <c r="I665" s="125"/>
      <c r="J665" s="125"/>
      <c r="K665" s="125"/>
    </row>
    <row r="666" spans="1:11" x14ac:dyDescent="0.25">
      <c r="A666" s="6"/>
      <c r="B666" s="6"/>
      <c r="C666" s="123"/>
      <c r="D666" s="123"/>
      <c r="E666" s="124"/>
      <c r="F666" s="6"/>
      <c r="G666" s="124"/>
      <c r="H666" s="6"/>
      <c r="I666" s="125"/>
      <c r="J666" s="125"/>
      <c r="K666" s="125"/>
    </row>
    <row r="667" spans="1:11" x14ac:dyDescent="0.25">
      <c r="A667" s="6"/>
      <c r="B667" s="6"/>
      <c r="C667" s="123"/>
      <c r="D667" s="123"/>
      <c r="E667" s="124"/>
      <c r="F667" s="6"/>
      <c r="G667" s="124"/>
      <c r="H667" s="6"/>
      <c r="I667" s="125"/>
      <c r="J667" s="125"/>
      <c r="K667" s="125"/>
    </row>
    <row r="668" spans="1:11" x14ac:dyDescent="0.25">
      <c r="A668" s="6"/>
      <c r="B668" s="6"/>
      <c r="C668" s="123"/>
      <c r="D668" s="123"/>
      <c r="E668" s="124"/>
      <c r="F668" s="6"/>
      <c r="G668" s="124"/>
      <c r="H668" s="6"/>
      <c r="I668" s="125"/>
      <c r="J668" s="125"/>
      <c r="K668" s="125"/>
    </row>
    <row r="669" spans="1:11" x14ac:dyDescent="0.25">
      <c r="A669" s="6"/>
      <c r="B669" s="6"/>
      <c r="C669" s="123"/>
      <c r="D669" s="123"/>
      <c r="E669" s="124"/>
      <c r="F669" s="6"/>
      <c r="G669" s="124"/>
      <c r="H669" s="6"/>
      <c r="I669" s="125"/>
      <c r="J669" s="125"/>
      <c r="K669" s="125"/>
    </row>
    <row r="670" spans="1:11" x14ac:dyDescent="0.25">
      <c r="A670" s="6"/>
      <c r="B670" s="6"/>
      <c r="C670" s="123"/>
      <c r="D670" s="123"/>
      <c r="E670" s="124"/>
      <c r="F670" s="6"/>
      <c r="G670" s="124"/>
      <c r="H670" s="6"/>
      <c r="I670" s="125"/>
      <c r="J670" s="125"/>
      <c r="K670" s="125"/>
    </row>
    <row r="671" spans="1:11" x14ac:dyDescent="0.25">
      <c r="A671" s="6"/>
      <c r="B671" s="6"/>
      <c r="C671" s="123"/>
      <c r="D671" s="123"/>
      <c r="E671" s="124"/>
      <c r="F671" s="6"/>
      <c r="G671" s="124"/>
      <c r="H671" s="6"/>
      <c r="I671" s="125"/>
      <c r="J671" s="125"/>
      <c r="K671" s="125"/>
    </row>
    <row r="672" spans="1:11" x14ac:dyDescent="0.25">
      <c r="A672" s="6"/>
      <c r="B672" s="6"/>
      <c r="C672" s="123"/>
      <c r="D672" s="123"/>
      <c r="E672" s="124"/>
      <c r="F672" s="6"/>
      <c r="G672" s="124"/>
      <c r="H672" s="6"/>
      <c r="I672" s="125"/>
      <c r="J672" s="125"/>
      <c r="K672" s="125"/>
    </row>
    <row r="673" spans="1:11" x14ac:dyDescent="0.25">
      <c r="A673" s="6"/>
      <c r="B673" s="6"/>
      <c r="C673" s="123"/>
      <c r="D673" s="123"/>
      <c r="E673" s="124"/>
      <c r="F673" s="6"/>
      <c r="G673" s="124"/>
      <c r="H673" s="6"/>
      <c r="I673" s="125"/>
      <c r="J673" s="125"/>
      <c r="K673" s="125"/>
    </row>
    <row r="674" spans="1:11" x14ac:dyDescent="0.25">
      <c r="A674" s="6"/>
      <c r="B674" s="6"/>
      <c r="C674" s="123"/>
      <c r="D674" s="123"/>
      <c r="E674" s="124"/>
      <c r="F674" s="6"/>
      <c r="G674" s="124"/>
      <c r="H674" s="6"/>
      <c r="I674" s="125"/>
      <c r="J674" s="125"/>
      <c r="K674" s="125"/>
    </row>
    <row r="675" spans="1:11" x14ac:dyDescent="0.25">
      <c r="A675" s="6"/>
      <c r="B675" s="6"/>
      <c r="C675" s="123"/>
      <c r="D675" s="123"/>
      <c r="E675" s="124"/>
      <c r="F675" s="6"/>
      <c r="G675" s="124"/>
      <c r="H675" s="6"/>
      <c r="I675" s="125"/>
      <c r="J675" s="125"/>
      <c r="K675" s="125"/>
    </row>
    <row r="676" spans="1:11" x14ac:dyDescent="0.25">
      <c r="A676" s="6"/>
      <c r="B676" s="6"/>
      <c r="C676" s="123"/>
      <c r="D676" s="123"/>
      <c r="E676" s="124"/>
      <c r="F676" s="6"/>
      <c r="G676" s="124"/>
      <c r="H676" s="6"/>
      <c r="I676" s="125"/>
      <c r="J676" s="125"/>
      <c r="K676" s="125"/>
    </row>
    <row r="677" spans="1:11" x14ac:dyDescent="0.25">
      <c r="A677" s="6"/>
      <c r="B677" s="6"/>
      <c r="C677" s="123"/>
      <c r="D677" s="123"/>
      <c r="E677" s="124"/>
      <c r="F677" s="6"/>
      <c r="G677" s="124"/>
      <c r="H677" s="6"/>
      <c r="I677" s="125"/>
      <c r="J677" s="125"/>
      <c r="K677" s="125"/>
    </row>
    <row r="678" spans="1:11" x14ac:dyDescent="0.25">
      <c r="A678" s="6"/>
      <c r="B678" s="6"/>
      <c r="C678" s="123"/>
      <c r="D678" s="123"/>
      <c r="E678" s="124"/>
      <c r="F678" s="6"/>
      <c r="G678" s="124"/>
      <c r="H678" s="6"/>
      <c r="I678" s="125"/>
      <c r="J678" s="125"/>
      <c r="K678" s="125"/>
    </row>
    <row r="679" spans="1:11" x14ac:dyDescent="0.25">
      <c r="A679" s="6"/>
      <c r="B679" s="6"/>
      <c r="C679" s="123"/>
      <c r="D679" s="123"/>
      <c r="E679" s="124"/>
      <c r="F679" s="6"/>
      <c r="G679" s="124"/>
      <c r="H679" s="6"/>
      <c r="I679" s="125"/>
      <c r="J679" s="125"/>
      <c r="K679" s="125"/>
    </row>
    <row r="680" spans="1:11" x14ac:dyDescent="0.25">
      <c r="A680" s="6"/>
      <c r="B680" s="6"/>
      <c r="C680" s="123"/>
      <c r="D680" s="123"/>
      <c r="E680" s="124"/>
      <c r="F680" s="6"/>
      <c r="G680" s="124"/>
      <c r="H680" s="6"/>
      <c r="I680" s="125"/>
      <c r="J680" s="125"/>
      <c r="K680" s="125"/>
    </row>
    <row r="681" spans="1:11" x14ac:dyDescent="0.25">
      <c r="A681" s="6"/>
      <c r="B681" s="6"/>
      <c r="C681" s="123"/>
      <c r="D681" s="123"/>
      <c r="E681" s="124"/>
      <c r="F681" s="6"/>
      <c r="G681" s="124"/>
      <c r="H681" s="6"/>
      <c r="I681" s="125"/>
      <c r="J681" s="125"/>
      <c r="K681" s="125"/>
    </row>
    <row r="682" spans="1:11" x14ac:dyDescent="0.25">
      <c r="A682" s="6"/>
      <c r="B682" s="6"/>
      <c r="C682" s="123"/>
      <c r="D682" s="123"/>
      <c r="E682" s="124"/>
      <c r="F682" s="6"/>
      <c r="G682" s="124"/>
      <c r="H682" s="6"/>
      <c r="I682" s="125"/>
      <c r="J682" s="125"/>
      <c r="K682" s="125"/>
    </row>
    <row r="683" spans="1:11" x14ac:dyDescent="0.25">
      <c r="A683" s="6"/>
      <c r="B683" s="6"/>
      <c r="C683" s="123"/>
      <c r="D683" s="123"/>
      <c r="E683" s="124"/>
      <c r="F683" s="6"/>
      <c r="G683" s="124"/>
      <c r="H683" s="6"/>
      <c r="I683" s="125"/>
      <c r="J683" s="125"/>
      <c r="K683" s="125"/>
    </row>
    <row r="684" spans="1:11" x14ac:dyDescent="0.25">
      <c r="A684" s="6"/>
      <c r="B684" s="6"/>
      <c r="C684" s="123"/>
      <c r="D684" s="123"/>
      <c r="E684" s="124"/>
      <c r="F684" s="6"/>
      <c r="G684" s="124"/>
      <c r="H684" s="6"/>
      <c r="I684" s="125"/>
      <c r="J684" s="125"/>
      <c r="K684" s="125"/>
    </row>
    <row r="685" spans="1:11" x14ac:dyDescent="0.25">
      <c r="A685" s="6"/>
      <c r="B685" s="6"/>
      <c r="C685" s="123"/>
      <c r="D685" s="123"/>
      <c r="E685" s="124"/>
      <c r="F685" s="6"/>
      <c r="G685" s="124"/>
      <c r="H685" s="6"/>
      <c r="I685" s="125"/>
      <c r="J685" s="125"/>
      <c r="K685" s="125"/>
    </row>
    <row r="686" spans="1:11" x14ac:dyDescent="0.25">
      <c r="A686" s="6"/>
      <c r="B686" s="6"/>
      <c r="C686" s="123"/>
      <c r="D686" s="123"/>
      <c r="E686" s="124"/>
      <c r="F686" s="6"/>
      <c r="G686" s="124"/>
      <c r="H686" s="6"/>
      <c r="I686" s="125"/>
      <c r="J686" s="125"/>
      <c r="K686" s="125"/>
    </row>
    <row r="687" spans="1:11" x14ac:dyDescent="0.25">
      <c r="A687" s="6"/>
      <c r="B687" s="6"/>
      <c r="C687" s="123"/>
      <c r="D687" s="123"/>
      <c r="E687" s="124"/>
      <c r="F687" s="6"/>
      <c r="G687" s="124"/>
      <c r="H687" s="6"/>
      <c r="I687" s="125"/>
      <c r="J687" s="125"/>
      <c r="K687" s="125"/>
    </row>
    <row r="688" spans="1:11" x14ac:dyDescent="0.25">
      <c r="A688" s="6"/>
      <c r="B688" s="6"/>
      <c r="C688" s="123"/>
      <c r="D688" s="123"/>
      <c r="E688" s="124"/>
      <c r="F688" s="6"/>
      <c r="G688" s="124"/>
      <c r="H688" s="6"/>
      <c r="I688" s="125"/>
      <c r="J688" s="125"/>
      <c r="K688" s="125"/>
    </row>
    <row r="689" spans="1:11" x14ac:dyDescent="0.25">
      <c r="A689" s="6"/>
      <c r="B689" s="6"/>
      <c r="C689" s="123"/>
      <c r="D689" s="123"/>
      <c r="E689" s="124"/>
      <c r="F689" s="6"/>
      <c r="G689" s="124"/>
      <c r="H689" s="6"/>
      <c r="I689" s="125"/>
      <c r="J689" s="125"/>
      <c r="K689" s="125"/>
    </row>
    <row r="690" spans="1:11" x14ac:dyDescent="0.25">
      <c r="A690" s="6"/>
      <c r="B690" s="6"/>
      <c r="C690" s="123"/>
      <c r="D690" s="123"/>
      <c r="E690" s="124"/>
      <c r="F690" s="6"/>
      <c r="G690" s="124"/>
      <c r="H690" s="6"/>
      <c r="I690" s="125"/>
      <c r="J690" s="125"/>
      <c r="K690" s="125"/>
    </row>
    <row r="691" spans="1:11" x14ac:dyDescent="0.25">
      <c r="A691" s="6"/>
      <c r="B691" s="6"/>
      <c r="C691" s="123"/>
      <c r="D691" s="123"/>
      <c r="E691" s="124"/>
      <c r="F691" s="6"/>
      <c r="G691" s="124"/>
      <c r="H691" s="6"/>
      <c r="I691" s="125"/>
      <c r="J691" s="125"/>
      <c r="K691" s="125"/>
    </row>
    <row r="692" spans="1:11" x14ac:dyDescent="0.25">
      <c r="A692" s="6"/>
      <c r="B692" s="6"/>
      <c r="C692" s="123"/>
      <c r="D692" s="123"/>
      <c r="E692" s="124"/>
      <c r="F692" s="6"/>
      <c r="G692" s="124"/>
      <c r="H692" s="6"/>
      <c r="I692" s="125"/>
      <c r="J692" s="125"/>
      <c r="K692" s="125"/>
    </row>
    <row r="693" spans="1:11" x14ac:dyDescent="0.25">
      <c r="A693" s="6"/>
      <c r="B693" s="6"/>
      <c r="C693" s="123"/>
      <c r="D693" s="123"/>
      <c r="E693" s="124"/>
      <c r="F693" s="6"/>
      <c r="G693" s="124"/>
      <c r="H693" s="6"/>
      <c r="I693" s="125"/>
      <c r="J693" s="125"/>
      <c r="K693" s="125"/>
    </row>
    <row r="694" spans="1:11" x14ac:dyDescent="0.25">
      <c r="A694" s="6"/>
      <c r="B694" s="6"/>
      <c r="C694" s="123"/>
      <c r="D694" s="123"/>
      <c r="E694" s="124"/>
      <c r="F694" s="6"/>
      <c r="G694" s="124"/>
      <c r="H694" s="6"/>
      <c r="I694" s="125"/>
      <c r="J694" s="125"/>
      <c r="K694" s="125"/>
    </row>
    <row r="695" spans="1:11" x14ac:dyDescent="0.25">
      <c r="A695" s="6"/>
      <c r="B695" s="6"/>
      <c r="C695" s="123"/>
      <c r="D695" s="123"/>
      <c r="E695" s="124"/>
      <c r="F695" s="6"/>
      <c r="G695" s="124"/>
      <c r="H695" s="6"/>
      <c r="I695" s="125"/>
      <c r="J695" s="125"/>
      <c r="K695" s="125"/>
    </row>
    <row r="696" spans="1:11" x14ac:dyDescent="0.25">
      <c r="A696" s="6"/>
      <c r="B696" s="6"/>
      <c r="C696" s="123"/>
      <c r="D696" s="123"/>
      <c r="E696" s="124"/>
      <c r="F696" s="6"/>
      <c r="G696" s="124"/>
      <c r="H696" s="6"/>
      <c r="I696" s="125"/>
      <c r="J696" s="125"/>
      <c r="K696" s="125"/>
    </row>
    <row r="697" spans="1:11" x14ac:dyDescent="0.25">
      <c r="A697" s="6"/>
      <c r="B697" s="6"/>
      <c r="C697" s="123"/>
      <c r="D697" s="123"/>
      <c r="E697" s="124"/>
      <c r="F697" s="6"/>
      <c r="G697" s="124"/>
      <c r="H697" s="6"/>
      <c r="I697" s="125"/>
      <c r="J697" s="125"/>
      <c r="K697" s="125"/>
    </row>
    <row r="698" spans="1:11" x14ac:dyDescent="0.25">
      <c r="A698" s="6"/>
      <c r="B698" s="6"/>
      <c r="C698" s="123"/>
      <c r="D698" s="123"/>
      <c r="E698" s="124"/>
      <c r="F698" s="6"/>
      <c r="G698" s="124"/>
      <c r="H698" s="6"/>
      <c r="I698" s="125"/>
      <c r="J698" s="125"/>
      <c r="K698" s="125"/>
    </row>
    <row r="699" spans="1:11" x14ac:dyDescent="0.25">
      <c r="A699" s="6"/>
      <c r="B699" s="6"/>
      <c r="C699" s="123"/>
      <c r="D699" s="123"/>
      <c r="E699" s="124"/>
      <c r="F699" s="6"/>
      <c r="G699" s="124"/>
      <c r="H699" s="6"/>
      <c r="I699" s="125"/>
      <c r="J699" s="125"/>
      <c r="K699" s="125"/>
    </row>
    <row r="700" spans="1:11" x14ac:dyDescent="0.25">
      <c r="A700" s="6"/>
      <c r="B700" s="6"/>
      <c r="C700" s="123"/>
      <c r="D700" s="123"/>
      <c r="E700" s="124"/>
      <c r="F700" s="6"/>
      <c r="G700" s="124"/>
      <c r="H700" s="6"/>
      <c r="I700" s="125"/>
      <c r="J700" s="125"/>
      <c r="K700" s="125"/>
    </row>
    <row r="701" spans="1:11" x14ac:dyDescent="0.25">
      <c r="A701" s="6"/>
      <c r="B701" s="6"/>
      <c r="C701" s="123"/>
      <c r="D701" s="123"/>
      <c r="E701" s="124"/>
      <c r="F701" s="6"/>
      <c r="G701" s="124"/>
      <c r="H701" s="6"/>
      <c r="I701" s="125"/>
      <c r="J701" s="125"/>
      <c r="K701" s="125"/>
    </row>
    <row r="702" spans="1:11" x14ac:dyDescent="0.25">
      <c r="A702" s="6"/>
      <c r="B702" s="6"/>
      <c r="C702" s="123"/>
      <c r="D702" s="123"/>
      <c r="E702" s="124"/>
      <c r="F702" s="6"/>
      <c r="G702" s="124"/>
      <c r="H702" s="6"/>
      <c r="I702" s="125"/>
      <c r="J702" s="125"/>
      <c r="K702" s="125"/>
    </row>
    <row r="703" spans="1:11" x14ac:dyDescent="0.25">
      <c r="A703" s="6"/>
      <c r="B703" s="6"/>
      <c r="C703" s="123"/>
      <c r="D703" s="123"/>
      <c r="E703" s="124"/>
      <c r="F703" s="6"/>
      <c r="G703" s="124"/>
      <c r="H703" s="6"/>
      <c r="I703" s="125"/>
      <c r="J703" s="125"/>
      <c r="K703" s="125"/>
    </row>
    <row r="704" spans="1:11" x14ac:dyDescent="0.25">
      <c r="A704" s="6"/>
      <c r="B704" s="6"/>
      <c r="C704" s="123"/>
      <c r="D704" s="123"/>
      <c r="E704" s="124"/>
      <c r="F704" s="6"/>
      <c r="G704" s="124"/>
      <c r="H704" s="6"/>
      <c r="I704" s="125"/>
      <c r="J704" s="125"/>
      <c r="K704" s="125"/>
    </row>
    <row r="705" spans="1:11" x14ac:dyDescent="0.25">
      <c r="A705" s="6"/>
      <c r="B705" s="6"/>
      <c r="C705" s="123"/>
      <c r="D705" s="123"/>
      <c r="E705" s="124"/>
      <c r="F705" s="6"/>
      <c r="G705" s="124"/>
      <c r="H705" s="6"/>
      <c r="I705" s="125"/>
      <c r="J705" s="125"/>
      <c r="K705" s="125"/>
    </row>
    <row r="706" spans="1:11" x14ac:dyDescent="0.25">
      <c r="A706" s="6"/>
      <c r="B706" s="6"/>
      <c r="C706" s="123"/>
      <c r="D706" s="123"/>
      <c r="E706" s="124"/>
      <c r="F706" s="6"/>
      <c r="G706" s="124"/>
      <c r="H706" s="6"/>
      <c r="I706" s="125"/>
      <c r="J706" s="125"/>
      <c r="K706" s="125"/>
    </row>
    <row r="707" spans="1:11" x14ac:dyDescent="0.25">
      <c r="A707" s="6"/>
      <c r="B707" s="6"/>
      <c r="C707" s="123"/>
      <c r="D707" s="123"/>
      <c r="E707" s="124"/>
      <c r="F707" s="6"/>
      <c r="G707" s="124"/>
      <c r="H707" s="6"/>
      <c r="I707" s="125"/>
      <c r="J707" s="125"/>
      <c r="K707" s="125"/>
    </row>
    <row r="708" spans="1:11" x14ac:dyDescent="0.25">
      <c r="A708" s="6"/>
      <c r="B708" s="6"/>
      <c r="C708" s="123"/>
      <c r="D708" s="123"/>
      <c r="E708" s="124"/>
      <c r="F708" s="6"/>
      <c r="G708" s="124"/>
      <c r="H708" s="6"/>
      <c r="I708" s="125"/>
      <c r="J708" s="125"/>
      <c r="K708" s="125"/>
    </row>
    <row r="709" spans="1:11" x14ac:dyDescent="0.25">
      <c r="A709" s="6"/>
      <c r="B709" s="6"/>
      <c r="C709" s="123"/>
      <c r="D709" s="123"/>
      <c r="E709" s="124"/>
      <c r="F709" s="6"/>
      <c r="G709" s="124"/>
      <c r="H709" s="6"/>
      <c r="I709" s="125"/>
      <c r="J709" s="125"/>
      <c r="K709" s="125"/>
    </row>
    <row r="710" spans="1:11" x14ac:dyDescent="0.25">
      <c r="A710" s="6"/>
      <c r="B710" s="6"/>
      <c r="C710" s="123"/>
      <c r="D710" s="123"/>
      <c r="E710" s="124"/>
      <c r="F710" s="6"/>
      <c r="G710" s="124"/>
      <c r="H710" s="6"/>
      <c r="I710" s="125"/>
      <c r="J710" s="125"/>
      <c r="K710" s="125"/>
    </row>
    <row r="711" spans="1:11" x14ac:dyDescent="0.25">
      <c r="A711" s="6"/>
      <c r="B711" s="6"/>
      <c r="C711" s="123"/>
      <c r="D711" s="123"/>
      <c r="E711" s="124"/>
      <c r="F711" s="6"/>
      <c r="G711" s="124"/>
      <c r="H711" s="6"/>
      <c r="I711" s="125"/>
      <c r="J711" s="125"/>
      <c r="K711" s="125"/>
    </row>
    <row r="712" spans="1:11" x14ac:dyDescent="0.25">
      <c r="A712" s="6"/>
      <c r="B712" s="6"/>
      <c r="C712" s="123"/>
      <c r="D712" s="123"/>
      <c r="E712" s="124"/>
      <c r="F712" s="6"/>
      <c r="G712" s="124"/>
      <c r="H712" s="6"/>
      <c r="I712" s="125"/>
      <c r="J712" s="125"/>
      <c r="K712" s="125"/>
    </row>
    <row r="713" spans="1:11" x14ac:dyDescent="0.25">
      <c r="A713" s="6"/>
      <c r="B713" s="6"/>
      <c r="C713" s="123"/>
      <c r="D713" s="123"/>
      <c r="E713" s="124"/>
      <c r="F713" s="6"/>
      <c r="G713" s="124"/>
      <c r="H713" s="6"/>
      <c r="I713" s="125"/>
      <c r="J713" s="125"/>
      <c r="K713" s="125"/>
    </row>
    <row r="714" spans="1:11" x14ac:dyDescent="0.25">
      <c r="A714" s="6"/>
      <c r="B714" s="6"/>
      <c r="C714" s="123"/>
      <c r="D714" s="123"/>
      <c r="E714" s="124"/>
      <c r="F714" s="6"/>
      <c r="G714" s="124"/>
      <c r="H714" s="6"/>
      <c r="I714" s="125"/>
      <c r="J714" s="125"/>
      <c r="K714" s="125"/>
    </row>
    <row r="715" spans="1:11" x14ac:dyDescent="0.25">
      <c r="A715" s="6"/>
      <c r="B715" s="6"/>
      <c r="C715" s="123"/>
      <c r="D715" s="123"/>
      <c r="E715" s="124"/>
      <c r="F715" s="6"/>
      <c r="G715" s="124"/>
      <c r="H715" s="6"/>
      <c r="I715" s="125"/>
      <c r="J715" s="125"/>
      <c r="K715" s="125"/>
    </row>
    <row r="716" spans="1:11" x14ac:dyDescent="0.25">
      <c r="A716" s="6"/>
      <c r="B716" s="6"/>
      <c r="C716" s="123"/>
      <c r="D716" s="123"/>
      <c r="E716" s="124"/>
      <c r="F716" s="6"/>
      <c r="G716" s="124"/>
      <c r="H716" s="6"/>
      <c r="I716" s="125"/>
      <c r="J716" s="125"/>
      <c r="K716" s="125"/>
    </row>
    <row r="717" spans="1:11" x14ac:dyDescent="0.25">
      <c r="A717" s="6"/>
      <c r="B717" s="6"/>
      <c r="C717" s="123"/>
      <c r="D717" s="123"/>
      <c r="E717" s="124"/>
      <c r="F717" s="6"/>
      <c r="G717" s="124"/>
      <c r="H717" s="6"/>
      <c r="I717" s="125"/>
      <c r="J717" s="125"/>
      <c r="K717" s="125"/>
    </row>
    <row r="718" spans="1:11" x14ac:dyDescent="0.25">
      <c r="A718" s="6"/>
      <c r="B718" s="6"/>
      <c r="C718" s="123"/>
      <c r="D718" s="123"/>
      <c r="E718" s="124"/>
      <c r="F718" s="6"/>
      <c r="G718" s="124"/>
      <c r="H718" s="6"/>
      <c r="I718" s="125"/>
      <c r="J718" s="125"/>
      <c r="K718" s="125"/>
    </row>
    <row r="719" spans="1:11" x14ac:dyDescent="0.25">
      <c r="A719" s="6"/>
      <c r="B719" s="6"/>
      <c r="C719" s="123"/>
      <c r="D719" s="123"/>
      <c r="E719" s="124"/>
      <c r="F719" s="6"/>
      <c r="G719" s="124"/>
      <c r="H719" s="6"/>
      <c r="I719" s="125"/>
      <c r="J719" s="125"/>
      <c r="K719" s="125"/>
    </row>
    <row r="720" spans="1:11" x14ac:dyDescent="0.25">
      <c r="A720" s="6"/>
      <c r="B720" s="6"/>
      <c r="C720" s="123"/>
      <c r="D720" s="123"/>
      <c r="E720" s="124"/>
      <c r="F720" s="6"/>
      <c r="G720" s="124"/>
      <c r="H720" s="6"/>
      <c r="I720" s="125"/>
      <c r="J720" s="125"/>
      <c r="K720" s="125"/>
    </row>
    <row r="721" spans="1:11" x14ac:dyDescent="0.25">
      <c r="A721" s="6"/>
      <c r="B721" s="6"/>
      <c r="C721" s="123"/>
      <c r="D721" s="123"/>
      <c r="E721" s="124"/>
      <c r="F721" s="6"/>
      <c r="G721" s="124"/>
      <c r="H721" s="6"/>
      <c r="I721" s="125"/>
      <c r="J721" s="125"/>
      <c r="K721" s="125"/>
    </row>
    <row r="722" spans="1:11" x14ac:dyDescent="0.25">
      <c r="A722" s="6"/>
      <c r="B722" s="6"/>
      <c r="C722" s="123"/>
      <c r="D722" s="123"/>
      <c r="E722" s="124"/>
      <c r="F722" s="6"/>
      <c r="G722" s="124"/>
      <c r="H722" s="6"/>
      <c r="I722" s="125"/>
      <c r="J722" s="125"/>
      <c r="K722" s="125"/>
    </row>
    <row r="723" spans="1:11" x14ac:dyDescent="0.25">
      <c r="A723" s="6"/>
      <c r="B723" s="6"/>
      <c r="C723" s="123"/>
      <c r="D723" s="123"/>
      <c r="E723" s="124"/>
      <c r="F723" s="6"/>
      <c r="G723" s="124"/>
      <c r="H723" s="6"/>
      <c r="I723" s="125"/>
      <c r="J723" s="125"/>
      <c r="K723" s="125"/>
    </row>
    <row r="724" spans="1:11" x14ac:dyDescent="0.25">
      <c r="A724" s="6"/>
      <c r="B724" s="6"/>
      <c r="C724" s="123"/>
      <c r="D724" s="123"/>
      <c r="E724" s="124"/>
      <c r="F724" s="6"/>
      <c r="G724" s="124"/>
      <c r="H724" s="6"/>
      <c r="I724" s="125"/>
      <c r="J724" s="125"/>
      <c r="K724" s="125"/>
    </row>
    <row r="725" spans="1:11" x14ac:dyDescent="0.25">
      <c r="A725" s="6"/>
      <c r="B725" s="6"/>
      <c r="C725" s="123"/>
      <c r="D725" s="123"/>
      <c r="E725" s="124"/>
      <c r="F725" s="6"/>
      <c r="G725" s="124"/>
      <c r="H725" s="6"/>
      <c r="I725" s="125"/>
      <c r="J725" s="125"/>
      <c r="K725" s="125"/>
    </row>
    <row r="726" spans="1:11" x14ac:dyDescent="0.25">
      <c r="A726" s="6"/>
      <c r="B726" s="6"/>
      <c r="C726" s="123"/>
      <c r="D726" s="123"/>
      <c r="E726" s="124"/>
      <c r="F726" s="6"/>
      <c r="G726" s="124"/>
      <c r="H726" s="6"/>
      <c r="I726" s="125"/>
      <c r="J726" s="125"/>
      <c r="K726" s="125"/>
    </row>
    <row r="727" spans="1:11" x14ac:dyDescent="0.25">
      <c r="A727" s="6"/>
      <c r="B727" s="6"/>
      <c r="C727" s="123"/>
      <c r="D727" s="123"/>
      <c r="E727" s="124"/>
      <c r="F727" s="6"/>
      <c r="G727" s="124"/>
      <c r="H727" s="6"/>
      <c r="I727" s="125"/>
      <c r="J727" s="125"/>
      <c r="K727" s="125"/>
    </row>
    <row r="728" spans="1:11" x14ac:dyDescent="0.25">
      <c r="A728" s="6"/>
      <c r="B728" s="6"/>
      <c r="C728" s="123"/>
      <c r="D728" s="123"/>
      <c r="E728" s="124"/>
      <c r="F728" s="6"/>
      <c r="G728" s="124"/>
      <c r="H728" s="6"/>
      <c r="I728" s="125"/>
      <c r="J728" s="125"/>
      <c r="K728" s="125"/>
    </row>
    <row r="729" spans="1:11" x14ac:dyDescent="0.25">
      <c r="A729" s="6"/>
      <c r="B729" s="6"/>
      <c r="C729" s="123"/>
      <c r="D729" s="123"/>
      <c r="E729" s="124"/>
      <c r="F729" s="6"/>
      <c r="G729" s="124"/>
      <c r="H729" s="6"/>
      <c r="I729" s="125"/>
      <c r="J729" s="125"/>
      <c r="K729" s="125"/>
    </row>
    <row r="730" spans="1:11" x14ac:dyDescent="0.25">
      <c r="A730" s="6"/>
      <c r="B730" s="6"/>
      <c r="C730" s="123"/>
      <c r="D730" s="123"/>
      <c r="E730" s="124"/>
      <c r="F730" s="6"/>
      <c r="G730" s="124"/>
      <c r="H730" s="6"/>
      <c r="I730" s="125"/>
      <c r="J730" s="125"/>
      <c r="K730" s="125"/>
    </row>
    <row r="731" spans="1:11" x14ac:dyDescent="0.25">
      <c r="A731" s="6"/>
      <c r="B731" s="6"/>
      <c r="C731" s="123"/>
      <c r="D731" s="123"/>
      <c r="E731" s="124"/>
      <c r="F731" s="6"/>
      <c r="G731" s="124"/>
      <c r="H731" s="6"/>
      <c r="I731" s="125"/>
      <c r="J731" s="125"/>
      <c r="K731" s="125"/>
    </row>
    <row r="732" spans="1:11" x14ac:dyDescent="0.25">
      <c r="A732" s="6"/>
      <c r="B732" s="6"/>
      <c r="C732" s="123"/>
      <c r="D732" s="123"/>
      <c r="E732" s="124"/>
      <c r="F732" s="6"/>
      <c r="G732" s="124"/>
      <c r="H732" s="6"/>
      <c r="I732" s="125"/>
      <c r="J732" s="125"/>
      <c r="K732" s="125"/>
    </row>
    <row r="733" spans="1:11" x14ac:dyDescent="0.25">
      <c r="A733" s="6"/>
      <c r="B733" s="6"/>
      <c r="C733" s="123"/>
      <c r="D733" s="123"/>
      <c r="E733" s="124"/>
      <c r="F733" s="6"/>
      <c r="G733" s="124"/>
      <c r="H733" s="6"/>
      <c r="I733" s="125"/>
      <c r="J733" s="125"/>
      <c r="K733" s="125"/>
    </row>
    <row r="734" spans="1:11" x14ac:dyDescent="0.25">
      <c r="A734" s="6"/>
      <c r="B734" s="6"/>
      <c r="C734" s="123"/>
      <c r="D734" s="123"/>
      <c r="E734" s="124"/>
      <c r="F734" s="6"/>
      <c r="G734" s="124"/>
      <c r="H734" s="6"/>
      <c r="I734" s="125"/>
      <c r="J734" s="125"/>
      <c r="K734" s="125"/>
    </row>
    <row r="735" spans="1:11" x14ac:dyDescent="0.25">
      <c r="A735" s="6"/>
      <c r="B735" s="6"/>
      <c r="C735" s="123"/>
      <c r="D735" s="123"/>
      <c r="E735" s="124"/>
      <c r="F735" s="6"/>
      <c r="G735" s="124"/>
      <c r="H735" s="6"/>
      <c r="I735" s="125"/>
      <c r="J735" s="125"/>
      <c r="K735" s="125"/>
    </row>
    <row r="736" spans="1:11" x14ac:dyDescent="0.25">
      <c r="A736" s="6"/>
      <c r="B736" s="6"/>
      <c r="C736" s="123"/>
      <c r="D736" s="123"/>
      <c r="E736" s="124"/>
      <c r="F736" s="6"/>
      <c r="G736" s="124"/>
      <c r="H736" s="6"/>
      <c r="I736" s="125"/>
      <c r="J736" s="125"/>
      <c r="K736" s="125"/>
    </row>
    <row r="737" spans="1:11" x14ac:dyDescent="0.25">
      <c r="A737" s="6"/>
      <c r="B737" s="6"/>
      <c r="C737" s="123"/>
      <c r="D737" s="123"/>
      <c r="E737" s="124"/>
      <c r="F737" s="6"/>
      <c r="G737" s="124"/>
      <c r="H737" s="6"/>
      <c r="I737" s="125"/>
      <c r="J737" s="125"/>
      <c r="K737" s="125"/>
    </row>
    <row r="738" spans="1:11" x14ac:dyDescent="0.25">
      <c r="A738" s="6"/>
      <c r="B738" s="6"/>
      <c r="C738" s="123"/>
      <c r="D738" s="123"/>
      <c r="E738" s="124"/>
      <c r="F738" s="6"/>
      <c r="G738" s="124"/>
      <c r="H738" s="6"/>
      <c r="I738" s="125"/>
      <c r="J738" s="125"/>
      <c r="K738" s="125"/>
    </row>
    <row r="739" spans="1:11" x14ac:dyDescent="0.25">
      <c r="A739" s="6"/>
      <c r="B739" s="6"/>
      <c r="C739" s="123"/>
      <c r="D739" s="123"/>
      <c r="E739" s="124"/>
      <c r="F739" s="6"/>
      <c r="G739" s="124"/>
      <c r="H739" s="6"/>
      <c r="I739" s="125"/>
      <c r="J739" s="125"/>
      <c r="K739" s="125"/>
    </row>
    <row r="740" spans="1:11" x14ac:dyDescent="0.25">
      <c r="A740" s="6"/>
      <c r="B740" s="6"/>
      <c r="C740" s="123"/>
      <c r="D740" s="123"/>
      <c r="E740" s="124"/>
      <c r="F740" s="6"/>
      <c r="G740" s="124"/>
      <c r="H740" s="6"/>
      <c r="I740" s="125"/>
      <c r="J740" s="125"/>
      <c r="K740" s="125"/>
    </row>
    <row r="741" spans="1:11" x14ac:dyDescent="0.25">
      <c r="A741" s="6"/>
      <c r="B741" s="6"/>
      <c r="C741" s="123"/>
      <c r="D741" s="123"/>
      <c r="E741" s="124"/>
      <c r="F741" s="6"/>
      <c r="G741" s="124"/>
      <c r="H741" s="6"/>
      <c r="I741" s="125"/>
      <c r="J741" s="125"/>
      <c r="K741" s="125"/>
    </row>
    <row r="742" spans="1:11" x14ac:dyDescent="0.25">
      <c r="A742" s="6"/>
      <c r="B742" s="6"/>
      <c r="C742" s="123"/>
      <c r="D742" s="123"/>
      <c r="E742" s="124"/>
      <c r="F742" s="6"/>
      <c r="G742" s="124"/>
      <c r="H742" s="6"/>
      <c r="I742" s="125"/>
      <c r="J742" s="125"/>
      <c r="K742" s="125"/>
    </row>
    <row r="743" spans="1:11" x14ac:dyDescent="0.25">
      <c r="A743" s="6"/>
      <c r="B743" s="6"/>
      <c r="C743" s="123"/>
      <c r="D743" s="123"/>
      <c r="E743" s="124"/>
      <c r="F743" s="6"/>
      <c r="G743" s="124"/>
      <c r="H743" s="6"/>
      <c r="I743" s="125"/>
      <c r="J743" s="125"/>
      <c r="K743" s="125"/>
    </row>
    <row r="744" spans="1:11" x14ac:dyDescent="0.25">
      <c r="A744" s="6"/>
      <c r="B744" s="6"/>
      <c r="C744" s="123"/>
      <c r="D744" s="123"/>
      <c r="E744" s="124"/>
      <c r="F744" s="6"/>
      <c r="G744" s="124"/>
      <c r="H744" s="6"/>
      <c r="I744" s="125"/>
      <c r="J744" s="125"/>
      <c r="K744" s="125"/>
    </row>
    <row r="745" spans="1:11" x14ac:dyDescent="0.25">
      <c r="A745" s="6"/>
      <c r="B745" s="6"/>
      <c r="C745" s="123"/>
      <c r="D745" s="123"/>
      <c r="E745" s="124"/>
      <c r="F745" s="6"/>
      <c r="G745" s="124"/>
      <c r="H745" s="6"/>
      <c r="I745" s="125"/>
      <c r="J745" s="125"/>
      <c r="K745" s="125"/>
    </row>
    <row r="746" spans="1:11" x14ac:dyDescent="0.25">
      <c r="A746" s="6"/>
      <c r="B746" s="6"/>
      <c r="C746" s="123"/>
      <c r="D746" s="123"/>
      <c r="E746" s="124"/>
      <c r="F746" s="6"/>
      <c r="G746" s="124"/>
      <c r="H746" s="6"/>
      <c r="I746" s="125"/>
      <c r="J746" s="125"/>
      <c r="K746" s="125"/>
    </row>
    <row r="747" spans="1:11" x14ac:dyDescent="0.25">
      <c r="A747" s="6"/>
      <c r="B747" s="6"/>
      <c r="C747" s="123"/>
      <c r="D747" s="123"/>
      <c r="E747" s="124"/>
      <c r="F747" s="6"/>
      <c r="G747" s="124"/>
      <c r="H747" s="6"/>
      <c r="I747" s="125"/>
      <c r="J747" s="125"/>
      <c r="K747" s="125"/>
    </row>
    <row r="748" spans="1:11" x14ac:dyDescent="0.25">
      <c r="A748" s="6"/>
      <c r="B748" s="6"/>
      <c r="C748" s="123"/>
      <c r="D748" s="123"/>
      <c r="E748" s="124"/>
      <c r="F748" s="6"/>
      <c r="G748" s="124"/>
      <c r="H748" s="6"/>
      <c r="I748" s="125"/>
      <c r="J748" s="125"/>
      <c r="K748" s="125"/>
    </row>
    <row r="749" spans="1:11" x14ac:dyDescent="0.25">
      <c r="A749" s="6"/>
      <c r="B749" s="6"/>
      <c r="C749" s="123"/>
      <c r="D749" s="123"/>
      <c r="E749" s="124"/>
      <c r="F749" s="6"/>
      <c r="G749" s="124"/>
      <c r="H749" s="6"/>
      <c r="I749" s="125"/>
      <c r="J749" s="125"/>
      <c r="K749" s="125"/>
    </row>
    <row r="750" spans="1:11" x14ac:dyDescent="0.25">
      <c r="A750" s="6"/>
      <c r="B750" s="6"/>
      <c r="C750" s="123"/>
      <c r="D750" s="123"/>
      <c r="E750" s="124"/>
      <c r="F750" s="6"/>
      <c r="G750" s="124"/>
      <c r="H750" s="6"/>
      <c r="I750" s="125"/>
      <c r="J750" s="125"/>
      <c r="K750" s="125"/>
    </row>
    <row r="751" spans="1:11" x14ac:dyDescent="0.25">
      <c r="A751" s="6"/>
      <c r="B751" s="6"/>
      <c r="C751" s="123"/>
      <c r="D751" s="123"/>
      <c r="E751" s="124"/>
      <c r="F751" s="6"/>
      <c r="G751" s="124"/>
      <c r="H751" s="6"/>
      <c r="I751" s="125"/>
      <c r="J751" s="125"/>
      <c r="K751" s="125"/>
    </row>
    <row r="752" spans="1:11" x14ac:dyDescent="0.25">
      <c r="A752" s="6"/>
      <c r="B752" s="6"/>
      <c r="C752" s="123"/>
      <c r="D752" s="123"/>
      <c r="E752" s="124"/>
      <c r="F752" s="6"/>
      <c r="G752" s="124"/>
      <c r="H752" s="6"/>
      <c r="I752" s="125"/>
      <c r="J752" s="125"/>
      <c r="K752" s="125"/>
    </row>
    <row r="753" spans="1:11" x14ac:dyDescent="0.25">
      <c r="A753" s="6"/>
      <c r="B753" s="6"/>
      <c r="C753" s="123"/>
      <c r="D753" s="123"/>
      <c r="E753" s="124"/>
      <c r="F753" s="6"/>
      <c r="G753" s="124"/>
      <c r="H753" s="6"/>
      <c r="I753" s="125"/>
      <c r="J753" s="125"/>
      <c r="K753" s="125"/>
    </row>
    <row r="754" spans="1:11" x14ac:dyDescent="0.25">
      <c r="A754" s="6"/>
      <c r="B754" s="6"/>
      <c r="C754" s="123"/>
      <c r="D754" s="123"/>
      <c r="E754" s="124"/>
      <c r="F754" s="6"/>
      <c r="G754" s="124"/>
      <c r="H754" s="6"/>
      <c r="I754" s="125"/>
      <c r="J754" s="125"/>
      <c r="K754" s="125"/>
    </row>
    <row r="755" spans="1:11" x14ac:dyDescent="0.25">
      <c r="A755" s="6"/>
      <c r="B755" s="6"/>
      <c r="C755" s="123"/>
      <c r="D755" s="123"/>
      <c r="E755" s="124"/>
      <c r="F755" s="6"/>
      <c r="G755" s="124"/>
      <c r="H755" s="6"/>
      <c r="I755" s="125"/>
      <c r="J755" s="125"/>
      <c r="K755" s="125"/>
    </row>
    <row r="756" spans="1:11" x14ac:dyDescent="0.25">
      <c r="A756" s="6"/>
      <c r="B756" s="6"/>
      <c r="C756" s="123"/>
      <c r="D756" s="123"/>
      <c r="E756" s="124"/>
      <c r="F756" s="6"/>
      <c r="G756" s="124"/>
      <c r="H756" s="6"/>
      <c r="I756" s="125"/>
      <c r="J756" s="125"/>
      <c r="K756" s="125"/>
    </row>
    <row r="757" spans="1:11" x14ac:dyDescent="0.25">
      <c r="A757" s="6"/>
      <c r="B757" s="6"/>
      <c r="C757" s="123"/>
      <c r="D757" s="123"/>
      <c r="E757" s="124"/>
      <c r="F757" s="6"/>
      <c r="G757" s="124"/>
      <c r="H757" s="6"/>
      <c r="I757" s="125"/>
      <c r="J757" s="125"/>
      <c r="K757" s="125"/>
    </row>
    <row r="758" spans="1:11" x14ac:dyDescent="0.25">
      <c r="A758" s="6"/>
      <c r="B758" s="6"/>
      <c r="C758" s="123"/>
      <c r="D758" s="123"/>
      <c r="E758" s="124"/>
      <c r="F758" s="6"/>
      <c r="G758" s="124"/>
      <c r="H758" s="6"/>
      <c r="I758" s="125"/>
      <c r="J758" s="125"/>
      <c r="K758" s="125"/>
    </row>
    <row r="759" spans="1:11" x14ac:dyDescent="0.25">
      <c r="A759" s="6"/>
      <c r="B759" s="6"/>
      <c r="C759" s="123"/>
      <c r="D759" s="123"/>
      <c r="E759" s="124"/>
      <c r="F759" s="6"/>
      <c r="G759" s="124"/>
      <c r="H759" s="6"/>
      <c r="I759" s="125"/>
      <c r="J759" s="125"/>
      <c r="K759" s="125"/>
    </row>
    <row r="760" spans="1:11" x14ac:dyDescent="0.25">
      <c r="A760" s="6"/>
      <c r="B760" s="6"/>
      <c r="C760" s="123"/>
      <c r="D760" s="123"/>
      <c r="E760" s="124"/>
      <c r="F760" s="6"/>
      <c r="G760" s="124"/>
      <c r="H760" s="6"/>
      <c r="I760" s="125"/>
      <c r="J760" s="125"/>
      <c r="K760" s="125"/>
    </row>
    <row r="761" spans="1:11" x14ac:dyDescent="0.25">
      <c r="A761" s="6"/>
      <c r="B761" s="6"/>
      <c r="C761" s="123"/>
      <c r="D761" s="123"/>
      <c r="E761" s="124"/>
      <c r="F761" s="6"/>
      <c r="G761" s="124"/>
      <c r="H761" s="6"/>
      <c r="I761" s="125"/>
      <c r="J761" s="125"/>
      <c r="K761" s="125"/>
    </row>
    <row r="762" spans="1:11" x14ac:dyDescent="0.25">
      <c r="A762" s="6"/>
      <c r="B762" s="6"/>
      <c r="C762" s="123"/>
      <c r="D762" s="123"/>
      <c r="E762" s="124"/>
      <c r="F762" s="6"/>
      <c r="G762" s="124"/>
      <c r="H762" s="6"/>
      <c r="I762" s="125"/>
      <c r="J762" s="125"/>
      <c r="K762" s="125"/>
    </row>
    <row r="763" spans="1:11" x14ac:dyDescent="0.25">
      <c r="A763" s="6"/>
      <c r="B763" s="6"/>
      <c r="C763" s="123"/>
      <c r="D763" s="123"/>
      <c r="E763" s="124"/>
      <c r="F763" s="6"/>
      <c r="G763" s="124"/>
      <c r="H763" s="6"/>
      <c r="I763" s="125"/>
      <c r="J763" s="125"/>
      <c r="K763" s="125"/>
    </row>
    <row r="764" spans="1:11" x14ac:dyDescent="0.25">
      <c r="A764" s="6"/>
      <c r="B764" s="6"/>
      <c r="C764" s="123"/>
      <c r="D764" s="123"/>
      <c r="E764" s="124"/>
      <c r="F764" s="6"/>
      <c r="G764" s="124"/>
      <c r="H764" s="6"/>
      <c r="I764" s="125"/>
      <c r="J764" s="125"/>
      <c r="K764" s="125"/>
    </row>
    <row r="765" spans="1:11" x14ac:dyDescent="0.25">
      <c r="A765" s="6"/>
      <c r="B765" s="6"/>
      <c r="C765" s="123"/>
      <c r="D765" s="123"/>
      <c r="E765" s="124"/>
      <c r="F765" s="6"/>
      <c r="G765" s="124"/>
      <c r="H765" s="6"/>
      <c r="I765" s="125"/>
      <c r="J765" s="125"/>
      <c r="K765" s="125"/>
    </row>
    <row r="766" spans="1:11" x14ac:dyDescent="0.25">
      <c r="A766" s="6"/>
      <c r="B766" s="6"/>
      <c r="C766" s="123"/>
      <c r="D766" s="123"/>
      <c r="E766" s="124"/>
      <c r="F766" s="6"/>
      <c r="G766" s="124"/>
      <c r="H766" s="6"/>
      <c r="I766" s="125"/>
      <c r="J766" s="125"/>
      <c r="K766" s="125"/>
    </row>
    <row r="767" spans="1:11" x14ac:dyDescent="0.25">
      <c r="A767" s="6"/>
      <c r="B767" s="6"/>
      <c r="C767" s="123"/>
      <c r="D767" s="123"/>
      <c r="E767" s="124"/>
      <c r="F767" s="6"/>
      <c r="G767" s="124"/>
      <c r="H767" s="6"/>
      <c r="I767" s="125"/>
      <c r="J767" s="125"/>
      <c r="K767" s="125"/>
    </row>
    <row r="768" spans="1:11" x14ac:dyDescent="0.25">
      <c r="A768" s="6"/>
      <c r="B768" s="6"/>
      <c r="C768" s="123"/>
      <c r="D768" s="123"/>
      <c r="E768" s="124"/>
      <c r="F768" s="6"/>
      <c r="G768" s="124"/>
      <c r="H768" s="6"/>
      <c r="I768" s="125"/>
      <c r="J768" s="125"/>
      <c r="K768" s="125"/>
    </row>
    <row r="769" spans="1:11" x14ac:dyDescent="0.25">
      <c r="A769" s="6"/>
      <c r="B769" s="6"/>
      <c r="C769" s="123"/>
      <c r="D769" s="123"/>
      <c r="E769" s="124"/>
      <c r="F769" s="6"/>
      <c r="G769" s="124"/>
      <c r="H769" s="6"/>
      <c r="I769" s="125"/>
      <c r="J769" s="125"/>
      <c r="K769" s="125"/>
    </row>
    <row r="770" spans="1:11" x14ac:dyDescent="0.25">
      <c r="A770" s="6"/>
      <c r="B770" s="6"/>
      <c r="C770" s="123"/>
      <c r="D770" s="123"/>
      <c r="E770" s="124"/>
      <c r="F770" s="6"/>
      <c r="G770" s="124"/>
      <c r="H770" s="6"/>
      <c r="I770" s="125"/>
      <c r="J770" s="125"/>
      <c r="K770" s="125"/>
    </row>
    <row r="771" spans="1:11" x14ac:dyDescent="0.25">
      <c r="A771" s="6"/>
      <c r="B771" s="6"/>
      <c r="C771" s="123"/>
      <c r="D771" s="123"/>
      <c r="E771" s="124"/>
      <c r="F771" s="6"/>
      <c r="G771" s="124"/>
      <c r="H771" s="6"/>
      <c r="I771" s="125"/>
      <c r="J771" s="125"/>
      <c r="K771" s="125"/>
    </row>
    <row r="772" spans="1:11" x14ac:dyDescent="0.25">
      <c r="A772" s="6"/>
      <c r="B772" s="6"/>
      <c r="C772" s="123"/>
      <c r="D772" s="123"/>
      <c r="E772" s="124"/>
      <c r="F772" s="6"/>
      <c r="G772" s="124"/>
      <c r="H772" s="6"/>
      <c r="I772" s="125"/>
      <c r="J772" s="125"/>
      <c r="K772" s="125"/>
    </row>
    <row r="773" spans="1:11" x14ac:dyDescent="0.25">
      <c r="A773" s="6"/>
      <c r="B773" s="6"/>
      <c r="C773" s="123"/>
      <c r="D773" s="123"/>
      <c r="E773" s="124"/>
      <c r="F773" s="6"/>
      <c r="G773" s="124"/>
      <c r="H773" s="6"/>
      <c r="I773" s="125"/>
      <c r="J773" s="125"/>
      <c r="K773" s="125"/>
    </row>
    <row r="774" spans="1:11" x14ac:dyDescent="0.25">
      <c r="A774" s="6"/>
      <c r="B774" s="6"/>
      <c r="C774" s="123"/>
      <c r="D774" s="123"/>
      <c r="E774" s="124"/>
      <c r="F774" s="6"/>
      <c r="G774" s="124"/>
      <c r="H774" s="6"/>
      <c r="I774" s="125"/>
      <c r="J774" s="125"/>
      <c r="K774" s="125"/>
    </row>
    <row r="775" spans="1:11" x14ac:dyDescent="0.25">
      <c r="A775" s="6"/>
      <c r="B775" s="6"/>
      <c r="C775" s="123"/>
      <c r="D775" s="123"/>
      <c r="E775" s="124"/>
      <c r="F775" s="6"/>
      <c r="G775" s="124"/>
      <c r="H775" s="6"/>
      <c r="I775" s="125"/>
      <c r="J775" s="125"/>
      <c r="K775" s="125"/>
    </row>
    <row r="776" spans="1:11" x14ac:dyDescent="0.25">
      <c r="A776" s="6"/>
      <c r="B776" s="6"/>
      <c r="C776" s="123"/>
      <c r="D776" s="123"/>
      <c r="E776" s="124"/>
      <c r="F776" s="6"/>
      <c r="G776" s="124"/>
      <c r="H776" s="6"/>
      <c r="I776" s="125"/>
      <c r="J776" s="125"/>
      <c r="K776" s="125"/>
    </row>
    <row r="777" spans="1:11" x14ac:dyDescent="0.25">
      <c r="A777" s="6"/>
      <c r="B777" s="6"/>
      <c r="C777" s="123"/>
      <c r="D777" s="123"/>
      <c r="E777" s="124"/>
      <c r="F777" s="6"/>
      <c r="G777" s="124"/>
      <c r="H777" s="6"/>
      <c r="I777" s="125"/>
      <c r="J777" s="125"/>
      <c r="K777" s="125"/>
    </row>
    <row r="778" spans="1:11" x14ac:dyDescent="0.25">
      <c r="A778" s="6"/>
      <c r="B778" s="6"/>
      <c r="C778" s="123"/>
      <c r="D778" s="123"/>
      <c r="E778" s="124"/>
      <c r="F778" s="6"/>
      <c r="G778" s="124"/>
      <c r="H778" s="6"/>
      <c r="I778" s="125"/>
      <c r="J778" s="125"/>
      <c r="K778" s="125"/>
    </row>
    <row r="779" spans="1:11" x14ac:dyDescent="0.25">
      <c r="A779" s="6"/>
      <c r="B779" s="6"/>
      <c r="C779" s="123"/>
      <c r="D779" s="123"/>
      <c r="E779" s="124"/>
      <c r="F779" s="6"/>
      <c r="G779" s="124"/>
      <c r="H779" s="6"/>
      <c r="I779" s="125"/>
      <c r="J779" s="125"/>
      <c r="K779" s="125"/>
    </row>
    <row r="780" spans="1:11" x14ac:dyDescent="0.25">
      <c r="A780" s="6"/>
      <c r="B780" s="6"/>
      <c r="C780" s="123"/>
      <c r="D780" s="123"/>
      <c r="E780" s="124"/>
      <c r="F780" s="6"/>
      <c r="G780" s="124"/>
      <c r="H780" s="6"/>
      <c r="I780" s="125"/>
      <c r="J780" s="125"/>
      <c r="K780" s="125"/>
    </row>
    <row r="781" spans="1:11" x14ac:dyDescent="0.25">
      <c r="A781" s="6"/>
      <c r="B781" s="6"/>
      <c r="C781" s="123"/>
      <c r="D781" s="123"/>
      <c r="E781" s="124"/>
      <c r="F781" s="6"/>
      <c r="G781" s="124"/>
      <c r="H781" s="6"/>
      <c r="I781" s="125"/>
      <c r="J781" s="125"/>
      <c r="K781" s="125"/>
    </row>
    <row r="782" spans="1:11" x14ac:dyDescent="0.25">
      <c r="A782" s="6"/>
      <c r="B782" s="6"/>
      <c r="C782" s="123"/>
      <c r="D782" s="123"/>
      <c r="E782" s="124"/>
      <c r="F782" s="6"/>
      <c r="G782" s="124"/>
      <c r="H782" s="6"/>
      <c r="I782" s="125"/>
      <c r="J782" s="125"/>
      <c r="K782" s="125"/>
    </row>
    <row r="783" spans="1:11" x14ac:dyDescent="0.25">
      <c r="A783" s="6"/>
      <c r="B783" s="6"/>
      <c r="C783" s="123"/>
      <c r="D783" s="123"/>
      <c r="E783" s="124"/>
      <c r="F783" s="6"/>
      <c r="G783" s="124"/>
      <c r="H783" s="6"/>
      <c r="I783" s="125"/>
      <c r="J783" s="125"/>
      <c r="K783" s="125"/>
    </row>
    <row r="784" spans="1:11" x14ac:dyDescent="0.25">
      <c r="A784" s="6"/>
      <c r="B784" s="6"/>
      <c r="C784" s="123"/>
      <c r="D784" s="123"/>
      <c r="E784" s="124"/>
      <c r="F784" s="6"/>
      <c r="G784" s="124"/>
      <c r="H784" s="6"/>
      <c r="I784" s="125"/>
      <c r="J784" s="125"/>
      <c r="K784" s="125"/>
    </row>
    <row r="785" spans="1:11" x14ac:dyDescent="0.25">
      <c r="A785" s="6"/>
      <c r="B785" s="6"/>
      <c r="C785" s="123"/>
      <c r="D785" s="123"/>
      <c r="E785" s="124"/>
      <c r="F785" s="6"/>
      <c r="G785" s="124"/>
      <c r="H785" s="6"/>
      <c r="I785" s="125"/>
      <c r="J785" s="125"/>
      <c r="K785" s="125"/>
    </row>
    <row r="786" spans="1:11" x14ac:dyDescent="0.25">
      <c r="A786" s="6"/>
      <c r="B786" s="6"/>
      <c r="C786" s="123"/>
      <c r="D786" s="123"/>
      <c r="E786" s="124"/>
      <c r="F786" s="6"/>
      <c r="G786" s="124"/>
      <c r="H786" s="6"/>
      <c r="I786" s="125"/>
      <c r="J786" s="125"/>
      <c r="K786" s="125"/>
    </row>
    <row r="787" spans="1:11" x14ac:dyDescent="0.25">
      <c r="A787" s="6"/>
      <c r="B787" s="6"/>
      <c r="C787" s="123"/>
      <c r="D787" s="123"/>
      <c r="E787" s="124"/>
      <c r="F787" s="6"/>
      <c r="G787" s="124"/>
      <c r="H787" s="6"/>
      <c r="I787" s="125"/>
      <c r="J787" s="125"/>
      <c r="K787" s="125"/>
    </row>
    <row r="788" spans="1:11" x14ac:dyDescent="0.25">
      <c r="A788" s="6"/>
      <c r="B788" s="6"/>
      <c r="C788" s="123"/>
      <c r="D788" s="123"/>
      <c r="E788" s="124"/>
      <c r="F788" s="6"/>
      <c r="G788" s="124"/>
      <c r="H788" s="6"/>
      <c r="I788" s="125"/>
      <c r="J788" s="125"/>
      <c r="K788" s="125"/>
    </row>
    <row r="789" spans="1:11" x14ac:dyDescent="0.25">
      <c r="A789" s="6"/>
      <c r="B789" s="6"/>
      <c r="C789" s="123"/>
      <c r="D789" s="123"/>
      <c r="E789" s="124"/>
      <c r="F789" s="6"/>
      <c r="G789" s="124"/>
      <c r="H789" s="6"/>
      <c r="I789" s="125"/>
      <c r="J789" s="125"/>
      <c r="K789" s="125"/>
    </row>
    <row r="790" spans="1:11" x14ac:dyDescent="0.25">
      <c r="A790" s="6"/>
      <c r="B790" s="6"/>
      <c r="C790" s="123"/>
      <c r="D790" s="123"/>
      <c r="E790" s="124"/>
      <c r="F790" s="6"/>
      <c r="G790" s="124"/>
      <c r="H790" s="6"/>
      <c r="I790" s="125"/>
      <c r="J790" s="125"/>
      <c r="K790" s="125"/>
    </row>
    <row r="791" spans="1:11" x14ac:dyDescent="0.25">
      <c r="A791" s="6"/>
      <c r="B791" s="6"/>
      <c r="C791" s="123"/>
      <c r="D791" s="123"/>
      <c r="E791" s="124"/>
      <c r="F791" s="6"/>
      <c r="G791" s="124"/>
      <c r="H791" s="6"/>
      <c r="I791" s="125"/>
      <c r="J791" s="125"/>
      <c r="K791" s="125"/>
    </row>
    <row r="792" spans="1:11" x14ac:dyDescent="0.25">
      <c r="A792" s="6"/>
      <c r="B792" s="6"/>
      <c r="C792" s="123"/>
      <c r="D792" s="123"/>
      <c r="E792" s="124"/>
      <c r="F792" s="6"/>
      <c r="G792" s="124"/>
      <c r="H792" s="6"/>
      <c r="I792" s="125"/>
      <c r="J792" s="125"/>
      <c r="K792" s="125"/>
    </row>
    <row r="793" spans="1:11" x14ac:dyDescent="0.25">
      <c r="A793" s="6"/>
      <c r="B793" s="6"/>
      <c r="C793" s="123"/>
      <c r="D793" s="123"/>
      <c r="E793" s="124"/>
      <c r="F793" s="6"/>
      <c r="G793" s="124"/>
      <c r="H793" s="6"/>
      <c r="I793" s="125"/>
      <c r="J793" s="125"/>
      <c r="K793" s="125"/>
    </row>
    <row r="794" spans="1:11" x14ac:dyDescent="0.25">
      <c r="A794" s="6"/>
      <c r="B794" s="6"/>
      <c r="C794" s="123"/>
      <c r="D794" s="123"/>
      <c r="E794" s="124"/>
      <c r="F794" s="6"/>
      <c r="G794" s="124"/>
      <c r="H794" s="6"/>
      <c r="I794" s="125"/>
      <c r="J794" s="125"/>
      <c r="K794" s="125"/>
    </row>
    <row r="795" spans="1:11" x14ac:dyDescent="0.25">
      <c r="A795" s="6"/>
      <c r="B795" s="6"/>
      <c r="C795" s="123"/>
      <c r="D795" s="123"/>
      <c r="E795" s="124"/>
      <c r="F795" s="6"/>
      <c r="G795" s="124"/>
      <c r="H795" s="6"/>
      <c r="I795" s="125"/>
      <c r="J795" s="125"/>
      <c r="K795" s="125"/>
    </row>
    <row r="796" spans="1:11" x14ac:dyDescent="0.25">
      <c r="A796" s="6"/>
      <c r="B796" s="6"/>
      <c r="C796" s="123"/>
      <c r="D796" s="123"/>
      <c r="E796" s="124"/>
      <c r="F796" s="6"/>
      <c r="G796" s="124"/>
      <c r="H796" s="6"/>
      <c r="I796" s="125"/>
      <c r="J796" s="125"/>
      <c r="K796" s="125"/>
    </row>
    <row r="797" spans="1:11" x14ac:dyDescent="0.25">
      <c r="A797" s="6"/>
      <c r="B797" s="6"/>
      <c r="C797" s="123"/>
      <c r="D797" s="123"/>
      <c r="E797" s="124"/>
      <c r="F797" s="6"/>
      <c r="G797" s="124"/>
      <c r="H797" s="6"/>
      <c r="I797" s="125"/>
      <c r="J797" s="125"/>
      <c r="K797" s="125"/>
    </row>
    <row r="798" spans="1:11" x14ac:dyDescent="0.25">
      <c r="A798" s="6"/>
      <c r="B798" s="6"/>
      <c r="C798" s="123"/>
      <c r="D798" s="123"/>
      <c r="E798" s="124"/>
      <c r="F798" s="6"/>
      <c r="G798" s="124"/>
      <c r="H798" s="6"/>
      <c r="I798" s="125"/>
      <c r="J798" s="125"/>
      <c r="K798" s="125"/>
    </row>
    <row r="799" spans="1:11" x14ac:dyDescent="0.25">
      <c r="A799" s="6"/>
      <c r="B799" s="6"/>
      <c r="C799" s="123"/>
      <c r="D799" s="123"/>
      <c r="E799" s="124"/>
      <c r="F799" s="6"/>
      <c r="G799" s="124"/>
      <c r="H799" s="6"/>
      <c r="I799" s="125"/>
      <c r="J799" s="125"/>
      <c r="K799" s="125"/>
    </row>
    <row r="800" spans="1:11" x14ac:dyDescent="0.25">
      <c r="A800" s="6"/>
      <c r="B800" s="6"/>
      <c r="C800" s="123"/>
      <c r="D800" s="123"/>
      <c r="E800" s="124"/>
      <c r="F800" s="6"/>
      <c r="G800" s="124"/>
      <c r="H800" s="6"/>
      <c r="I800" s="125"/>
      <c r="J800" s="125"/>
      <c r="K800" s="125"/>
    </row>
    <row r="801" spans="1:11" x14ac:dyDescent="0.25">
      <c r="A801" s="6"/>
      <c r="B801" s="6"/>
      <c r="C801" s="123"/>
      <c r="D801" s="123"/>
      <c r="E801" s="124"/>
      <c r="F801" s="6"/>
      <c r="G801" s="124"/>
      <c r="H801" s="6"/>
      <c r="I801" s="125"/>
      <c r="J801" s="125"/>
      <c r="K801" s="125"/>
    </row>
    <row r="802" spans="1:11" x14ac:dyDescent="0.25">
      <c r="A802" s="6"/>
      <c r="B802" s="6"/>
      <c r="C802" s="123"/>
      <c r="D802" s="123"/>
      <c r="E802" s="124"/>
      <c r="F802" s="6"/>
      <c r="G802" s="124"/>
      <c r="H802" s="6"/>
      <c r="I802" s="125"/>
      <c r="J802" s="125"/>
      <c r="K802" s="125"/>
    </row>
    <row r="803" spans="1:11" x14ac:dyDescent="0.25">
      <c r="A803" s="6"/>
      <c r="B803" s="6"/>
      <c r="C803" s="123"/>
      <c r="D803" s="123"/>
      <c r="E803" s="124"/>
      <c r="F803" s="6"/>
      <c r="G803" s="124"/>
      <c r="H803" s="6"/>
      <c r="I803" s="125"/>
      <c r="J803" s="125"/>
      <c r="K803" s="125"/>
    </row>
    <row r="804" spans="1:11" x14ac:dyDescent="0.25">
      <c r="A804" s="6"/>
      <c r="B804" s="6"/>
      <c r="C804" s="123"/>
      <c r="D804" s="123"/>
      <c r="E804" s="124"/>
      <c r="F804" s="6"/>
      <c r="G804" s="124"/>
      <c r="H804" s="6"/>
      <c r="I804" s="125"/>
      <c r="J804" s="125"/>
      <c r="K804" s="125"/>
    </row>
    <row r="805" spans="1:11" x14ac:dyDescent="0.25">
      <c r="A805" s="6"/>
      <c r="B805" s="6"/>
      <c r="C805" s="123"/>
      <c r="D805" s="123"/>
      <c r="E805" s="124"/>
      <c r="F805" s="6"/>
      <c r="G805" s="124"/>
      <c r="H805" s="6"/>
      <c r="I805" s="125"/>
      <c r="J805" s="125"/>
      <c r="K805" s="125"/>
    </row>
    <row r="806" spans="1:11" x14ac:dyDescent="0.25">
      <c r="A806" s="6"/>
      <c r="B806" s="6"/>
      <c r="C806" s="123"/>
      <c r="D806" s="123"/>
      <c r="E806" s="124"/>
      <c r="F806" s="6"/>
      <c r="G806" s="124"/>
      <c r="H806" s="6"/>
      <c r="I806" s="125"/>
      <c r="J806" s="125"/>
      <c r="K806" s="125"/>
    </row>
    <row r="807" spans="1:11" x14ac:dyDescent="0.25">
      <c r="A807" s="6"/>
      <c r="B807" s="6"/>
      <c r="C807" s="123"/>
      <c r="D807" s="123"/>
      <c r="E807" s="124"/>
      <c r="F807" s="6"/>
      <c r="G807" s="124"/>
      <c r="H807" s="6"/>
      <c r="I807" s="125"/>
      <c r="J807" s="125"/>
      <c r="K807" s="125"/>
    </row>
    <row r="808" spans="1:11" x14ac:dyDescent="0.25">
      <c r="A808" s="6"/>
      <c r="B808" s="6"/>
      <c r="C808" s="123"/>
      <c r="D808" s="123"/>
      <c r="E808" s="124"/>
      <c r="F808" s="6"/>
      <c r="G808" s="124"/>
      <c r="H808" s="6"/>
      <c r="I808" s="125"/>
      <c r="J808" s="125"/>
      <c r="K808" s="125"/>
    </row>
    <row r="809" spans="1:11" x14ac:dyDescent="0.25">
      <c r="A809" s="6"/>
      <c r="B809" s="6"/>
      <c r="C809" s="123"/>
      <c r="D809" s="123"/>
      <c r="E809" s="124"/>
      <c r="F809" s="6"/>
      <c r="G809" s="124"/>
      <c r="H809" s="6"/>
      <c r="I809" s="125"/>
      <c r="J809" s="125"/>
      <c r="K809" s="125"/>
    </row>
    <row r="810" spans="1:11" x14ac:dyDescent="0.25">
      <c r="A810" s="6"/>
      <c r="B810" s="6"/>
      <c r="C810" s="123"/>
      <c r="D810" s="123"/>
      <c r="E810" s="124"/>
      <c r="F810" s="6"/>
      <c r="G810" s="124"/>
      <c r="H810" s="6"/>
      <c r="I810" s="125"/>
      <c r="J810" s="125"/>
      <c r="K810" s="125"/>
    </row>
    <row r="811" spans="1:11" x14ac:dyDescent="0.25">
      <c r="A811" s="6"/>
      <c r="B811" s="6"/>
      <c r="C811" s="123"/>
      <c r="D811" s="123"/>
      <c r="E811" s="124"/>
      <c r="F811" s="6"/>
      <c r="G811" s="124"/>
      <c r="H811" s="6"/>
      <c r="I811" s="125"/>
      <c r="J811" s="125"/>
      <c r="K811" s="125"/>
    </row>
    <row r="812" spans="1:11" x14ac:dyDescent="0.25">
      <c r="A812" s="6"/>
      <c r="B812" s="6"/>
      <c r="C812" s="123"/>
      <c r="D812" s="123"/>
      <c r="E812" s="124"/>
      <c r="F812" s="6"/>
      <c r="G812" s="124"/>
      <c r="H812" s="6"/>
      <c r="I812" s="125"/>
      <c r="J812" s="125"/>
      <c r="K812" s="125"/>
    </row>
    <row r="813" spans="1:11" x14ac:dyDescent="0.25">
      <c r="A813" s="6"/>
      <c r="B813" s="6"/>
      <c r="C813" s="123"/>
      <c r="D813" s="123"/>
      <c r="E813" s="124"/>
      <c r="F813" s="6"/>
      <c r="G813" s="124"/>
      <c r="H813" s="6"/>
      <c r="I813" s="125"/>
      <c r="J813" s="125"/>
      <c r="K813" s="125"/>
    </row>
    <row r="814" spans="1:11" x14ac:dyDescent="0.25">
      <c r="A814" s="6"/>
      <c r="B814" s="6"/>
      <c r="C814" s="123"/>
      <c r="D814" s="123"/>
      <c r="E814" s="124"/>
      <c r="F814" s="6"/>
      <c r="G814" s="124"/>
      <c r="H814" s="6"/>
      <c r="I814" s="125"/>
      <c r="J814" s="125"/>
      <c r="K814" s="125"/>
    </row>
    <row r="815" spans="1:11" x14ac:dyDescent="0.25">
      <c r="A815" s="6"/>
      <c r="B815" s="6"/>
      <c r="C815" s="123"/>
      <c r="D815" s="123"/>
      <c r="E815" s="124"/>
      <c r="F815" s="6"/>
      <c r="G815" s="124"/>
      <c r="H815" s="6"/>
      <c r="I815" s="125"/>
      <c r="J815" s="125"/>
      <c r="K815" s="125"/>
    </row>
    <row r="816" spans="1:11" x14ac:dyDescent="0.25">
      <c r="A816" s="6"/>
      <c r="B816" s="6"/>
      <c r="C816" s="123"/>
      <c r="D816" s="123"/>
      <c r="E816" s="124"/>
      <c r="F816" s="6"/>
      <c r="G816" s="124"/>
      <c r="H816" s="6"/>
      <c r="I816" s="125"/>
      <c r="J816" s="125"/>
      <c r="K816" s="125"/>
    </row>
    <row r="817" spans="1:11" x14ac:dyDescent="0.25">
      <c r="A817" s="6"/>
      <c r="B817" s="6"/>
      <c r="C817" s="123"/>
      <c r="D817" s="123"/>
      <c r="E817" s="124"/>
      <c r="F817" s="6"/>
      <c r="G817" s="124"/>
      <c r="H817" s="6"/>
      <c r="I817" s="125"/>
      <c r="J817" s="125"/>
      <c r="K817" s="125"/>
    </row>
    <row r="818" spans="1:11" x14ac:dyDescent="0.25">
      <c r="A818" s="6"/>
      <c r="B818" s="6"/>
      <c r="C818" s="123"/>
      <c r="D818" s="123"/>
      <c r="E818" s="124"/>
      <c r="F818" s="6"/>
      <c r="G818" s="124"/>
      <c r="H818" s="6"/>
      <c r="I818" s="125"/>
      <c r="J818" s="125"/>
      <c r="K818" s="125"/>
    </row>
    <row r="819" spans="1:11" x14ac:dyDescent="0.25">
      <c r="A819" s="6"/>
      <c r="B819" s="6"/>
      <c r="C819" s="123"/>
      <c r="D819" s="123"/>
      <c r="E819" s="124"/>
      <c r="F819" s="6"/>
      <c r="G819" s="124"/>
      <c r="H819" s="6"/>
      <c r="I819" s="125"/>
      <c r="J819" s="125"/>
      <c r="K819" s="125"/>
    </row>
    <row r="820" spans="1:11" x14ac:dyDescent="0.25">
      <c r="A820" s="6"/>
      <c r="B820" s="6"/>
      <c r="C820" s="123"/>
      <c r="D820" s="123"/>
      <c r="E820" s="124"/>
      <c r="F820" s="6"/>
      <c r="G820" s="124"/>
      <c r="H820" s="6"/>
      <c r="I820" s="125"/>
      <c r="J820" s="125"/>
      <c r="K820" s="125"/>
    </row>
    <row r="821" spans="1:11" x14ac:dyDescent="0.25">
      <c r="A821" s="6"/>
      <c r="B821" s="6"/>
      <c r="C821" s="123"/>
      <c r="D821" s="123"/>
      <c r="E821" s="124"/>
      <c r="F821" s="6"/>
      <c r="G821" s="124"/>
      <c r="H821" s="6"/>
      <c r="I821" s="125"/>
      <c r="J821" s="125"/>
      <c r="K821" s="125"/>
    </row>
    <row r="822" spans="1:11" x14ac:dyDescent="0.25">
      <c r="A822" s="6"/>
      <c r="B822" s="6"/>
      <c r="C822" s="123"/>
      <c r="D822" s="123"/>
      <c r="E822" s="124"/>
      <c r="F822" s="6"/>
      <c r="G822" s="124"/>
      <c r="H822" s="6"/>
      <c r="I822" s="125"/>
      <c r="J822" s="125"/>
      <c r="K822" s="125"/>
    </row>
    <row r="823" spans="1:11" x14ac:dyDescent="0.25">
      <c r="A823" s="6"/>
      <c r="B823" s="6"/>
      <c r="C823" s="123"/>
      <c r="D823" s="123"/>
      <c r="E823" s="124"/>
      <c r="F823" s="6"/>
      <c r="G823" s="124"/>
      <c r="H823" s="6"/>
      <c r="I823" s="125"/>
      <c r="J823" s="125"/>
      <c r="K823" s="125"/>
    </row>
    <row r="824" spans="1:11" x14ac:dyDescent="0.25">
      <c r="A824" s="6"/>
      <c r="B824" s="6"/>
      <c r="C824" s="123"/>
      <c r="D824" s="123"/>
      <c r="E824" s="124"/>
      <c r="F824" s="6"/>
      <c r="G824" s="124"/>
      <c r="H824" s="6"/>
      <c r="I824" s="125"/>
      <c r="J824" s="125"/>
      <c r="K824" s="125"/>
    </row>
    <row r="825" spans="1:11" x14ac:dyDescent="0.25">
      <c r="A825" s="6"/>
      <c r="B825" s="6"/>
      <c r="C825" s="123"/>
      <c r="D825" s="123"/>
      <c r="E825" s="124"/>
      <c r="F825" s="6"/>
      <c r="G825" s="124"/>
      <c r="H825" s="6"/>
      <c r="I825" s="125"/>
      <c r="J825" s="125"/>
      <c r="K825" s="125"/>
    </row>
    <row r="826" spans="1:11" x14ac:dyDescent="0.25">
      <c r="A826" s="6"/>
      <c r="B826" s="6"/>
      <c r="C826" s="123"/>
      <c r="D826" s="123"/>
      <c r="E826" s="124"/>
      <c r="F826" s="6"/>
      <c r="G826" s="124"/>
      <c r="H826" s="6"/>
      <c r="I826" s="125"/>
      <c r="J826" s="125"/>
      <c r="K826" s="125"/>
    </row>
    <row r="827" spans="1:11" x14ac:dyDescent="0.25">
      <c r="A827" s="6"/>
      <c r="B827" s="6"/>
      <c r="C827" s="123"/>
      <c r="D827" s="123"/>
      <c r="E827" s="124"/>
      <c r="F827" s="6"/>
      <c r="G827" s="124"/>
      <c r="H827" s="6"/>
      <c r="I827" s="125"/>
      <c r="J827" s="125"/>
      <c r="K827" s="125"/>
    </row>
    <row r="828" spans="1:11" x14ac:dyDescent="0.25">
      <c r="A828" s="6"/>
      <c r="B828" s="6"/>
      <c r="C828" s="123"/>
      <c r="D828" s="123"/>
      <c r="E828" s="124"/>
      <c r="F828" s="6"/>
      <c r="G828" s="124"/>
      <c r="H828" s="6"/>
      <c r="I828" s="125"/>
      <c r="J828" s="125"/>
      <c r="K828" s="125"/>
    </row>
    <row r="829" spans="1:11" x14ac:dyDescent="0.25">
      <c r="A829" s="6"/>
      <c r="B829" s="6"/>
      <c r="C829" s="123"/>
      <c r="D829" s="123"/>
      <c r="E829" s="124"/>
      <c r="F829" s="6"/>
      <c r="G829" s="124"/>
      <c r="H829" s="6"/>
      <c r="I829" s="125"/>
      <c r="J829" s="125"/>
      <c r="K829" s="125"/>
    </row>
    <row r="830" spans="1:11" x14ac:dyDescent="0.25">
      <c r="A830" s="6"/>
      <c r="B830" s="6"/>
      <c r="C830" s="123"/>
      <c r="D830" s="123"/>
      <c r="E830" s="124"/>
      <c r="F830" s="6"/>
      <c r="G830" s="124"/>
      <c r="H830" s="6"/>
      <c r="I830" s="125"/>
      <c r="J830" s="125"/>
      <c r="K830" s="125"/>
    </row>
    <row r="831" spans="1:11" x14ac:dyDescent="0.25">
      <c r="A831" s="6"/>
      <c r="B831" s="6"/>
      <c r="C831" s="123"/>
      <c r="D831" s="123"/>
      <c r="E831" s="124"/>
      <c r="F831" s="6"/>
      <c r="G831" s="124"/>
      <c r="H831" s="6"/>
      <c r="I831" s="125"/>
      <c r="J831" s="125"/>
      <c r="K831" s="125"/>
    </row>
    <row r="832" spans="1:11" x14ac:dyDescent="0.25">
      <c r="A832" s="6"/>
      <c r="B832" s="6"/>
      <c r="C832" s="123"/>
      <c r="D832" s="123"/>
      <c r="E832" s="124"/>
      <c r="F832" s="6"/>
      <c r="G832" s="124"/>
      <c r="H832" s="6"/>
      <c r="I832" s="125"/>
      <c r="J832" s="125"/>
      <c r="K832" s="125"/>
    </row>
    <row r="833" spans="1:11" x14ac:dyDescent="0.25">
      <c r="A833" s="6"/>
      <c r="B833" s="6"/>
      <c r="C833" s="123"/>
      <c r="D833" s="123"/>
      <c r="E833" s="124"/>
      <c r="F833" s="6"/>
      <c r="G833" s="124"/>
      <c r="H833" s="6"/>
      <c r="I833" s="125"/>
      <c r="J833" s="125"/>
      <c r="K833" s="125"/>
    </row>
    <row r="834" spans="1:11" x14ac:dyDescent="0.25">
      <c r="A834" s="6"/>
      <c r="B834" s="6"/>
      <c r="C834" s="123"/>
      <c r="D834" s="123"/>
      <c r="E834" s="124"/>
      <c r="F834" s="6"/>
      <c r="G834" s="124"/>
      <c r="H834" s="6"/>
      <c r="I834" s="125"/>
      <c r="J834" s="125"/>
      <c r="K834" s="125"/>
    </row>
    <row r="835" spans="1:11" x14ac:dyDescent="0.25">
      <c r="A835" s="6"/>
      <c r="B835" s="6"/>
      <c r="C835" s="123"/>
      <c r="D835" s="123"/>
      <c r="E835" s="124"/>
      <c r="F835" s="6"/>
      <c r="G835" s="124"/>
      <c r="H835" s="6"/>
      <c r="I835" s="125"/>
      <c r="J835" s="125"/>
      <c r="K835" s="125"/>
    </row>
    <row r="836" spans="1:11" x14ac:dyDescent="0.25">
      <c r="A836" s="6"/>
      <c r="B836" s="6"/>
      <c r="C836" s="123"/>
      <c r="D836" s="123"/>
      <c r="E836" s="124"/>
      <c r="F836" s="6"/>
      <c r="G836" s="124"/>
      <c r="H836" s="6"/>
      <c r="I836" s="125"/>
      <c r="J836" s="125"/>
      <c r="K836" s="125"/>
    </row>
    <row r="837" spans="1:11" x14ac:dyDescent="0.25">
      <c r="A837" s="6"/>
      <c r="B837" s="6"/>
      <c r="C837" s="123"/>
      <c r="D837" s="123"/>
      <c r="E837" s="124"/>
      <c r="F837" s="6"/>
      <c r="G837" s="124"/>
      <c r="H837" s="6"/>
      <c r="I837" s="125"/>
      <c r="J837" s="125"/>
      <c r="K837" s="125"/>
    </row>
    <row r="838" spans="1:11" x14ac:dyDescent="0.25">
      <c r="A838" s="6"/>
      <c r="B838" s="6"/>
      <c r="C838" s="123"/>
      <c r="D838" s="123"/>
      <c r="E838" s="124"/>
      <c r="F838" s="6"/>
      <c r="G838" s="124"/>
      <c r="H838" s="6"/>
      <c r="I838" s="125"/>
      <c r="J838" s="125"/>
      <c r="K838" s="125"/>
    </row>
    <row r="839" spans="1:11" x14ac:dyDescent="0.25">
      <c r="A839" s="6"/>
      <c r="B839" s="6"/>
      <c r="C839" s="123"/>
      <c r="D839" s="123"/>
      <c r="E839" s="124"/>
      <c r="F839" s="6"/>
      <c r="G839" s="124"/>
      <c r="H839" s="6"/>
      <c r="I839" s="125"/>
      <c r="J839" s="125"/>
      <c r="K839" s="125"/>
    </row>
    <row r="840" spans="1:11" x14ac:dyDescent="0.25">
      <c r="A840" s="6"/>
      <c r="B840" s="6"/>
      <c r="C840" s="123"/>
      <c r="D840" s="123"/>
      <c r="E840" s="124"/>
      <c r="F840" s="6"/>
      <c r="G840" s="124"/>
      <c r="H840" s="6"/>
      <c r="I840" s="125"/>
      <c r="J840" s="125"/>
      <c r="K840" s="125"/>
    </row>
    <row r="841" spans="1:11" x14ac:dyDescent="0.25">
      <c r="A841" s="6"/>
      <c r="B841" s="6"/>
      <c r="C841" s="123"/>
      <c r="D841" s="123"/>
      <c r="E841" s="124"/>
      <c r="F841" s="6"/>
      <c r="G841" s="124"/>
      <c r="H841" s="6"/>
      <c r="I841" s="125"/>
      <c r="J841" s="125"/>
      <c r="K841" s="125"/>
    </row>
    <row r="842" spans="1:11" x14ac:dyDescent="0.25">
      <c r="A842" s="6"/>
      <c r="B842" s="6"/>
      <c r="C842" s="123"/>
      <c r="D842" s="123"/>
      <c r="E842" s="124"/>
      <c r="F842" s="6"/>
      <c r="G842" s="124"/>
      <c r="H842" s="6"/>
      <c r="I842" s="125"/>
      <c r="J842" s="125"/>
      <c r="K842" s="125"/>
    </row>
    <row r="843" spans="1:11" x14ac:dyDescent="0.25">
      <c r="A843" s="6"/>
      <c r="B843" s="6"/>
      <c r="C843" s="123"/>
      <c r="D843" s="123"/>
      <c r="E843" s="124"/>
      <c r="F843" s="6"/>
      <c r="G843" s="124"/>
      <c r="H843" s="6"/>
      <c r="I843" s="125"/>
      <c r="J843" s="125"/>
      <c r="K843" s="125"/>
    </row>
    <row r="844" spans="1:11" x14ac:dyDescent="0.25">
      <c r="A844" s="6"/>
      <c r="B844" s="6"/>
      <c r="C844" s="123"/>
      <c r="D844" s="123"/>
      <c r="E844" s="124"/>
      <c r="F844" s="6"/>
      <c r="G844" s="124"/>
      <c r="H844" s="6"/>
      <c r="I844" s="125"/>
      <c r="J844" s="125"/>
      <c r="K844" s="125"/>
    </row>
    <row r="845" spans="1:11" x14ac:dyDescent="0.25">
      <c r="A845" s="6"/>
      <c r="B845" s="6"/>
      <c r="C845" s="123"/>
      <c r="D845" s="123"/>
      <c r="E845" s="124"/>
      <c r="F845" s="6"/>
      <c r="G845" s="124"/>
      <c r="H845" s="6"/>
      <c r="I845" s="125"/>
      <c r="J845" s="125"/>
      <c r="K845" s="125"/>
    </row>
    <row r="846" spans="1:11" x14ac:dyDescent="0.25">
      <c r="A846" s="6"/>
      <c r="B846" s="6"/>
      <c r="C846" s="123"/>
      <c r="D846" s="123"/>
      <c r="E846" s="124"/>
      <c r="F846" s="6"/>
      <c r="G846" s="124"/>
      <c r="H846" s="6"/>
      <c r="I846" s="125"/>
      <c r="J846" s="125"/>
      <c r="K846" s="125"/>
    </row>
    <row r="847" spans="1:11" x14ac:dyDescent="0.25">
      <c r="A847" s="6"/>
      <c r="B847" s="6"/>
      <c r="C847" s="123"/>
      <c r="D847" s="123"/>
      <c r="E847" s="124"/>
      <c r="F847" s="6"/>
      <c r="G847" s="124"/>
      <c r="H847" s="6"/>
      <c r="I847" s="125"/>
      <c r="J847" s="125"/>
      <c r="K847" s="125"/>
    </row>
    <row r="848" spans="1:11" x14ac:dyDescent="0.25">
      <c r="A848" s="6"/>
      <c r="B848" s="6"/>
      <c r="C848" s="123"/>
      <c r="D848" s="123"/>
      <c r="E848" s="124"/>
      <c r="F848" s="6"/>
      <c r="G848" s="124"/>
      <c r="H848" s="6"/>
      <c r="I848" s="125"/>
      <c r="J848" s="125"/>
      <c r="K848" s="125"/>
    </row>
    <row r="849" spans="1:11" x14ac:dyDescent="0.25">
      <c r="A849" s="6"/>
      <c r="B849" s="6"/>
      <c r="C849" s="123"/>
      <c r="D849" s="123"/>
      <c r="E849" s="124"/>
      <c r="F849" s="6"/>
      <c r="G849" s="124"/>
      <c r="H849" s="6"/>
      <c r="I849" s="125"/>
      <c r="J849" s="125"/>
      <c r="K849" s="125"/>
    </row>
    <row r="850" spans="1:11" x14ac:dyDescent="0.25">
      <c r="A850" s="6"/>
      <c r="B850" s="6"/>
      <c r="C850" s="123"/>
      <c r="D850" s="123"/>
      <c r="E850" s="124"/>
      <c r="F850" s="6"/>
      <c r="G850" s="124"/>
      <c r="H850" s="6"/>
      <c r="I850" s="125"/>
      <c r="J850" s="125"/>
      <c r="K850" s="125"/>
    </row>
    <row r="851" spans="1:11" x14ac:dyDescent="0.25">
      <c r="A851" s="6"/>
      <c r="B851" s="6"/>
      <c r="C851" s="123"/>
      <c r="D851" s="123"/>
      <c r="E851" s="124"/>
      <c r="F851" s="6"/>
      <c r="G851" s="124"/>
      <c r="H851" s="6"/>
      <c r="I851" s="125"/>
      <c r="J851" s="125"/>
      <c r="K851" s="125"/>
    </row>
    <row r="852" spans="1:11" x14ac:dyDescent="0.25">
      <c r="A852" s="6"/>
      <c r="B852" s="6"/>
      <c r="C852" s="123"/>
      <c r="D852" s="123"/>
      <c r="E852" s="124"/>
      <c r="F852" s="6"/>
      <c r="G852" s="124"/>
      <c r="H852" s="6"/>
      <c r="I852" s="125"/>
      <c r="J852" s="125"/>
      <c r="K852" s="125"/>
    </row>
    <row r="853" spans="1:11" x14ac:dyDescent="0.25">
      <c r="A853" s="6"/>
      <c r="B853" s="6"/>
      <c r="C853" s="123"/>
      <c r="D853" s="123"/>
      <c r="E853" s="124"/>
      <c r="F853" s="6"/>
      <c r="G853" s="124"/>
      <c r="H853" s="6"/>
      <c r="I853" s="125"/>
      <c r="J853" s="125"/>
      <c r="K853" s="125"/>
    </row>
    <row r="854" spans="1:11" x14ac:dyDescent="0.25">
      <c r="A854" s="6"/>
      <c r="B854" s="6"/>
      <c r="C854" s="123"/>
      <c r="D854" s="123"/>
      <c r="E854" s="124"/>
      <c r="F854" s="6"/>
      <c r="G854" s="124"/>
      <c r="H854" s="6"/>
      <c r="I854" s="125"/>
      <c r="J854" s="125"/>
      <c r="K854" s="125"/>
    </row>
    <row r="855" spans="1:11" x14ac:dyDescent="0.25">
      <c r="A855" s="6"/>
      <c r="B855" s="6"/>
      <c r="C855" s="123"/>
      <c r="D855" s="123"/>
      <c r="E855" s="124"/>
      <c r="F855" s="6"/>
      <c r="G855" s="124"/>
      <c r="H855" s="6"/>
      <c r="I855" s="125"/>
      <c r="J855" s="125"/>
      <c r="K855" s="125"/>
    </row>
    <row r="856" spans="1:11" x14ac:dyDescent="0.25">
      <c r="A856" s="6"/>
      <c r="B856" s="6"/>
      <c r="C856" s="123"/>
      <c r="D856" s="123"/>
      <c r="E856" s="124"/>
      <c r="F856" s="6"/>
      <c r="G856" s="124"/>
      <c r="H856" s="6"/>
      <c r="I856" s="125"/>
      <c r="J856" s="125"/>
      <c r="K856" s="125"/>
    </row>
    <row r="857" spans="1:11" x14ac:dyDescent="0.25">
      <c r="A857" s="6"/>
      <c r="B857" s="6"/>
      <c r="C857" s="123"/>
      <c r="D857" s="123"/>
      <c r="E857" s="124"/>
      <c r="F857" s="6"/>
      <c r="G857" s="124"/>
      <c r="H857" s="6"/>
      <c r="I857" s="125"/>
      <c r="J857" s="125"/>
      <c r="K857" s="125"/>
    </row>
    <row r="858" spans="1:11" x14ac:dyDescent="0.25">
      <c r="A858" s="6"/>
      <c r="B858" s="6"/>
      <c r="C858" s="123"/>
      <c r="D858" s="123"/>
      <c r="E858" s="124"/>
      <c r="F858" s="6"/>
      <c r="G858" s="124"/>
      <c r="H858" s="6"/>
      <c r="I858" s="125"/>
      <c r="J858" s="125"/>
      <c r="K858" s="125"/>
    </row>
    <row r="859" spans="1:11" x14ac:dyDescent="0.25">
      <c r="A859" s="6"/>
      <c r="B859" s="6"/>
      <c r="C859" s="123"/>
      <c r="D859" s="123"/>
      <c r="E859" s="124"/>
      <c r="F859" s="6"/>
      <c r="G859" s="124"/>
      <c r="H859" s="6"/>
      <c r="I859" s="125"/>
      <c r="J859" s="125"/>
      <c r="K859" s="125"/>
    </row>
    <row r="860" spans="1:11" x14ac:dyDescent="0.25">
      <c r="A860" s="6"/>
      <c r="B860" s="6"/>
      <c r="C860" s="123"/>
      <c r="D860" s="123"/>
      <c r="E860" s="124"/>
      <c r="F860" s="6"/>
      <c r="G860" s="124"/>
      <c r="H860" s="6"/>
      <c r="I860" s="125"/>
      <c r="J860" s="125"/>
      <c r="K860" s="125"/>
    </row>
    <row r="861" spans="1:11" x14ac:dyDescent="0.25">
      <c r="A861" s="6"/>
      <c r="B861" s="6"/>
      <c r="C861" s="123"/>
      <c r="D861" s="123"/>
      <c r="E861" s="124"/>
      <c r="F861" s="6"/>
      <c r="G861" s="124"/>
      <c r="H861" s="6"/>
      <c r="I861" s="125"/>
      <c r="J861" s="125"/>
      <c r="K861" s="125"/>
    </row>
    <row r="862" spans="1:11" x14ac:dyDescent="0.25">
      <c r="A862" s="6"/>
      <c r="B862" s="6"/>
      <c r="C862" s="123"/>
      <c r="D862" s="123"/>
      <c r="E862" s="124"/>
      <c r="F862" s="6"/>
      <c r="G862" s="124"/>
      <c r="H862" s="6"/>
      <c r="I862" s="125"/>
      <c r="J862" s="125"/>
      <c r="K862" s="125"/>
    </row>
    <row r="863" spans="1:11" x14ac:dyDescent="0.25">
      <c r="A863" s="6"/>
      <c r="B863" s="6"/>
      <c r="C863" s="123"/>
      <c r="D863" s="123"/>
      <c r="E863" s="124"/>
      <c r="F863" s="6"/>
      <c r="G863" s="124"/>
      <c r="H863" s="6"/>
      <c r="I863" s="125"/>
      <c r="J863" s="125"/>
      <c r="K863" s="125"/>
    </row>
    <row r="864" spans="1:11" x14ac:dyDescent="0.25">
      <c r="A864" s="6"/>
      <c r="B864" s="6"/>
      <c r="C864" s="123"/>
      <c r="D864" s="123"/>
      <c r="E864" s="124"/>
      <c r="F864" s="6"/>
      <c r="G864" s="124"/>
      <c r="H864" s="6"/>
      <c r="I864" s="125"/>
      <c r="J864" s="125"/>
      <c r="K864" s="125"/>
    </row>
    <row r="865" spans="1:11" x14ac:dyDescent="0.25">
      <c r="A865" s="6"/>
      <c r="B865" s="6"/>
      <c r="C865" s="123"/>
      <c r="D865" s="123"/>
      <c r="E865" s="124"/>
      <c r="F865" s="6"/>
      <c r="G865" s="124"/>
      <c r="H865" s="6"/>
      <c r="I865" s="125"/>
      <c r="J865" s="125"/>
      <c r="K865" s="125"/>
    </row>
    <row r="866" spans="1:11" x14ac:dyDescent="0.25">
      <c r="A866" s="6"/>
      <c r="B866" s="6"/>
      <c r="C866" s="123"/>
      <c r="D866" s="123"/>
      <c r="E866" s="124"/>
      <c r="F866" s="6"/>
      <c r="G866" s="124"/>
      <c r="H866" s="6"/>
      <c r="I866" s="125"/>
      <c r="J866" s="125"/>
      <c r="K866" s="125"/>
    </row>
    <row r="867" spans="1:11" x14ac:dyDescent="0.25">
      <c r="A867" s="6"/>
      <c r="B867" s="6"/>
      <c r="C867" s="123"/>
      <c r="D867" s="123"/>
      <c r="E867" s="124"/>
      <c r="F867" s="6"/>
      <c r="G867" s="124"/>
      <c r="H867" s="6"/>
      <c r="I867" s="125"/>
      <c r="J867" s="125"/>
      <c r="K867" s="125"/>
    </row>
    <row r="868" spans="1:11" x14ac:dyDescent="0.25">
      <c r="A868" s="6"/>
      <c r="B868" s="6"/>
      <c r="C868" s="123"/>
      <c r="D868" s="123"/>
      <c r="E868" s="124"/>
      <c r="F868" s="6"/>
      <c r="G868" s="124"/>
      <c r="H868" s="6"/>
      <c r="I868" s="125"/>
      <c r="J868" s="125"/>
      <c r="K868" s="125"/>
    </row>
    <row r="869" spans="1:11" x14ac:dyDescent="0.25">
      <c r="A869" s="6"/>
      <c r="B869" s="6"/>
      <c r="C869" s="123"/>
      <c r="D869" s="123"/>
      <c r="E869" s="124"/>
      <c r="F869" s="6"/>
      <c r="G869" s="124"/>
      <c r="H869" s="6"/>
      <c r="I869" s="125"/>
      <c r="J869" s="125"/>
      <c r="K869" s="125"/>
    </row>
    <row r="870" spans="1:11" x14ac:dyDescent="0.25">
      <c r="A870" s="6"/>
      <c r="B870" s="6"/>
      <c r="C870" s="123"/>
      <c r="D870" s="123"/>
      <c r="E870" s="124"/>
      <c r="F870" s="6"/>
      <c r="G870" s="124"/>
      <c r="H870" s="6"/>
      <c r="I870" s="125"/>
      <c r="J870" s="125"/>
      <c r="K870" s="125"/>
    </row>
    <row r="871" spans="1:11" x14ac:dyDescent="0.25">
      <c r="A871" s="6"/>
      <c r="B871" s="6"/>
      <c r="C871" s="123"/>
      <c r="D871" s="123"/>
      <c r="E871" s="124"/>
      <c r="F871" s="6"/>
      <c r="G871" s="124"/>
      <c r="H871" s="6"/>
      <c r="I871" s="125"/>
      <c r="J871" s="125"/>
      <c r="K871" s="125"/>
    </row>
    <row r="872" spans="1:11" x14ac:dyDescent="0.25">
      <c r="A872" s="6"/>
      <c r="B872" s="6"/>
      <c r="C872" s="123"/>
      <c r="D872" s="123"/>
      <c r="E872" s="124"/>
      <c r="F872" s="6"/>
      <c r="G872" s="124"/>
      <c r="H872" s="6"/>
      <c r="I872" s="125"/>
      <c r="J872" s="125"/>
      <c r="K872" s="125"/>
    </row>
    <row r="873" spans="1:11" x14ac:dyDescent="0.25">
      <c r="A873" s="6"/>
      <c r="B873" s="6"/>
      <c r="C873" s="123"/>
      <c r="D873" s="123"/>
      <c r="E873" s="124"/>
      <c r="F873" s="6"/>
      <c r="G873" s="124"/>
      <c r="H873" s="6"/>
      <c r="I873" s="125"/>
      <c r="J873" s="125"/>
      <c r="K873" s="125"/>
    </row>
    <row r="874" spans="1:11" x14ac:dyDescent="0.25">
      <c r="A874" s="6"/>
      <c r="B874" s="6"/>
      <c r="C874" s="123"/>
      <c r="D874" s="123"/>
      <c r="E874" s="124"/>
      <c r="F874" s="6"/>
      <c r="G874" s="124"/>
      <c r="H874" s="6"/>
      <c r="I874" s="125"/>
      <c r="J874" s="125"/>
      <c r="K874" s="125"/>
    </row>
    <row r="875" spans="1:11" x14ac:dyDescent="0.25">
      <c r="A875" s="6"/>
      <c r="B875" s="6"/>
      <c r="C875" s="123"/>
      <c r="D875" s="123"/>
      <c r="E875" s="124"/>
      <c r="F875" s="6"/>
      <c r="G875" s="124"/>
      <c r="H875" s="6"/>
      <c r="I875" s="125"/>
      <c r="J875" s="125"/>
      <c r="K875" s="125"/>
    </row>
    <row r="876" spans="1:11" x14ac:dyDescent="0.25">
      <c r="A876" s="6"/>
      <c r="B876" s="6"/>
      <c r="C876" s="123"/>
      <c r="D876" s="123"/>
      <c r="E876" s="124"/>
      <c r="F876" s="6"/>
      <c r="G876" s="124"/>
      <c r="H876" s="6"/>
      <c r="I876" s="125"/>
      <c r="J876" s="125"/>
      <c r="K876" s="125"/>
    </row>
    <row r="877" spans="1:11" x14ac:dyDescent="0.25">
      <c r="A877" s="6"/>
      <c r="B877" s="6"/>
      <c r="C877" s="123"/>
      <c r="D877" s="123"/>
      <c r="E877" s="124"/>
      <c r="F877" s="6"/>
      <c r="G877" s="124"/>
      <c r="H877" s="6"/>
      <c r="I877" s="125"/>
      <c r="J877" s="125"/>
      <c r="K877" s="125"/>
    </row>
    <row r="878" spans="1:11" x14ac:dyDescent="0.25">
      <c r="A878" s="6"/>
      <c r="B878" s="6"/>
      <c r="C878" s="123"/>
      <c r="D878" s="123"/>
      <c r="E878" s="124"/>
      <c r="F878" s="6"/>
      <c r="G878" s="124"/>
      <c r="H878" s="6"/>
      <c r="I878" s="125"/>
      <c r="J878" s="125"/>
      <c r="K878" s="125"/>
    </row>
    <row r="879" spans="1:11" x14ac:dyDescent="0.25">
      <c r="A879" s="6"/>
      <c r="B879" s="6"/>
      <c r="C879" s="123"/>
      <c r="D879" s="123"/>
      <c r="E879" s="124"/>
      <c r="F879" s="6"/>
      <c r="G879" s="124"/>
      <c r="H879" s="6"/>
      <c r="I879" s="125"/>
      <c r="J879" s="125"/>
      <c r="K879" s="125"/>
    </row>
    <row r="880" spans="1:11" x14ac:dyDescent="0.25">
      <c r="A880" s="6"/>
      <c r="B880" s="6"/>
      <c r="C880" s="123"/>
      <c r="D880" s="123"/>
      <c r="E880" s="124"/>
      <c r="F880" s="6"/>
      <c r="G880" s="124"/>
      <c r="H880" s="6"/>
      <c r="I880" s="125"/>
      <c r="J880" s="125"/>
      <c r="K880" s="125"/>
    </row>
    <row r="881" spans="1:11" x14ac:dyDescent="0.25">
      <c r="A881" s="6"/>
      <c r="B881" s="6"/>
      <c r="C881" s="123"/>
      <c r="D881" s="123"/>
      <c r="E881" s="124"/>
      <c r="F881" s="6"/>
      <c r="G881" s="124"/>
      <c r="H881" s="6"/>
      <c r="I881" s="125"/>
      <c r="J881" s="125"/>
      <c r="K881" s="125"/>
    </row>
    <row r="882" spans="1:11" x14ac:dyDescent="0.25">
      <c r="A882" s="6"/>
      <c r="B882" s="6"/>
      <c r="C882" s="123"/>
      <c r="D882" s="123"/>
      <c r="E882" s="124"/>
      <c r="F882" s="6"/>
      <c r="G882" s="124"/>
      <c r="H882" s="6"/>
      <c r="I882" s="125"/>
      <c r="J882" s="125"/>
      <c r="K882" s="125"/>
    </row>
    <row r="883" spans="1:11" x14ac:dyDescent="0.25">
      <c r="A883" s="6"/>
      <c r="B883" s="6"/>
      <c r="C883" s="123"/>
      <c r="D883" s="123"/>
      <c r="E883" s="124"/>
      <c r="F883" s="6"/>
      <c r="G883" s="124"/>
      <c r="H883" s="6"/>
      <c r="I883" s="125"/>
      <c r="J883" s="125"/>
      <c r="K883" s="125"/>
    </row>
    <row r="884" spans="1:11" x14ac:dyDescent="0.25">
      <c r="A884" s="6"/>
      <c r="B884" s="6"/>
      <c r="C884" s="123"/>
      <c r="D884" s="123"/>
      <c r="E884" s="124"/>
      <c r="F884" s="6"/>
      <c r="G884" s="124"/>
      <c r="H884" s="6"/>
      <c r="I884" s="125"/>
      <c r="J884" s="125"/>
      <c r="K884" s="125"/>
    </row>
    <row r="885" spans="1:11" x14ac:dyDescent="0.25">
      <c r="A885" s="6"/>
      <c r="B885" s="6"/>
      <c r="C885" s="123"/>
      <c r="D885" s="123"/>
      <c r="E885" s="124"/>
      <c r="F885" s="6"/>
      <c r="G885" s="124"/>
      <c r="H885" s="6"/>
      <c r="I885" s="125"/>
      <c r="J885" s="125"/>
      <c r="K885" s="125"/>
    </row>
    <row r="886" spans="1:11" x14ac:dyDescent="0.25">
      <c r="A886" s="6"/>
      <c r="B886" s="6"/>
      <c r="C886" s="123"/>
      <c r="D886" s="123"/>
      <c r="E886" s="124"/>
      <c r="F886" s="6"/>
      <c r="G886" s="124"/>
      <c r="H886" s="6"/>
      <c r="I886" s="125"/>
      <c r="J886" s="125"/>
      <c r="K886" s="125"/>
    </row>
    <row r="887" spans="1:11" x14ac:dyDescent="0.25">
      <c r="A887" s="6"/>
      <c r="B887" s="6"/>
      <c r="C887" s="123"/>
      <c r="D887" s="123"/>
      <c r="E887" s="124"/>
      <c r="F887" s="6"/>
      <c r="G887" s="124"/>
      <c r="H887" s="6"/>
      <c r="I887" s="125"/>
      <c r="J887" s="125"/>
      <c r="K887" s="125"/>
    </row>
    <row r="888" spans="1:11" x14ac:dyDescent="0.25">
      <c r="A888" s="6"/>
      <c r="B888" s="6"/>
      <c r="C888" s="123"/>
      <c r="D888" s="123"/>
      <c r="E888" s="124"/>
      <c r="F888" s="6"/>
      <c r="G888" s="124"/>
      <c r="H888" s="6"/>
      <c r="I888" s="125"/>
      <c r="J888" s="125"/>
      <c r="K888" s="125"/>
    </row>
    <row r="889" spans="1:11" x14ac:dyDescent="0.25">
      <c r="A889" s="6"/>
      <c r="B889" s="6"/>
      <c r="C889" s="123"/>
      <c r="D889" s="123"/>
      <c r="E889" s="124"/>
      <c r="F889" s="6"/>
      <c r="G889" s="124"/>
      <c r="H889" s="6"/>
      <c r="I889" s="125"/>
      <c r="J889" s="125"/>
      <c r="K889" s="125"/>
    </row>
    <row r="890" spans="1:11" x14ac:dyDescent="0.25">
      <c r="A890" s="6"/>
      <c r="B890" s="6"/>
      <c r="C890" s="123"/>
      <c r="D890" s="123"/>
      <c r="E890" s="124"/>
      <c r="F890" s="6"/>
      <c r="G890" s="124"/>
      <c r="H890" s="6"/>
      <c r="I890" s="125"/>
      <c r="J890" s="125"/>
      <c r="K890" s="125"/>
    </row>
    <row r="891" spans="1:11" x14ac:dyDescent="0.25">
      <c r="A891" s="6"/>
      <c r="B891" s="6"/>
      <c r="C891" s="123"/>
      <c r="D891" s="123"/>
      <c r="E891" s="124"/>
      <c r="F891" s="6"/>
      <c r="G891" s="124"/>
      <c r="H891" s="6"/>
      <c r="I891" s="125"/>
      <c r="J891" s="125"/>
      <c r="K891" s="125"/>
    </row>
    <row r="892" spans="1:11" x14ac:dyDescent="0.25">
      <c r="A892" s="6"/>
      <c r="B892" s="6"/>
      <c r="C892" s="123"/>
      <c r="D892" s="123"/>
      <c r="E892" s="124"/>
      <c r="F892" s="6"/>
      <c r="G892" s="124"/>
      <c r="H892" s="6"/>
      <c r="I892" s="125"/>
      <c r="J892" s="125"/>
      <c r="K892" s="125"/>
    </row>
    <row r="893" spans="1:11" x14ac:dyDescent="0.25">
      <c r="A893" s="6"/>
      <c r="B893" s="6"/>
      <c r="C893" s="123"/>
      <c r="D893" s="123"/>
      <c r="E893" s="124"/>
      <c r="F893" s="6"/>
      <c r="G893" s="124"/>
      <c r="H893" s="6"/>
      <c r="I893" s="125"/>
      <c r="J893" s="125"/>
      <c r="K893" s="125"/>
    </row>
    <row r="894" spans="1:11" x14ac:dyDescent="0.25">
      <c r="A894" s="6"/>
      <c r="B894" s="6"/>
      <c r="C894" s="123"/>
      <c r="D894" s="123"/>
      <c r="E894" s="124"/>
      <c r="F894" s="6"/>
      <c r="G894" s="124"/>
      <c r="H894" s="6"/>
      <c r="I894" s="125"/>
      <c r="J894" s="125"/>
      <c r="K894" s="125"/>
    </row>
    <row r="895" spans="1:11" x14ac:dyDescent="0.25">
      <c r="A895" s="6"/>
      <c r="B895" s="6"/>
      <c r="C895" s="123"/>
      <c r="D895" s="123"/>
      <c r="E895" s="124"/>
      <c r="F895" s="6"/>
      <c r="G895" s="124"/>
      <c r="H895" s="6"/>
      <c r="I895" s="125"/>
      <c r="J895" s="125"/>
      <c r="K895" s="125"/>
    </row>
    <row r="896" spans="1:11" x14ac:dyDescent="0.25">
      <c r="A896" s="6"/>
      <c r="B896" s="6"/>
      <c r="C896" s="123"/>
      <c r="D896" s="123"/>
      <c r="E896" s="124"/>
      <c r="F896" s="6"/>
      <c r="G896" s="124"/>
      <c r="H896" s="6"/>
      <c r="I896" s="125"/>
      <c r="J896" s="125"/>
      <c r="K896" s="125"/>
    </row>
    <row r="897" spans="1:11" x14ac:dyDescent="0.25">
      <c r="A897" s="6"/>
      <c r="B897" s="6"/>
      <c r="C897" s="123"/>
      <c r="D897" s="123"/>
      <c r="E897" s="124"/>
      <c r="F897" s="6"/>
      <c r="G897" s="124"/>
      <c r="H897" s="6"/>
      <c r="I897" s="125"/>
      <c r="J897" s="125"/>
      <c r="K897" s="125"/>
    </row>
    <row r="898" spans="1:11" x14ac:dyDescent="0.25">
      <c r="A898" s="6"/>
      <c r="B898" s="6"/>
      <c r="C898" s="123"/>
      <c r="D898" s="123"/>
      <c r="E898" s="124"/>
      <c r="F898" s="6"/>
      <c r="G898" s="124"/>
      <c r="H898" s="6"/>
      <c r="I898" s="125"/>
      <c r="J898" s="125"/>
      <c r="K898" s="125"/>
    </row>
    <row r="899" spans="1:11" x14ac:dyDescent="0.25">
      <c r="A899" s="6"/>
      <c r="B899" s="6"/>
      <c r="C899" s="123"/>
      <c r="D899" s="123"/>
      <c r="E899" s="124"/>
      <c r="F899" s="6"/>
      <c r="G899" s="124"/>
      <c r="H899" s="6"/>
      <c r="I899" s="125"/>
      <c r="J899" s="125"/>
      <c r="K899" s="125"/>
    </row>
    <row r="900" spans="1:11" x14ac:dyDescent="0.25">
      <c r="A900" s="6"/>
      <c r="B900" s="6"/>
      <c r="C900" s="123"/>
      <c r="D900" s="123"/>
      <c r="E900" s="124"/>
      <c r="F900" s="6"/>
      <c r="G900" s="124"/>
      <c r="H900" s="6"/>
      <c r="I900" s="125"/>
      <c r="J900" s="125"/>
      <c r="K900" s="125"/>
    </row>
    <row r="901" spans="1:11" x14ac:dyDescent="0.25">
      <c r="A901" s="6"/>
      <c r="B901" s="6"/>
      <c r="C901" s="123"/>
      <c r="D901" s="123"/>
      <c r="E901" s="124"/>
      <c r="F901" s="6"/>
      <c r="G901" s="124"/>
      <c r="H901" s="6"/>
      <c r="I901" s="125"/>
      <c r="J901" s="125"/>
      <c r="K901" s="125"/>
    </row>
    <row r="902" spans="1:11" x14ac:dyDescent="0.25">
      <c r="A902" s="6"/>
      <c r="B902" s="6"/>
      <c r="C902" s="123"/>
      <c r="D902" s="123"/>
      <c r="E902" s="124"/>
      <c r="F902" s="6"/>
      <c r="G902" s="124"/>
      <c r="H902" s="6"/>
      <c r="I902" s="125"/>
      <c r="J902" s="125"/>
      <c r="K902" s="125"/>
    </row>
    <row r="903" spans="1:11" x14ac:dyDescent="0.25">
      <c r="A903" s="6"/>
      <c r="B903" s="6"/>
      <c r="C903" s="123"/>
      <c r="D903" s="123"/>
      <c r="E903" s="124"/>
      <c r="F903" s="6"/>
      <c r="G903" s="124"/>
      <c r="H903" s="6"/>
      <c r="I903" s="125"/>
      <c r="J903" s="125"/>
      <c r="K903" s="125"/>
    </row>
    <row r="904" spans="1:11" x14ac:dyDescent="0.25">
      <c r="A904" s="6"/>
      <c r="B904" s="6"/>
      <c r="C904" s="123"/>
      <c r="D904" s="123"/>
      <c r="E904" s="124"/>
      <c r="F904" s="6"/>
      <c r="G904" s="124"/>
      <c r="H904" s="6"/>
      <c r="I904" s="125"/>
      <c r="J904" s="125"/>
      <c r="K904" s="125"/>
    </row>
    <row r="905" spans="1:11" x14ac:dyDescent="0.25">
      <c r="A905" s="6"/>
      <c r="B905" s="6"/>
      <c r="C905" s="123"/>
      <c r="D905" s="123"/>
      <c r="E905" s="124"/>
      <c r="F905" s="6"/>
      <c r="G905" s="124"/>
      <c r="H905" s="6"/>
      <c r="I905" s="125"/>
      <c r="J905" s="125"/>
      <c r="K905" s="125"/>
    </row>
    <row r="906" spans="1:11" x14ac:dyDescent="0.25">
      <c r="A906" s="6"/>
      <c r="B906" s="6"/>
      <c r="C906" s="123"/>
      <c r="D906" s="123"/>
      <c r="E906" s="124"/>
      <c r="F906" s="6"/>
      <c r="G906" s="124"/>
      <c r="H906" s="6"/>
      <c r="I906" s="125"/>
      <c r="J906" s="125"/>
      <c r="K906" s="125"/>
    </row>
    <row r="907" spans="1:11" x14ac:dyDescent="0.25">
      <c r="A907" s="6"/>
      <c r="B907" s="6"/>
      <c r="C907" s="123"/>
      <c r="D907" s="123"/>
      <c r="E907" s="124"/>
      <c r="F907" s="6"/>
      <c r="G907" s="124"/>
      <c r="H907" s="6"/>
      <c r="I907" s="125"/>
      <c r="J907" s="125"/>
      <c r="K907" s="125"/>
    </row>
    <row r="908" spans="1:11" x14ac:dyDescent="0.25">
      <c r="A908" s="6"/>
      <c r="B908" s="6"/>
      <c r="C908" s="123"/>
      <c r="D908" s="123"/>
      <c r="E908" s="124"/>
      <c r="F908" s="6"/>
      <c r="G908" s="124"/>
      <c r="H908" s="6"/>
      <c r="I908" s="125"/>
      <c r="J908" s="125"/>
      <c r="K908" s="125"/>
    </row>
    <row r="909" spans="1:11" x14ac:dyDescent="0.25">
      <c r="A909" s="6"/>
      <c r="B909" s="6"/>
      <c r="C909" s="123"/>
      <c r="D909" s="123"/>
      <c r="E909" s="124"/>
      <c r="F909" s="6"/>
      <c r="G909" s="124"/>
      <c r="H909" s="6"/>
      <c r="I909" s="125"/>
      <c r="J909" s="125"/>
      <c r="K909" s="125"/>
    </row>
    <row r="910" spans="1:11" x14ac:dyDescent="0.25">
      <c r="A910" s="6"/>
      <c r="B910" s="6"/>
      <c r="C910" s="123"/>
      <c r="D910" s="123"/>
      <c r="E910" s="124"/>
      <c r="F910" s="6"/>
      <c r="G910" s="124"/>
      <c r="H910" s="6"/>
      <c r="I910" s="125"/>
      <c r="J910" s="125"/>
      <c r="K910" s="125"/>
    </row>
    <row r="911" spans="1:11" x14ac:dyDescent="0.25">
      <c r="A911" s="6"/>
      <c r="B911" s="6"/>
      <c r="C911" s="123"/>
      <c r="D911" s="123"/>
      <c r="E911" s="124"/>
      <c r="F911" s="6"/>
      <c r="G911" s="124"/>
      <c r="H911" s="6"/>
      <c r="I911" s="125"/>
      <c r="J911" s="125"/>
      <c r="K911" s="125"/>
    </row>
    <row r="912" spans="1:11" x14ac:dyDescent="0.25">
      <c r="A912" s="6"/>
      <c r="B912" s="6"/>
      <c r="C912" s="123"/>
      <c r="D912" s="123"/>
      <c r="E912" s="124"/>
      <c r="F912" s="6"/>
      <c r="G912" s="124"/>
      <c r="H912" s="6"/>
      <c r="I912" s="125"/>
      <c r="J912" s="125"/>
      <c r="K912" s="125"/>
    </row>
    <row r="913" spans="1:11" x14ac:dyDescent="0.25">
      <c r="A913" s="6"/>
      <c r="B913" s="6"/>
      <c r="C913" s="123"/>
      <c r="D913" s="123"/>
      <c r="E913" s="124"/>
      <c r="F913" s="6"/>
      <c r="G913" s="124"/>
      <c r="H913" s="6"/>
      <c r="I913" s="125"/>
      <c r="J913" s="125"/>
      <c r="K913" s="125"/>
    </row>
    <row r="914" spans="1:11" x14ac:dyDescent="0.25">
      <c r="A914" s="6"/>
      <c r="B914" s="6"/>
      <c r="C914" s="123"/>
      <c r="D914" s="123"/>
      <c r="E914" s="124"/>
      <c r="F914" s="6"/>
      <c r="G914" s="124"/>
      <c r="H914" s="6"/>
      <c r="I914" s="125"/>
      <c r="J914" s="125"/>
      <c r="K914" s="125"/>
    </row>
    <row r="915" spans="1:11" x14ac:dyDescent="0.25">
      <c r="A915" s="6"/>
      <c r="B915" s="6"/>
      <c r="C915" s="123"/>
      <c r="D915" s="123"/>
      <c r="E915" s="124"/>
      <c r="F915" s="6"/>
      <c r="G915" s="124"/>
      <c r="H915" s="6"/>
      <c r="I915" s="125"/>
      <c r="J915" s="125"/>
      <c r="K915" s="125"/>
    </row>
    <row r="916" spans="1:11" x14ac:dyDescent="0.25">
      <c r="A916" s="6"/>
      <c r="B916" s="6"/>
      <c r="C916" s="123"/>
      <c r="D916" s="123"/>
      <c r="E916" s="124"/>
      <c r="F916" s="6"/>
      <c r="G916" s="124"/>
      <c r="H916" s="6"/>
      <c r="I916" s="125"/>
      <c r="J916" s="125"/>
      <c r="K916" s="125"/>
    </row>
    <row r="917" spans="1:11" x14ac:dyDescent="0.25">
      <c r="A917" s="6"/>
      <c r="B917" s="6"/>
      <c r="C917" s="123"/>
      <c r="D917" s="123"/>
      <c r="E917" s="124"/>
      <c r="F917" s="6"/>
      <c r="G917" s="124"/>
      <c r="H917" s="6"/>
      <c r="I917" s="125"/>
      <c r="J917" s="125"/>
      <c r="K917" s="125"/>
    </row>
    <row r="918" spans="1:11" x14ac:dyDescent="0.25">
      <c r="A918" s="6"/>
      <c r="B918" s="6"/>
      <c r="C918" s="123"/>
      <c r="D918" s="123"/>
      <c r="E918" s="124"/>
      <c r="F918" s="6"/>
      <c r="G918" s="124"/>
      <c r="H918" s="6"/>
      <c r="I918" s="125"/>
      <c r="J918" s="125"/>
      <c r="K918" s="125"/>
    </row>
    <row r="919" spans="1:11" x14ac:dyDescent="0.25">
      <c r="A919" s="6"/>
      <c r="B919" s="6"/>
      <c r="C919" s="123"/>
      <c r="D919" s="123"/>
      <c r="E919" s="124"/>
      <c r="F919" s="6"/>
      <c r="G919" s="124"/>
      <c r="H919" s="6"/>
      <c r="I919" s="125"/>
      <c r="J919" s="125"/>
      <c r="K919" s="125"/>
    </row>
    <row r="920" spans="1:11" x14ac:dyDescent="0.25">
      <c r="A920" s="6"/>
      <c r="B920" s="6"/>
      <c r="C920" s="123"/>
      <c r="D920" s="123"/>
      <c r="E920" s="124"/>
      <c r="F920" s="6"/>
      <c r="G920" s="124"/>
      <c r="H920" s="6"/>
      <c r="I920" s="125"/>
      <c r="J920" s="125"/>
      <c r="K920" s="125"/>
    </row>
    <row r="921" spans="1:11" x14ac:dyDescent="0.25">
      <c r="A921" s="6"/>
      <c r="B921" s="6"/>
      <c r="C921" s="123"/>
      <c r="D921" s="123"/>
      <c r="E921" s="124"/>
      <c r="F921" s="6"/>
      <c r="G921" s="124"/>
      <c r="H921" s="6"/>
      <c r="I921" s="125"/>
      <c r="J921" s="125"/>
      <c r="K921" s="125"/>
    </row>
    <row r="922" spans="1:11" x14ac:dyDescent="0.25">
      <c r="A922" s="6"/>
      <c r="B922" s="6"/>
      <c r="C922" s="123"/>
      <c r="D922" s="123"/>
      <c r="E922" s="124"/>
      <c r="F922" s="6"/>
      <c r="G922" s="124"/>
      <c r="H922" s="6"/>
      <c r="I922" s="125"/>
      <c r="J922" s="125"/>
      <c r="K922" s="125"/>
    </row>
    <row r="923" spans="1:11" x14ac:dyDescent="0.25">
      <c r="A923" s="6"/>
      <c r="B923" s="6"/>
      <c r="C923" s="123"/>
      <c r="D923" s="123"/>
      <c r="E923" s="124"/>
      <c r="F923" s="6"/>
      <c r="G923" s="124"/>
      <c r="H923" s="6"/>
      <c r="I923" s="125"/>
      <c r="J923" s="125"/>
      <c r="K923" s="125"/>
    </row>
    <row r="924" spans="1:11" x14ac:dyDescent="0.25">
      <c r="A924" s="6"/>
      <c r="B924" s="6"/>
      <c r="C924" s="123"/>
      <c r="D924" s="123"/>
      <c r="E924" s="124"/>
      <c r="F924" s="6"/>
      <c r="G924" s="124"/>
      <c r="H924" s="6"/>
      <c r="I924" s="125"/>
      <c r="J924" s="125"/>
      <c r="K924" s="125"/>
    </row>
    <row r="925" spans="1:11" x14ac:dyDescent="0.25">
      <c r="A925" s="6"/>
      <c r="B925" s="6"/>
      <c r="C925" s="123"/>
      <c r="D925" s="123"/>
      <c r="E925" s="124"/>
      <c r="F925" s="6"/>
      <c r="G925" s="124"/>
      <c r="H925" s="6"/>
      <c r="I925" s="125"/>
      <c r="J925" s="125"/>
      <c r="K925" s="125"/>
    </row>
    <row r="926" spans="1:11" x14ac:dyDescent="0.25">
      <c r="A926" s="6"/>
      <c r="B926" s="6"/>
      <c r="C926" s="123"/>
      <c r="D926" s="123"/>
      <c r="E926" s="124"/>
      <c r="F926" s="6"/>
      <c r="G926" s="124"/>
      <c r="H926" s="6"/>
      <c r="I926" s="125"/>
      <c r="J926" s="125"/>
      <c r="K926" s="125"/>
    </row>
    <row r="927" spans="1:11" x14ac:dyDescent="0.25">
      <c r="A927" s="6"/>
      <c r="B927" s="6"/>
      <c r="C927" s="123"/>
      <c r="D927" s="123"/>
      <c r="E927" s="124"/>
      <c r="F927" s="6"/>
      <c r="G927" s="124"/>
      <c r="H927" s="6"/>
      <c r="I927" s="125"/>
      <c r="J927" s="125"/>
      <c r="K927" s="125"/>
    </row>
    <row r="928" spans="1:11" x14ac:dyDescent="0.25">
      <c r="A928" s="6"/>
      <c r="B928" s="6"/>
      <c r="C928" s="123"/>
      <c r="D928" s="123"/>
      <c r="E928" s="124"/>
      <c r="F928" s="6"/>
      <c r="G928" s="124"/>
      <c r="H928" s="6"/>
      <c r="I928" s="125"/>
      <c r="J928" s="125"/>
      <c r="K928" s="125"/>
    </row>
    <row r="929" spans="1:11" x14ac:dyDescent="0.25">
      <c r="A929" s="6"/>
      <c r="B929" s="6"/>
      <c r="C929" s="123"/>
      <c r="D929" s="123"/>
      <c r="E929" s="124"/>
      <c r="F929" s="6"/>
      <c r="G929" s="124"/>
      <c r="H929" s="6"/>
      <c r="I929" s="125"/>
      <c r="J929" s="125"/>
      <c r="K929" s="125"/>
    </row>
    <row r="930" spans="1:11" x14ac:dyDescent="0.25">
      <c r="A930" s="6"/>
      <c r="B930" s="6"/>
      <c r="C930" s="123"/>
      <c r="D930" s="123"/>
      <c r="E930" s="124"/>
      <c r="F930" s="6"/>
      <c r="G930" s="124"/>
      <c r="H930" s="6"/>
      <c r="I930" s="125"/>
      <c r="J930" s="125"/>
      <c r="K930" s="125"/>
    </row>
    <row r="931" spans="1:11" x14ac:dyDescent="0.25">
      <c r="A931" s="6"/>
      <c r="B931" s="6"/>
      <c r="C931" s="123"/>
      <c r="D931" s="123"/>
      <c r="E931" s="124"/>
      <c r="F931" s="6"/>
      <c r="G931" s="124"/>
      <c r="H931" s="6"/>
      <c r="I931" s="125"/>
      <c r="J931" s="125"/>
      <c r="K931" s="125"/>
    </row>
    <row r="932" spans="1:11" x14ac:dyDescent="0.25">
      <c r="A932" s="6"/>
      <c r="B932" s="6"/>
      <c r="C932" s="123"/>
      <c r="D932" s="123"/>
      <c r="E932" s="124"/>
      <c r="F932" s="6"/>
      <c r="G932" s="124"/>
      <c r="H932" s="6"/>
      <c r="I932" s="125"/>
      <c r="J932" s="125"/>
      <c r="K932" s="125"/>
    </row>
    <row r="933" spans="1:11" x14ac:dyDescent="0.25">
      <c r="A933" s="6"/>
      <c r="B933" s="6"/>
      <c r="C933" s="123"/>
      <c r="D933" s="123"/>
      <c r="E933" s="124"/>
      <c r="F933" s="6"/>
      <c r="G933" s="124"/>
      <c r="H933" s="6"/>
      <c r="I933" s="125"/>
      <c r="J933" s="125"/>
      <c r="K933" s="125"/>
    </row>
    <row r="934" spans="1:11" x14ac:dyDescent="0.25">
      <c r="A934" s="6"/>
      <c r="B934" s="6"/>
      <c r="C934" s="123"/>
      <c r="D934" s="123"/>
      <c r="E934" s="124"/>
      <c r="F934" s="6"/>
      <c r="G934" s="124"/>
      <c r="H934" s="6"/>
      <c r="I934" s="125"/>
      <c r="J934" s="125"/>
      <c r="K934" s="125"/>
    </row>
    <row r="935" spans="1:11" x14ac:dyDescent="0.25">
      <c r="A935" s="6"/>
      <c r="B935" s="6"/>
      <c r="C935" s="123"/>
      <c r="D935" s="123"/>
      <c r="E935" s="124"/>
      <c r="F935" s="6"/>
      <c r="G935" s="124"/>
      <c r="H935" s="6"/>
      <c r="I935" s="125"/>
      <c r="J935" s="125"/>
      <c r="K935" s="125"/>
    </row>
    <row r="936" spans="1:11" x14ac:dyDescent="0.25">
      <c r="A936" s="6"/>
      <c r="B936" s="6"/>
      <c r="C936" s="123"/>
      <c r="D936" s="123"/>
      <c r="E936" s="124"/>
      <c r="F936" s="6"/>
      <c r="G936" s="124"/>
      <c r="H936" s="6"/>
      <c r="I936" s="125"/>
      <c r="J936" s="125"/>
      <c r="K936" s="125"/>
    </row>
    <row r="937" spans="1:11" x14ac:dyDescent="0.25">
      <c r="A937" s="6"/>
      <c r="B937" s="6"/>
      <c r="C937" s="123"/>
      <c r="D937" s="123"/>
      <c r="E937" s="124"/>
      <c r="F937" s="6"/>
      <c r="G937" s="124"/>
      <c r="H937" s="6"/>
      <c r="I937" s="125"/>
      <c r="J937" s="125"/>
      <c r="K937" s="125"/>
    </row>
    <row r="938" spans="1:11" x14ac:dyDescent="0.25">
      <c r="A938" s="6"/>
      <c r="B938" s="6"/>
      <c r="C938" s="123"/>
      <c r="D938" s="123"/>
      <c r="E938" s="124"/>
      <c r="F938" s="6"/>
      <c r="G938" s="124"/>
      <c r="H938" s="6"/>
      <c r="I938" s="125"/>
      <c r="J938" s="125"/>
      <c r="K938" s="125"/>
    </row>
    <row r="939" spans="1:11" x14ac:dyDescent="0.25">
      <c r="A939" s="6"/>
      <c r="B939" s="6"/>
      <c r="C939" s="123"/>
      <c r="D939" s="123"/>
      <c r="E939" s="124"/>
      <c r="F939" s="6"/>
      <c r="G939" s="124"/>
      <c r="H939" s="6"/>
      <c r="I939" s="125"/>
      <c r="J939" s="125"/>
      <c r="K939" s="125"/>
    </row>
    <row r="940" spans="1:11" x14ac:dyDescent="0.25">
      <c r="A940" s="6"/>
      <c r="B940" s="6"/>
      <c r="C940" s="123"/>
      <c r="D940" s="123"/>
      <c r="E940" s="124"/>
      <c r="F940" s="6"/>
      <c r="G940" s="124"/>
      <c r="H940" s="6"/>
      <c r="I940" s="125"/>
      <c r="J940" s="125"/>
      <c r="K940" s="125"/>
    </row>
    <row r="941" spans="1:11" x14ac:dyDescent="0.25">
      <c r="A941" s="6"/>
      <c r="B941" s="6"/>
      <c r="C941" s="123"/>
      <c r="D941" s="123"/>
      <c r="E941" s="124"/>
      <c r="F941" s="6"/>
      <c r="G941" s="124"/>
      <c r="H941" s="6"/>
      <c r="I941" s="125"/>
      <c r="J941" s="125"/>
      <c r="K941" s="125"/>
    </row>
    <row r="942" spans="1:11" x14ac:dyDescent="0.25">
      <c r="A942" s="6"/>
      <c r="B942" s="6"/>
      <c r="C942" s="123"/>
      <c r="D942" s="123"/>
      <c r="E942" s="124"/>
      <c r="F942" s="6"/>
      <c r="G942" s="124"/>
      <c r="H942" s="6"/>
      <c r="I942" s="125"/>
      <c r="J942" s="125"/>
      <c r="K942" s="125"/>
    </row>
    <row r="943" spans="1:11" x14ac:dyDescent="0.25">
      <c r="A943" s="6"/>
      <c r="B943" s="6"/>
      <c r="C943" s="123"/>
      <c r="D943" s="123"/>
      <c r="E943" s="124"/>
      <c r="F943" s="6"/>
      <c r="G943" s="124"/>
      <c r="H943" s="6"/>
      <c r="I943" s="125"/>
      <c r="J943" s="125"/>
      <c r="K943" s="125"/>
    </row>
    <row r="944" spans="1:11" x14ac:dyDescent="0.25">
      <c r="A944" s="6"/>
      <c r="B944" s="6"/>
      <c r="C944" s="123"/>
      <c r="D944" s="123"/>
      <c r="E944" s="124"/>
      <c r="F944" s="6"/>
      <c r="G944" s="124"/>
      <c r="H944" s="6"/>
      <c r="I944" s="125"/>
      <c r="J944" s="125"/>
      <c r="K944" s="125"/>
    </row>
    <row r="945" spans="1:11" x14ac:dyDescent="0.25">
      <c r="A945" s="6"/>
      <c r="B945" s="6"/>
      <c r="C945" s="123"/>
      <c r="D945" s="123"/>
      <c r="E945" s="124"/>
      <c r="F945" s="6"/>
      <c r="G945" s="124"/>
      <c r="H945" s="6"/>
      <c r="I945" s="125"/>
      <c r="J945" s="125"/>
      <c r="K945" s="125"/>
    </row>
    <row r="946" spans="1:11" x14ac:dyDescent="0.25">
      <c r="A946" s="6"/>
      <c r="B946" s="6"/>
      <c r="C946" s="123"/>
      <c r="D946" s="123"/>
      <c r="E946" s="124"/>
      <c r="F946" s="6"/>
      <c r="G946" s="124"/>
      <c r="H946" s="6"/>
      <c r="I946" s="125"/>
      <c r="J946" s="125"/>
      <c r="K946" s="125"/>
    </row>
    <row r="947" spans="1:11" x14ac:dyDescent="0.25">
      <c r="A947" s="6"/>
      <c r="B947" s="6"/>
      <c r="C947" s="123"/>
      <c r="D947" s="123"/>
      <c r="E947" s="124"/>
      <c r="F947" s="6"/>
      <c r="G947" s="124"/>
      <c r="H947" s="6"/>
      <c r="I947" s="125"/>
      <c r="J947" s="125"/>
      <c r="K947" s="125"/>
    </row>
    <row r="948" spans="1:11" x14ac:dyDescent="0.25">
      <c r="A948" s="6"/>
      <c r="B948" s="6"/>
      <c r="C948" s="123"/>
      <c r="D948" s="123"/>
      <c r="E948" s="124"/>
      <c r="F948" s="6"/>
      <c r="G948" s="124"/>
      <c r="H948" s="6"/>
      <c r="I948" s="125"/>
      <c r="J948" s="125"/>
      <c r="K948" s="125"/>
    </row>
    <row r="949" spans="1:11" x14ac:dyDescent="0.25">
      <c r="A949" s="6"/>
      <c r="B949" s="6"/>
      <c r="C949" s="123"/>
      <c r="D949" s="123"/>
      <c r="E949" s="124"/>
      <c r="F949" s="6"/>
      <c r="G949" s="124"/>
      <c r="H949" s="6"/>
      <c r="I949" s="125"/>
      <c r="J949" s="125"/>
      <c r="K949" s="125"/>
    </row>
    <row r="950" spans="1:11" x14ac:dyDescent="0.25">
      <c r="A950" s="6"/>
      <c r="B950" s="6"/>
      <c r="C950" s="123"/>
      <c r="D950" s="123"/>
      <c r="E950" s="124"/>
      <c r="F950" s="6"/>
      <c r="G950" s="124"/>
      <c r="H950" s="6"/>
      <c r="I950" s="125"/>
      <c r="J950" s="125"/>
      <c r="K950" s="125"/>
    </row>
    <row r="951" spans="1:11" x14ac:dyDescent="0.25">
      <c r="A951" s="6"/>
      <c r="B951" s="6"/>
      <c r="C951" s="123"/>
      <c r="D951" s="123"/>
      <c r="E951" s="124"/>
      <c r="F951" s="6"/>
      <c r="G951" s="124"/>
      <c r="H951" s="6"/>
      <c r="I951" s="125"/>
      <c r="J951" s="125"/>
      <c r="K951" s="125"/>
    </row>
    <row r="952" spans="1:11" x14ac:dyDescent="0.25">
      <c r="A952" s="6"/>
      <c r="B952" s="6"/>
      <c r="C952" s="123"/>
      <c r="D952" s="123"/>
      <c r="E952" s="124"/>
      <c r="F952" s="6"/>
      <c r="G952" s="124"/>
      <c r="H952" s="6"/>
      <c r="I952" s="125"/>
      <c r="J952" s="125"/>
      <c r="K952" s="125"/>
    </row>
    <row r="953" spans="1:11" x14ac:dyDescent="0.25">
      <c r="A953" s="6"/>
      <c r="B953" s="6"/>
      <c r="C953" s="123"/>
      <c r="D953" s="123"/>
      <c r="E953" s="124"/>
      <c r="F953" s="6"/>
      <c r="G953" s="124"/>
      <c r="H953" s="6"/>
      <c r="I953" s="125"/>
      <c r="J953" s="125"/>
      <c r="K953" s="125"/>
    </row>
    <row r="954" spans="1:11" x14ac:dyDescent="0.25">
      <c r="A954" s="6"/>
      <c r="B954" s="6"/>
      <c r="C954" s="123"/>
      <c r="D954" s="123"/>
      <c r="E954" s="124"/>
      <c r="F954" s="6"/>
      <c r="G954" s="124"/>
      <c r="H954" s="6"/>
      <c r="I954" s="125"/>
      <c r="J954" s="125"/>
      <c r="K954" s="125"/>
    </row>
    <row r="955" spans="1:11" x14ac:dyDescent="0.25">
      <c r="A955" s="6"/>
      <c r="B955" s="6"/>
      <c r="C955" s="123"/>
      <c r="D955" s="123"/>
      <c r="E955" s="124"/>
      <c r="F955" s="6"/>
      <c r="G955" s="124"/>
      <c r="H955" s="6"/>
      <c r="I955" s="125"/>
      <c r="J955" s="125"/>
      <c r="K955" s="125"/>
    </row>
    <row r="956" spans="1:11" x14ac:dyDescent="0.25">
      <c r="A956" s="6"/>
      <c r="B956" s="6"/>
      <c r="C956" s="123"/>
      <c r="D956" s="123"/>
      <c r="E956" s="124"/>
      <c r="F956" s="6"/>
      <c r="G956" s="124"/>
      <c r="H956" s="6"/>
      <c r="I956" s="125"/>
      <c r="J956" s="125"/>
      <c r="K956" s="125"/>
    </row>
    <row r="957" spans="1:11" x14ac:dyDescent="0.25">
      <c r="A957" s="6"/>
      <c r="B957" s="6"/>
      <c r="C957" s="123"/>
      <c r="D957" s="123"/>
      <c r="E957" s="124"/>
      <c r="F957" s="6"/>
      <c r="G957" s="124"/>
      <c r="H957" s="6"/>
      <c r="I957" s="125"/>
      <c r="J957" s="125"/>
      <c r="K957" s="125"/>
    </row>
    <row r="958" spans="1:11" x14ac:dyDescent="0.25">
      <c r="A958" s="6"/>
      <c r="B958" s="6"/>
      <c r="C958" s="123"/>
      <c r="D958" s="123"/>
      <c r="E958" s="124"/>
      <c r="F958" s="6"/>
      <c r="G958" s="124"/>
      <c r="H958" s="6"/>
      <c r="I958" s="125"/>
      <c r="J958" s="125"/>
      <c r="K958" s="125"/>
    </row>
    <row r="959" spans="1:11" x14ac:dyDescent="0.25">
      <c r="A959" s="6"/>
      <c r="B959" s="6"/>
      <c r="C959" s="123"/>
      <c r="D959" s="123"/>
      <c r="E959" s="124"/>
      <c r="F959" s="6"/>
      <c r="G959" s="124"/>
      <c r="H959" s="6"/>
      <c r="I959" s="125"/>
      <c r="J959" s="125"/>
      <c r="K959" s="125"/>
    </row>
    <row r="960" spans="1:11" x14ac:dyDescent="0.25">
      <c r="A960" s="6"/>
      <c r="B960" s="6"/>
      <c r="C960" s="123"/>
      <c r="D960" s="123"/>
      <c r="E960" s="124"/>
      <c r="F960" s="6"/>
      <c r="G960" s="124"/>
      <c r="H960" s="6"/>
      <c r="I960" s="125"/>
      <c r="J960" s="125"/>
      <c r="K960" s="125"/>
    </row>
    <row r="961" spans="1:11" x14ac:dyDescent="0.25">
      <c r="A961" s="6"/>
      <c r="B961" s="6"/>
      <c r="C961" s="123"/>
      <c r="D961" s="123"/>
      <c r="E961" s="124"/>
      <c r="F961" s="6"/>
      <c r="G961" s="124"/>
      <c r="H961" s="6"/>
      <c r="I961" s="125"/>
      <c r="J961" s="125"/>
      <c r="K961" s="125"/>
    </row>
    <row r="962" spans="1:11" x14ac:dyDescent="0.25">
      <c r="A962" s="6"/>
      <c r="B962" s="6"/>
      <c r="C962" s="123"/>
      <c r="D962" s="123"/>
      <c r="E962" s="124"/>
      <c r="F962" s="6"/>
      <c r="G962" s="124"/>
      <c r="H962" s="6"/>
      <c r="I962" s="125"/>
      <c r="J962" s="125"/>
      <c r="K962" s="125"/>
    </row>
    <row r="963" spans="1:11" x14ac:dyDescent="0.25">
      <c r="A963" s="6"/>
      <c r="B963" s="6"/>
      <c r="C963" s="123"/>
      <c r="D963" s="123"/>
      <c r="E963" s="124"/>
      <c r="F963" s="6"/>
      <c r="G963" s="124"/>
      <c r="H963" s="6"/>
      <c r="I963" s="125"/>
      <c r="J963" s="125"/>
      <c r="K963" s="125"/>
    </row>
    <row r="964" spans="1:11" x14ac:dyDescent="0.25">
      <c r="A964" s="6"/>
      <c r="B964" s="6"/>
      <c r="C964" s="123"/>
      <c r="D964" s="123"/>
      <c r="E964" s="124"/>
      <c r="F964" s="6"/>
      <c r="G964" s="124"/>
      <c r="H964" s="6"/>
      <c r="I964" s="125"/>
      <c r="J964" s="125"/>
      <c r="K964" s="125"/>
    </row>
    <row r="965" spans="1:11" x14ac:dyDescent="0.25">
      <c r="A965" s="6"/>
      <c r="B965" s="6"/>
      <c r="C965" s="123"/>
      <c r="D965" s="123"/>
      <c r="E965" s="124"/>
      <c r="F965" s="6"/>
      <c r="G965" s="124"/>
      <c r="H965" s="6"/>
      <c r="I965" s="125"/>
      <c r="J965" s="125"/>
      <c r="K965" s="125"/>
    </row>
    <row r="966" spans="1:11" x14ac:dyDescent="0.25">
      <c r="A966" s="6"/>
      <c r="B966" s="6"/>
      <c r="C966" s="123"/>
      <c r="D966" s="123"/>
      <c r="E966" s="124"/>
      <c r="F966" s="6"/>
      <c r="G966" s="124"/>
      <c r="H966" s="6"/>
      <c r="I966" s="125"/>
      <c r="J966" s="125"/>
      <c r="K966" s="125"/>
    </row>
    <row r="967" spans="1:11" x14ac:dyDescent="0.25">
      <c r="A967" s="6"/>
      <c r="B967" s="6"/>
      <c r="C967" s="123"/>
      <c r="D967" s="123"/>
      <c r="E967" s="124"/>
      <c r="F967" s="6"/>
      <c r="G967" s="124"/>
      <c r="H967" s="6"/>
      <c r="I967" s="125"/>
      <c r="J967" s="125"/>
      <c r="K967" s="125"/>
    </row>
    <row r="968" spans="1:11" x14ac:dyDescent="0.25">
      <c r="A968" s="6"/>
      <c r="B968" s="6"/>
      <c r="C968" s="123"/>
      <c r="D968" s="123"/>
      <c r="E968" s="124"/>
      <c r="F968" s="6"/>
      <c r="G968" s="124"/>
      <c r="H968" s="6"/>
      <c r="I968" s="125"/>
      <c r="J968" s="125"/>
      <c r="K968" s="125"/>
    </row>
    <row r="969" spans="1:11" x14ac:dyDescent="0.25">
      <c r="A969" s="6"/>
      <c r="B969" s="6"/>
      <c r="C969" s="123"/>
      <c r="D969" s="123"/>
      <c r="E969" s="124"/>
      <c r="F969" s="6"/>
      <c r="G969" s="124"/>
      <c r="H969" s="6"/>
      <c r="I969" s="125"/>
      <c r="J969" s="125"/>
      <c r="K969" s="125"/>
    </row>
    <row r="970" spans="1:11" x14ac:dyDescent="0.25">
      <c r="A970" s="6"/>
      <c r="B970" s="6"/>
      <c r="C970" s="123"/>
      <c r="D970" s="123"/>
      <c r="E970" s="124"/>
      <c r="F970" s="6"/>
      <c r="G970" s="124"/>
      <c r="H970" s="6"/>
      <c r="I970" s="125"/>
      <c r="J970" s="125"/>
      <c r="K970" s="125"/>
    </row>
    <row r="971" spans="1:11" x14ac:dyDescent="0.25">
      <c r="A971" s="6"/>
      <c r="B971" s="6"/>
      <c r="C971" s="123"/>
      <c r="D971" s="123"/>
      <c r="E971" s="124"/>
      <c r="F971" s="6"/>
      <c r="G971" s="124"/>
      <c r="H971" s="6"/>
      <c r="I971" s="125"/>
      <c r="J971" s="125"/>
      <c r="K971" s="125"/>
    </row>
    <row r="972" spans="1:11" x14ac:dyDescent="0.25">
      <c r="A972" s="6"/>
      <c r="B972" s="6"/>
      <c r="C972" s="123"/>
      <c r="D972" s="123"/>
      <c r="E972" s="124"/>
      <c r="F972" s="6"/>
      <c r="G972" s="124"/>
      <c r="H972" s="6"/>
      <c r="I972" s="125"/>
      <c r="J972" s="125"/>
      <c r="K972" s="125"/>
    </row>
    <row r="973" spans="1:11" x14ac:dyDescent="0.25">
      <c r="A973" s="6"/>
      <c r="B973" s="6"/>
      <c r="C973" s="123"/>
      <c r="D973" s="123"/>
      <c r="E973" s="124"/>
      <c r="F973" s="6"/>
      <c r="G973" s="124"/>
      <c r="H973" s="6"/>
      <c r="I973" s="125"/>
      <c r="J973" s="125"/>
      <c r="K973" s="125"/>
    </row>
    <row r="974" spans="1:11" x14ac:dyDescent="0.25">
      <c r="A974" s="6"/>
      <c r="B974" s="6"/>
      <c r="C974" s="123"/>
      <c r="D974" s="123"/>
      <c r="E974" s="124"/>
      <c r="F974" s="6"/>
      <c r="G974" s="124"/>
      <c r="H974" s="6"/>
      <c r="I974" s="125"/>
      <c r="J974" s="125"/>
      <c r="K974" s="125"/>
    </row>
    <row r="975" spans="1:11" x14ac:dyDescent="0.25">
      <c r="A975" s="6"/>
      <c r="B975" s="6"/>
      <c r="C975" s="123"/>
      <c r="D975" s="123"/>
      <c r="E975" s="124"/>
      <c r="F975" s="6"/>
      <c r="G975" s="124"/>
      <c r="H975" s="6"/>
      <c r="I975" s="125"/>
      <c r="J975" s="125"/>
      <c r="K975" s="125"/>
    </row>
    <row r="976" spans="1:11" x14ac:dyDescent="0.25">
      <c r="A976" s="6"/>
      <c r="B976" s="6"/>
      <c r="C976" s="123"/>
      <c r="D976" s="123"/>
      <c r="E976" s="124"/>
      <c r="F976" s="6"/>
      <c r="G976" s="124"/>
      <c r="H976" s="6"/>
      <c r="I976" s="125"/>
      <c r="J976" s="125"/>
      <c r="K976" s="125"/>
    </row>
    <row r="977" spans="1:11" x14ac:dyDescent="0.25">
      <c r="A977" s="6"/>
      <c r="B977" s="6"/>
      <c r="C977" s="123"/>
      <c r="D977" s="123"/>
      <c r="E977" s="124"/>
      <c r="F977" s="6"/>
      <c r="G977" s="124"/>
      <c r="H977" s="6"/>
      <c r="I977" s="125"/>
      <c r="J977" s="125"/>
      <c r="K977" s="125"/>
    </row>
    <row r="978" spans="1:11" x14ac:dyDescent="0.25">
      <c r="A978" s="6"/>
      <c r="B978" s="6"/>
      <c r="C978" s="123"/>
      <c r="D978" s="123"/>
      <c r="E978" s="124"/>
      <c r="F978" s="6"/>
      <c r="G978" s="124"/>
      <c r="H978" s="6"/>
      <c r="I978" s="125"/>
      <c r="J978" s="125"/>
      <c r="K978" s="125"/>
    </row>
    <row r="979" spans="1:11" x14ac:dyDescent="0.25">
      <c r="A979" s="6"/>
      <c r="B979" s="6"/>
      <c r="C979" s="123"/>
      <c r="D979" s="123"/>
      <c r="E979" s="124"/>
      <c r="F979" s="6"/>
      <c r="G979" s="124"/>
      <c r="H979" s="6"/>
      <c r="I979" s="125"/>
      <c r="J979" s="125"/>
      <c r="K979" s="125"/>
    </row>
    <row r="980" spans="1:11" x14ac:dyDescent="0.25">
      <c r="A980" s="6"/>
      <c r="B980" s="6"/>
      <c r="C980" s="123"/>
      <c r="D980" s="123"/>
      <c r="E980" s="124"/>
      <c r="F980" s="6"/>
      <c r="G980" s="124"/>
      <c r="H980" s="6"/>
      <c r="I980" s="125"/>
      <c r="J980" s="125"/>
      <c r="K980" s="125"/>
    </row>
    <row r="981" spans="1:11" x14ac:dyDescent="0.25">
      <c r="A981" s="6"/>
      <c r="B981" s="6"/>
      <c r="C981" s="123"/>
      <c r="D981" s="123"/>
      <c r="E981" s="124"/>
      <c r="F981" s="6"/>
      <c r="G981" s="124"/>
      <c r="H981" s="6"/>
      <c r="I981" s="125"/>
      <c r="J981" s="125"/>
      <c r="K981" s="125"/>
    </row>
    <row r="982" spans="1:11" x14ac:dyDescent="0.25">
      <c r="A982" s="6"/>
      <c r="B982" s="6"/>
      <c r="C982" s="123"/>
      <c r="D982" s="123"/>
      <c r="E982" s="124"/>
      <c r="F982" s="6"/>
      <c r="G982" s="124"/>
      <c r="H982" s="6"/>
      <c r="I982" s="125"/>
      <c r="J982" s="125"/>
      <c r="K982" s="125"/>
    </row>
    <row r="983" spans="1:11" x14ac:dyDescent="0.25">
      <c r="A983" s="6"/>
      <c r="B983" s="6"/>
      <c r="C983" s="123"/>
      <c r="D983" s="123"/>
      <c r="E983" s="124"/>
      <c r="F983" s="6"/>
      <c r="G983" s="124"/>
      <c r="H983" s="6"/>
      <c r="I983" s="125"/>
      <c r="J983" s="125"/>
      <c r="K983" s="125"/>
    </row>
    <row r="984" spans="1:11" x14ac:dyDescent="0.25">
      <c r="A984" s="6"/>
      <c r="B984" s="6"/>
      <c r="C984" s="123"/>
      <c r="D984" s="123"/>
      <c r="E984" s="124"/>
      <c r="F984" s="6"/>
      <c r="G984" s="124"/>
      <c r="H984" s="6"/>
      <c r="I984" s="125"/>
      <c r="J984" s="125"/>
      <c r="K984" s="125"/>
    </row>
    <row r="985" spans="1:11" x14ac:dyDescent="0.25">
      <c r="A985" s="6"/>
      <c r="B985" s="6"/>
      <c r="C985" s="123"/>
      <c r="D985" s="123"/>
      <c r="E985" s="124"/>
      <c r="F985" s="6"/>
      <c r="G985" s="124"/>
      <c r="H985" s="6"/>
      <c r="I985" s="125"/>
      <c r="J985" s="125"/>
      <c r="K985" s="125"/>
    </row>
    <row r="986" spans="1:11" x14ac:dyDescent="0.25">
      <c r="A986" s="6"/>
      <c r="B986" s="6"/>
      <c r="C986" s="123"/>
      <c r="D986" s="123"/>
      <c r="E986" s="124"/>
      <c r="F986" s="6"/>
      <c r="G986" s="124"/>
      <c r="H986" s="6"/>
      <c r="I986" s="125"/>
      <c r="J986" s="125"/>
      <c r="K986" s="125"/>
    </row>
    <row r="987" spans="1:11" x14ac:dyDescent="0.25">
      <c r="A987" s="6"/>
      <c r="B987" s="6"/>
      <c r="C987" s="123"/>
      <c r="D987" s="123"/>
      <c r="E987" s="124"/>
      <c r="F987" s="6"/>
      <c r="G987" s="124"/>
      <c r="H987" s="6"/>
      <c r="I987" s="125"/>
      <c r="J987" s="125"/>
      <c r="K987" s="125"/>
    </row>
    <row r="988" spans="1:11" x14ac:dyDescent="0.25">
      <c r="A988" s="6"/>
      <c r="B988" s="6"/>
      <c r="C988" s="123"/>
      <c r="D988" s="123"/>
      <c r="E988" s="124"/>
      <c r="F988" s="6"/>
      <c r="G988" s="124"/>
      <c r="H988" s="6"/>
      <c r="I988" s="125"/>
      <c r="J988" s="125"/>
      <c r="K988" s="125"/>
    </row>
    <row r="989" spans="1:11" x14ac:dyDescent="0.25">
      <c r="A989" s="6"/>
      <c r="B989" s="6"/>
      <c r="C989" s="123"/>
      <c r="D989" s="123"/>
      <c r="E989" s="124"/>
      <c r="F989" s="6"/>
      <c r="G989" s="124"/>
      <c r="H989" s="6"/>
      <c r="I989" s="125"/>
      <c r="J989" s="125"/>
      <c r="K989" s="125"/>
    </row>
    <row r="990" spans="1:11" x14ac:dyDescent="0.25">
      <c r="A990" s="6"/>
      <c r="B990" s="6"/>
      <c r="C990" s="123"/>
      <c r="D990" s="123"/>
      <c r="E990" s="124"/>
      <c r="F990" s="6"/>
      <c r="G990" s="124"/>
      <c r="H990" s="6"/>
      <c r="I990" s="125"/>
      <c r="J990" s="125"/>
      <c r="K990" s="125"/>
    </row>
    <row r="991" spans="1:11" x14ac:dyDescent="0.25">
      <c r="A991" s="6"/>
      <c r="B991" s="6"/>
      <c r="C991" s="123"/>
      <c r="D991" s="123"/>
      <c r="E991" s="124"/>
      <c r="F991" s="6"/>
      <c r="G991" s="124"/>
      <c r="H991" s="6"/>
      <c r="I991" s="125"/>
      <c r="J991" s="125"/>
      <c r="K991" s="125"/>
    </row>
    <row r="992" spans="1:11" x14ac:dyDescent="0.25">
      <c r="A992" s="6"/>
      <c r="B992" s="6"/>
      <c r="C992" s="123"/>
      <c r="D992" s="123"/>
      <c r="E992" s="124"/>
      <c r="F992" s="6"/>
      <c r="G992" s="124"/>
      <c r="H992" s="6"/>
      <c r="I992" s="125"/>
      <c r="J992" s="125"/>
      <c r="K992" s="125"/>
    </row>
    <row r="993" spans="1:11" x14ac:dyDescent="0.25">
      <c r="A993" s="6"/>
      <c r="B993" s="6"/>
      <c r="C993" s="123"/>
      <c r="D993" s="123"/>
      <c r="E993" s="124"/>
      <c r="F993" s="6"/>
      <c r="G993" s="124"/>
      <c r="H993" s="6"/>
      <c r="I993" s="125"/>
      <c r="J993" s="125"/>
      <c r="K993" s="125"/>
    </row>
    <row r="994" spans="1:11" x14ac:dyDescent="0.25">
      <c r="A994" s="6"/>
      <c r="B994" s="6"/>
      <c r="C994" s="123"/>
      <c r="D994" s="123"/>
      <c r="E994" s="124"/>
      <c r="F994" s="6"/>
      <c r="G994" s="124"/>
      <c r="H994" s="6"/>
      <c r="I994" s="125"/>
      <c r="J994" s="125"/>
      <c r="K994" s="125"/>
    </row>
    <row r="995" spans="1:11" x14ac:dyDescent="0.25">
      <c r="A995" s="6"/>
      <c r="B995" s="6"/>
      <c r="C995" s="123"/>
      <c r="D995" s="123"/>
      <c r="E995" s="124"/>
      <c r="F995" s="6"/>
      <c r="G995" s="124"/>
      <c r="H995" s="6"/>
      <c r="I995" s="125"/>
      <c r="J995" s="125"/>
      <c r="K995" s="125"/>
    </row>
    <row r="996" spans="1:11" x14ac:dyDescent="0.25">
      <c r="A996" s="6"/>
      <c r="B996" s="6"/>
      <c r="C996" s="123"/>
      <c r="D996" s="123"/>
      <c r="E996" s="124"/>
      <c r="F996" s="6"/>
      <c r="G996" s="124"/>
      <c r="H996" s="6"/>
      <c r="I996" s="125"/>
      <c r="J996" s="125"/>
      <c r="K996" s="125"/>
    </row>
    <row r="997" spans="1:11" x14ac:dyDescent="0.25">
      <c r="A997" s="6"/>
      <c r="B997" s="6"/>
      <c r="C997" s="123"/>
      <c r="D997" s="123"/>
      <c r="E997" s="124"/>
      <c r="F997" s="6"/>
      <c r="G997" s="124"/>
      <c r="H997" s="6"/>
      <c r="I997" s="125"/>
      <c r="J997" s="125"/>
      <c r="K997" s="125"/>
    </row>
    <row r="998" spans="1:11" x14ac:dyDescent="0.25">
      <c r="A998" s="6"/>
      <c r="B998" s="6"/>
      <c r="C998" s="123"/>
      <c r="D998" s="123"/>
      <c r="E998" s="124"/>
      <c r="F998" s="6"/>
      <c r="G998" s="124"/>
      <c r="H998" s="6"/>
      <c r="I998" s="125"/>
      <c r="J998" s="125"/>
      <c r="K998" s="125"/>
    </row>
    <row r="999" spans="1:11" x14ac:dyDescent="0.25">
      <c r="A999" s="6"/>
      <c r="B999" s="6"/>
      <c r="C999" s="123"/>
      <c r="D999" s="123"/>
      <c r="E999" s="124"/>
      <c r="F999" s="6"/>
      <c r="G999" s="124"/>
      <c r="H999" s="6"/>
      <c r="I999" s="125"/>
      <c r="J999" s="125"/>
      <c r="K999" s="125"/>
    </row>
    <row r="1000" spans="1:11" x14ac:dyDescent="0.25">
      <c r="A1000" s="6"/>
      <c r="B1000" s="6"/>
      <c r="C1000" s="123"/>
      <c r="D1000" s="123"/>
      <c r="E1000" s="124"/>
      <c r="F1000" s="6"/>
      <c r="G1000" s="124"/>
      <c r="H1000" s="6"/>
      <c r="I1000" s="125"/>
      <c r="J1000" s="125"/>
      <c r="K1000" s="125"/>
    </row>
    <row r="1001" spans="1:11" x14ac:dyDescent="0.25">
      <c r="A1001" s="6"/>
      <c r="B1001" s="6"/>
      <c r="C1001" s="123"/>
      <c r="D1001" s="123"/>
      <c r="E1001" s="124"/>
      <c r="F1001" s="6"/>
      <c r="G1001" s="124"/>
      <c r="H1001" s="6"/>
      <c r="I1001" s="125"/>
      <c r="J1001" s="125"/>
      <c r="K1001" s="125"/>
    </row>
    <row r="1002" spans="1:11" x14ac:dyDescent="0.25">
      <c r="A1002" s="6"/>
      <c r="B1002" s="6"/>
      <c r="C1002" s="123"/>
      <c r="D1002" s="123"/>
      <c r="E1002" s="124"/>
      <c r="F1002" s="6"/>
      <c r="G1002" s="124"/>
      <c r="H1002" s="6"/>
      <c r="I1002" s="125"/>
      <c r="J1002" s="125"/>
      <c r="K1002" s="125"/>
    </row>
    <row r="1003" spans="1:11" x14ac:dyDescent="0.25">
      <c r="A1003" s="6"/>
      <c r="B1003" s="6"/>
      <c r="C1003" s="123"/>
      <c r="D1003" s="123"/>
      <c r="E1003" s="124"/>
      <c r="F1003" s="6"/>
      <c r="G1003" s="124"/>
      <c r="H1003" s="6"/>
      <c r="I1003" s="125"/>
      <c r="J1003" s="125"/>
      <c r="K1003" s="125"/>
    </row>
    <row r="1004" spans="1:11" x14ac:dyDescent="0.25">
      <c r="A1004" s="6"/>
      <c r="B1004" s="6"/>
      <c r="C1004" s="123"/>
      <c r="D1004" s="123"/>
      <c r="E1004" s="124"/>
      <c r="F1004" s="6"/>
      <c r="G1004" s="124"/>
      <c r="H1004" s="6"/>
      <c r="I1004" s="125"/>
      <c r="J1004" s="125"/>
      <c r="K1004" s="125"/>
    </row>
    <row r="1005" spans="1:11" x14ac:dyDescent="0.25">
      <c r="A1005" s="6"/>
      <c r="B1005" s="6"/>
      <c r="C1005" s="123"/>
      <c r="D1005" s="123"/>
      <c r="E1005" s="124"/>
      <c r="F1005" s="6"/>
      <c r="G1005" s="124"/>
      <c r="H1005" s="6"/>
      <c r="I1005" s="125"/>
      <c r="J1005" s="125"/>
      <c r="K1005" s="125"/>
    </row>
    <row r="1006" spans="1:11" x14ac:dyDescent="0.25">
      <c r="A1006" s="6"/>
      <c r="B1006" s="6"/>
      <c r="C1006" s="123"/>
      <c r="D1006" s="123"/>
      <c r="E1006" s="124"/>
      <c r="F1006" s="6"/>
      <c r="G1006" s="124"/>
      <c r="H1006" s="6"/>
      <c r="I1006" s="125"/>
      <c r="J1006" s="125"/>
      <c r="K1006" s="125"/>
    </row>
    <row r="1007" spans="1:11" x14ac:dyDescent="0.25">
      <c r="A1007" s="6"/>
      <c r="B1007" s="6"/>
      <c r="C1007" s="123"/>
      <c r="D1007" s="123"/>
      <c r="E1007" s="124"/>
      <c r="F1007" s="6"/>
      <c r="G1007" s="124"/>
      <c r="H1007" s="6"/>
      <c r="I1007" s="125"/>
      <c r="J1007" s="125"/>
      <c r="K1007" s="125"/>
    </row>
    <row r="1008" spans="1:11" x14ac:dyDescent="0.25">
      <c r="A1008" s="6"/>
      <c r="B1008" s="6"/>
      <c r="C1008" s="123"/>
      <c r="D1008" s="123"/>
      <c r="E1008" s="124"/>
      <c r="F1008" s="6"/>
      <c r="G1008" s="124"/>
      <c r="H1008" s="6"/>
      <c r="I1008" s="125"/>
      <c r="J1008" s="125"/>
      <c r="K1008" s="125"/>
    </row>
    <row r="1009" spans="1:11" x14ac:dyDescent="0.25">
      <c r="A1009" s="6"/>
      <c r="B1009" s="6"/>
      <c r="C1009" s="123"/>
      <c r="D1009" s="123"/>
      <c r="E1009" s="124"/>
      <c r="F1009" s="6"/>
      <c r="G1009" s="124"/>
      <c r="H1009" s="6"/>
      <c r="I1009" s="125"/>
      <c r="J1009" s="125"/>
      <c r="K1009" s="125"/>
    </row>
    <row r="1010" spans="1:11" x14ac:dyDescent="0.25">
      <c r="A1010" s="6"/>
      <c r="B1010" s="6"/>
      <c r="C1010" s="123"/>
      <c r="D1010" s="123"/>
      <c r="E1010" s="124"/>
      <c r="F1010" s="6"/>
      <c r="G1010" s="124"/>
      <c r="H1010" s="6"/>
      <c r="I1010" s="125"/>
      <c r="J1010" s="125"/>
      <c r="K1010" s="125"/>
    </row>
    <row r="1011" spans="1:11" x14ac:dyDescent="0.25">
      <c r="A1011" s="6"/>
      <c r="B1011" s="6"/>
      <c r="C1011" s="123"/>
      <c r="D1011" s="123"/>
      <c r="E1011" s="124"/>
      <c r="F1011" s="6"/>
      <c r="G1011" s="124"/>
      <c r="H1011" s="6"/>
      <c r="I1011" s="125"/>
      <c r="J1011" s="125"/>
      <c r="K1011" s="125"/>
    </row>
    <row r="1012" spans="1:11" x14ac:dyDescent="0.25">
      <c r="A1012" s="6"/>
      <c r="B1012" s="6"/>
      <c r="C1012" s="123"/>
      <c r="D1012" s="123"/>
      <c r="E1012" s="124"/>
      <c r="F1012" s="6"/>
      <c r="G1012" s="124"/>
      <c r="H1012" s="6"/>
      <c r="I1012" s="125"/>
      <c r="J1012" s="125"/>
      <c r="K1012" s="125"/>
    </row>
    <row r="1013" spans="1:11" x14ac:dyDescent="0.25">
      <c r="A1013" s="6"/>
      <c r="B1013" s="6"/>
      <c r="C1013" s="123"/>
      <c r="D1013" s="123"/>
      <c r="E1013" s="124"/>
      <c r="F1013" s="6"/>
      <c r="G1013" s="124"/>
      <c r="H1013" s="6"/>
      <c r="I1013" s="125"/>
      <c r="J1013" s="125"/>
      <c r="K1013" s="125"/>
    </row>
    <row r="1014" spans="1:11" x14ac:dyDescent="0.25">
      <c r="A1014" s="6"/>
      <c r="B1014" s="6"/>
      <c r="C1014" s="123"/>
      <c r="D1014" s="123"/>
      <c r="E1014" s="124"/>
      <c r="F1014" s="6"/>
      <c r="G1014" s="124"/>
      <c r="H1014" s="6"/>
      <c r="I1014" s="125"/>
      <c r="J1014" s="125"/>
      <c r="K1014" s="125"/>
    </row>
    <row r="1015" spans="1:11" x14ac:dyDescent="0.25">
      <c r="A1015" s="6"/>
      <c r="B1015" s="6"/>
      <c r="C1015" s="123"/>
      <c r="D1015" s="123"/>
      <c r="E1015" s="124"/>
      <c r="F1015" s="6"/>
      <c r="G1015" s="124"/>
      <c r="H1015" s="6"/>
      <c r="I1015" s="125"/>
      <c r="J1015" s="125"/>
      <c r="K1015" s="125"/>
    </row>
    <row r="1016" spans="1:11" x14ac:dyDescent="0.25">
      <c r="A1016" s="6"/>
      <c r="B1016" s="6"/>
      <c r="C1016" s="123"/>
      <c r="D1016" s="123"/>
      <c r="E1016" s="124"/>
      <c r="F1016" s="6"/>
      <c r="G1016" s="124"/>
      <c r="H1016" s="6"/>
      <c r="I1016" s="125"/>
      <c r="J1016" s="125"/>
      <c r="K1016" s="125"/>
    </row>
    <row r="1017" spans="1:11" x14ac:dyDescent="0.25">
      <c r="A1017" s="6"/>
      <c r="B1017" s="6"/>
      <c r="C1017" s="123"/>
      <c r="D1017" s="123"/>
      <c r="E1017" s="124"/>
      <c r="F1017" s="6"/>
      <c r="G1017" s="124"/>
      <c r="H1017" s="6"/>
      <c r="I1017" s="125"/>
      <c r="J1017" s="125"/>
      <c r="K1017" s="125"/>
    </row>
    <row r="1018" spans="1:11" x14ac:dyDescent="0.25">
      <c r="A1018" s="6"/>
      <c r="B1018" s="6"/>
      <c r="C1018" s="123"/>
      <c r="D1018" s="123"/>
      <c r="E1018" s="124"/>
      <c r="F1018" s="6"/>
      <c r="G1018" s="124"/>
      <c r="H1018" s="6"/>
      <c r="I1018" s="125"/>
      <c r="J1018" s="125"/>
      <c r="K1018" s="125"/>
    </row>
    <row r="1019" spans="1:11" x14ac:dyDescent="0.25">
      <c r="A1019" s="6"/>
      <c r="B1019" s="6"/>
      <c r="C1019" s="123"/>
      <c r="D1019" s="123"/>
      <c r="E1019" s="124"/>
      <c r="F1019" s="6"/>
      <c r="G1019" s="124"/>
      <c r="H1019" s="6"/>
      <c r="I1019" s="125"/>
      <c r="J1019" s="125"/>
      <c r="K1019" s="125"/>
    </row>
    <row r="1020" spans="1:11" x14ac:dyDescent="0.25">
      <c r="A1020" s="6"/>
      <c r="B1020" s="6"/>
      <c r="C1020" s="123"/>
      <c r="D1020" s="123"/>
      <c r="E1020" s="124"/>
      <c r="F1020" s="6"/>
      <c r="G1020" s="124"/>
      <c r="H1020" s="6"/>
      <c r="I1020" s="125"/>
      <c r="J1020" s="125"/>
      <c r="K1020" s="125"/>
    </row>
    <row r="1021" spans="1:11" x14ac:dyDescent="0.25">
      <c r="A1021" s="6"/>
      <c r="B1021" s="6"/>
      <c r="C1021" s="123"/>
      <c r="D1021" s="123"/>
      <c r="E1021" s="124"/>
      <c r="F1021" s="6"/>
      <c r="G1021" s="124"/>
      <c r="H1021" s="6"/>
      <c r="I1021" s="125"/>
      <c r="J1021" s="125"/>
      <c r="K1021" s="125"/>
    </row>
    <row r="1022" spans="1:11" x14ac:dyDescent="0.25">
      <c r="A1022" s="6"/>
      <c r="B1022" s="6"/>
      <c r="C1022" s="123"/>
      <c r="D1022" s="123"/>
      <c r="E1022" s="124"/>
      <c r="F1022" s="6"/>
      <c r="G1022" s="124"/>
      <c r="H1022" s="6"/>
      <c r="I1022" s="125"/>
      <c r="J1022" s="125"/>
      <c r="K1022" s="125"/>
    </row>
    <row r="1023" spans="1:11" x14ac:dyDescent="0.25">
      <c r="A1023" s="6"/>
      <c r="B1023" s="6"/>
      <c r="C1023" s="123"/>
      <c r="D1023" s="123"/>
      <c r="E1023" s="124"/>
      <c r="F1023" s="6"/>
      <c r="G1023" s="124"/>
      <c r="H1023" s="6"/>
      <c r="I1023" s="125"/>
      <c r="J1023" s="125"/>
      <c r="K1023" s="125"/>
    </row>
    <row r="1024" spans="1:11" x14ac:dyDescent="0.25">
      <c r="A1024" s="6"/>
      <c r="B1024" s="6"/>
      <c r="C1024" s="123"/>
      <c r="D1024" s="123"/>
      <c r="E1024" s="124"/>
      <c r="F1024" s="6"/>
      <c r="G1024" s="124"/>
      <c r="H1024" s="6"/>
      <c r="I1024" s="125"/>
      <c r="J1024" s="125"/>
      <c r="K1024" s="125"/>
    </row>
    <row r="1025" spans="1:11" x14ac:dyDescent="0.25">
      <c r="A1025" s="6"/>
      <c r="B1025" s="6"/>
      <c r="C1025" s="123"/>
      <c r="D1025" s="123"/>
      <c r="E1025" s="124"/>
      <c r="F1025" s="6"/>
      <c r="G1025" s="124"/>
      <c r="H1025" s="6"/>
      <c r="I1025" s="125"/>
      <c r="J1025" s="125"/>
      <c r="K1025" s="125"/>
    </row>
    <row r="1026" spans="1:11" x14ac:dyDescent="0.25">
      <c r="A1026" s="6"/>
      <c r="B1026" s="6"/>
      <c r="C1026" s="123"/>
      <c r="D1026" s="123"/>
      <c r="E1026" s="124"/>
      <c r="F1026" s="6"/>
      <c r="G1026" s="124"/>
      <c r="H1026" s="6"/>
      <c r="I1026" s="125"/>
      <c r="J1026" s="125"/>
      <c r="K1026" s="125"/>
    </row>
    <row r="1027" spans="1:11" x14ac:dyDescent="0.25">
      <c r="A1027" s="6"/>
      <c r="B1027" s="6"/>
      <c r="C1027" s="123"/>
      <c r="D1027" s="123"/>
      <c r="E1027" s="124"/>
      <c r="F1027" s="6"/>
      <c r="G1027" s="124"/>
      <c r="H1027" s="6"/>
      <c r="I1027" s="125"/>
      <c r="J1027" s="125"/>
      <c r="K1027" s="125"/>
    </row>
    <row r="1028" spans="1:11" x14ac:dyDescent="0.25">
      <c r="A1028" s="6"/>
      <c r="B1028" s="6"/>
      <c r="C1028" s="123"/>
      <c r="D1028" s="123"/>
      <c r="E1028" s="124"/>
      <c r="F1028" s="6"/>
      <c r="G1028" s="124"/>
      <c r="H1028" s="6"/>
      <c r="I1028" s="125"/>
      <c r="J1028" s="125"/>
      <c r="K1028" s="125"/>
    </row>
    <row r="1029" spans="1:11" x14ac:dyDescent="0.25">
      <c r="A1029" s="6"/>
      <c r="B1029" s="6"/>
      <c r="C1029" s="123"/>
      <c r="D1029" s="123"/>
      <c r="E1029" s="124"/>
      <c r="F1029" s="6"/>
      <c r="G1029" s="124"/>
      <c r="H1029" s="6"/>
      <c r="I1029" s="125"/>
      <c r="J1029" s="125"/>
      <c r="K1029" s="125"/>
    </row>
    <row r="1030" spans="1:11" x14ac:dyDescent="0.25">
      <c r="A1030" s="6"/>
      <c r="B1030" s="6"/>
      <c r="C1030" s="123"/>
      <c r="D1030" s="123"/>
      <c r="E1030" s="124"/>
      <c r="F1030" s="6"/>
      <c r="G1030" s="124"/>
      <c r="H1030" s="6"/>
      <c r="I1030" s="125"/>
      <c r="J1030" s="125"/>
      <c r="K1030" s="125"/>
    </row>
    <row r="1031" spans="1:11" x14ac:dyDescent="0.25">
      <c r="A1031" s="6"/>
      <c r="B1031" s="6"/>
      <c r="C1031" s="123"/>
      <c r="D1031" s="123"/>
      <c r="E1031" s="124"/>
      <c r="F1031" s="6"/>
      <c r="G1031" s="124"/>
      <c r="H1031" s="6"/>
      <c r="I1031" s="125"/>
      <c r="J1031" s="125"/>
      <c r="K1031" s="125"/>
    </row>
    <row r="1032" spans="1:11" x14ac:dyDescent="0.25">
      <c r="A1032" s="6"/>
      <c r="B1032" s="6"/>
      <c r="C1032" s="123"/>
      <c r="D1032" s="123"/>
      <c r="E1032" s="124"/>
      <c r="F1032" s="6"/>
      <c r="G1032" s="124"/>
      <c r="H1032" s="6"/>
      <c r="I1032" s="125"/>
      <c r="J1032" s="125"/>
      <c r="K1032" s="125"/>
    </row>
    <row r="1033" spans="1:11" x14ac:dyDescent="0.25">
      <c r="A1033" s="6"/>
      <c r="B1033" s="6"/>
      <c r="C1033" s="123"/>
      <c r="D1033" s="123"/>
      <c r="E1033" s="124"/>
      <c r="F1033" s="6"/>
      <c r="G1033" s="124"/>
      <c r="H1033" s="6"/>
      <c r="I1033" s="125"/>
      <c r="J1033" s="125"/>
      <c r="K1033" s="125"/>
    </row>
    <row r="1034" spans="1:11" x14ac:dyDescent="0.25">
      <c r="A1034" s="6"/>
      <c r="B1034" s="6"/>
      <c r="C1034" s="123"/>
      <c r="D1034" s="123"/>
      <c r="E1034" s="124"/>
      <c r="F1034" s="6"/>
      <c r="G1034" s="124"/>
      <c r="H1034" s="6"/>
      <c r="I1034" s="125"/>
      <c r="J1034" s="125"/>
      <c r="K1034" s="125"/>
    </row>
    <row r="1035" spans="1:11" x14ac:dyDescent="0.25">
      <c r="A1035" s="6"/>
      <c r="B1035" s="6"/>
      <c r="C1035" s="123"/>
      <c r="D1035" s="123"/>
      <c r="E1035" s="124"/>
      <c r="F1035" s="6"/>
      <c r="G1035" s="124"/>
      <c r="H1035" s="6"/>
      <c r="I1035" s="125"/>
      <c r="J1035" s="125"/>
      <c r="K1035" s="125"/>
    </row>
    <row r="1036" spans="1:11" x14ac:dyDescent="0.25">
      <c r="A1036" s="6"/>
      <c r="B1036" s="6"/>
      <c r="C1036" s="123"/>
      <c r="D1036" s="123"/>
      <c r="E1036" s="124"/>
      <c r="F1036" s="6"/>
      <c r="G1036" s="124"/>
      <c r="H1036" s="6"/>
      <c r="I1036" s="125"/>
      <c r="J1036" s="125"/>
      <c r="K1036" s="125"/>
    </row>
    <row r="1037" spans="1:11" x14ac:dyDescent="0.25">
      <c r="A1037" s="6"/>
      <c r="B1037" s="6"/>
      <c r="C1037" s="123"/>
      <c r="D1037" s="123"/>
      <c r="E1037" s="124"/>
      <c r="F1037" s="6"/>
      <c r="G1037" s="124"/>
      <c r="H1037" s="6"/>
      <c r="I1037" s="125"/>
      <c r="J1037" s="125"/>
      <c r="K1037" s="125"/>
    </row>
    <row r="1038" spans="1:11" x14ac:dyDescent="0.25">
      <c r="A1038" s="6"/>
      <c r="B1038" s="6"/>
      <c r="C1038" s="123"/>
      <c r="D1038" s="123"/>
      <c r="E1038" s="124"/>
      <c r="F1038" s="6"/>
      <c r="G1038" s="124"/>
      <c r="H1038" s="6"/>
      <c r="I1038" s="125"/>
      <c r="J1038" s="125"/>
      <c r="K1038" s="125"/>
    </row>
    <row r="1039" spans="1:11" x14ac:dyDescent="0.25">
      <c r="A1039" s="6"/>
      <c r="B1039" s="6"/>
      <c r="C1039" s="123"/>
      <c r="D1039" s="123"/>
      <c r="E1039" s="124"/>
      <c r="F1039" s="6"/>
      <c r="G1039" s="124"/>
      <c r="H1039" s="6"/>
      <c r="I1039" s="125"/>
      <c r="J1039" s="125"/>
      <c r="K1039" s="125"/>
    </row>
    <row r="1040" spans="1:11" x14ac:dyDescent="0.25">
      <c r="A1040" s="6"/>
      <c r="B1040" s="6"/>
      <c r="C1040" s="123"/>
      <c r="D1040" s="123"/>
      <c r="E1040" s="124"/>
      <c r="F1040" s="6"/>
      <c r="G1040" s="124"/>
      <c r="H1040" s="6"/>
      <c r="I1040" s="125"/>
      <c r="J1040" s="125"/>
      <c r="K1040" s="125"/>
    </row>
    <row r="1041" spans="1:11" x14ac:dyDescent="0.25">
      <c r="A1041" s="6"/>
      <c r="B1041" s="6"/>
      <c r="C1041" s="123"/>
      <c r="D1041" s="123"/>
      <c r="E1041" s="124"/>
      <c r="F1041" s="6"/>
      <c r="G1041" s="124"/>
      <c r="H1041" s="6"/>
      <c r="I1041" s="125"/>
      <c r="J1041" s="125"/>
      <c r="K1041" s="125"/>
    </row>
    <row r="1042" spans="1:11" x14ac:dyDescent="0.25">
      <c r="A1042" s="6"/>
      <c r="B1042" s="6"/>
      <c r="C1042" s="123"/>
      <c r="D1042" s="123"/>
      <c r="E1042" s="124"/>
      <c r="F1042" s="6"/>
      <c r="G1042" s="124"/>
      <c r="H1042" s="6"/>
      <c r="I1042" s="125"/>
      <c r="J1042" s="125"/>
      <c r="K1042" s="125"/>
    </row>
    <row r="1043" spans="1:11" x14ac:dyDescent="0.25">
      <c r="A1043" s="6"/>
      <c r="B1043" s="6"/>
      <c r="C1043" s="123"/>
      <c r="D1043" s="123"/>
      <c r="E1043" s="124"/>
      <c r="F1043" s="6"/>
      <c r="G1043" s="124"/>
      <c r="H1043" s="6"/>
      <c r="I1043" s="125"/>
      <c r="J1043" s="125"/>
      <c r="K1043" s="125"/>
    </row>
    <row r="1044" spans="1:11" x14ac:dyDescent="0.25">
      <c r="A1044" s="6"/>
      <c r="B1044" s="6"/>
      <c r="C1044" s="123"/>
      <c r="D1044" s="123"/>
      <c r="E1044" s="124"/>
      <c r="F1044" s="6"/>
      <c r="G1044" s="124"/>
      <c r="H1044" s="6"/>
      <c r="I1044" s="125"/>
      <c r="J1044" s="125"/>
      <c r="K1044" s="125"/>
    </row>
    <row r="1045" spans="1:11" x14ac:dyDescent="0.25">
      <c r="A1045" s="6"/>
      <c r="B1045" s="6"/>
      <c r="C1045" s="123"/>
      <c r="D1045" s="123"/>
      <c r="E1045" s="124"/>
      <c r="F1045" s="6"/>
      <c r="G1045" s="124"/>
      <c r="H1045" s="6"/>
      <c r="I1045" s="125"/>
      <c r="J1045" s="125"/>
      <c r="K1045" s="125"/>
    </row>
    <row r="1046" spans="1:11" x14ac:dyDescent="0.25">
      <c r="A1046" s="6"/>
      <c r="B1046" s="6"/>
      <c r="C1046" s="123"/>
      <c r="D1046" s="123"/>
      <c r="E1046" s="124"/>
      <c r="F1046" s="6"/>
      <c r="G1046" s="124"/>
      <c r="H1046" s="6"/>
      <c r="I1046" s="125"/>
      <c r="J1046" s="125"/>
      <c r="K1046" s="125"/>
    </row>
    <row r="1047" spans="1:11" x14ac:dyDescent="0.25">
      <c r="A1047" s="6"/>
      <c r="B1047" s="6"/>
      <c r="C1047" s="123"/>
      <c r="D1047" s="123"/>
      <c r="E1047" s="124"/>
      <c r="F1047" s="6"/>
      <c r="G1047" s="124"/>
      <c r="H1047" s="6"/>
      <c r="I1047" s="125"/>
      <c r="J1047" s="125"/>
      <c r="K1047" s="125"/>
    </row>
    <row r="1048" spans="1:11" x14ac:dyDescent="0.25">
      <c r="A1048" s="6"/>
      <c r="B1048" s="6"/>
      <c r="C1048" s="123"/>
      <c r="D1048" s="123"/>
      <c r="E1048" s="124"/>
      <c r="F1048" s="6"/>
      <c r="G1048" s="124"/>
      <c r="H1048" s="6"/>
      <c r="I1048" s="125"/>
      <c r="J1048" s="125"/>
      <c r="K1048" s="125"/>
    </row>
    <row r="1049" spans="1:11" x14ac:dyDescent="0.25">
      <c r="A1049" s="6"/>
      <c r="B1049" s="6"/>
      <c r="C1049" s="123"/>
      <c r="D1049" s="123"/>
      <c r="E1049" s="124"/>
      <c r="F1049" s="6"/>
      <c r="G1049" s="124"/>
      <c r="H1049" s="6"/>
      <c r="I1049" s="125"/>
      <c r="J1049" s="125"/>
      <c r="K1049" s="125"/>
    </row>
    <row r="1050" spans="1:11" x14ac:dyDescent="0.25">
      <c r="A1050" s="6"/>
      <c r="B1050" s="6"/>
      <c r="C1050" s="123"/>
      <c r="D1050" s="123"/>
      <c r="E1050" s="124"/>
      <c r="F1050" s="6"/>
      <c r="G1050" s="124"/>
      <c r="H1050" s="6"/>
      <c r="I1050" s="125"/>
      <c r="J1050" s="125"/>
      <c r="K1050" s="125"/>
    </row>
    <row r="1051" spans="1:11" x14ac:dyDescent="0.25">
      <c r="A1051" s="6"/>
      <c r="B1051" s="6"/>
      <c r="C1051" s="123"/>
      <c r="D1051" s="123"/>
      <c r="E1051" s="124"/>
      <c r="F1051" s="6"/>
      <c r="G1051" s="124"/>
      <c r="H1051" s="6"/>
      <c r="I1051" s="125"/>
      <c r="J1051" s="125"/>
      <c r="K1051" s="125"/>
    </row>
    <row r="1052" spans="1:11" x14ac:dyDescent="0.25">
      <c r="A1052" s="6"/>
      <c r="B1052" s="6"/>
      <c r="C1052" s="123"/>
      <c r="D1052" s="123"/>
      <c r="E1052" s="124"/>
      <c r="F1052" s="6"/>
      <c r="G1052" s="124"/>
      <c r="H1052" s="6"/>
      <c r="I1052" s="125"/>
      <c r="J1052" s="125"/>
      <c r="K1052" s="125"/>
    </row>
    <row r="1053" spans="1:11" x14ac:dyDescent="0.25">
      <c r="A1053" s="6"/>
      <c r="B1053" s="6"/>
      <c r="C1053" s="123"/>
      <c r="D1053" s="123"/>
      <c r="E1053" s="124"/>
      <c r="F1053" s="6"/>
      <c r="G1053" s="124"/>
      <c r="H1053" s="6"/>
      <c r="I1053" s="125"/>
      <c r="J1053" s="125"/>
      <c r="K1053" s="125"/>
    </row>
    <row r="1054" spans="1:11" x14ac:dyDescent="0.25">
      <c r="A1054" s="6"/>
      <c r="B1054" s="6"/>
      <c r="C1054" s="123"/>
      <c r="D1054" s="123"/>
      <c r="E1054" s="124"/>
      <c r="F1054" s="6"/>
      <c r="G1054" s="124"/>
      <c r="H1054" s="6"/>
      <c r="I1054" s="125"/>
      <c r="J1054" s="125"/>
      <c r="K1054" s="125"/>
    </row>
    <row r="1055" spans="1:11" x14ac:dyDescent="0.25">
      <c r="A1055" s="6"/>
      <c r="B1055" s="6"/>
      <c r="C1055" s="123"/>
      <c r="D1055" s="123"/>
      <c r="E1055" s="124"/>
      <c r="F1055" s="6"/>
      <c r="G1055" s="124"/>
      <c r="H1055" s="6"/>
      <c r="I1055" s="125"/>
      <c r="J1055" s="125"/>
      <c r="K1055" s="125"/>
    </row>
    <row r="1056" spans="1:11" x14ac:dyDescent="0.25">
      <c r="A1056" s="6"/>
      <c r="B1056" s="6"/>
      <c r="C1056" s="123"/>
      <c r="D1056" s="123"/>
      <c r="E1056" s="124"/>
      <c r="F1056" s="6"/>
      <c r="G1056" s="124"/>
      <c r="H1056" s="6"/>
      <c r="I1056" s="125"/>
      <c r="J1056" s="125"/>
      <c r="K1056" s="125"/>
    </row>
    <row r="1057" spans="1:11" x14ac:dyDescent="0.25">
      <c r="A1057" s="6"/>
      <c r="B1057" s="6"/>
      <c r="C1057" s="123"/>
      <c r="D1057" s="123"/>
      <c r="E1057" s="124"/>
      <c r="F1057" s="6"/>
      <c r="G1057" s="124"/>
      <c r="H1057" s="6"/>
      <c r="I1057" s="125"/>
      <c r="J1057" s="125"/>
      <c r="K1057" s="125"/>
    </row>
    <row r="1058" spans="1:11" x14ac:dyDescent="0.25">
      <c r="A1058" s="6"/>
      <c r="B1058" s="6"/>
      <c r="C1058" s="123"/>
      <c r="D1058" s="123"/>
      <c r="E1058" s="124"/>
      <c r="F1058" s="6"/>
      <c r="G1058" s="124"/>
      <c r="H1058" s="6"/>
      <c r="I1058" s="125"/>
      <c r="J1058" s="125"/>
      <c r="K1058" s="125"/>
    </row>
    <row r="1059" spans="1:11" x14ac:dyDescent="0.25">
      <c r="A1059" s="6"/>
      <c r="B1059" s="6"/>
      <c r="C1059" s="123"/>
      <c r="D1059" s="123"/>
      <c r="E1059" s="124"/>
      <c r="F1059" s="6"/>
      <c r="G1059" s="124"/>
      <c r="H1059" s="6"/>
      <c r="I1059" s="125"/>
      <c r="J1059" s="125"/>
      <c r="K1059" s="125"/>
    </row>
    <row r="1060" spans="1:11" x14ac:dyDescent="0.25">
      <c r="A1060" s="6"/>
      <c r="B1060" s="6"/>
      <c r="C1060" s="123"/>
      <c r="D1060" s="123"/>
      <c r="E1060" s="124"/>
      <c r="F1060" s="6"/>
      <c r="G1060" s="124"/>
      <c r="H1060" s="6"/>
      <c r="I1060" s="125"/>
      <c r="J1060" s="125"/>
      <c r="K1060" s="125"/>
    </row>
    <row r="1061" spans="1:11" x14ac:dyDescent="0.25">
      <c r="A1061" s="6"/>
      <c r="B1061" s="6"/>
      <c r="C1061" s="123"/>
      <c r="D1061" s="123"/>
      <c r="E1061" s="124"/>
      <c r="F1061" s="6"/>
      <c r="G1061" s="124"/>
      <c r="H1061" s="6"/>
      <c r="I1061" s="125"/>
      <c r="J1061" s="125"/>
      <c r="K1061" s="125"/>
    </row>
    <row r="1062" spans="1:11" x14ac:dyDescent="0.25">
      <c r="A1062" s="6"/>
      <c r="B1062" s="6"/>
      <c r="C1062" s="123"/>
      <c r="D1062" s="123"/>
      <c r="E1062" s="124"/>
      <c r="F1062" s="6"/>
      <c r="G1062" s="124"/>
      <c r="H1062" s="6"/>
      <c r="I1062" s="125"/>
      <c r="J1062" s="125"/>
      <c r="K1062" s="125"/>
    </row>
    <row r="1063" spans="1:11" x14ac:dyDescent="0.25">
      <c r="A1063" s="6"/>
      <c r="B1063" s="6"/>
      <c r="C1063" s="123"/>
      <c r="D1063" s="123"/>
      <c r="E1063" s="124"/>
      <c r="F1063" s="6"/>
      <c r="G1063" s="124"/>
      <c r="H1063" s="6"/>
      <c r="I1063" s="125"/>
      <c r="J1063" s="125"/>
      <c r="K1063" s="125"/>
    </row>
    <row r="1064" spans="1:11" x14ac:dyDescent="0.25">
      <c r="A1064" s="6"/>
      <c r="B1064" s="6"/>
      <c r="C1064" s="123"/>
      <c r="D1064" s="123"/>
      <c r="E1064" s="124"/>
      <c r="F1064" s="6"/>
      <c r="G1064" s="124"/>
      <c r="H1064" s="6"/>
      <c r="I1064" s="125"/>
      <c r="J1064" s="125"/>
      <c r="K1064" s="125"/>
    </row>
    <row r="1065" spans="1:11" x14ac:dyDescent="0.25">
      <c r="A1065" s="6"/>
      <c r="B1065" s="6"/>
      <c r="C1065" s="123"/>
      <c r="D1065" s="123"/>
      <c r="E1065" s="124"/>
      <c r="F1065" s="6"/>
      <c r="G1065" s="124"/>
      <c r="H1065" s="6"/>
      <c r="I1065" s="125"/>
      <c r="J1065" s="125"/>
      <c r="K1065" s="125"/>
    </row>
    <row r="1066" spans="1:11" x14ac:dyDescent="0.25">
      <c r="A1066" s="6"/>
      <c r="B1066" s="6"/>
      <c r="C1066" s="123"/>
      <c r="D1066" s="123"/>
      <c r="E1066" s="124"/>
      <c r="F1066" s="6"/>
      <c r="G1066" s="124"/>
      <c r="H1066" s="6"/>
      <c r="I1066" s="125"/>
      <c r="J1066" s="125"/>
      <c r="K1066" s="125"/>
    </row>
    <row r="1067" spans="1:11" x14ac:dyDescent="0.25">
      <c r="A1067" s="6"/>
      <c r="B1067" s="6"/>
      <c r="C1067" s="123"/>
      <c r="D1067" s="123"/>
      <c r="E1067" s="124"/>
      <c r="F1067" s="6"/>
      <c r="G1067" s="124"/>
      <c r="H1067" s="6"/>
      <c r="I1067" s="125"/>
      <c r="J1067" s="125"/>
      <c r="K1067" s="125"/>
    </row>
    <row r="1068" spans="1:11" x14ac:dyDescent="0.25">
      <c r="A1068" s="6"/>
      <c r="B1068" s="6"/>
      <c r="C1068" s="123"/>
      <c r="D1068" s="123"/>
      <c r="E1068" s="124"/>
      <c r="F1068" s="6"/>
      <c r="G1068" s="124"/>
      <c r="H1068" s="6"/>
      <c r="I1068" s="125"/>
      <c r="J1068" s="125"/>
      <c r="K1068" s="125"/>
    </row>
    <row r="1069" spans="1:11" x14ac:dyDescent="0.25">
      <c r="A1069" s="6"/>
      <c r="B1069" s="6"/>
      <c r="C1069" s="123"/>
      <c r="D1069" s="123"/>
      <c r="E1069" s="124"/>
      <c r="F1069" s="6"/>
      <c r="G1069" s="124"/>
      <c r="H1069" s="6"/>
      <c r="I1069" s="125"/>
      <c r="J1069" s="125"/>
      <c r="K1069" s="125"/>
    </row>
    <row r="1070" spans="1:11" x14ac:dyDescent="0.25">
      <c r="A1070" s="6"/>
      <c r="B1070" s="6"/>
      <c r="C1070" s="123"/>
      <c r="D1070" s="123"/>
      <c r="E1070" s="124"/>
      <c r="F1070" s="6"/>
      <c r="G1070" s="124"/>
      <c r="H1070" s="6"/>
      <c r="I1070" s="125"/>
      <c r="J1070" s="125"/>
      <c r="K1070" s="125"/>
    </row>
    <row r="1071" spans="1:11" x14ac:dyDescent="0.25">
      <c r="A1071" s="6"/>
      <c r="B1071" s="6"/>
      <c r="C1071" s="123"/>
      <c r="D1071" s="123"/>
      <c r="E1071" s="124"/>
      <c r="F1071" s="6"/>
      <c r="G1071" s="124"/>
      <c r="H1071" s="6"/>
      <c r="I1071" s="125"/>
      <c r="J1071" s="125"/>
      <c r="K1071" s="125"/>
    </row>
    <row r="1072" spans="1:11" x14ac:dyDescent="0.25">
      <c r="A1072" s="6"/>
      <c r="B1072" s="6"/>
      <c r="C1072" s="123"/>
      <c r="D1072" s="123"/>
      <c r="E1072" s="124"/>
      <c r="F1072" s="6"/>
      <c r="G1072" s="124"/>
      <c r="H1072" s="6"/>
      <c r="I1072" s="125"/>
      <c r="J1072" s="125"/>
      <c r="K1072" s="125"/>
    </row>
    <row r="1073" spans="1:11" x14ac:dyDescent="0.25">
      <c r="A1073" s="6"/>
      <c r="B1073" s="6"/>
      <c r="C1073" s="123"/>
      <c r="D1073" s="123"/>
      <c r="E1073" s="124"/>
      <c r="F1073" s="6"/>
      <c r="G1073" s="124"/>
      <c r="H1073" s="6"/>
      <c r="I1073" s="125"/>
      <c r="J1073" s="125"/>
      <c r="K1073" s="125"/>
    </row>
    <row r="1074" spans="1:11" x14ac:dyDescent="0.25">
      <c r="A1074" s="6"/>
      <c r="B1074" s="6"/>
      <c r="C1074" s="123"/>
      <c r="D1074" s="123"/>
      <c r="E1074" s="124"/>
      <c r="F1074" s="6"/>
      <c r="G1074" s="124"/>
      <c r="H1074" s="6"/>
      <c r="I1074" s="125"/>
      <c r="J1074" s="125"/>
      <c r="K1074" s="125"/>
    </row>
    <row r="1075" spans="1:11" x14ac:dyDescent="0.25">
      <c r="A1075" s="6"/>
      <c r="B1075" s="6"/>
      <c r="C1075" s="123"/>
      <c r="D1075" s="123"/>
      <c r="E1075" s="124"/>
      <c r="F1075" s="6"/>
      <c r="G1075" s="124"/>
      <c r="H1075" s="6"/>
      <c r="I1075" s="125"/>
      <c r="J1075" s="125"/>
      <c r="K1075" s="125"/>
    </row>
    <row r="1076" spans="1:11" x14ac:dyDescent="0.25">
      <c r="A1076" s="6"/>
      <c r="B1076" s="6"/>
      <c r="C1076" s="123"/>
      <c r="D1076" s="123"/>
      <c r="E1076" s="124"/>
      <c r="F1076" s="6"/>
      <c r="G1076" s="124"/>
      <c r="H1076" s="6"/>
      <c r="I1076" s="125"/>
      <c r="J1076" s="125"/>
      <c r="K1076" s="125"/>
    </row>
    <row r="1077" spans="1:11" x14ac:dyDescent="0.25">
      <c r="A1077" s="6"/>
      <c r="B1077" s="6"/>
      <c r="C1077" s="123"/>
      <c r="D1077" s="123"/>
      <c r="E1077" s="124"/>
      <c r="F1077" s="6"/>
      <c r="G1077" s="124"/>
      <c r="H1077" s="6"/>
      <c r="I1077" s="125"/>
      <c r="J1077" s="125"/>
      <c r="K1077" s="125"/>
    </row>
    <row r="1078" spans="1:11" x14ac:dyDescent="0.25">
      <c r="A1078" s="6"/>
      <c r="B1078" s="6"/>
      <c r="C1078" s="123"/>
      <c r="D1078" s="123"/>
      <c r="E1078" s="124"/>
      <c r="F1078" s="6"/>
      <c r="G1078" s="124"/>
      <c r="H1078" s="6"/>
      <c r="I1078" s="125"/>
      <c r="J1078" s="125"/>
      <c r="K1078" s="125"/>
    </row>
    <row r="1079" spans="1:11" x14ac:dyDescent="0.25">
      <c r="A1079" s="6"/>
      <c r="B1079" s="6"/>
      <c r="C1079" s="123"/>
      <c r="D1079" s="123"/>
      <c r="E1079" s="124"/>
      <c r="F1079" s="6"/>
      <c r="G1079" s="124"/>
      <c r="H1079" s="6"/>
      <c r="I1079" s="125"/>
      <c r="J1079" s="125"/>
      <c r="K1079" s="125"/>
    </row>
    <row r="1080" spans="1:11" x14ac:dyDescent="0.25">
      <c r="A1080" s="6"/>
      <c r="B1080" s="6"/>
      <c r="C1080" s="123"/>
      <c r="D1080" s="123"/>
      <c r="E1080" s="124"/>
      <c r="F1080" s="6"/>
      <c r="G1080" s="124"/>
      <c r="H1080" s="6"/>
      <c r="I1080" s="125"/>
      <c r="J1080" s="125"/>
      <c r="K1080" s="125"/>
    </row>
    <row r="1081" spans="1:11" x14ac:dyDescent="0.25">
      <c r="A1081" s="6"/>
      <c r="B1081" s="6"/>
      <c r="C1081" s="123"/>
      <c r="D1081" s="123"/>
      <c r="E1081" s="124"/>
      <c r="F1081" s="6"/>
      <c r="G1081" s="124"/>
      <c r="H1081" s="6"/>
      <c r="I1081" s="125"/>
      <c r="J1081" s="125"/>
      <c r="K1081" s="125"/>
    </row>
    <row r="1082" spans="1:11" x14ac:dyDescent="0.25">
      <c r="A1082" s="6"/>
      <c r="B1082" s="6"/>
      <c r="C1082" s="123"/>
      <c r="D1082" s="123"/>
      <c r="E1082" s="124"/>
      <c r="F1082" s="6"/>
      <c r="G1082" s="124"/>
      <c r="H1082" s="6"/>
      <c r="I1082" s="125"/>
      <c r="J1082" s="125"/>
      <c r="K1082" s="125"/>
    </row>
    <row r="1083" spans="1:11" x14ac:dyDescent="0.25">
      <c r="A1083" s="6"/>
      <c r="B1083" s="6"/>
      <c r="C1083" s="123"/>
      <c r="D1083" s="123"/>
      <c r="E1083" s="124"/>
      <c r="F1083" s="6"/>
      <c r="G1083" s="124"/>
      <c r="H1083" s="6"/>
      <c r="I1083" s="125"/>
      <c r="J1083" s="125"/>
      <c r="K1083" s="125"/>
    </row>
    <row r="1084" spans="1:11" x14ac:dyDescent="0.25">
      <c r="A1084" s="6"/>
      <c r="B1084" s="6"/>
      <c r="C1084" s="123"/>
      <c r="D1084" s="123"/>
      <c r="E1084" s="124"/>
      <c r="F1084" s="6"/>
      <c r="G1084" s="124"/>
      <c r="H1084" s="6"/>
      <c r="I1084" s="125"/>
      <c r="J1084" s="125"/>
      <c r="K1084" s="125"/>
    </row>
    <row r="1085" spans="1:11" x14ac:dyDescent="0.25">
      <c r="A1085" s="6"/>
      <c r="B1085" s="6"/>
      <c r="C1085" s="123"/>
      <c r="D1085" s="123"/>
      <c r="E1085" s="124"/>
      <c r="F1085" s="6"/>
      <c r="G1085" s="124"/>
      <c r="H1085" s="6"/>
      <c r="I1085" s="125"/>
      <c r="J1085" s="125"/>
      <c r="K1085" s="125"/>
    </row>
    <row r="1086" spans="1:11" x14ac:dyDescent="0.25">
      <c r="A1086" s="6"/>
      <c r="B1086" s="6"/>
      <c r="C1086" s="123"/>
      <c r="D1086" s="123"/>
      <c r="E1086" s="124"/>
      <c r="F1086" s="6"/>
      <c r="G1086" s="124"/>
      <c r="H1086" s="6"/>
      <c r="I1086" s="125"/>
      <c r="J1086" s="125"/>
      <c r="K1086" s="125"/>
    </row>
    <row r="1087" spans="1:11" x14ac:dyDescent="0.25">
      <c r="A1087" s="6"/>
      <c r="B1087" s="6"/>
      <c r="C1087" s="123"/>
      <c r="D1087" s="123"/>
      <c r="E1087" s="124"/>
      <c r="F1087" s="6"/>
      <c r="G1087" s="124"/>
      <c r="H1087" s="6"/>
      <c r="I1087" s="125"/>
      <c r="J1087" s="125"/>
      <c r="K1087" s="125"/>
    </row>
    <row r="1088" spans="1:11" x14ac:dyDescent="0.25">
      <c r="A1088" s="6"/>
      <c r="B1088" s="6"/>
      <c r="C1088" s="123"/>
      <c r="D1088" s="123"/>
      <c r="E1088" s="124"/>
      <c r="F1088" s="6"/>
      <c r="G1088" s="124"/>
      <c r="H1088" s="6"/>
      <c r="I1088" s="125"/>
      <c r="J1088" s="125"/>
      <c r="K1088" s="125"/>
    </row>
    <row r="1089" spans="1:11" x14ac:dyDescent="0.25">
      <c r="A1089" s="6"/>
      <c r="B1089" s="6"/>
      <c r="C1089" s="123"/>
      <c r="D1089" s="123"/>
      <c r="E1089" s="124"/>
      <c r="F1089" s="6"/>
      <c r="G1089" s="124"/>
      <c r="H1089" s="6"/>
      <c r="I1089" s="125"/>
      <c r="J1089" s="125"/>
      <c r="K1089" s="125"/>
    </row>
    <row r="1090" spans="1:11" x14ac:dyDescent="0.25">
      <c r="A1090" s="6"/>
      <c r="B1090" s="6"/>
      <c r="C1090" s="123"/>
      <c r="D1090" s="123"/>
      <c r="E1090" s="124"/>
      <c r="F1090" s="6"/>
      <c r="G1090" s="124"/>
      <c r="H1090" s="6"/>
      <c r="I1090" s="125"/>
      <c r="J1090" s="125"/>
      <c r="K1090" s="125"/>
    </row>
    <row r="1091" spans="1:11" x14ac:dyDescent="0.25">
      <c r="A1091" s="6"/>
      <c r="B1091" s="6"/>
      <c r="C1091" s="123"/>
      <c r="D1091" s="123"/>
      <c r="E1091" s="124"/>
      <c r="F1091" s="6"/>
      <c r="G1091" s="124"/>
      <c r="H1091" s="6"/>
      <c r="I1091" s="125"/>
      <c r="J1091" s="125"/>
      <c r="K1091" s="125"/>
    </row>
    <row r="1092" spans="1:11" x14ac:dyDescent="0.25">
      <c r="A1092" s="6"/>
      <c r="B1092" s="6"/>
      <c r="C1092" s="123"/>
      <c r="D1092" s="123"/>
      <c r="E1092" s="124"/>
      <c r="F1092" s="6"/>
      <c r="G1092" s="124"/>
      <c r="H1092" s="6"/>
      <c r="I1092" s="125"/>
      <c r="J1092" s="125"/>
      <c r="K1092" s="125"/>
    </row>
    <row r="1093" spans="1:11" x14ac:dyDescent="0.25">
      <c r="A1093" s="6"/>
      <c r="B1093" s="6"/>
      <c r="C1093" s="123"/>
      <c r="D1093" s="123"/>
      <c r="E1093" s="124"/>
      <c r="F1093" s="6"/>
      <c r="G1093" s="124"/>
      <c r="H1093" s="6"/>
      <c r="I1093" s="125"/>
      <c r="J1093" s="125"/>
      <c r="K1093" s="125"/>
    </row>
    <row r="1094" spans="1:11" x14ac:dyDescent="0.25">
      <c r="A1094" s="6"/>
      <c r="B1094" s="6"/>
      <c r="C1094" s="123"/>
      <c r="D1094" s="123"/>
      <c r="E1094" s="124"/>
      <c r="F1094" s="6"/>
      <c r="G1094" s="124"/>
      <c r="H1094" s="6"/>
      <c r="I1094" s="125"/>
      <c r="J1094" s="125"/>
      <c r="K1094" s="125"/>
    </row>
    <row r="1095" spans="1:11" x14ac:dyDescent="0.25">
      <c r="A1095" s="6"/>
      <c r="B1095" s="6"/>
      <c r="C1095" s="123"/>
      <c r="D1095" s="123"/>
      <c r="E1095" s="124"/>
      <c r="F1095" s="6"/>
      <c r="G1095" s="124"/>
      <c r="H1095" s="6"/>
      <c r="I1095" s="125"/>
      <c r="J1095" s="125"/>
      <c r="K1095" s="125"/>
    </row>
    <row r="1096" spans="1:11" x14ac:dyDescent="0.25">
      <c r="A1096" s="6"/>
      <c r="B1096" s="6"/>
      <c r="C1096" s="123"/>
      <c r="D1096" s="123"/>
      <c r="E1096" s="124"/>
      <c r="F1096" s="6"/>
      <c r="G1096" s="124"/>
      <c r="H1096" s="6"/>
      <c r="I1096" s="125"/>
      <c r="J1096" s="125"/>
      <c r="K1096" s="125"/>
    </row>
    <row r="1097" spans="1:11" x14ac:dyDescent="0.25">
      <c r="A1097" s="6"/>
      <c r="B1097" s="6"/>
      <c r="C1097" s="123"/>
      <c r="D1097" s="123"/>
      <c r="E1097" s="124"/>
      <c r="F1097" s="6"/>
      <c r="G1097" s="124"/>
      <c r="H1097" s="6"/>
      <c r="I1097" s="125"/>
      <c r="J1097" s="125"/>
      <c r="K1097" s="125"/>
    </row>
    <row r="1098" spans="1:11" x14ac:dyDescent="0.25">
      <c r="A1098" s="6"/>
      <c r="B1098" s="6"/>
      <c r="C1098" s="123"/>
      <c r="D1098" s="123"/>
      <c r="E1098" s="124"/>
      <c r="F1098" s="6"/>
      <c r="G1098" s="124"/>
      <c r="H1098" s="6"/>
      <c r="I1098" s="125"/>
      <c r="J1098" s="125"/>
      <c r="K1098" s="125"/>
    </row>
    <row r="1099" spans="1:11" x14ac:dyDescent="0.25">
      <c r="A1099" s="6"/>
      <c r="B1099" s="6"/>
      <c r="C1099" s="123"/>
      <c r="D1099" s="123"/>
      <c r="E1099" s="124"/>
      <c r="F1099" s="6"/>
      <c r="G1099" s="124"/>
      <c r="H1099" s="6"/>
      <c r="I1099" s="125"/>
      <c r="J1099" s="125"/>
      <c r="K1099" s="125"/>
    </row>
    <row r="1100" spans="1:11" x14ac:dyDescent="0.25">
      <c r="A1100" s="6"/>
      <c r="B1100" s="6"/>
      <c r="C1100" s="123"/>
      <c r="D1100" s="123"/>
      <c r="E1100" s="124"/>
      <c r="F1100" s="6"/>
      <c r="G1100" s="124"/>
      <c r="H1100" s="6"/>
      <c r="I1100" s="125"/>
      <c r="J1100" s="125"/>
      <c r="K1100" s="125"/>
    </row>
    <row r="1101" spans="1:11" x14ac:dyDescent="0.25">
      <c r="A1101" s="6"/>
      <c r="B1101" s="6"/>
      <c r="C1101" s="123"/>
      <c r="D1101" s="123"/>
      <c r="E1101" s="124"/>
      <c r="F1101" s="6"/>
      <c r="G1101" s="124"/>
      <c r="H1101" s="6"/>
      <c r="I1101" s="125"/>
      <c r="J1101" s="125"/>
      <c r="K1101" s="125"/>
    </row>
    <row r="1102" spans="1:11" x14ac:dyDescent="0.25">
      <c r="A1102" s="6"/>
      <c r="B1102" s="6"/>
      <c r="C1102" s="123"/>
      <c r="D1102" s="123"/>
      <c r="E1102" s="124"/>
      <c r="F1102" s="6"/>
      <c r="G1102" s="124"/>
      <c r="H1102" s="6"/>
      <c r="I1102" s="125"/>
      <c r="J1102" s="125"/>
      <c r="K1102" s="125"/>
    </row>
    <row r="1103" spans="1:11" x14ac:dyDescent="0.25">
      <c r="A1103" s="6"/>
      <c r="B1103" s="6"/>
      <c r="C1103" s="123"/>
      <c r="D1103" s="123"/>
      <c r="E1103" s="124"/>
      <c r="F1103" s="6"/>
      <c r="G1103" s="124"/>
      <c r="H1103" s="6"/>
      <c r="I1103" s="125"/>
      <c r="J1103" s="125"/>
      <c r="K1103" s="125"/>
    </row>
    <row r="1104" spans="1:11" x14ac:dyDescent="0.25">
      <c r="A1104" s="6"/>
      <c r="B1104" s="6"/>
      <c r="C1104" s="123"/>
      <c r="D1104" s="123"/>
      <c r="E1104" s="124"/>
      <c r="F1104" s="6"/>
      <c r="G1104" s="124"/>
      <c r="H1104" s="6"/>
      <c r="I1104" s="125"/>
      <c r="J1104" s="125"/>
      <c r="K1104" s="125"/>
    </row>
    <row r="1105" spans="1:11" x14ac:dyDescent="0.25">
      <c r="A1105" s="6"/>
      <c r="B1105" s="6"/>
      <c r="C1105" s="123"/>
      <c r="D1105" s="123"/>
      <c r="E1105" s="124"/>
      <c r="F1105" s="6"/>
      <c r="G1105" s="124"/>
      <c r="H1105" s="6"/>
      <c r="I1105" s="125"/>
      <c r="J1105" s="125"/>
      <c r="K1105" s="125"/>
    </row>
    <row r="1106" spans="1:11" x14ac:dyDescent="0.25">
      <c r="A1106" s="6"/>
      <c r="B1106" s="6"/>
      <c r="C1106" s="123"/>
      <c r="D1106" s="123"/>
      <c r="E1106" s="124"/>
      <c r="F1106" s="6"/>
      <c r="G1106" s="124"/>
      <c r="H1106" s="6"/>
      <c r="I1106" s="125"/>
      <c r="J1106" s="125"/>
      <c r="K1106" s="125"/>
    </row>
    <row r="1107" spans="1:11" x14ac:dyDescent="0.25">
      <c r="A1107" s="6"/>
      <c r="B1107" s="6"/>
      <c r="C1107" s="123"/>
      <c r="D1107" s="123"/>
      <c r="E1107" s="124"/>
      <c r="F1107" s="6"/>
      <c r="G1107" s="124"/>
      <c r="H1107" s="6"/>
      <c r="I1107" s="125"/>
      <c r="J1107" s="125"/>
      <c r="K1107" s="125"/>
    </row>
    <row r="1108" spans="1:11" x14ac:dyDescent="0.25">
      <c r="A1108" s="6"/>
      <c r="B1108" s="6"/>
      <c r="C1108" s="123"/>
      <c r="D1108" s="123"/>
      <c r="E1108" s="124"/>
      <c r="F1108" s="6"/>
      <c r="G1108" s="124"/>
      <c r="H1108" s="6"/>
      <c r="I1108" s="125"/>
      <c r="J1108" s="125"/>
      <c r="K1108" s="125"/>
    </row>
    <row r="1109" spans="1:11" x14ac:dyDescent="0.25">
      <c r="A1109" s="6"/>
      <c r="B1109" s="6"/>
      <c r="C1109" s="123"/>
      <c r="D1109" s="123"/>
      <c r="E1109" s="124"/>
      <c r="F1109" s="6"/>
      <c r="G1109" s="124"/>
      <c r="H1109" s="6"/>
      <c r="I1109" s="125"/>
      <c r="J1109" s="125"/>
      <c r="K1109" s="125"/>
    </row>
    <row r="1110" spans="1:11" x14ac:dyDescent="0.25">
      <c r="A1110" s="6"/>
      <c r="B1110" s="6"/>
      <c r="C1110" s="123"/>
      <c r="D1110" s="123"/>
      <c r="E1110" s="124"/>
      <c r="F1110" s="6"/>
      <c r="G1110" s="124"/>
      <c r="H1110" s="6"/>
      <c r="I1110" s="125"/>
      <c r="J1110" s="125"/>
      <c r="K1110" s="125"/>
    </row>
    <row r="1111" spans="1:11" x14ac:dyDescent="0.25">
      <c r="A1111" s="6"/>
      <c r="B1111" s="6"/>
      <c r="C1111" s="123"/>
      <c r="D1111" s="123"/>
      <c r="E1111" s="124"/>
      <c r="F1111" s="6"/>
      <c r="G1111" s="124"/>
      <c r="H1111" s="6"/>
      <c r="I1111" s="125"/>
      <c r="J1111" s="125"/>
      <c r="K1111" s="125"/>
    </row>
    <row r="1112" spans="1:11" x14ac:dyDescent="0.25">
      <c r="A1112" s="6"/>
      <c r="B1112" s="6"/>
      <c r="C1112" s="123"/>
      <c r="D1112" s="123"/>
      <c r="E1112" s="124"/>
      <c r="F1112" s="6"/>
      <c r="G1112" s="124"/>
      <c r="H1112" s="6"/>
      <c r="I1112" s="125"/>
      <c r="J1112" s="125"/>
      <c r="K1112" s="125"/>
    </row>
    <row r="1113" spans="1:11" x14ac:dyDescent="0.25">
      <c r="A1113" s="6"/>
      <c r="B1113" s="6"/>
      <c r="C1113" s="123"/>
      <c r="D1113" s="123"/>
      <c r="E1113" s="124"/>
      <c r="F1113" s="6"/>
      <c r="G1113" s="124"/>
      <c r="H1113" s="6"/>
      <c r="I1113" s="125"/>
      <c r="J1113" s="125"/>
      <c r="K1113" s="125"/>
    </row>
    <row r="1114" spans="1:11" x14ac:dyDescent="0.25">
      <c r="A1114" s="6"/>
      <c r="B1114" s="6"/>
      <c r="C1114" s="123"/>
      <c r="D1114" s="123"/>
      <c r="E1114" s="124"/>
      <c r="F1114" s="6"/>
      <c r="G1114" s="124"/>
      <c r="H1114" s="6"/>
      <c r="I1114" s="125"/>
      <c r="J1114" s="125"/>
      <c r="K1114" s="125"/>
    </row>
    <row r="1115" spans="1:11" x14ac:dyDescent="0.25">
      <c r="A1115" s="6"/>
      <c r="B1115" s="6"/>
      <c r="C1115" s="123"/>
      <c r="D1115" s="123"/>
      <c r="E1115" s="124"/>
      <c r="F1115" s="6"/>
      <c r="G1115" s="124"/>
      <c r="H1115" s="6"/>
      <c r="I1115" s="125"/>
      <c r="J1115" s="125"/>
      <c r="K1115" s="125"/>
    </row>
    <row r="1116" spans="1:11" x14ac:dyDescent="0.25">
      <c r="A1116" s="6"/>
      <c r="B1116" s="6"/>
      <c r="C1116" s="123"/>
      <c r="D1116" s="123"/>
      <c r="E1116" s="124"/>
      <c r="F1116" s="6"/>
      <c r="G1116" s="124"/>
      <c r="H1116" s="6"/>
      <c r="I1116" s="125"/>
      <c r="J1116" s="125"/>
      <c r="K1116" s="125"/>
    </row>
    <row r="1117" spans="1:11" x14ac:dyDescent="0.25">
      <c r="A1117" s="6"/>
      <c r="B1117" s="6"/>
      <c r="C1117" s="123"/>
      <c r="D1117" s="123"/>
      <c r="E1117" s="124"/>
      <c r="F1117" s="6"/>
      <c r="G1117" s="124"/>
      <c r="H1117" s="6"/>
      <c r="I1117" s="125"/>
      <c r="J1117" s="125"/>
      <c r="K1117" s="125"/>
    </row>
    <row r="1118" spans="1:11" x14ac:dyDescent="0.25">
      <c r="A1118" s="6"/>
      <c r="B1118" s="6"/>
      <c r="C1118" s="123"/>
      <c r="D1118" s="123"/>
      <c r="E1118" s="124"/>
      <c r="F1118" s="6"/>
      <c r="G1118" s="124"/>
      <c r="H1118" s="6"/>
      <c r="I1118" s="125"/>
      <c r="J1118" s="125"/>
      <c r="K1118" s="125"/>
    </row>
    <row r="1119" spans="1:11" x14ac:dyDescent="0.25">
      <c r="A1119" s="6"/>
      <c r="B1119" s="6"/>
      <c r="C1119" s="123"/>
      <c r="D1119" s="123"/>
      <c r="E1119" s="124"/>
      <c r="F1119" s="6"/>
      <c r="G1119" s="124"/>
      <c r="H1119" s="6"/>
      <c r="I1119" s="125"/>
      <c r="J1119" s="125"/>
      <c r="K1119" s="125"/>
    </row>
    <row r="1120" spans="1:11" x14ac:dyDescent="0.25">
      <c r="A1120" s="6"/>
      <c r="B1120" s="6"/>
      <c r="C1120" s="123"/>
      <c r="D1120" s="123"/>
      <c r="E1120" s="124"/>
      <c r="F1120" s="6"/>
      <c r="G1120" s="124"/>
      <c r="H1120" s="6"/>
      <c r="I1120" s="125"/>
      <c r="J1120" s="125"/>
      <c r="K1120" s="125"/>
    </row>
    <row r="1121" spans="1:11" x14ac:dyDescent="0.25">
      <c r="A1121" s="6"/>
      <c r="B1121" s="6"/>
      <c r="C1121" s="123"/>
      <c r="D1121" s="123"/>
      <c r="E1121" s="124"/>
      <c r="F1121" s="6"/>
      <c r="G1121" s="124"/>
      <c r="H1121" s="6"/>
      <c r="I1121" s="125"/>
      <c r="J1121" s="125"/>
      <c r="K1121" s="125"/>
    </row>
    <row r="1122" spans="1:11" x14ac:dyDescent="0.25">
      <c r="A1122" s="6"/>
      <c r="B1122" s="6"/>
      <c r="C1122" s="123"/>
      <c r="D1122" s="123"/>
      <c r="E1122" s="124"/>
      <c r="F1122" s="6"/>
      <c r="G1122" s="124"/>
      <c r="H1122" s="6"/>
      <c r="I1122" s="125"/>
      <c r="J1122" s="125"/>
      <c r="K1122" s="125"/>
    </row>
    <row r="1123" spans="1:11" x14ac:dyDescent="0.25">
      <c r="A1123" s="6"/>
      <c r="B1123" s="6"/>
      <c r="C1123" s="123"/>
      <c r="D1123" s="123"/>
      <c r="E1123" s="124"/>
      <c r="F1123" s="6"/>
      <c r="G1123" s="124"/>
      <c r="H1123" s="6"/>
      <c r="I1123" s="125"/>
      <c r="J1123" s="125"/>
      <c r="K1123" s="125"/>
    </row>
    <row r="1124" spans="1:11" x14ac:dyDescent="0.25">
      <c r="A1124" s="6"/>
      <c r="B1124" s="6"/>
      <c r="C1124" s="123"/>
      <c r="D1124" s="123"/>
      <c r="E1124" s="124"/>
      <c r="F1124" s="6"/>
      <c r="G1124" s="124"/>
      <c r="H1124" s="6"/>
      <c r="I1124" s="125"/>
      <c r="J1124" s="125"/>
      <c r="K1124" s="125"/>
    </row>
    <row r="1125" spans="1:11" x14ac:dyDescent="0.25">
      <c r="A1125" s="6"/>
      <c r="B1125" s="6"/>
      <c r="C1125" s="123"/>
      <c r="D1125" s="123"/>
      <c r="E1125" s="124"/>
      <c r="F1125" s="6"/>
      <c r="G1125" s="124"/>
      <c r="H1125" s="6"/>
      <c r="I1125" s="125"/>
      <c r="J1125" s="125"/>
      <c r="K1125" s="125"/>
    </row>
    <row r="1126" spans="1:11" x14ac:dyDescent="0.25">
      <c r="A1126" s="6"/>
      <c r="B1126" s="6"/>
      <c r="C1126" s="123"/>
      <c r="D1126" s="123"/>
      <c r="E1126" s="124"/>
      <c r="F1126" s="6"/>
      <c r="G1126" s="124"/>
      <c r="H1126" s="6"/>
      <c r="I1126" s="125"/>
      <c r="J1126" s="125"/>
      <c r="K1126" s="125"/>
    </row>
    <row r="1127" spans="1:11" x14ac:dyDescent="0.25">
      <c r="A1127" s="6"/>
      <c r="B1127" s="6"/>
      <c r="C1127" s="123"/>
      <c r="D1127" s="123"/>
      <c r="E1127" s="124"/>
      <c r="F1127" s="6"/>
      <c r="G1127" s="124"/>
      <c r="H1127" s="6"/>
      <c r="I1127" s="125"/>
      <c r="J1127" s="125"/>
      <c r="K1127" s="125"/>
    </row>
    <row r="1128" spans="1:11" x14ac:dyDescent="0.25">
      <c r="A1128" s="6"/>
      <c r="B1128" s="6"/>
      <c r="C1128" s="123"/>
      <c r="D1128" s="123"/>
      <c r="E1128" s="124"/>
      <c r="F1128" s="6"/>
      <c r="G1128" s="124"/>
      <c r="H1128" s="6"/>
      <c r="I1128" s="125"/>
      <c r="J1128" s="125"/>
      <c r="K1128" s="125"/>
    </row>
    <row r="1129" spans="1:11" x14ac:dyDescent="0.25">
      <c r="A1129" s="6"/>
      <c r="B1129" s="6"/>
      <c r="C1129" s="123"/>
      <c r="D1129" s="123"/>
      <c r="E1129" s="124"/>
      <c r="F1129" s="6"/>
      <c r="G1129" s="124"/>
      <c r="H1129" s="6"/>
      <c r="I1129" s="125"/>
      <c r="J1129" s="125"/>
      <c r="K1129" s="125"/>
    </row>
    <row r="1130" spans="1:11" x14ac:dyDescent="0.25">
      <c r="A1130" s="6"/>
      <c r="B1130" s="6"/>
      <c r="C1130" s="123"/>
      <c r="D1130" s="123"/>
      <c r="E1130" s="124"/>
      <c r="F1130" s="6"/>
      <c r="G1130" s="124"/>
      <c r="H1130" s="6"/>
      <c r="I1130" s="125"/>
      <c r="J1130" s="125"/>
      <c r="K1130" s="125"/>
    </row>
    <row r="1131" spans="1:11" x14ac:dyDescent="0.25">
      <c r="A1131" s="6"/>
      <c r="B1131" s="6"/>
      <c r="C1131" s="123"/>
      <c r="D1131" s="123"/>
      <c r="E1131" s="124"/>
      <c r="F1131" s="6"/>
      <c r="G1131" s="124"/>
      <c r="H1131" s="6"/>
      <c r="I1131" s="125"/>
      <c r="J1131" s="125"/>
      <c r="K1131" s="125"/>
    </row>
    <row r="1132" spans="1:11" x14ac:dyDescent="0.25">
      <c r="A1132" s="6"/>
      <c r="B1132" s="6"/>
      <c r="C1132" s="123"/>
      <c r="D1132" s="123"/>
      <c r="E1132" s="124"/>
      <c r="F1132" s="6"/>
      <c r="G1132" s="124"/>
      <c r="H1132" s="6"/>
      <c r="I1132" s="125"/>
      <c r="J1132" s="125"/>
      <c r="K1132" s="125"/>
    </row>
    <row r="1133" spans="1:11" x14ac:dyDescent="0.25">
      <c r="A1133" s="6"/>
      <c r="B1133" s="6"/>
      <c r="C1133" s="123"/>
      <c r="D1133" s="123"/>
      <c r="E1133" s="124"/>
      <c r="F1133" s="6"/>
      <c r="G1133" s="124"/>
      <c r="H1133" s="6"/>
      <c r="I1133" s="125"/>
      <c r="J1133" s="125"/>
      <c r="K1133" s="125"/>
    </row>
    <row r="1134" spans="1:11" x14ac:dyDescent="0.25">
      <c r="A1134" s="6"/>
      <c r="B1134" s="6"/>
      <c r="C1134" s="123"/>
      <c r="D1134" s="123"/>
      <c r="E1134" s="124"/>
      <c r="F1134" s="6"/>
      <c r="G1134" s="124"/>
      <c r="H1134" s="6"/>
      <c r="I1134" s="125"/>
      <c r="J1134" s="125"/>
      <c r="K1134" s="125"/>
    </row>
    <row r="1135" spans="1:11" x14ac:dyDescent="0.25">
      <c r="A1135" s="6"/>
      <c r="B1135" s="6"/>
      <c r="C1135" s="123"/>
      <c r="D1135" s="123"/>
      <c r="E1135" s="124"/>
      <c r="F1135" s="6"/>
      <c r="G1135" s="124"/>
      <c r="H1135" s="6"/>
      <c r="I1135" s="125"/>
      <c r="J1135" s="125"/>
      <c r="K1135" s="125"/>
    </row>
    <row r="1136" spans="1:11" x14ac:dyDescent="0.25">
      <c r="A1136" s="6"/>
      <c r="B1136" s="6"/>
      <c r="C1136" s="123"/>
      <c r="D1136" s="123"/>
      <c r="E1136" s="124"/>
      <c r="F1136" s="6"/>
      <c r="G1136" s="124"/>
      <c r="H1136" s="6"/>
      <c r="I1136" s="125"/>
      <c r="J1136" s="125"/>
      <c r="K1136" s="125"/>
    </row>
    <row r="1137" spans="1:11" x14ac:dyDescent="0.25">
      <c r="A1137" s="6"/>
      <c r="B1137" s="6"/>
      <c r="C1137" s="123"/>
      <c r="D1137" s="123"/>
      <c r="E1137" s="124"/>
      <c r="F1137" s="6"/>
      <c r="G1137" s="124"/>
      <c r="H1137" s="6"/>
      <c r="I1137" s="125"/>
      <c r="J1137" s="125"/>
      <c r="K1137" s="125"/>
    </row>
    <row r="1138" spans="1:11" x14ac:dyDescent="0.25">
      <c r="A1138" s="6"/>
      <c r="B1138" s="6"/>
      <c r="C1138" s="123"/>
      <c r="D1138" s="123"/>
      <c r="E1138" s="124"/>
      <c r="F1138" s="6"/>
      <c r="G1138" s="124"/>
      <c r="H1138" s="6"/>
      <c r="I1138" s="125"/>
      <c r="J1138" s="125"/>
      <c r="K1138" s="125"/>
    </row>
    <row r="1139" spans="1:11" x14ac:dyDescent="0.25">
      <c r="A1139" s="6"/>
      <c r="B1139" s="6"/>
      <c r="C1139" s="123"/>
      <c r="D1139" s="123"/>
      <c r="E1139" s="124"/>
      <c r="F1139" s="6"/>
      <c r="G1139" s="124"/>
      <c r="H1139" s="6"/>
      <c r="I1139" s="125"/>
      <c r="J1139" s="125"/>
      <c r="K1139" s="125"/>
    </row>
    <row r="1140" spans="1:11" x14ac:dyDescent="0.25">
      <c r="A1140" s="6"/>
      <c r="B1140" s="6"/>
      <c r="C1140" s="123"/>
      <c r="D1140" s="123"/>
      <c r="E1140" s="124"/>
      <c r="F1140" s="6"/>
      <c r="G1140" s="124"/>
      <c r="H1140" s="6"/>
      <c r="I1140" s="125"/>
      <c r="J1140" s="125"/>
      <c r="K1140" s="125"/>
    </row>
    <row r="1141" spans="1:11" x14ac:dyDescent="0.25">
      <c r="A1141" s="6"/>
      <c r="B1141" s="6"/>
      <c r="C1141" s="123"/>
      <c r="D1141" s="123"/>
      <c r="E1141" s="124"/>
      <c r="F1141" s="6"/>
      <c r="G1141" s="124"/>
      <c r="H1141" s="6"/>
      <c r="I1141" s="125"/>
      <c r="J1141" s="125"/>
      <c r="K1141" s="125"/>
    </row>
    <row r="1142" spans="1:11" x14ac:dyDescent="0.25">
      <c r="A1142" s="6"/>
      <c r="B1142" s="6"/>
      <c r="C1142" s="123"/>
      <c r="D1142" s="123"/>
      <c r="E1142" s="124"/>
      <c r="F1142" s="6"/>
      <c r="G1142" s="124"/>
      <c r="H1142" s="6"/>
      <c r="I1142" s="125"/>
      <c r="J1142" s="125"/>
      <c r="K1142" s="125"/>
    </row>
    <row r="1143" spans="1:11" x14ac:dyDescent="0.25">
      <c r="A1143" s="6"/>
      <c r="B1143" s="6"/>
      <c r="C1143" s="123"/>
      <c r="D1143" s="123"/>
      <c r="E1143" s="124"/>
      <c r="F1143" s="6"/>
      <c r="G1143" s="124"/>
      <c r="H1143" s="6"/>
      <c r="I1143" s="125"/>
      <c r="J1143" s="125"/>
      <c r="K1143" s="125"/>
    </row>
    <row r="1144" spans="1:11" x14ac:dyDescent="0.25">
      <c r="A1144" s="6"/>
      <c r="B1144" s="6"/>
      <c r="C1144" s="123"/>
      <c r="D1144" s="123"/>
      <c r="E1144" s="124"/>
      <c r="F1144" s="6"/>
      <c r="G1144" s="124"/>
      <c r="H1144" s="6"/>
      <c r="I1144" s="125"/>
      <c r="J1144" s="125"/>
      <c r="K1144" s="125"/>
    </row>
    <row r="1145" spans="1:11" x14ac:dyDescent="0.25">
      <c r="A1145" s="6"/>
      <c r="B1145" s="6"/>
      <c r="C1145" s="123"/>
      <c r="D1145" s="123"/>
      <c r="E1145" s="124"/>
      <c r="F1145" s="6"/>
      <c r="G1145" s="124"/>
      <c r="H1145" s="6"/>
      <c r="I1145" s="125"/>
      <c r="J1145" s="125"/>
      <c r="K1145" s="125"/>
    </row>
    <row r="1146" spans="1:11" x14ac:dyDescent="0.25">
      <c r="A1146" s="6"/>
      <c r="B1146" s="6"/>
      <c r="C1146" s="123"/>
      <c r="D1146" s="123"/>
      <c r="E1146" s="124"/>
      <c r="F1146" s="6"/>
      <c r="G1146" s="124"/>
      <c r="H1146" s="6"/>
      <c r="I1146" s="125"/>
      <c r="J1146" s="125"/>
      <c r="K1146" s="125"/>
    </row>
    <row r="1147" spans="1:11" x14ac:dyDescent="0.25">
      <c r="A1147" s="6"/>
      <c r="B1147" s="6"/>
      <c r="C1147" s="123"/>
      <c r="D1147" s="123"/>
      <c r="E1147" s="124"/>
      <c r="F1147" s="6"/>
      <c r="G1147" s="124"/>
      <c r="H1147" s="6"/>
      <c r="I1147" s="125"/>
      <c r="J1147" s="125"/>
      <c r="K1147" s="125"/>
    </row>
    <row r="1148" spans="1:11" x14ac:dyDescent="0.25">
      <c r="A1148" s="6"/>
      <c r="B1148" s="6"/>
      <c r="C1148" s="123"/>
      <c r="D1148" s="123"/>
      <c r="E1148" s="124"/>
      <c r="F1148" s="6"/>
      <c r="G1148" s="124"/>
      <c r="H1148" s="6"/>
      <c r="I1148" s="125"/>
      <c r="J1148" s="125"/>
      <c r="K1148" s="125"/>
    </row>
    <row r="1149" spans="1:11" x14ac:dyDescent="0.25">
      <c r="A1149" s="6"/>
      <c r="B1149" s="6"/>
      <c r="C1149" s="123"/>
      <c r="D1149" s="123"/>
      <c r="E1149" s="124"/>
      <c r="F1149" s="6"/>
      <c r="G1149" s="124"/>
      <c r="H1149" s="6"/>
      <c r="I1149" s="125"/>
      <c r="J1149" s="125"/>
      <c r="K1149" s="125"/>
    </row>
    <row r="1150" spans="1:11" x14ac:dyDescent="0.25">
      <c r="A1150" s="6"/>
      <c r="B1150" s="6"/>
      <c r="C1150" s="123"/>
      <c r="D1150" s="123"/>
      <c r="E1150" s="124"/>
      <c r="F1150" s="6"/>
      <c r="G1150" s="124"/>
      <c r="H1150" s="6"/>
      <c r="I1150" s="125"/>
      <c r="J1150" s="125"/>
      <c r="K1150" s="125"/>
    </row>
    <row r="1151" spans="1:11" x14ac:dyDescent="0.25">
      <c r="A1151" s="6"/>
      <c r="B1151" s="6"/>
      <c r="C1151" s="123"/>
      <c r="D1151" s="123"/>
      <c r="E1151" s="124"/>
      <c r="F1151" s="6"/>
      <c r="G1151" s="124"/>
      <c r="H1151" s="6"/>
      <c r="I1151" s="125"/>
      <c r="J1151" s="125"/>
      <c r="K1151" s="125"/>
    </row>
    <row r="1152" spans="1:11" x14ac:dyDescent="0.25">
      <c r="A1152" s="6"/>
      <c r="B1152" s="6"/>
      <c r="C1152" s="123"/>
      <c r="D1152" s="123"/>
      <c r="E1152" s="124"/>
      <c r="F1152" s="6"/>
      <c r="G1152" s="124"/>
      <c r="H1152" s="6"/>
      <c r="I1152" s="125"/>
      <c r="J1152" s="125"/>
      <c r="K1152" s="125"/>
    </row>
    <row r="1153" spans="1:11" x14ac:dyDescent="0.25">
      <c r="A1153" s="6"/>
      <c r="B1153" s="6"/>
      <c r="C1153" s="123"/>
      <c r="D1153" s="123"/>
      <c r="E1153" s="124"/>
      <c r="F1153" s="6"/>
      <c r="G1153" s="124"/>
      <c r="H1153" s="6"/>
      <c r="I1153" s="125"/>
      <c r="J1153" s="125"/>
      <c r="K1153" s="125"/>
    </row>
    <row r="1154" spans="1:11" x14ac:dyDescent="0.25">
      <c r="A1154" s="6"/>
      <c r="B1154" s="6"/>
      <c r="C1154" s="123"/>
      <c r="D1154" s="123"/>
      <c r="E1154" s="124"/>
      <c r="F1154" s="6"/>
      <c r="G1154" s="124"/>
      <c r="H1154" s="6"/>
      <c r="I1154" s="125"/>
      <c r="J1154" s="125"/>
      <c r="K1154" s="125"/>
    </row>
    <row r="1155" spans="1:11" x14ac:dyDescent="0.25">
      <c r="A1155" s="6"/>
      <c r="B1155" s="6"/>
      <c r="C1155" s="123"/>
      <c r="D1155" s="123"/>
      <c r="E1155" s="124"/>
      <c r="F1155" s="6"/>
      <c r="G1155" s="124"/>
      <c r="H1155" s="6"/>
      <c r="I1155" s="125"/>
      <c r="J1155" s="125"/>
      <c r="K1155" s="125"/>
    </row>
    <row r="1156" spans="1:11" x14ac:dyDescent="0.25">
      <c r="A1156" s="6"/>
      <c r="B1156" s="6"/>
      <c r="C1156" s="123"/>
      <c r="D1156" s="123"/>
      <c r="E1156" s="124"/>
      <c r="F1156" s="6"/>
      <c r="G1156" s="124"/>
      <c r="H1156" s="6"/>
      <c r="I1156" s="125"/>
      <c r="J1156" s="125"/>
      <c r="K1156" s="125"/>
    </row>
    <row r="1157" spans="1:11" x14ac:dyDescent="0.25">
      <c r="A1157" s="6"/>
      <c r="B1157" s="6"/>
      <c r="C1157" s="123"/>
      <c r="D1157" s="123"/>
      <c r="E1157" s="124"/>
      <c r="F1157" s="6"/>
      <c r="G1157" s="124"/>
      <c r="H1157" s="6"/>
      <c r="I1157" s="125"/>
      <c r="J1157" s="125"/>
      <c r="K1157" s="125"/>
    </row>
    <row r="1158" spans="1:11" x14ac:dyDescent="0.25">
      <c r="A1158" s="6"/>
      <c r="B1158" s="6"/>
      <c r="C1158" s="123"/>
      <c r="D1158" s="123"/>
      <c r="E1158" s="124"/>
      <c r="F1158" s="6"/>
      <c r="G1158" s="124"/>
      <c r="H1158" s="6"/>
      <c r="I1158" s="125"/>
      <c r="J1158" s="125"/>
      <c r="K1158" s="125"/>
    </row>
    <row r="1159" spans="1:11" x14ac:dyDescent="0.25">
      <c r="A1159" s="6"/>
      <c r="B1159" s="6"/>
      <c r="C1159" s="123"/>
      <c r="D1159" s="123"/>
      <c r="E1159" s="124"/>
      <c r="F1159" s="6"/>
      <c r="G1159" s="124"/>
      <c r="H1159" s="6"/>
      <c r="I1159" s="125"/>
      <c r="J1159" s="125"/>
      <c r="K1159" s="125"/>
    </row>
    <row r="1160" spans="1:11" x14ac:dyDescent="0.25">
      <c r="A1160" s="6"/>
      <c r="B1160" s="6"/>
      <c r="C1160" s="123"/>
      <c r="D1160" s="123"/>
      <c r="E1160" s="124"/>
      <c r="F1160" s="6"/>
      <c r="G1160" s="124"/>
      <c r="H1160" s="6"/>
      <c r="I1160" s="125"/>
      <c r="J1160" s="125"/>
      <c r="K1160" s="125"/>
    </row>
    <row r="1161" spans="1:11" x14ac:dyDescent="0.25">
      <c r="A1161" s="6"/>
      <c r="B1161" s="6"/>
      <c r="C1161" s="123"/>
      <c r="D1161" s="123"/>
      <c r="E1161" s="124"/>
      <c r="F1161" s="6"/>
      <c r="G1161" s="124"/>
      <c r="H1161" s="6"/>
      <c r="I1161" s="125"/>
      <c r="J1161" s="125"/>
      <c r="K1161" s="125"/>
    </row>
    <row r="1162" spans="1:11" x14ac:dyDescent="0.25">
      <c r="A1162" s="6"/>
      <c r="B1162" s="6"/>
      <c r="C1162" s="123"/>
      <c r="D1162" s="123"/>
      <c r="E1162" s="124"/>
      <c r="F1162" s="6"/>
      <c r="G1162" s="124"/>
      <c r="H1162" s="6"/>
      <c r="I1162" s="125"/>
      <c r="J1162" s="125"/>
      <c r="K1162" s="125"/>
    </row>
    <row r="1163" spans="1:11" x14ac:dyDescent="0.25">
      <c r="A1163" s="6"/>
      <c r="B1163" s="6"/>
      <c r="C1163" s="123"/>
      <c r="D1163" s="123"/>
      <c r="E1163" s="124"/>
      <c r="F1163" s="6"/>
      <c r="G1163" s="124"/>
      <c r="H1163" s="6"/>
      <c r="I1163" s="125"/>
      <c r="J1163" s="125"/>
      <c r="K1163" s="125"/>
    </row>
    <row r="1164" spans="1:11" x14ac:dyDescent="0.25">
      <c r="A1164" s="6"/>
      <c r="B1164" s="6"/>
      <c r="C1164" s="123"/>
      <c r="D1164" s="123"/>
      <c r="E1164" s="124"/>
      <c r="F1164" s="6"/>
      <c r="G1164" s="124"/>
      <c r="H1164" s="6"/>
      <c r="I1164" s="125"/>
      <c r="J1164" s="125"/>
      <c r="K1164" s="125"/>
    </row>
    <row r="1165" spans="1:11" x14ac:dyDescent="0.25">
      <c r="A1165" s="6"/>
      <c r="B1165" s="6"/>
      <c r="C1165" s="123"/>
      <c r="D1165" s="123"/>
      <c r="E1165" s="124"/>
      <c r="F1165" s="6"/>
      <c r="G1165" s="124"/>
      <c r="H1165" s="6"/>
      <c r="I1165" s="125"/>
      <c r="J1165" s="125"/>
      <c r="K1165" s="125"/>
    </row>
    <row r="1166" spans="1:11" x14ac:dyDescent="0.25">
      <c r="A1166" s="6"/>
      <c r="B1166" s="6"/>
      <c r="C1166" s="123"/>
      <c r="D1166" s="123"/>
      <c r="E1166" s="124"/>
      <c r="F1166" s="6"/>
      <c r="G1166" s="124"/>
      <c r="H1166" s="6"/>
      <c r="I1166" s="125"/>
      <c r="J1166" s="125"/>
      <c r="K1166" s="125"/>
    </row>
    <row r="1167" spans="1:11" x14ac:dyDescent="0.25">
      <c r="A1167" s="6"/>
      <c r="B1167" s="6"/>
      <c r="C1167" s="123"/>
      <c r="D1167" s="123"/>
      <c r="E1167" s="124"/>
      <c r="F1167" s="6"/>
      <c r="G1167" s="124"/>
      <c r="H1167" s="6"/>
      <c r="I1167" s="125"/>
      <c r="J1167" s="125"/>
      <c r="K1167" s="125"/>
    </row>
    <row r="1168" spans="1:11" x14ac:dyDescent="0.25">
      <c r="A1168" s="6"/>
      <c r="B1168" s="6"/>
      <c r="C1168" s="123"/>
      <c r="D1168" s="123"/>
      <c r="E1168" s="124"/>
      <c r="F1168" s="6"/>
      <c r="G1168" s="124"/>
      <c r="H1168" s="6"/>
      <c r="I1168" s="125"/>
      <c r="J1168" s="125"/>
      <c r="K1168" s="125"/>
    </row>
    <row r="1169" spans="1:11" x14ac:dyDescent="0.25">
      <c r="A1169" s="6"/>
      <c r="B1169" s="6"/>
      <c r="C1169" s="123"/>
      <c r="D1169" s="123"/>
      <c r="E1169" s="124"/>
      <c r="F1169" s="6"/>
      <c r="G1169" s="124"/>
      <c r="H1169" s="6"/>
      <c r="I1169" s="125"/>
      <c r="J1169" s="125"/>
      <c r="K1169" s="125"/>
    </row>
    <row r="1170" spans="1:11" x14ac:dyDescent="0.25">
      <c r="A1170" s="6"/>
      <c r="B1170" s="6"/>
      <c r="C1170" s="123"/>
      <c r="D1170" s="123"/>
      <c r="E1170" s="124"/>
      <c r="F1170" s="6"/>
      <c r="G1170" s="124"/>
      <c r="H1170" s="6"/>
      <c r="I1170" s="125"/>
      <c r="J1170" s="125"/>
      <c r="K1170" s="125"/>
    </row>
    <row r="1171" spans="1:11" x14ac:dyDescent="0.25">
      <c r="A1171" s="6"/>
      <c r="B1171" s="6"/>
      <c r="C1171" s="123"/>
      <c r="D1171" s="123"/>
      <c r="E1171" s="124"/>
      <c r="F1171" s="6"/>
      <c r="G1171" s="124"/>
      <c r="H1171" s="6"/>
      <c r="I1171" s="125"/>
      <c r="J1171" s="125"/>
      <c r="K1171" s="125"/>
    </row>
    <row r="1172" spans="1:11" x14ac:dyDescent="0.25">
      <c r="A1172" s="6"/>
      <c r="B1172" s="6"/>
      <c r="C1172" s="123"/>
      <c r="D1172" s="123"/>
      <c r="E1172" s="124"/>
      <c r="F1172" s="6"/>
      <c r="G1172" s="124"/>
      <c r="H1172" s="6"/>
      <c r="I1172" s="125"/>
      <c r="J1172" s="125"/>
      <c r="K1172" s="125"/>
    </row>
    <row r="1173" spans="1:11" x14ac:dyDescent="0.25">
      <c r="A1173" s="6"/>
      <c r="B1173" s="6"/>
      <c r="C1173" s="123"/>
      <c r="D1173" s="123"/>
      <c r="E1173" s="124"/>
      <c r="F1173" s="6"/>
      <c r="G1173" s="124"/>
      <c r="H1173" s="6"/>
      <c r="I1173" s="125"/>
      <c r="J1173" s="125"/>
      <c r="K1173" s="125"/>
    </row>
    <row r="1174" spans="1:11" x14ac:dyDescent="0.25">
      <c r="A1174" s="6"/>
      <c r="B1174" s="6"/>
      <c r="C1174" s="123"/>
      <c r="D1174" s="123"/>
      <c r="E1174" s="124"/>
      <c r="F1174" s="6"/>
      <c r="G1174" s="124"/>
      <c r="H1174" s="6"/>
      <c r="I1174" s="125"/>
      <c r="J1174" s="125"/>
      <c r="K1174" s="125"/>
    </row>
    <row r="1175" spans="1:11" x14ac:dyDescent="0.25">
      <c r="A1175" s="6"/>
      <c r="B1175" s="6"/>
      <c r="C1175" s="123"/>
      <c r="D1175" s="123"/>
      <c r="E1175" s="124"/>
      <c r="F1175" s="6"/>
      <c r="G1175" s="124"/>
      <c r="H1175" s="6"/>
      <c r="I1175" s="125"/>
      <c r="J1175" s="125"/>
      <c r="K1175" s="125"/>
    </row>
    <row r="1176" spans="1:11" x14ac:dyDescent="0.25">
      <c r="A1176" s="6"/>
      <c r="B1176" s="6"/>
      <c r="C1176" s="123"/>
      <c r="D1176" s="123"/>
      <c r="E1176" s="124"/>
      <c r="F1176" s="6"/>
      <c r="G1176" s="124"/>
      <c r="H1176" s="6"/>
      <c r="I1176" s="125"/>
      <c r="J1176" s="125"/>
      <c r="K1176" s="125"/>
    </row>
    <row r="1177" spans="1:11" x14ac:dyDescent="0.25">
      <c r="A1177" s="6"/>
      <c r="B1177" s="6"/>
      <c r="C1177" s="123"/>
      <c r="D1177" s="123"/>
      <c r="E1177" s="124"/>
      <c r="F1177" s="6"/>
      <c r="G1177" s="124"/>
      <c r="H1177" s="6"/>
      <c r="I1177" s="125"/>
      <c r="J1177" s="125"/>
      <c r="K1177" s="125"/>
    </row>
    <row r="1178" spans="1:11" x14ac:dyDescent="0.25">
      <c r="A1178" s="6"/>
      <c r="B1178" s="6"/>
      <c r="C1178" s="123"/>
      <c r="D1178" s="123"/>
      <c r="E1178" s="124"/>
      <c r="F1178" s="6"/>
      <c r="G1178" s="124"/>
      <c r="H1178" s="6"/>
      <c r="I1178" s="125"/>
      <c r="J1178" s="125"/>
      <c r="K1178" s="125"/>
    </row>
    <row r="1179" spans="1:11" x14ac:dyDescent="0.25">
      <c r="A1179" s="6"/>
      <c r="B1179" s="6"/>
      <c r="C1179" s="123"/>
      <c r="D1179" s="123"/>
      <c r="E1179" s="124"/>
      <c r="F1179" s="6"/>
      <c r="G1179" s="124"/>
      <c r="H1179" s="6"/>
      <c r="I1179" s="125"/>
      <c r="J1179" s="125"/>
      <c r="K1179" s="125"/>
    </row>
    <row r="1180" spans="1:11" x14ac:dyDescent="0.25">
      <c r="A1180" s="6"/>
      <c r="B1180" s="6"/>
      <c r="C1180" s="123"/>
      <c r="D1180" s="123"/>
      <c r="E1180" s="124"/>
      <c r="F1180" s="6"/>
      <c r="G1180" s="124"/>
      <c r="H1180" s="6"/>
      <c r="I1180" s="125"/>
      <c r="J1180" s="125"/>
      <c r="K1180" s="125"/>
    </row>
    <row r="1181" spans="1:11" x14ac:dyDescent="0.25">
      <c r="A1181" s="6"/>
      <c r="B1181" s="6"/>
      <c r="C1181" s="123"/>
      <c r="D1181" s="123"/>
      <c r="E1181" s="124"/>
      <c r="F1181" s="6"/>
      <c r="G1181" s="124"/>
      <c r="H1181" s="6"/>
      <c r="I1181" s="125"/>
      <c r="J1181" s="125"/>
      <c r="K1181" s="125"/>
    </row>
    <row r="1182" spans="1:11" x14ac:dyDescent="0.25">
      <c r="A1182" s="6"/>
      <c r="B1182" s="6"/>
      <c r="C1182" s="123"/>
      <c r="D1182" s="123"/>
      <c r="E1182" s="124"/>
      <c r="F1182" s="6"/>
      <c r="G1182" s="124"/>
      <c r="H1182" s="6"/>
      <c r="I1182" s="125"/>
      <c r="J1182" s="125"/>
      <c r="K1182" s="125"/>
    </row>
    <row r="1183" spans="1:11" x14ac:dyDescent="0.25">
      <c r="A1183" s="6"/>
      <c r="B1183" s="6"/>
      <c r="C1183" s="123"/>
      <c r="D1183" s="123"/>
      <c r="E1183" s="124"/>
      <c r="F1183" s="6"/>
      <c r="G1183" s="124"/>
      <c r="H1183" s="6"/>
      <c r="I1183" s="125"/>
      <c r="J1183" s="125"/>
      <c r="K1183" s="125"/>
    </row>
    <row r="1184" spans="1:11" x14ac:dyDescent="0.25">
      <c r="A1184" s="6"/>
      <c r="B1184" s="6"/>
      <c r="C1184" s="123"/>
      <c r="D1184" s="123"/>
      <c r="E1184" s="124"/>
      <c r="F1184" s="6"/>
      <c r="G1184" s="124"/>
      <c r="H1184" s="6"/>
      <c r="I1184" s="125"/>
      <c r="J1184" s="125"/>
      <c r="K1184" s="125"/>
    </row>
    <row r="1185" spans="1:11" x14ac:dyDescent="0.25">
      <c r="A1185" s="6"/>
      <c r="B1185" s="6"/>
      <c r="C1185" s="123"/>
      <c r="D1185" s="123"/>
      <c r="E1185" s="124"/>
      <c r="F1185" s="6"/>
      <c r="G1185" s="124"/>
      <c r="H1185" s="6"/>
      <c r="I1185" s="125"/>
      <c r="J1185" s="125"/>
      <c r="K1185" s="125"/>
    </row>
    <row r="1186" spans="1:11" x14ac:dyDescent="0.25">
      <c r="A1186" s="6"/>
      <c r="B1186" s="6"/>
      <c r="C1186" s="123"/>
      <c r="D1186" s="123"/>
      <c r="E1186" s="124"/>
      <c r="F1186" s="6"/>
      <c r="G1186" s="124"/>
      <c r="H1186" s="6"/>
      <c r="I1186" s="125"/>
      <c r="J1186" s="125"/>
      <c r="K1186" s="125"/>
    </row>
    <row r="1187" spans="1:11" x14ac:dyDescent="0.25">
      <c r="A1187" s="6"/>
      <c r="B1187" s="6"/>
      <c r="C1187" s="123"/>
      <c r="D1187" s="123"/>
      <c r="E1187" s="124"/>
      <c r="F1187" s="6"/>
      <c r="G1187" s="124"/>
      <c r="H1187" s="6"/>
      <c r="I1187" s="125"/>
      <c r="J1187" s="125"/>
      <c r="K1187" s="125"/>
    </row>
    <row r="1188" spans="1:11" x14ac:dyDescent="0.25">
      <c r="A1188" s="6"/>
      <c r="B1188" s="6"/>
      <c r="C1188" s="123"/>
      <c r="D1188" s="123"/>
      <c r="E1188" s="124"/>
      <c r="F1188" s="6"/>
      <c r="G1188" s="124"/>
      <c r="H1188" s="6"/>
      <c r="I1188" s="125"/>
      <c r="J1188" s="125"/>
      <c r="K1188" s="125"/>
    </row>
    <row r="1189" spans="1:11" x14ac:dyDescent="0.25">
      <c r="A1189" s="6"/>
      <c r="B1189" s="6"/>
      <c r="C1189" s="123"/>
      <c r="D1189" s="123"/>
      <c r="E1189" s="124"/>
      <c r="F1189" s="6"/>
      <c r="G1189" s="124"/>
      <c r="H1189" s="6"/>
      <c r="I1189" s="125"/>
      <c r="J1189" s="125"/>
      <c r="K1189" s="125"/>
    </row>
    <row r="1190" spans="1:11" x14ac:dyDescent="0.25">
      <c r="A1190" s="6"/>
      <c r="B1190" s="6"/>
      <c r="C1190" s="123"/>
      <c r="D1190" s="123"/>
      <c r="E1190" s="124"/>
      <c r="F1190" s="6"/>
      <c r="G1190" s="124"/>
      <c r="H1190" s="6"/>
      <c r="I1190" s="125"/>
      <c r="J1190" s="125"/>
      <c r="K1190" s="125"/>
    </row>
    <row r="1191" spans="1:11" x14ac:dyDescent="0.25">
      <c r="A1191" s="6"/>
      <c r="B1191" s="6"/>
      <c r="C1191" s="123"/>
      <c r="D1191" s="123"/>
      <c r="E1191" s="124"/>
      <c r="F1191" s="6"/>
      <c r="G1191" s="124"/>
      <c r="H1191" s="6"/>
      <c r="I1191" s="125"/>
      <c r="J1191" s="125"/>
      <c r="K1191" s="125"/>
    </row>
    <row r="1192" spans="1:11" x14ac:dyDescent="0.25">
      <c r="A1192" s="6"/>
      <c r="B1192" s="6"/>
      <c r="C1192" s="123"/>
      <c r="D1192" s="123"/>
      <c r="E1192" s="124"/>
      <c r="F1192" s="6"/>
      <c r="G1192" s="124"/>
      <c r="H1192" s="6"/>
      <c r="I1192" s="125"/>
      <c r="J1192" s="125"/>
      <c r="K1192" s="125"/>
    </row>
    <row r="1193" spans="1:11" x14ac:dyDescent="0.25">
      <c r="A1193" s="6"/>
      <c r="B1193" s="6"/>
      <c r="C1193" s="123"/>
      <c r="D1193" s="123"/>
      <c r="E1193" s="124"/>
      <c r="F1193" s="6"/>
      <c r="G1193" s="124"/>
      <c r="H1193" s="6"/>
      <c r="I1193" s="125"/>
      <c r="J1193" s="125"/>
      <c r="K1193" s="125"/>
    </row>
    <row r="1194" spans="1:11" x14ac:dyDescent="0.25">
      <c r="A1194" s="6"/>
      <c r="B1194" s="6"/>
      <c r="C1194" s="123"/>
      <c r="D1194" s="123"/>
      <c r="E1194" s="124"/>
      <c r="F1194" s="6"/>
      <c r="G1194" s="124"/>
      <c r="H1194" s="6"/>
      <c r="I1194" s="125"/>
      <c r="J1194" s="125"/>
      <c r="K1194" s="125"/>
    </row>
    <row r="1195" spans="1:11" x14ac:dyDescent="0.25">
      <c r="A1195" s="6"/>
      <c r="B1195" s="6"/>
      <c r="C1195" s="123"/>
      <c r="D1195" s="123"/>
      <c r="E1195" s="124"/>
      <c r="F1195" s="6"/>
      <c r="G1195" s="124"/>
      <c r="H1195" s="6"/>
      <c r="I1195" s="125"/>
      <c r="J1195" s="125"/>
      <c r="K1195" s="125"/>
    </row>
    <row r="1196" spans="1:11" x14ac:dyDescent="0.25">
      <c r="A1196" s="6"/>
      <c r="B1196" s="6"/>
      <c r="C1196" s="123"/>
      <c r="D1196" s="123"/>
      <c r="E1196" s="124"/>
      <c r="F1196" s="6"/>
      <c r="G1196" s="124"/>
      <c r="H1196" s="6"/>
      <c r="I1196" s="125"/>
      <c r="J1196" s="125"/>
      <c r="K1196" s="125"/>
    </row>
    <row r="1197" spans="1:11" x14ac:dyDescent="0.25">
      <c r="A1197" s="6"/>
      <c r="B1197" s="6"/>
      <c r="C1197" s="123"/>
      <c r="D1197" s="123"/>
      <c r="E1197" s="124"/>
      <c r="F1197" s="6"/>
      <c r="G1197" s="124"/>
      <c r="H1197" s="6"/>
      <c r="I1197" s="125"/>
      <c r="J1197" s="125"/>
      <c r="K1197" s="125"/>
    </row>
    <row r="1198" spans="1:11" x14ac:dyDescent="0.25">
      <c r="A1198" s="6"/>
      <c r="B1198" s="6"/>
      <c r="C1198" s="123"/>
      <c r="D1198" s="123"/>
      <c r="E1198" s="124"/>
      <c r="F1198" s="6"/>
      <c r="G1198" s="124"/>
      <c r="H1198" s="6"/>
      <c r="I1198" s="125"/>
      <c r="J1198" s="125"/>
      <c r="K1198" s="125"/>
    </row>
    <row r="1199" spans="1:11" x14ac:dyDescent="0.25">
      <c r="A1199" s="6"/>
      <c r="B1199" s="6"/>
      <c r="C1199" s="123"/>
      <c r="D1199" s="123"/>
      <c r="E1199" s="124"/>
      <c r="F1199" s="6"/>
      <c r="G1199" s="124"/>
      <c r="H1199" s="6"/>
      <c r="I1199" s="125"/>
      <c r="J1199" s="125"/>
      <c r="K1199" s="125"/>
    </row>
    <row r="1200" spans="1:11" x14ac:dyDescent="0.25">
      <c r="A1200" s="6"/>
      <c r="B1200" s="6"/>
      <c r="C1200" s="123"/>
      <c r="D1200" s="123"/>
      <c r="E1200" s="124"/>
      <c r="F1200" s="6"/>
      <c r="G1200" s="124"/>
      <c r="H1200" s="6"/>
      <c r="I1200" s="125"/>
      <c r="J1200" s="125"/>
      <c r="K1200" s="125"/>
    </row>
    <row r="1201" spans="1:11" x14ac:dyDescent="0.25">
      <c r="A1201" s="6"/>
      <c r="B1201" s="6"/>
      <c r="C1201" s="123"/>
      <c r="D1201" s="123"/>
      <c r="E1201" s="124"/>
      <c r="F1201" s="6"/>
      <c r="G1201" s="124"/>
      <c r="H1201" s="6"/>
      <c r="I1201" s="125"/>
      <c r="J1201" s="125"/>
      <c r="K1201" s="125"/>
    </row>
    <row r="1202" spans="1:11" x14ac:dyDescent="0.25">
      <c r="A1202" s="6"/>
      <c r="B1202" s="6"/>
      <c r="C1202" s="123"/>
      <c r="D1202" s="123"/>
      <c r="E1202" s="124"/>
      <c r="F1202" s="6"/>
      <c r="G1202" s="124"/>
      <c r="H1202" s="6"/>
      <c r="I1202" s="125"/>
      <c r="J1202" s="125"/>
      <c r="K1202" s="125"/>
    </row>
    <row r="1203" spans="1:11" x14ac:dyDescent="0.25">
      <c r="A1203" s="6"/>
      <c r="B1203" s="6"/>
      <c r="C1203" s="123"/>
      <c r="D1203" s="123"/>
      <c r="E1203" s="124"/>
      <c r="F1203" s="6"/>
      <c r="G1203" s="124"/>
      <c r="H1203" s="6"/>
      <c r="I1203" s="125"/>
      <c r="J1203" s="125"/>
      <c r="K1203" s="125"/>
    </row>
    <row r="1204" spans="1:11" x14ac:dyDescent="0.25">
      <c r="A1204" s="6"/>
      <c r="B1204" s="6"/>
      <c r="C1204" s="123"/>
      <c r="D1204" s="123"/>
      <c r="E1204" s="124"/>
      <c r="F1204" s="6"/>
      <c r="G1204" s="124"/>
      <c r="H1204" s="6"/>
      <c r="I1204" s="125"/>
      <c r="J1204" s="125"/>
      <c r="K1204" s="125"/>
    </row>
    <row r="1205" spans="1:11" x14ac:dyDescent="0.25">
      <c r="A1205" s="6"/>
      <c r="B1205" s="6"/>
      <c r="C1205" s="123"/>
      <c r="D1205" s="123"/>
      <c r="E1205" s="124"/>
      <c r="F1205" s="6"/>
      <c r="G1205" s="124"/>
      <c r="H1205" s="6"/>
      <c r="I1205" s="125"/>
      <c r="J1205" s="125"/>
      <c r="K1205" s="125"/>
    </row>
    <row r="1206" spans="1:11" x14ac:dyDescent="0.25">
      <c r="A1206" s="6"/>
      <c r="B1206" s="6"/>
      <c r="C1206" s="123"/>
      <c r="D1206" s="123"/>
      <c r="E1206" s="124"/>
      <c r="F1206" s="6"/>
      <c r="G1206" s="124"/>
      <c r="H1206" s="6"/>
      <c r="I1206" s="125"/>
      <c r="J1206" s="125"/>
      <c r="K1206" s="125"/>
    </row>
    <row r="1207" spans="1:11" x14ac:dyDescent="0.25">
      <c r="A1207" s="6"/>
      <c r="B1207" s="6"/>
      <c r="C1207" s="123"/>
      <c r="D1207" s="123"/>
      <c r="E1207" s="124"/>
      <c r="F1207" s="6"/>
      <c r="G1207" s="124"/>
      <c r="H1207" s="6"/>
      <c r="I1207" s="125"/>
      <c r="J1207" s="125"/>
      <c r="K1207" s="125"/>
    </row>
    <row r="1208" spans="1:11" x14ac:dyDescent="0.25">
      <c r="A1208" s="6"/>
      <c r="B1208" s="6"/>
      <c r="C1208" s="123"/>
      <c r="D1208" s="123"/>
      <c r="E1208" s="124"/>
      <c r="F1208" s="6"/>
      <c r="G1208" s="124"/>
      <c r="H1208" s="6"/>
      <c r="I1208" s="125"/>
      <c r="J1208" s="125"/>
      <c r="K1208" s="125"/>
    </row>
    <row r="1209" spans="1:11" x14ac:dyDescent="0.25">
      <c r="A1209" s="6"/>
      <c r="B1209" s="6"/>
      <c r="C1209" s="123"/>
      <c r="D1209" s="123"/>
      <c r="E1209" s="124"/>
      <c r="F1209" s="6"/>
      <c r="G1209" s="124"/>
      <c r="H1209" s="6"/>
      <c r="I1209" s="125"/>
      <c r="J1209" s="125"/>
      <c r="K1209" s="125"/>
    </row>
    <row r="1210" spans="1:11" x14ac:dyDescent="0.25">
      <c r="A1210" s="6"/>
      <c r="B1210" s="6"/>
      <c r="C1210" s="123"/>
      <c r="D1210" s="123"/>
      <c r="E1210" s="124"/>
      <c r="F1210" s="6"/>
      <c r="G1210" s="124"/>
      <c r="H1210" s="6"/>
      <c r="I1210" s="125"/>
      <c r="J1210" s="125"/>
      <c r="K1210" s="125"/>
    </row>
    <row r="1211" spans="1:11" x14ac:dyDescent="0.25">
      <c r="A1211" s="6"/>
      <c r="B1211" s="6"/>
      <c r="C1211" s="123"/>
      <c r="D1211" s="123"/>
      <c r="E1211" s="124"/>
      <c r="F1211" s="6"/>
      <c r="G1211" s="124"/>
      <c r="H1211" s="6"/>
      <c r="I1211" s="125"/>
      <c r="J1211" s="125"/>
      <c r="K1211" s="125"/>
    </row>
    <row r="1212" spans="1:11" x14ac:dyDescent="0.25">
      <c r="A1212" s="6"/>
      <c r="B1212" s="6"/>
      <c r="C1212" s="123"/>
      <c r="D1212" s="123"/>
      <c r="E1212" s="124"/>
      <c r="F1212" s="6"/>
      <c r="G1212" s="124"/>
      <c r="H1212" s="6"/>
      <c r="I1212" s="125"/>
      <c r="J1212" s="125"/>
      <c r="K1212" s="125"/>
    </row>
    <row r="1213" spans="1:11" x14ac:dyDescent="0.25">
      <c r="A1213" s="6"/>
      <c r="B1213" s="6"/>
      <c r="C1213" s="123"/>
      <c r="D1213" s="123"/>
      <c r="E1213" s="124"/>
      <c r="F1213" s="6"/>
      <c r="G1213" s="124"/>
      <c r="H1213" s="6"/>
      <c r="I1213" s="125"/>
      <c r="J1213" s="125"/>
      <c r="K1213" s="125"/>
    </row>
    <row r="1214" spans="1:11" x14ac:dyDescent="0.25">
      <c r="A1214" s="6"/>
      <c r="B1214" s="6"/>
      <c r="C1214" s="123"/>
      <c r="D1214" s="123"/>
      <c r="E1214" s="124"/>
      <c r="F1214" s="6"/>
      <c r="G1214" s="124"/>
      <c r="H1214" s="6"/>
      <c r="I1214" s="125"/>
      <c r="J1214" s="125"/>
      <c r="K1214" s="125"/>
    </row>
    <row r="1215" spans="1:11" x14ac:dyDescent="0.25">
      <c r="A1215" s="6"/>
      <c r="B1215" s="6"/>
      <c r="C1215" s="123"/>
      <c r="D1215" s="123"/>
      <c r="E1215" s="124"/>
      <c r="F1215" s="6"/>
      <c r="G1215" s="124"/>
      <c r="H1215" s="6"/>
      <c r="I1215" s="125"/>
      <c r="J1215" s="125"/>
      <c r="K1215" s="125"/>
    </row>
    <row r="1216" spans="1:11" x14ac:dyDescent="0.25">
      <c r="A1216" s="6"/>
      <c r="B1216" s="6"/>
      <c r="C1216" s="123"/>
      <c r="D1216" s="123"/>
      <c r="E1216" s="124"/>
      <c r="F1216" s="6"/>
      <c r="G1216" s="124"/>
      <c r="H1216" s="6"/>
      <c r="I1216" s="125"/>
      <c r="J1216" s="125"/>
      <c r="K1216" s="125"/>
    </row>
    <row r="1217" spans="1:11" x14ac:dyDescent="0.25">
      <c r="A1217" s="6"/>
      <c r="B1217" s="6"/>
      <c r="C1217" s="123"/>
      <c r="D1217" s="123"/>
      <c r="E1217" s="124"/>
      <c r="F1217" s="6"/>
      <c r="G1217" s="124"/>
      <c r="H1217" s="6"/>
      <c r="I1217" s="125"/>
      <c r="J1217" s="125"/>
      <c r="K1217" s="125"/>
    </row>
    <row r="1218" spans="1:11" x14ac:dyDescent="0.25">
      <c r="A1218" s="6"/>
      <c r="B1218" s="6"/>
      <c r="C1218" s="123"/>
      <c r="D1218" s="123"/>
      <c r="E1218" s="124"/>
      <c r="F1218" s="6"/>
      <c r="G1218" s="124"/>
      <c r="H1218" s="6"/>
      <c r="I1218" s="125"/>
      <c r="J1218" s="125"/>
      <c r="K1218" s="125"/>
    </row>
    <row r="1219" spans="1:11" x14ac:dyDescent="0.25">
      <c r="A1219" s="6"/>
      <c r="B1219" s="6"/>
      <c r="C1219" s="123"/>
      <c r="D1219" s="123"/>
      <c r="E1219" s="124"/>
      <c r="F1219" s="6"/>
      <c r="G1219" s="124"/>
      <c r="H1219" s="6"/>
      <c r="I1219" s="125"/>
      <c r="J1219" s="125"/>
      <c r="K1219" s="125"/>
    </row>
    <row r="1220" spans="1:11" x14ac:dyDescent="0.25">
      <c r="A1220" s="6"/>
      <c r="B1220" s="6"/>
      <c r="C1220" s="123"/>
      <c r="D1220" s="123"/>
      <c r="E1220" s="124"/>
      <c r="F1220" s="6"/>
      <c r="G1220" s="124"/>
      <c r="H1220" s="6"/>
      <c r="I1220" s="125"/>
      <c r="J1220" s="125"/>
      <c r="K1220" s="125"/>
    </row>
    <row r="1221" spans="1:11" x14ac:dyDescent="0.25">
      <c r="A1221" s="6"/>
      <c r="B1221" s="6"/>
      <c r="C1221" s="123"/>
      <c r="D1221" s="123"/>
      <c r="E1221" s="124"/>
      <c r="F1221" s="6"/>
      <c r="G1221" s="124"/>
      <c r="H1221" s="6"/>
      <c r="I1221" s="125"/>
      <c r="J1221" s="125"/>
      <c r="K1221" s="125"/>
    </row>
    <row r="1222" spans="1:11" x14ac:dyDescent="0.25">
      <c r="A1222" s="6"/>
      <c r="B1222" s="6"/>
      <c r="C1222" s="123"/>
      <c r="D1222" s="123"/>
      <c r="E1222" s="124"/>
      <c r="F1222" s="6"/>
      <c r="G1222" s="124"/>
      <c r="H1222" s="6"/>
      <c r="I1222" s="125"/>
      <c r="J1222" s="125"/>
      <c r="K1222" s="125"/>
    </row>
    <row r="1223" spans="1:11" x14ac:dyDescent="0.25">
      <c r="A1223" s="6"/>
      <c r="B1223" s="6"/>
      <c r="C1223" s="123"/>
      <c r="D1223" s="123"/>
      <c r="E1223" s="124"/>
      <c r="F1223" s="6"/>
      <c r="G1223" s="124"/>
      <c r="H1223" s="6"/>
      <c r="I1223" s="125"/>
      <c r="J1223" s="125"/>
      <c r="K1223" s="125"/>
    </row>
    <row r="1224" spans="1:11" x14ac:dyDescent="0.25">
      <c r="A1224" s="6"/>
      <c r="B1224" s="6"/>
      <c r="C1224" s="123"/>
      <c r="D1224" s="123"/>
      <c r="E1224" s="124"/>
      <c r="F1224" s="6"/>
      <c r="G1224" s="124"/>
      <c r="H1224" s="6"/>
      <c r="I1224" s="125"/>
      <c r="J1224" s="125"/>
      <c r="K1224" s="125"/>
    </row>
    <row r="1225" spans="1:11" x14ac:dyDescent="0.25">
      <c r="A1225" s="6"/>
      <c r="B1225" s="6"/>
      <c r="C1225" s="123"/>
      <c r="D1225" s="123"/>
      <c r="E1225" s="124"/>
      <c r="F1225" s="6"/>
      <c r="G1225" s="124"/>
      <c r="H1225" s="6"/>
      <c r="I1225" s="125"/>
      <c r="J1225" s="125"/>
      <c r="K1225" s="125"/>
    </row>
    <row r="1226" spans="1:11" x14ac:dyDescent="0.25">
      <c r="A1226" s="6"/>
      <c r="B1226" s="6"/>
      <c r="C1226" s="123"/>
      <c r="D1226" s="123"/>
      <c r="E1226" s="124"/>
      <c r="F1226" s="6"/>
      <c r="G1226" s="124"/>
      <c r="H1226" s="6"/>
      <c r="I1226" s="125"/>
      <c r="J1226" s="125"/>
      <c r="K1226" s="125"/>
    </row>
    <row r="1227" spans="1:11" x14ac:dyDescent="0.25">
      <c r="A1227" s="6"/>
      <c r="B1227" s="6"/>
      <c r="C1227" s="123"/>
      <c r="D1227" s="123"/>
      <c r="E1227" s="124"/>
      <c r="F1227" s="6"/>
      <c r="G1227" s="124"/>
      <c r="H1227" s="6"/>
      <c r="I1227" s="125"/>
      <c r="J1227" s="125"/>
      <c r="K1227" s="125"/>
    </row>
    <row r="1228" spans="1:11" x14ac:dyDescent="0.25">
      <c r="A1228" s="6"/>
      <c r="B1228" s="6"/>
      <c r="C1228" s="123"/>
      <c r="D1228" s="123"/>
      <c r="E1228" s="124"/>
      <c r="F1228" s="6"/>
      <c r="G1228" s="124"/>
      <c r="H1228" s="6"/>
      <c r="I1228" s="125"/>
      <c r="J1228" s="125"/>
      <c r="K1228" s="125"/>
    </row>
    <row r="1229" spans="1:11" x14ac:dyDescent="0.25">
      <c r="A1229" s="6"/>
      <c r="B1229" s="6"/>
      <c r="C1229" s="123"/>
      <c r="D1229" s="123"/>
      <c r="E1229" s="124"/>
      <c r="F1229" s="6"/>
      <c r="G1229" s="124"/>
      <c r="H1229" s="6"/>
      <c r="I1229" s="125"/>
      <c r="J1229" s="125"/>
      <c r="K1229" s="125"/>
    </row>
    <row r="1230" spans="1:11" x14ac:dyDescent="0.25">
      <c r="A1230" s="6"/>
      <c r="B1230" s="6"/>
      <c r="C1230" s="123"/>
      <c r="D1230" s="123"/>
      <c r="E1230" s="124"/>
      <c r="F1230" s="6"/>
      <c r="G1230" s="124"/>
      <c r="H1230" s="6"/>
      <c r="I1230" s="125"/>
      <c r="J1230" s="125"/>
      <c r="K1230" s="125"/>
    </row>
    <row r="1231" spans="1:11" x14ac:dyDescent="0.25">
      <c r="A1231" s="6"/>
      <c r="B1231" s="6"/>
      <c r="C1231" s="123"/>
      <c r="D1231" s="123"/>
      <c r="E1231" s="124"/>
      <c r="F1231" s="6"/>
      <c r="G1231" s="124"/>
      <c r="H1231" s="6"/>
      <c r="I1231" s="125"/>
      <c r="J1231" s="125"/>
      <c r="K1231" s="125"/>
    </row>
    <row r="1232" spans="1:11" x14ac:dyDescent="0.25">
      <c r="A1232" s="6"/>
      <c r="B1232" s="6"/>
      <c r="C1232" s="123"/>
      <c r="D1232" s="123"/>
      <c r="E1232" s="124"/>
      <c r="F1232" s="6"/>
      <c r="G1232" s="124"/>
      <c r="H1232" s="6"/>
      <c r="I1232" s="125"/>
      <c r="J1232" s="125"/>
      <c r="K1232" s="125"/>
    </row>
    <row r="1233" spans="1:11" x14ac:dyDescent="0.25">
      <c r="A1233" s="6"/>
      <c r="B1233" s="6"/>
      <c r="C1233" s="123"/>
      <c r="D1233" s="123"/>
      <c r="E1233" s="124"/>
      <c r="F1233" s="6"/>
      <c r="G1233" s="124"/>
      <c r="H1233" s="6"/>
      <c r="I1233" s="125"/>
      <c r="J1233" s="125"/>
      <c r="K1233" s="125"/>
    </row>
    <row r="1234" spans="1:11" x14ac:dyDescent="0.25">
      <c r="A1234" s="6"/>
      <c r="B1234" s="6"/>
      <c r="C1234" s="123"/>
      <c r="D1234" s="123"/>
      <c r="E1234" s="124"/>
      <c r="F1234" s="6"/>
      <c r="G1234" s="124"/>
      <c r="H1234" s="6"/>
      <c r="I1234" s="125"/>
      <c r="J1234" s="125"/>
      <c r="K1234" s="125"/>
    </row>
    <row r="1235" spans="1:11" x14ac:dyDescent="0.25">
      <c r="A1235" s="6"/>
      <c r="B1235" s="6"/>
      <c r="C1235" s="123"/>
      <c r="D1235" s="123"/>
      <c r="E1235" s="124"/>
      <c r="F1235" s="6"/>
      <c r="G1235" s="124"/>
      <c r="H1235" s="6"/>
      <c r="I1235" s="125"/>
      <c r="J1235" s="125"/>
      <c r="K1235" s="125"/>
    </row>
    <row r="1236" spans="1:11" x14ac:dyDescent="0.25">
      <c r="A1236" s="6"/>
      <c r="B1236" s="6"/>
      <c r="C1236" s="123"/>
      <c r="D1236" s="123"/>
      <c r="E1236" s="124"/>
      <c r="F1236" s="6"/>
      <c r="G1236" s="124"/>
      <c r="H1236" s="6"/>
      <c r="I1236" s="125"/>
      <c r="J1236" s="125"/>
      <c r="K1236" s="125"/>
    </row>
    <row r="1237" spans="1:11" x14ac:dyDescent="0.25">
      <c r="A1237" s="6"/>
      <c r="B1237" s="6"/>
      <c r="C1237" s="123"/>
      <c r="D1237" s="123"/>
      <c r="E1237" s="124"/>
      <c r="F1237" s="6"/>
      <c r="G1237" s="124"/>
      <c r="H1237" s="6"/>
      <c r="I1237" s="125"/>
      <c r="J1237" s="125"/>
      <c r="K1237" s="125"/>
    </row>
    <row r="1238" spans="1:11" x14ac:dyDescent="0.25">
      <c r="A1238" s="6"/>
      <c r="B1238" s="6"/>
      <c r="C1238" s="123"/>
      <c r="D1238" s="123"/>
      <c r="E1238" s="124"/>
      <c r="F1238" s="6"/>
      <c r="G1238" s="124"/>
      <c r="H1238" s="6"/>
      <c r="I1238" s="125"/>
      <c r="J1238" s="125"/>
      <c r="K1238" s="125"/>
    </row>
    <row r="1239" spans="1:11" x14ac:dyDescent="0.25">
      <c r="A1239" s="6"/>
      <c r="B1239" s="6"/>
      <c r="C1239" s="123"/>
      <c r="D1239" s="123"/>
      <c r="E1239" s="124"/>
      <c r="F1239" s="6"/>
      <c r="G1239" s="124"/>
      <c r="H1239" s="6"/>
      <c r="I1239" s="125"/>
      <c r="J1239" s="125"/>
      <c r="K1239" s="125"/>
    </row>
    <row r="1240" spans="1:11" x14ac:dyDescent="0.25">
      <c r="A1240" s="6"/>
      <c r="B1240" s="6"/>
      <c r="C1240" s="123"/>
      <c r="D1240" s="123"/>
      <c r="E1240" s="124"/>
      <c r="F1240" s="6"/>
      <c r="G1240" s="124"/>
      <c r="H1240" s="6"/>
      <c r="I1240" s="125"/>
      <c r="J1240" s="125"/>
      <c r="K1240" s="125"/>
    </row>
    <row r="1241" spans="1:11" x14ac:dyDescent="0.25">
      <c r="A1241" s="6"/>
      <c r="B1241" s="6"/>
      <c r="C1241" s="123"/>
      <c r="D1241" s="123"/>
      <c r="E1241" s="124"/>
      <c r="F1241" s="6"/>
      <c r="G1241" s="124"/>
      <c r="H1241" s="6"/>
      <c r="I1241" s="125"/>
      <c r="J1241" s="125"/>
      <c r="K1241" s="125"/>
    </row>
    <row r="1242" spans="1:11" x14ac:dyDescent="0.25">
      <c r="A1242" s="6"/>
      <c r="B1242" s="6"/>
      <c r="C1242" s="123"/>
      <c r="D1242" s="123"/>
      <c r="E1242" s="124"/>
      <c r="F1242" s="6"/>
      <c r="G1242" s="124"/>
      <c r="H1242" s="6"/>
      <c r="I1242" s="125"/>
      <c r="J1242" s="125"/>
      <c r="K1242" s="125"/>
    </row>
    <row r="1243" spans="1:11" x14ac:dyDescent="0.25">
      <c r="A1243" s="6"/>
      <c r="B1243" s="6"/>
      <c r="C1243" s="123"/>
      <c r="D1243" s="123"/>
      <c r="E1243" s="124"/>
      <c r="F1243" s="6"/>
      <c r="G1243" s="124"/>
      <c r="H1243" s="6"/>
      <c r="I1243" s="125"/>
      <c r="J1243" s="125"/>
      <c r="K1243" s="125"/>
    </row>
    <row r="1244" spans="1:11" x14ac:dyDescent="0.25">
      <c r="A1244" s="6"/>
      <c r="B1244" s="6"/>
      <c r="C1244" s="123"/>
      <c r="D1244" s="123"/>
      <c r="E1244" s="124"/>
      <c r="F1244" s="6"/>
      <c r="G1244" s="124"/>
      <c r="H1244" s="6"/>
      <c r="I1244" s="125"/>
      <c r="J1244" s="125"/>
      <c r="K1244" s="125"/>
    </row>
    <row r="1245" spans="1:11" x14ac:dyDescent="0.25">
      <c r="A1245" s="6"/>
      <c r="B1245" s="6"/>
      <c r="C1245" s="123"/>
      <c r="D1245" s="123"/>
      <c r="E1245" s="124"/>
      <c r="F1245" s="6"/>
      <c r="G1245" s="124"/>
      <c r="H1245" s="6"/>
      <c r="I1245" s="125"/>
      <c r="J1245" s="125"/>
      <c r="K1245" s="125"/>
    </row>
    <row r="1246" spans="1:11" x14ac:dyDescent="0.25">
      <c r="A1246" s="6"/>
      <c r="B1246" s="6"/>
      <c r="C1246" s="123"/>
      <c r="D1246" s="123"/>
      <c r="E1246" s="124"/>
      <c r="F1246" s="6"/>
      <c r="G1246" s="124"/>
      <c r="H1246" s="6"/>
      <c r="I1246" s="125"/>
      <c r="J1246" s="125"/>
      <c r="K1246" s="125"/>
    </row>
    <row r="1247" spans="1:11" x14ac:dyDescent="0.25">
      <c r="A1247" s="6"/>
      <c r="B1247" s="6"/>
      <c r="C1247" s="123"/>
      <c r="D1247" s="123"/>
      <c r="E1247" s="124"/>
      <c r="F1247" s="6"/>
      <c r="G1247" s="124"/>
      <c r="H1247" s="6"/>
      <c r="I1247" s="125"/>
      <c r="J1247" s="125"/>
      <c r="K1247" s="125"/>
    </row>
    <row r="1248" spans="1:11" x14ac:dyDescent="0.25">
      <c r="A1248" s="6"/>
      <c r="B1248" s="6"/>
      <c r="C1248" s="123"/>
      <c r="D1248" s="123"/>
      <c r="E1248" s="124"/>
      <c r="F1248" s="6"/>
      <c r="G1248" s="124"/>
      <c r="H1248" s="6"/>
      <c r="I1248" s="125"/>
      <c r="J1248" s="125"/>
      <c r="K1248" s="125"/>
    </row>
    <row r="1249" spans="1:11" x14ac:dyDescent="0.25">
      <c r="A1249" s="6"/>
      <c r="B1249" s="6"/>
      <c r="C1249" s="123"/>
      <c r="D1249" s="123"/>
      <c r="E1249" s="124"/>
      <c r="F1249" s="6"/>
      <c r="G1249" s="124"/>
      <c r="H1249" s="6"/>
      <c r="I1249" s="125"/>
      <c r="J1249" s="125"/>
      <c r="K1249" s="125"/>
    </row>
    <row r="1250" spans="1:11" x14ac:dyDescent="0.25">
      <c r="A1250" s="6"/>
      <c r="B1250" s="6"/>
      <c r="C1250" s="123"/>
      <c r="D1250" s="123"/>
      <c r="E1250" s="124"/>
      <c r="F1250" s="6"/>
      <c r="G1250" s="124"/>
      <c r="H1250" s="6"/>
      <c r="I1250" s="125"/>
      <c r="J1250" s="125"/>
      <c r="K1250" s="125"/>
    </row>
    <row r="1251" spans="1:11" x14ac:dyDescent="0.25">
      <c r="A1251" s="6"/>
      <c r="B1251" s="6"/>
      <c r="C1251" s="123"/>
      <c r="D1251" s="123"/>
      <c r="E1251" s="124"/>
      <c r="F1251" s="6"/>
      <c r="G1251" s="124"/>
      <c r="H1251" s="6"/>
      <c r="I1251" s="125"/>
      <c r="J1251" s="125"/>
      <c r="K1251" s="125"/>
    </row>
    <row r="1252" spans="1:11" x14ac:dyDescent="0.25">
      <c r="A1252" s="6"/>
      <c r="B1252" s="6"/>
      <c r="C1252" s="123"/>
      <c r="D1252" s="123"/>
      <c r="E1252" s="124"/>
      <c r="F1252" s="6"/>
      <c r="G1252" s="124"/>
      <c r="H1252" s="6"/>
      <c r="I1252" s="125"/>
      <c r="J1252" s="125"/>
      <c r="K1252" s="125"/>
    </row>
    <row r="1253" spans="1:11" x14ac:dyDescent="0.25">
      <c r="A1253" s="6"/>
      <c r="B1253" s="6"/>
      <c r="C1253" s="123"/>
      <c r="D1253" s="123"/>
      <c r="E1253" s="124"/>
      <c r="F1253" s="6"/>
      <c r="G1253" s="124"/>
      <c r="H1253" s="6"/>
      <c r="I1253" s="125"/>
      <c r="J1253" s="125"/>
      <c r="K1253" s="125"/>
    </row>
    <row r="1254" spans="1:11" x14ac:dyDescent="0.25">
      <c r="A1254" s="6"/>
      <c r="B1254" s="6"/>
      <c r="C1254" s="123"/>
      <c r="D1254" s="123"/>
      <c r="E1254" s="124"/>
      <c r="F1254" s="6"/>
      <c r="G1254" s="124"/>
      <c r="H1254" s="6"/>
      <c r="I1254" s="125"/>
      <c r="J1254" s="125"/>
      <c r="K1254" s="125"/>
    </row>
    <row r="1255" spans="1:11" x14ac:dyDescent="0.25">
      <c r="A1255" s="6"/>
      <c r="B1255" s="6"/>
      <c r="C1255" s="123"/>
      <c r="D1255" s="123"/>
      <c r="E1255" s="124"/>
      <c r="F1255" s="6"/>
      <c r="G1255" s="124"/>
      <c r="H1255" s="6"/>
      <c r="I1255" s="125"/>
      <c r="J1255" s="125"/>
      <c r="K1255" s="125"/>
    </row>
    <row r="1256" spans="1:11" x14ac:dyDescent="0.25">
      <c r="A1256" s="6"/>
      <c r="B1256" s="6"/>
      <c r="C1256" s="123"/>
      <c r="D1256" s="123"/>
      <c r="E1256" s="124"/>
      <c r="F1256" s="6"/>
      <c r="G1256" s="124"/>
      <c r="H1256" s="6"/>
      <c r="I1256" s="125"/>
      <c r="J1256" s="125"/>
      <c r="K1256" s="125"/>
    </row>
    <row r="1257" spans="1:11" x14ac:dyDescent="0.25">
      <c r="A1257" s="6"/>
      <c r="B1257" s="6"/>
      <c r="C1257" s="123"/>
      <c r="D1257" s="123"/>
      <c r="E1257" s="124"/>
      <c r="F1257" s="6"/>
      <c r="G1257" s="124"/>
      <c r="H1257" s="6"/>
      <c r="I1257" s="125"/>
      <c r="J1257" s="125"/>
      <c r="K1257" s="125"/>
    </row>
    <row r="1258" spans="1:11" x14ac:dyDescent="0.25">
      <c r="A1258" s="6"/>
      <c r="B1258" s="6"/>
      <c r="C1258" s="123"/>
      <c r="D1258" s="123"/>
      <c r="E1258" s="124"/>
      <c r="F1258" s="6"/>
      <c r="G1258" s="124"/>
      <c r="H1258" s="6"/>
      <c r="I1258" s="125"/>
      <c r="J1258" s="125"/>
      <c r="K1258" s="125"/>
    </row>
    <row r="1259" spans="1:11" x14ac:dyDescent="0.25">
      <c r="A1259" s="6"/>
      <c r="B1259" s="6"/>
      <c r="C1259" s="123"/>
      <c r="D1259" s="123"/>
      <c r="E1259" s="124"/>
      <c r="F1259" s="6"/>
      <c r="G1259" s="124"/>
      <c r="H1259" s="6"/>
      <c r="I1259" s="125"/>
      <c r="J1259" s="125"/>
      <c r="K1259" s="125"/>
    </row>
    <row r="1260" spans="1:11" x14ac:dyDescent="0.25">
      <c r="A1260" s="6"/>
      <c r="B1260" s="6"/>
      <c r="C1260" s="123"/>
      <c r="D1260" s="123"/>
      <c r="E1260" s="124"/>
      <c r="F1260" s="6"/>
      <c r="G1260" s="124"/>
      <c r="H1260" s="6"/>
      <c r="I1260" s="125"/>
      <c r="J1260" s="125"/>
      <c r="K1260" s="125"/>
    </row>
    <row r="1261" spans="1:11" x14ac:dyDescent="0.25">
      <c r="A1261" s="6"/>
      <c r="B1261" s="6"/>
      <c r="C1261" s="123"/>
      <c r="D1261" s="123"/>
      <c r="E1261" s="124"/>
      <c r="F1261" s="6"/>
      <c r="G1261" s="124"/>
      <c r="H1261" s="6"/>
      <c r="I1261" s="125"/>
      <c r="J1261" s="125"/>
      <c r="K1261" s="125"/>
    </row>
    <row r="1262" spans="1:11" x14ac:dyDescent="0.25">
      <c r="A1262" s="6"/>
      <c r="B1262" s="6"/>
      <c r="C1262" s="123"/>
      <c r="D1262" s="123"/>
      <c r="E1262" s="124"/>
      <c r="F1262" s="6"/>
      <c r="G1262" s="124"/>
      <c r="H1262" s="6"/>
      <c r="I1262" s="125"/>
      <c r="J1262" s="125"/>
      <c r="K1262" s="125"/>
    </row>
    <row r="1263" spans="1:11" x14ac:dyDescent="0.25">
      <c r="A1263" s="6"/>
      <c r="B1263" s="6"/>
      <c r="C1263" s="123"/>
      <c r="D1263" s="123"/>
      <c r="E1263" s="124"/>
      <c r="F1263" s="6"/>
      <c r="G1263" s="124"/>
      <c r="H1263" s="6"/>
      <c r="I1263" s="125"/>
      <c r="J1263" s="125"/>
      <c r="K1263" s="125"/>
    </row>
    <row r="1264" spans="1:11" x14ac:dyDescent="0.25">
      <c r="A1264" s="6"/>
      <c r="B1264" s="6"/>
      <c r="C1264" s="123"/>
      <c r="D1264" s="123"/>
      <c r="E1264" s="124"/>
      <c r="F1264" s="6"/>
      <c r="G1264" s="124"/>
      <c r="H1264" s="6"/>
      <c r="I1264" s="125"/>
      <c r="J1264" s="125"/>
      <c r="K1264" s="125"/>
    </row>
    <row r="1265" spans="1:11" x14ac:dyDescent="0.25">
      <c r="A1265" s="6"/>
      <c r="B1265" s="6"/>
      <c r="C1265" s="123"/>
      <c r="D1265" s="123"/>
      <c r="E1265" s="124"/>
      <c r="F1265" s="6"/>
      <c r="G1265" s="124"/>
      <c r="H1265" s="6"/>
      <c r="I1265" s="125"/>
      <c r="J1265" s="125"/>
      <c r="K1265" s="125"/>
    </row>
    <row r="1266" spans="1:11" x14ac:dyDescent="0.25">
      <c r="A1266" s="6"/>
      <c r="B1266" s="6"/>
      <c r="C1266" s="123"/>
      <c r="D1266" s="123"/>
      <c r="E1266" s="124"/>
      <c r="F1266" s="6"/>
      <c r="G1266" s="124"/>
      <c r="H1266" s="6"/>
      <c r="I1266" s="125"/>
      <c r="J1266" s="125"/>
      <c r="K1266" s="125"/>
    </row>
    <row r="1267" spans="1:11" x14ac:dyDescent="0.25">
      <c r="A1267" s="6"/>
      <c r="B1267" s="6"/>
      <c r="C1267" s="123"/>
      <c r="D1267" s="123"/>
      <c r="E1267" s="124"/>
      <c r="F1267" s="6"/>
      <c r="G1267" s="124"/>
      <c r="H1267" s="6"/>
      <c r="I1267" s="125"/>
      <c r="J1267" s="125"/>
      <c r="K1267" s="125"/>
    </row>
    <row r="1268" spans="1:11" x14ac:dyDescent="0.25">
      <c r="A1268" s="6"/>
      <c r="B1268" s="6"/>
      <c r="C1268" s="123"/>
      <c r="D1268" s="123"/>
      <c r="E1268" s="124"/>
      <c r="F1268" s="6"/>
      <c r="G1268" s="124"/>
      <c r="H1268" s="6"/>
      <c r="I1268" s="125"/>
      <c r="J1268" s="125"/>
      <c r="K1268" s="125"/>
    </row>
    <row r="1269" spans="1:11" x14ac:dyDescent="0.25">
      <c r="A1269" s="6"/>
      <c r="B1269" s="6"/>
      <c r="C1269" s="123"/>
      <c r="D1269" s="123"/>
      <c r="E1269" s="124"/>
      <c r="F1269" s="6"/>
      <c r="G1269" s="124"/>
      <c r="H1269" s="6"/>
      <c r="I1269" s="125"/>
      <c r="J1269" s="125"/>
      <c r="K1269" s="125"/>
    </row>
    <row r="1270" spans="1:11" x14ac:dyDescent="0.25">
      <c r="A1270" s="6"/>
      <c r="B1270" s="6"/>
      <c r="C1270" s="123"/>
      <c r="D1270" s="123"/>
      <c r="E1270" s="124"/>
      <c r="F1270" s="6"/>
      <c r="G1270" s="124"/>
      <c r="H1270" s="6"/>
      <c r="I1270" s="125"/>
      <c r="J1270" s="125"/>
      <c r="K1270" s="125"/>
    </row>
    <row r="1271" spans="1:11" x14ac:dyDescent="0.25">
      <c r="A1271" s="6"/>
      <c r="B1271" s="6"/>
      <c r="C1271" s="123"/>
      <c r="D1271" s="123"/>
      <c r="E1271" s="124"/>
      <c r="F1271" s="6"/>
      <c r="G1271" s="124"/>
      <c r="H1271" s="6"/>
      <c r="I1271" s="125"/>
      <c r="J1271" s="125"/>
      <c r="K1271" s="125"/>
    </row>
    <row r="1272" spans="1:11" x14ac:dyDescent="0.25">
      <c r="A1272" s="6"/>
      <c r="B1272" s="6"/>
      <c r="C1272" s="123"/>
      <c r="D1272" s="123"/>
      <c r="E1272" s="124"/>
      <c r="F1272" s="6"/>
      <c r="G1272" s="124"/>
      <c r="H1272" s="6"/>
      <c r="I1272" s="125"/>
      <c r="J1272" s="125"/>
      <c r="K1272" s="125"/>
    </row>
    <row r="1273" spans="1:11" x14ac:dyDescent="0.25">
      <c r="A1273" s="6"/>
      <c r="B1273" s="6"/>
      <c r="C1273" s="123"/>
      <c r="D1273" s="123"/>
      <c r="E1273" s="124"/>
      <c r="F1273" s="6"/>
      <c r="G1273" s="124"/>
      <c r="H1273" s="6"/>
      <c r="I1273" s="125"/>
      <c r="J1273" s="125"/>
      <c r="K1273" s="125"/>
    </row>
    <row r="1274" spans="1:11" x14ac:dyDescent="0.25">
      <c r="A1274" s="6"/>
      <c r="B1274" s="6"/>
      <c r="C1274" s="123"/>
      <c r="D1274" s="123"/>
      <c r="E1274" s="124"/>
      <c r="F1274" s="6"/>
      <c r="G1274" s="124"/>
      <c r="H1274" s="6"/>
      <c r="I1274" s="125"/>
      <c r="J1274" s="125"/>
      <c r="K1274" s="125"/>
    </row>
    <row r="1275" spans="1:11" x14ac:dyDescent="0.25">
      <c r="A1275" s="6"/>
      <c r="B1275" s="6"/>
      <c r="C1275" s="123"/>
      <c r="D1275" s="123"/>
      <c r="E1275" s="124"/>
      <c r="F1275" s="6"/>
      <c r="G1275" s="124"/>
      <c r="H1275" s="6"/>
      <c r="I1275" s="125"/>
      <c r="J1275" s="125"/>
      <c r="K1275" s="125"/>
    </row>
    <row r="1276" spans="1:11" x14ac:dyDescent="0.25">
      <c r="A1276" s="6"/>
      <c r="B1276" s="6"/>
      <c r="C1276" s="123"/>
      <c r="D1276" s="123"/>
      <c r="E1276" s="124"/>
      <c r="F1276" s="6"/>
      <c r="G1276" s="124"/>
      <c r="H1276" s="6"/>
      <c r="I1276" s="125"/>
      <c r="J1276" s="125"/>
      <c r="K1276" s="125"/>
    </row>
    <row r="1277" spans="1:11" x14ac:dyDescent="0.25">
      <c r="A1277" s="6"/>
      <c r="B1277" s="6"/>
      <c r="C1277" s="123"/>
      <c r="D1277" s="123"/>
      <c r="E1277" s="124"/>
      <c r="F1277" s="6"/>
      <c r="G1277" s="124"/>
      <c r="H1277" s="6"/>
      <c r="I1277" s="125"/>
      <c r="J1277" s="125"/>
      <c r="K1277" s="125"/>
    </row>
    <row r="1278" spans="1:11" x14ac:dyDescent="0.25">
      <c r="A1278" s="6"/>
      <c r="B1278" s="6"/>
      <c r="C1278" s="123"/>
      <c r="D1278" s="123"/>
      <c r="E1278" s="124"/>
      <c r="F1278" s="6"/>
      <c r="G1278" s="124"/>
      <c r="H1278" s="6"/>
      <c r="I1278" s="125"/>
      <c r="J1278" s="125"/>
      <c r="K1278" s="125"/>
    </row>
    <row r="1279" spans="1:11" x14ac:dyDescent="0.25">
      <c r="A1279" s="6"/>
      <c r="B1279" s="6"/>
      <c r="C1279" s="123"/>
      <c r="D1279" s="123"/>
      <c r="E1279" s="124"/>
      <c r="F1279" s="6"/>
      <c r="G1279" s="124"/>
      <c r="H1279" s="6"/>
      <c r="I1279" s="125"/>
      <c r="J1279" s="125"/>
      <c r="K1279" s="125"/>
    </row>
    <row r="1280" spans="1:11" x14ac:dyDescent="0.25">
      <c r="A1280" s="6"/>
      <c r="B1280" s="6"/>
      <c r="C1280" s="123"/>
      <c r="D1280" s="123"/>
      <c r="E1280" s="124"/>
      <c r="F1280" s="6"/>
      <c r="G1280" s="124"/>
      <c r="H1280" s="6"/>
      <c r="I1280" s="125"/>
      <c r="J1280" s="125"/>
      <c r="K1280" s="125"/>
    </row>
    <row r="1281" spans="1:11" x14ac:dyDescent="0.25">
      <c r="A1281" s="6"/>
      <c r="B1281" s="6"/>
      <c r="C1281" s="123"/>
      <c r="D1281" s="123"/>
      <c r="E1281" s="124"/>
      <c r="F1281" s="6"/>
      <c r="G1281" s="124"/>
      <c r="H1281" s="6"/>
      <c r="I1281" s="125"/>
      <c r="J1281" s="125"/>
      <c r="K1281" s="125"/>
    </row>
    <row r="1282" spans="1:11" x14ac:dyDescent="0.25">
      <c r="A1282" s="6"/>
      <c r="B1282" s="6"/>
      <c r="C1282" s="123"/>
      <c r="D1282" s="123"/>
      <c r="E1282" s="124"/>
      <c r="F1282" s="6"/>
      <c r="G1282" s="124"/>
      <c r="H1282" s="6"/>
      <c r="I1282" s="125"/>
      <c r="J1282" s="125"/>
      <c r="K1282" s="125"/>
    </row>
    <row r="1283" spans="1:11" x14ac:dyDescent="0.25">
      <c r="A1283" s="6"/>
      <c r="B1283" s="6"/>
      <c r="C1283" s="123"/>
      <c r="D1283" s="123"/>
      <c r="E1283" s="124"/>
      <c r="F1283" s="6"/>
      <c r="G1283" s="124"/>
      <c r="H1283" s="6"/>
      <c r="I1283" s="125"/>
      <c r="J1283" s="125"/>
      <c r="K1283" s="125"/>
    </row>
    <row r="1284" spans="1:11" x14ac:dyDescent="0.25">
      <c r="A1284" s="6"/>
      <c r="B1284" s="6"/>
      <c r="C1284" s="123"/>
      <c r="D1284" s="123"/>
      <c r="E1284" s="124"/>
      <c r="F1284" s="6"/>
      <c r="G1284" s="124"/>
      <c r="H1284" s="6"/>
      <c r="I1284" s="125"/>
      <c r="J1284" s="125"/>
      <c r="K1284" s="125"/>
    </row>
    <row r="1285" spans="1:11" x14ac:dyDescent="0.25">
      <c r="A1285" s="6"/>
      <c r="B1285" s="6"/>
      <c r="C1285" s="123"/>
      <c r="D1285" s="123"/>
      <c r="E1285" s="124"/>
      <c r="F1285" s="6"/>
      <c r="G1285" s="124"/>
      <c r="H1285" s="6"/>
      <c r="I1285" s="125"/>
      <c r="J1285" s="125"/>
      <c r="K1285" s="125"/>
    </row>
    <row r="1286" spans="1:11" x14ac:dyDescent="0.25">
      <c r="A1286" s="6"/>
      <c r="B1286" s="6"/>
      <c r="C1286" s="123"/>
      <c r="D1286" s="123"/>
      <c r="E1286" s="124"/>
      <c r="F1286" s="6"/>
      <c r="G1286" s="124"/>
      <c r="H1286" s="6"/>
      <c r="I1286" s="125"/>
      <c r="J1286" s="125"/>
      <c r="K1286" s="125"/>
    </row>
    <row r="1287" spans="1:11" x14ac:dyDescent="0.25">
      <c r="A1287" s="6"/>
      <c r="B1287" s="6"/>
      <c r="C1287" s="123"/>
      <c r="D1287" s="123"/>
      <c r="E1287" s="124"/>
      <c r="F1287" s="6"/>
      <c r="G1287" s="124"/>
      <c r="H1287" s="6"/>
      <c r="I1287" s="125"/>
      <c r="J1287" s="125"/>
      <c r="K1287" s="125"/>
    </row>
    <row r="1288" spans="1:11" x14ac:dyDescent="0.25">
      <c r="A1288" s="6"/>
      <c r="B1288" s="6"/>
      <c r="C1288" s="123"/>
      <c r="D1288" s="123"/>
      <c r="E1288" s="124"/>
      <c r="F1288" s="6"/>
      <c r="G1288" s="124"/>
      <c r="H1288" s="6"/>
      <c r="I1288" s="125"/>
      <c r="J1288" s="125"/>
      <c r="K1288" s="125"/>
    </row>
    <row r="1289" spans="1:11" x14ac:dyDescent="0.25">
      <c r="A1289" s="6"/>
      <c r="B1289" s="6"/>
      <c r="C1289" s="123"/>
      <c r="D1289" s="123"/>
      <c r="E1289" s="124"/>
      <c r="F1289" s="6"/>
      <c r="G1289" s="124"/>
      <c r="H1289" s="6"/>
      <c r="I1289" s="125"/>
      <c r="J1289" s="125"/>
      <c r="K1289" s="125"/>
    </row>
    <row r="1290" spans="1:11" x14ac:dyDescent="0.25">
      <c r="A1290" s="6"/>
      <c r="B1290" s="6"/>
      <c r="C1290" s="123"/>
      <c r="D1290" s="123"/>
      <c r="E1290" s="124"/>
      <c r="F1290" s="6"/>
      <c r="G1290" s="124"/>
      <c r="H1290" s="6"/>
      <c r="I1290" s="125"/>
      <c r="J1290" s="125"/>
      <c r="K1290" s="125"/>
    </row>
    <row r="1291" spans="1:11" x14ac:dyDescent="0.25">
      <c r="A1291" s="6"/>
      <c r="B1291" s="6"/>
      <c r="C1291" s="123"/>
      <c r="D1291" s="123"/>
      <c r="E1291" s="124"/>
      <c r="F1291" s="6"/>
      <c r="G1291" s="124"/>
      <c r="H1291" s="6"/>
      <c r="I1291" s="125"/>
      <c r="J1291" s="125"/>
      <c r="K1291" s="125"/>
    </row>
    <row r="1292" spans="1:11" x14ac:dyDescent="0.25">
      <c r="A1292" s="6"/>
      <c r="B1292" s="6"/>
      <c r="C1292" s="123"/>
      <c r="D1292" s="123"/>
      <c r="E1292" s="124"/>
      <c r="F1292" s="6"/>
      <c r="G1292" s="124"/>
      <c r="H1292" s="6"/>
      <c r="I1292" s="125"/>
      <c r="J1292" s="125"/>
      <c r="K1292" s="125"/>
    </row>
    <row r="1293" spans="1:11" x14ac:dyDescent="0.25">
      <c r="A1293" s="6"/>
      <c r="B1293" s="6"/>
      <c r="C1293" s="123"/>
      <c r="D1293" s="123"/>
      <c r="E1293" s="124"/>
      <c r="F1293" s="6"/>
      <c r="G1293" s="124"/>
      <c r="H1293" s="6"/>
      <c r="I1293" s="125"/>
      <c r="J1293" s="125"/>
      <c r="K1293" s="125"/>
    </row>
    <row r="1294" spans="1:11" x14ac:dyDescent="0.25">
      <c r="A1294" s="6"/>
      <c r="B1294" s="6"/>
      <c r="C1294" s="123"/>
      <c r="D1294" s="123"/>
      <c r="E1294" s="124"/>
      <c r="F1294" s="6"/>
      <c r="G1294" s="124"/>
      <c r="H1294" s="6"/>
      <c r="I1294" s="125"/>
      <c r="J1294" s="125"/>
      <c r="K1294" s="125"/>
    </row>
    <row r="1295" spans="1:11" x14ac:dyDescent="0.25">
      <c r="A1295" s="6"/>
      <c r="B1295" s="6"/>
      <c r="C1295" s="123"/>
      <c r="D1295" s="123"/>
      <c r="E1295" s="124"/>
      <c r="F1295" s="6"/>
      <c r="G1295" s="124"/>
      <c r="H1295" s="6"/>
      <c r="I1295" s="125"/>
      <c r="J1295" s="125"/>
      <c r="K1295" s="125"/>
    </row>
    <row r="1296" spans="1:11" x14ac:dyDescent="0.25">
      <c r="A1296" s="6"/>
      <c r="B1296" s="6"/>
      <c r="C1296" s="123"/>
      <c r="D1296" s="123"/>
      <c r="E1296" s="124"/>
      <c r="F1296" s="6"/>
      <c r="G1296" s="124"/>
      <c r="H1296" s="6"/>
      <c r="I1296" s="125"/>
      <c r="J1296" s="125"/>
      <c r="K1296" s="125"/>
    </row>
    <row r="1297" spans="1:11" x14ac:dyDescent="0.25">
      <c r="A1297" s="6"/>
      <c r="B1297" s="6"/>
      <c r="C1297" s="123"/>
      <c r="D1297" s="123"/>
      <c r="E1297" s="124"/>
      <c r="F1297" s="6"/>
      <c r="G1297" s="124"/>
      <c r="H1297" s="6"/>
      <c r="I1297" s="125"/>
      <c r="J1297" s="125"/>
      <c r="K1297" s="125"/>
    </row>
    <row r="1298" spans="1:11" x14ac:dyDescent="0.25">
      <c r="A1298" s="6"/>
      <c r="B1298" s="6"/>
      <c r="C1298" s="123"/>
      <c r="D1298" s="123"/>
      <c r="E1298" s="124"/>
      <c r="F1298" s="6"/>
      <c r="G1298" s="124"/>
      <c r="H1298" s="6"/>
      <c r="I1298" s="125"/>
      <c r="J1298" s="125"/>
      <c r="K1298" s="125"/>
    </row>
    <row r="1299" spans="1:11" x14ac:dyDescent="0.25">
      <c r="A1299" s="6"/>
      <c r="B1299" s="6"/>
      <c r="C1299" s="123"/>
      <c r="D1299" s="123"/>
      <c r="E1299" s="124"/>
      <c r="F1299" s="6"/>
      <c r="G1299" s="124"/>
      <c r="H1299" s="6"/>
      <c r="I1299" s="125"/>
      <c r="J1299" s="125"/>
      <c r="K1299" s="125"/>
    </row>
    <row r="1300" spans="1:11" x14ac:dyDescent="0.25">
      <c r="A1300" s="6"/>
      <c r="B1300" s="6"/>
      <c r="C1300" s="123"/>
      <c r="D1300" s="123"/>
      <c r="E1300" s="124"/>
      <c r="F1300" s="6"/>
      <c r="G1300" s="124"/>
      <c r="H1300" s="6"/>
      <c r="I1300" s="125"/>
      <c r="J1300" s="125"/>
      <c r="K1300" s="125"/>
    </row>
    <row r="1301" spans="1:11" x14ac:dyDescent="0.25">
      <c r="A1301" s="6"/>
      <c r="B1301" s="6"/>
      <c r="C1301" s="123"/>
      <c r="D1301" s="123"/>
      <c r="E1301" s="124"/>
      <c r="F1301" s="6"/>
      <c r="G1301" s="124"/>
      <c r="H1301" s="6"/>
      <c r="I1301" s="125"/>
      <c r="J1301" s="125"/>
      <c r="K1301" s="125"/>
    </row>
    <row r="1302" spans="1:11" x14ac:dyDescent="0.25">
      <c r="A1302" s="6"/>
      <c r="B1302" s="6"/>
      <c r="C1302" s="123"/>
      <c r="D1302" s="123"/>
      <c r="E1302" s="124"/>
      <c r="F1302" s="6"/>
      <c r="G1302" s="124"/>
      <c r="H1302" s="6"/>
      <c r="I1302" s="125"/>
      <c r="J1302" s="125"/>
      <c r="K1302" s="125"/>
    </row>
    <row r="1303" spans="1:11" x14ac:dyDescent="0.25">
      <c r="A1303" s="6"/>
      <c r="B1303" s="6"/>
      <c r="C1303" s="123"/>
      <c r="D1303" s="123"/>
      <c r="E1303" s="124"/>
      <c r="F1303" s="6"/>
      <c r="G1303" s="124"/>
      <c r="H1303" s="6"/>
      <c r="I1303" s="125"/>
      <c r="J1303" s="125"/>
      <c r="K1303" s="125"/>
    </row>
    <row r="1304" spans="1:11" x14ac:dyDescent="0.25">
      <c r="A1304" s="6"/>
      <c r="B1304" s="6"/>
      <c r="C1304" s="123"/>
      <c r="D1304" s="123"/>
      <c r="E1304" s="124"/>
      <c r="F1304" s="6"/>
      <c r="G1304" s="124"/>
      <c r="H1304" s="6"/>
      <c r="I1304" s="125"/>
      <c r="J1304" s="125"/>
      <c r="K1304" s="125"/>
    </row>
    <row r="1305" spans="1:11" x14ac:dyDescent="0.25">
      <c r="A1305" s="6"/>
      <c r="B1305" s="6"/>
      <c r="C1305" s="123"/>
      <c r="D1305" s="123"/>
      <c r="E1305" s="124"/>
      <c r="F1305" s="6"/>
      <c r="G1305" s="124"/>
      <c r="H1305" s="6"/>
      <c r="I1305" s="125"/>
      <c r="J1305" s="125"/>
      <c r="K1305" s="1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705-A739-4A6D-BDA9-78E57FC22D6F}">
  <sheetPr>
    <tabColor theme="5"/>
  </sheetPr>
  <dimension ref="A1:AA38"/>
  <sheetViews>
    <sheetView workbookViewId="0">
      <selection activeCell="E9" sqref="E9"/>
    </sheetView>
  </sheetViews>
  <sheetFormatPr defaultRowHeight="15" outlineLevelCol="1" x14ac:dyDescent="0.25"/>
  <cols>
    <col min="3" max="3" width="10.7109375" style="1" bestFit="1" customWidth="1"/>
    <col min="4" max="4" width="10.7109375" style="1" customWidth="1"/>
    <col min="5" max="5" width="10.140625" style="1" customWidth="1"/>
    <col min="6" max="6" width="11.5703125" style="21" bestFit="1" customWidth="1"/>
    <col min="7" max="7" width="8.5703125" bestFit="1" customWidth="1"/>
    <col min="8" max="8" width="13.28515625" style="21" bestFit="1" customWidth="1"/>
    <col min="10" max="10" width="24" bestFit="1" customWidth="1"/>
    <col min="11" max="11" width="9.42578125" bestFit="1" customWidth="1"/>
    <col min="12" max="12" width="12.5703125" bestFit="1" customWidth="1"/>
    <col min="13" max="13" width="8.7109375" bestFit="1" customWidth="1"/>
    <col min="14" max="14" width="15.28515625" hidden="1" customWidth="1" outlineLevel="1"/>
    <col min="15" max="15" width="10.5703125" bestFit="1" customWidth="1" collapsed="1"/>
    <col min="16" max="16" width="9.7109375" customWidth="1"/>
    <col min="17" max="17" width="14.7109375" hidden="1" customWidth="1" outlineLevel="1"/>
    <col min="18" max="18" width="14.28515625" style="21" bestFit="1" customWidth="1" collapsed="1"/>
    <col min="19" max="19" width="23.5703125" hidden="1" customWidth="1" outlineLevel="1"/>
    <col min="20" max="20" width="11.5703125" bestFit="1" customWidth="1" collapsed="1"/>
    <col min="22" max="22" width="9.140625" hidden="1" customWidth="1" outlineLevel="1"/>
    <col min="23" max="23" width="13.28515625" bestFit="1" customWidth="1" collapsed="1"/>
    <col min="25" max="25" width="9.140625" hidden="1" customWidth="1" outlineLevel="1"/>
    <col min="26" max="26" width="11.5703125" bestFit="1" customWidth="1" collapsed="1"/>
  </cols>
  <sheetData>
    <row r="1" spans="1:27" s="103" customFormat="1" ht="15.75" thickBot="1" x14ac:dyDescent="0.3">
      <c r="A1" s="103" t="s">
        <v>182</v>
      </c>
      <c r="B1" s="103" t="s">
        <v>159</v>
      </c>
      <c r="C1" s="104" t="s">
        <v>146</v>
      </c>
      <c r="D1" s="104" t="s">
        <v>147</v>
      </c>
      <c r="E1" s="104" t="s">
        <v>148</v>
      </c>
      <c r="F1" s="118" t="s">
        <v>160</v>
      </c>
      <c r="G1" s="103" t="s">
        <v>161</v>
      </c>
      <c r="H1" s="118" t="s">
        <v>162</v>
      </c>
      <c r="I1" s="103" t="s">
        <v>164</v>
      </c>
      <c r="J1" s="103" t="s">
        <v>169</v>
      </c>
      <c r="K1" s="103" t="s">
        <v>191</v>
      </c>
      <c r="L1" s="103" t="s">
        <v>171</v>
      </c>
      <c r="M1" s="103" t="s">
        <v>172</v>
      </c>
      <c r="N1" s="103" t="s">
        <v>165</v>
      </c>
      <c r="O1" s="103" t="s">
        <v>152</v>
      </c>
      <c r="P1" s="103" t="s">
        <v>170</v>
      </c>
      <c r="Q1" s="103" t="s">
        <v>166</v>
      </c>
      <c r="R1" s="118" t="s">
        <v>163</v>
      </c>
      <c r="S1" s="103" t="s">
        <v>174</v>
      </c>
      <c r="T1" s="103" t="s">
        <v>175</v>
      </c>
      <c r="U1" s="103" t="s">
        <v>176</v>
      </c>
      <c r="V1" s="103" t="s">
        <v>180</v>
      </c>
      <c r="W1" s="103" t="s">
        <v>181</v>
      </c>
      <c r="X1" s="103" t="s">
        <v>177</v>
      </c>
      <c r="Y1" s="103" t="s">
        <v>178</v>
      </c>
      <c r="Z1" s="103" t="s">
        <v>179</v>
      </c>
      <c r="AA1" s="103" t="s">
        <v>177</v>
      </c>
    </row>
    <row r="2" spans="1:27" x14ac:dyDescent="0.25">
      <c r="B2" t="s">
        <v>130</v>
      </c>
      <c r="C2" s="121">
        <v>44166</v>
      </c>
      <c r="F2" s="21">
        <f ca="1">O2*0.9</f>
        <v>598.31778300602116</v>
      </c>
      <c r="G2" t="s">
        <v>168</v>
      </c>
      <c r="H2" s="21">
        <v>1000000</v>
      </c>
      <c r="I2" t="s">
        <v>1</v>
      </c>
      <c r="J2" t="str">
        <f>IF(I2="USD","USD.LIBOR.3M",I2&amp;".DISC.[USD.LIBOR.3M]")</f>
        <v>ZAR.DISC.[USD.LIBOR.3M]</v>
      </c>
      <c r="K2" t="str">
        <f>VLOOKUP(B2,AssetStatic,3,FALSE)</f>
        <v>ICE</v>
      </c>
      <c r="L2" s="8" t="s">
        <v>173</v>
      </c>
      <c r="M2" s="8" t="str">
        <f>VLOOKUP(B2,AssetStatic,2,FALSE)</f>
        <v>0b</v>
      </c>
      <c r="N2" t="str" cm="1">
        <f t="array" aca="1" ref="N2" ca="1">_xll.QIns_CreateAsianSwap("AsiOpt_Fwd_"&amp;ROW(),IF(C2="",D2:E2,C2),B2,I2,0,H2,K2,I2,L2,M2,,J2,IF(I2="USD","None","ATC"))</f>
        <v>AsiOpt_Fwd_2¬0</v>
      </c>
      <c r="O2" s="14" cm="1">
        <f t="array" aca="1" ref="O2" ca="1">_xll.QIns_ProductParRate(N2,AModel)</f>
        <v>664.79753667335683</v>
      </c>
      <c r="P2" s="11" cm="1">
        <f t="array" aca="1" ref="P2" ca="1">_xll.QModels_GetCompoVol(AModel,B2,I2,F2,E2)</f>
        <v>0.86341649466419301</v>
      </c>
      <c r="Q2" t="str" cm="1">
        <f t="array" aca="1" ref="Q2" ca="1">_xll.QIns_CreateAsianOption("asiOpt_"&amp;ROW(),IF(C2="",D2:E2,C2),B2,I2,F2,G2,H2,K2,I2,L2,M2,,J2)</f>
        <v>asiOpt_2¬0</v>
      </c>
      <c r="R2" s="21" cm="1">
        <f t="array" aca="1" ref="R2" ca="1">_xll.QIns_ProductPV(Q2,AModel,I2)</f>
        <v>60966282.519677512</v>
      </c>
      <c r="S2" t="str" cm="1">
        <f t="array" aca="1" ref="S2" ca="1">IF(VLOOKUP(B2,AssetStatic,4,FALSE),_xll.QRisk_PortfolioFxDeltaSpecific("asiOpt_DeltaA"&amp;ROW(),Q2,AModel,B2,"ZAR",FALSE),_xll.QRisk_PortfolioDelta("asiOpt_DeltaA"&amp;ROW(),Q2,AModel,FALSE))</f>
        <v>asiOpt_DeltaA2¬2</v>
      </c>
      <c r="T2" s="21" cm="1">
        <f t="array" aca="1" ref="T2" ca="1">_xll.QCube_SumAllRows(S2)</f>
        <v>-261731.20926478878</v>
      </c>
      <c r="U2" s="11">
        <f ca="1">T2/H2</f>
        <v>-0.26173120926478877</v>
      </c>
      <c r="V2" t="str" cm="1">
        <f t="array" aca="1" ref="V2" ca="1">_xll.QRisk_PortfolioVega("euopt_commVegaA"&amp;ROW(),Q2,AModel,I2)</f>
        <v>euopt_commVegaA2¬1</v>
      </c>
      <c r="W2" s="21" cm="1">
        <f t="array" aca="1" ref="W2" ca="1">_xll.QCube_SumAllRows(V2)</f>
        <v>1622665.2704136819</v>
      </c>
      <c r="X2" s="120">
        <f ca="1">W2/H2</f>
        <v>1.6226652704136819</v>
      </c>
      <c r="Y2" t="str" cm="1">
        <f t="array" aca="1" ref="Y2" ca="1">_xll.QRisk_PortfolioFxVega("euOpt_fxVegaA"&amp;ROW(),Q2,AModel,I2)</f>
        <v>euOpt_fxVegaA2¬1</v>
      </c>
      <c r="Z2" s="21" cm="1">
        <f t="array" aca="1" ref="Z2" ca="1">_xll.QCube_SumAllRows(Y2)</f>
        <v>130006.28328472376</v>
      </c>
      <c r="AA2" s="120">
        <f ca="1">Z2/H2</f>
        <v>0.13000628328472374</v>
      </c>
    </row>
    <row r="3" spans="1:27" x14ac:dyDescent="0.25">
      <c r="B3" t="s">
        <v>105</v>
      </c>
      <c r="C3" s="121"/>
      <c r="D3" s="1">
        <f ca="1">TODAY()</f>
        <v>43963</v>
      </c>
      <c r="E3" s="1" cm="1">
        <f t="array" aca="1" ref="E3" ca="1">_xll.QDates_LastDay(D3)</f>
        <v>43982</v>
      </c>
      <c r="F3" s="21">
        <f t="shared" ref="F3:F4" ca="1" si="0">O3*0.9</f>
        <v>1366.2655219780222</v>
      </c>
      <c r="G3" t="s">
        <v>168</v>
      </c>
      <c r="H3" s="21">
        <v>100</v>
      </c>
      <c r="I3" t="s">
        <v>21</v>
      </c>
      <c r="J3" t="str">
        <f>IF(I3="USD","USD.LIBOR.3M",I3&amp;".DISC.[USD.LIBOR.3M]")</f>
        <v>USD.LIBOR.3M</v>
      </c>
      <c r="K3" t="str">
        <f>VLOOKUP(B3,AssetStatic,3,FALSE)</f>
        <v>LON</v>
      </c>
      <c r="L3" s="8" t="s">
        <v>173</v>
      </c>
      <c r="M3" s="8" t="str">
        <f>VLOOKUP(B3,AssetStatic,2,FALSE)</f>
        <v>2b</v>
      </c>
      <c r="N3" t="str" cm="1">
        <f t="array" aca="1" ref="N3" ca="1">_xll.QIns_CreateAsianSwap("AsiOpt_Fwd_"&amp;ROW(),IF(C3="",D3:E3,C3),B3,I3,0,H3,K3,I3,L3,M3,,J3,IF(I3="USD","None","ATC"))</f>
        <v>AsiOpt_Fwd_3¬0</v>
      </c>
      <c r="O3" s="14" cm="1">
        <f t="array" aca="1" ref="O3" ca="1">_xll.QIns_ProductParRate(N3,AModel)</f>
        <v>1518.0728021978025</v>
      </c>
      <c r="P3" s="11" cm="1">
        <f t="array" aca="1" ref="P3" ca="1">_xll.QModels_GetCompoVol(AModel,B3,I3,F3,E3)</f>
        <v>0.23855683592951216</v>
      </c>
      <c r="Q3" t="str" cm="1">
        <f t="array" aca="1" ref="Q3" ca="1">_xll.QIns_CreateAsianOption("asiOpt_"&amp;ROW(),IF(C3="",D3:E3,C3),B3,I3,F3,G3,H3,K3,I3,L3,M3,,J3)</f>
        <v>asiOpt_3¬0</v>
      </c>
      <c r="R3" s="21" cm="1">
        <f t="array" aca="1" ref="R3" ca="1">_xll.QIns_ProductPV(Q3,AModel,I3)</f>
        <v>0.10503488840023839</v>
      </c>
      <c r="S3" t="str" cm="1">
        <f t="array" aca="1" ref="S3" ca="1">IF(VLOOKUP(B3,AssetStatic,4,FALSE),_xll.QRisk_PortfolioFxDeltaSpecific("asiOpt_DeltaA"&amp;ROW(),Q3,AModel,B3,"ZAR",FALSE),_xll.QRisk_PortfolioDelta("asiOpt_DeltaA"&amp;ROW(),Q3,AModel,FALSE))</f>
        <v>asiOpt_DeltaA3¬2</v>
      </c>
      <c r="T3" s="21" cm="1">
        <f t="array" aca="1" ref="T3" ca="1">_xll.QCube_SumAllRows(S3)</f>
        <v>-9.69645911051642E-3</v>
      </c>
      <c r="U3" s="11">
        <f t="shared" ref="U3:U4" ca="1" si="1">T3/H3</f>
        <v>-9.6964591105164194E-5</v>
      </c>
      <c r="V3" t="str" cm="1">
        <f t="array" aca="1" ref="V3" ca="1">_xll.QRisk_PortfolioVega("euopt_commVegaA"&amp;ROW(),Q3,AModel,I3)</f>
        <v>euopt_commVegaA3¬1</v>
      </c>
      <c r="W3" s="21" cm="1">
        <f t="array" aca="1" ref="W3" ca="1">_xll.QCube_SumAllRows(V3)</f>
        <v>7.0844583151136037E-2</v>
      </c>
      <c r="X3" s="120">
        <f t="shared" ref="X3:X4" ca="1" si="2">W3/H3</f>
        <v>7.0844583151136035E-4</v>
      </c>
      <c r="Y3" t="str" cm="1">
        <f t="array" aca="1" ref="Y3" ca="1">_xll.QRisk_PortfolioFxVega("euOpt_fxVegaA"&amp;ROW(),Q3,AModel,I3)</f>
        <v>euOpt_fxVegaA3¬1</v>
      </c>
      <c r="Z3" s="21" cm="1">
        <f t="array" aca="1" ref="Z3" ca="1">_xll.QCube_SumAllRows(Y3)</f>
        <v>0</v>
      </c>
      <c r="AA3" s="120">
        <f t="shared" ref="AA3:AA4" ca="1" si="3">Z3/H3</f>
        <v>0</v>
      </c>
    </row>
    <row r="4" spans="1:27" x14ac:dyDescent="0.25">
      <c r="A4" t="s">
        <v>184</v>
      </c>
      <c r="B4" t="s">
        <v>136</v>
      </c>
      <c r="C4" s="121">
        <v>44165</v>
      </c>
      <c r="F4" s="21">
        <f t="shared" ca="1" si="0"/>
        <v>5132.6703573199165</v>
      </c>
      <c r="G4" t="s">
        <v>168</v>
      </c>
      <c r="H4" s="21">
        <v>100</v>
      </c>
      <c r="I4" t="s">
        <v>1</v>
      </c>
      <c r="J4" t="str">
        <f>IF(I4="USD","USD.LIBOR.3M",I4&amp;".DISC.[USD.LIBOR.3M]")</f>
        <v>ZAR.DISC.[USD.LIBOR.3M]</v>
      </c>
      <c r="K4" t="str">
        <f>VLOOKUP(B4,AssetStatic,3,FALSE)</f>
        <v>ICE</v>
      </c>
      <c r="L4" s="8" t="s">
        <v>173</v>
      </c>
      <c r="M4" s="8" t="str">
        <f>VLOOKUP(B4,AssetStatic,2,FALSE)</f>
        <v>0b</v>
      </c>
      <c r="N4" t="str" cm="1">
        <f t="array" aca="1" ref="N4" ca="1">_xll.QIns_CreateAsianSwap("AsiOpt_Fwd_"&amp;ROW(),IF(C4="",D4:E4,C4),B4,I4,0,H4,K4,I4,L4,M4,,J4,IF(I4="USD","None","ATC"))</f>
        <v>AsiOpt_Fwd_4¬0</v>
      </c>
      <c r="O4" s="14" cm="1">
        <f t="array" aca="1" ref="O4" ca="1">_xll.QIns_ProductParRate(N4,AModel)</f>
        <v>5702.9670636887959</v>
      </c>
      <c r="P4" s="11" cm="1">
        <f t="array" aca="1" ref="P4" ca="1">_xll.QModels_GetCompoVol(AModel,B4,I4,F4,E4)</f>
        <v>0.49775280795531424</v>
      </c>
      <c r="Q4" t="str" cm="1">
        <f t="array" aca="1" ref="Q4" ca="1">_xll.QIns_CreateAsianOption("asiOpt_"&amp;ROW(),IF(C4="",D4:E4,C4),B4,I4,F4,G4,H4,K4,I4,L4,M4,,J4)</f>
        <v>asiOpt_4¬0</v>
      </c>
      <c r="R4" s="21" cm="1">
        <f t="array" aca="1" ref="R4" ca="1">_xll.QIns_ProductPV(Q4,AModel,I4)</f>
        <v>34467.58605237594</v>
      </c>
      <c r="S4" t="str" cm="1">
        <f t="array" aca="1" ref="S4" ca="1">IF(VLOOKUP(B4,AssetStatic,4,FALSE),_xll.QRisk_PortfolioFxDeltaSpecific("asiOpt_DeltaA"&amp;ROW(),Q4,AModel,B4,"ZAR",FALSE),_xll.QRisk_PortfolioDelta("asiOpt_DeltaA"&amp;ROW(),Q4,AModel,FALSE))</f>
        <v>asiOpt_DeltaA4¬2</v>
      </c>
      <c r="T4" s="21" cm="1">
        <f t="array" aca="1" ref="T4" ca="1">_xll.QCube_SumAllRows(S4)</f>
        <v>-25.866163905607209</v>
      </c>
      <c r="U4" s="11">
        <f t="shared" ca="1" si="1"/>
        <v>-0.25866163905607209</v>
      </c>
      <c r="V4" t="str" cm="1">
        <f t="array" aca="1" ref="V4" ca="1">_xll.QRisk_PortfolioVega("euopt_commVegaA"&amp;ROW(),Q4,AModel,I4)</f>
        <v>euopt_commVegaA4¬1</v>
      </c>
      <c r="W4" s="21" cm="1">
        <f t="array" aca="1" ref="W4" ca="1">_xll.QCube_SumAllRows(V4)</f>
        <v>1186.9157438364346</v>
      </c>
      <c r="X4" s="120">
        <f t="shared" ca="1" si="2"/>
        <v>11.869157438364345</v>
      </c>
      <c r="Y4" t="str" cm="1">
        <f t="array" aca="1" ref="Y4" ca="1">_xll.QRisk_PortfolioFxVega("euOpt_fxVegaA"&amp;ROW(),Q4,AModel,I4)</f>
        <v>euOpt_fxVegaA4¬1</v>
      </c>
      <c r="Z4" s="21" cm="1">
        <f t="array" aca="1" ref="Z4" ca="1">_xll.QCube_SumAllRows(Y4)</f>
        <v>236.63997256240691</v>
      </c>
      <c r="AA4" s="120">
        <f t="shared" ca="1" si="3"/>
        <v>2.3663997256240692</v>
      </c>
    </row>
    <row r="5" spans="1:27" x14ac:dyDescent="0.25">
      <c r="A5" t="s">
        <v>184</v>
      </c>
      <c r="B5" t="s">
        <v>10</v>
      </c>
      <c r="C5" s="121">
        <v>44166</v>
      </c>
      <c r="F5" s="21">
        <f t="shared" ref="F5:F6" ca="1" si="4">O5*0.9</f>
        <v>1539.7384821744492</v>
      </c>
      <c r="G5" t="s">
        <v>168</v>
      </c>
      <c r="H5" s="21">
        <v>101</v>
      </c>
      <c r="I5" t="s">
        <v>21</v>
      </c>
      <c r="J5" t="str">
        <f t="shared" ref="J5:J7" si="5">IF(I5="USD","USD.LIBOR.3M",I5&amp;".DISC.[USD.LIBOR.3M]")</f>
        <v>USD.LIBOR.3M</v>
      </c>
      <c r="K5" t="str">
        <f>VLOOKUP(B5,AssetStatic,3,FALSE)</f>
        <v>LON</v>
      </c>
      <c r="L5" s="8" t="s">
        <v>173</v>
      </c>
      <c r="M5" s="8" t="str">
        <f>VLOOKUP(B5,AssetStatic,2,FALSE)</f>
        <v>2b</v>
      </c>
      <c r="N5" t="str" cm="1">
        <f t="array" aca="1" ref="N5" ca="1">_xll.QIns_CreateAsianSwap("AsiOpt_Fwd_"&amp;ROW(),IF(C5="",D5:E5,C5),B5,I5,0,H5,K5,I5,L5,M5,,J5,IF(I5="USD","None","ATC"))</f>
        <v>AsiOpt_Fwd_5¬0</v>
      </c>
      <c r="O5" s="14" cm="1">
        <f t="array" aca="1" ref="O5" ca="1">_xll.QIns_ProductParRate(N5,AModel)</f>
        <v>1710.820535749388</v>
      </c>
      <c r="P5" s="11" cm="1">
        <f t="array" aca="1" ref="P5" ca="1">_xll.QModels_GetCompoVol(AModel,B5,I5,F5,E5)</f>
        <v>0.25529962171203896</v>
      </c>
      <c r="Q5" t="str" cm="1">
        <f t="array" aca="1" ref="Q5" ca="1">_xll.QIns_CreateAsianOption("asiOpt_"&amp;ROW(),IF(C5="",D5:E5,C5),B5,I5,F5,G5,H5,K5,I5,L5,M5,,J5)</f>
        <v>asiOpt_5¬0</v>
      </c>
      <c r="R5" s="21" cm="1">
        <f t="array" aca="1" ref="R5" ca="1">_xll.QIns_ProductPV(Q5,AModel,I5)</f>
        <v>4941.8301973134603</v>
      </c>
      <c r="S5" t="str" cm="1">
        <f t="array" aca="1" ref="S5" ca="1">IF(VLOOKUP(B5,AssetStatic,4,FALSE),_xll.QRisk_PortfolioFxDeltaSpecific("asiOpt_DeltaA"&amp;ROW(),Q5,AModel,B5,"ZAR",FALSE),_xll.QRisk_PortfolioDelta("asiOpt_DeltaA"&amp;ROW(),Q5,AModel,FALSE))</f>
        <v>asiOpt_DeltaA5¬3</v>
      </c>
      <c r="T5" s="21" cm="1">
        <f t="array" aca="1" ref="T5" ca="1">_xll.QCube_SumAllRows(S5)</f>
        <v>-22.404715427058509</v>
      </c>
      <c r="U5" s="11">
        <f t="shared" ref="U5:U6" ca="1" si="6">T5/H5</f>
        <v>-0.22182886561444068</v>
      </c>
      <c r="V5" t="str" cm="1">
        <f t="array" aca="1" ref="V5" ca="1">_xll.QRisk_PortfolioVega("euopt_commVegaA"&amp;ROW(),Q5,AModel,I5)</f>
        <v>euopt_commVegaA5¬1</v>
      </c>
      <c r="W5" s="21" cm="1">
        <f t="array" aca="1" ref="W5" ca="1">_xll.QCube_SumAllRows(V5)</f>
        <v>0</v>
      </c>
      <c r="X5" s="120">
        <f t="shared" ref="X5:X6" ca="1" si="7">W5/H5</f>
        <v>0</v>
      </c>
      <c r="Y5" t="str" cm="1">
        <f t="array" aca="1" ref="Y5" ca="1">_xll.QRisk_PortfolioFxVega("euOpt_fxVegaA"&amp;ROW(),Q5,AModel,I5)</f>
        <v>euOpt_fxVegaA5¬1</v>
      </c>
      <c r="Z5" s="21" cm="1">
        <f t="array" aca="1" ref="Z5" ca="1">_xll.QCube_SumAllRows(Y5)</f>
        <v>398.72658829071952</v>
      </c>
      <c r="AA5" s="120">
        <f t="shared" ref="AA5:AA6" ca="1" si="8">Z5/H5</f>
        <v>3.9477880028784109</v>
      </c>
    </row>
    <row r="6" spans="1:27" x14ac:dyDescent="0.25">
      <c r="B6" t="s">
        <v>10</v>
      </c>
      <c r="C6" s="121">
        <v>44197</v>
      </c>
      <c r="F6" s="21">
        <f t="shared" ca="1" si="4"/>
        <v>28959.937857245743</v>
      </c>
      <c r="G6" t="s">
        <v>168</v>
      </c>
      <c r="H6" s="21">
        <v>102</v>
      </c>
      <c r="I6" t="s">
        <v>1</v>
      </c>
      <c r="J6" t="str">
        <f t="shared" si="5"/>
        <v>ZAR.DISC.[USD.LIBOR.3M]</v>
      </c>
      <c r="K6" t="str">
        <f>VLOOKUP(B6,AssetStatic,3,FALSE)</f>
        <v>LON</v>
      </c>
      <c r="L6" s="8" t="s">
        <v>173</v>
      </c>
      <c r="M6" s="8" t="str">
        <f>VLOOKUP(B6,AssetStatic,2,FALSE)</f>
        <v>2b</v>
      </c>
      <c r="N6" t="str" cm="1">
        <f t="array" aca="1" ref="N6" ca="1">_xll.QIns_CreateAsianSwap("AsiOpt_Fwd_"&amp;ROW(),IF(C6="",D6:E6,C6),B6,I6,0,H6,K6,I6,L6,M6,,J6,IF(I6="USD","None","ATC"))</f>
        <v>AsiOpt_Fwd_6¬0</v>
      </c>
      <c r="O6" s="14" cm="1">
        <f t="array" aca="1" ref="O6" ca="1">_xll.QIns_ProductParRate(N6,AModel)</f>
        <v>32177.708730273047</v>
      </c>
      <c r="P6" s="11" cm="1">
        <f t="array" aca="1" ref="P6" ca="1">_xll.QModels_GetCompoVol(AModel,B6,I6,F6,E6)</f>
        <v>0.27453112572143012</v>
      </c>
      <c r="Q6" t="str" cm="1">
        <f t="array" aca="1" ref="Q6" ca="1">_xll.QIns_CreateAsianOption("asiOpt_"&amp;ROW(),IF(C6="",D6:E6,C6),B6,I6,F6,G6,H6,K6,I6,L6,M6,,J6)</f>
        <v>asiOpt_6¬0</v>
      </c>
      <c r="R6" s="21" cm="1">
        <f t="array" aca="1" ref="R6" ca="1">_xll.QIns_ProductPV(Q6,AModel,I6)</f>
        <v>120272.7082249793</v>
      </c>
      <c r="S6" t="str" cm="1">
        <f t="array" aca="1" ref="S6" ca="1">IF(VLOOKUP(B6,AssetStatic,4,FALSE),_xll.QRisk_PortfolioFxDeltaSpecific("asiOpt_DeltaA"&amp;ROW(),Q6,AModel,B6,"ZAR",FALSE),_xll.QRisk_PortfolioDelta("asiOpt_DeltaA"&amp;ROW(),Q6,AModel,FALSE))</f>
        <v>asiOpt_DeltaA6¬3</v>
      </c>
      <c r="T6" s="21" cm="1">
        <f t="array" aca="1" ref="T6" ca="1">_xll.QCube_SumAllRows(S6)</f>
        <v>-25.676073284851341</v>
      </c>
      <c r="U6" s="11">
        <f t="shared" ca="1" si="6"/>
        <v>-0.25172620867501316</v>
      </c>
      <c r="V6" t="str" cm="1">
        <f t="array" aca="1" ref="V6" ca="1">_xll.QRisk_PortfolioVega("euopt_commVegaA"&amp;ROW(),Q6,AModel,I6)</f>
        <v>euopt_commVegaA6¬1</v>
      </c>
      <c r="W6" s="21" cm="1">
        <f t="array" aca="1" ref="W6" ca="1">_xll.QCube_SumAllRows(V6)</f>
        <v>0</v>
      </c>
      <c r="X6" s="120">
        <f t="shared" ca="1" si="7"/>
        <v>0</v>
      </c>
      <c r="Y6" t="str" cm="1">
        <f t="array" aca="1" ref="Y6" ca="1">_xll.QRisk_PortfolioFxVega("euOpt_fxVegaA"&amp;ROW(),Q6,AModel,I6)</f>
        <v>euOpt_fxVegaA6¬1</v>
      </c>
      <c r="Z6" s="21" cm="1">
        <f t="array" aca="1" ref="Z6" ca="1">_xll.QCube_SumAllRows(Y6)</f>
        <v>9919.6921765862498</v>
      </c>
      <c r="AA6" s="120">
        <f t="shared" ca="1" si="8"/>
        <v>97.251884084178926</v>
      </c>
    </row>
    <row r="7" spans="1:27" x14ac:dyDescent="0.25">
      <c r="B7" t="s">
        <v>10</v>
      </c>
      <c r="C7" s="121">
        <v>44228</v>
      </c>
      <c r="F7" s="21">
        <f t="shared" ref="F7" ca="1" si="9">O7*0.9</f>
        <v>29038.256869382869</v>
      </c>
      <c r="G7" t="s">
        <v>168</v>
      </c>
      <c r="H7" s="21">
        <v>102</v>
      </c>
      <c r="I7" t="s">
        <v>1</v>
      </c>
      <c r="J7" t="str">
        <f t="shared" si="5"/>
        <v>ZAR.DISC.[USD.LIBOR.3M]</v>
      </c>
      <c r="K7" t="str">
        <f>VLOOKUP(B7,AssetStatic,3,FALSE)</f>
        <v>LON</v>
      </c>
      <c r="L7" s="8" t="s">
        <v>173</v>
      </c>
      <c r="M7" s="8" t="str">
        <f>VLOOKUP(B7,AssetStatic,2,FALSE)</f>
        <v>2b</v>
      </c>
      <c r="N7" t="str" cm="1">
        <f t="array" aca="1" ref="N7" ca="1">_xll.QIns_CreateAsianSwap("AsiOpt_Fwd_"&amp;ROW(),IF(C7="",D7:E7,C7),B7,I7,0,H7,K7,I7,L7,M7,,J7,IF(I7="USD","None","ATC"))</f>
        <v>AsiOpt_Fwd_7¬0</v>
      </c>
      <c r="O7" s="14" cm="1">
        <f t="array" aca="1" ref="O7" ca="1">_xll.QIns_ProductParRate(N7,AModel)</f>
        <v>32264.729854869853</v>
      </c>
      <c r="P7" s="11" cm="1">
        <f t="array" aca="1" ref="P7" ca="1">_xll.QModels_GetCompoVol(AModel,B7,I7,F7,E7)</f>
        <v>0.27453112572143012</v>
      </c>
      <c r="Q7" t="str" cm="1">
        <f t="array" aca="1" ref="Q7" ca="1">_xll.QIns_CreateAsianOption("asiOpt_"&amp;ROW(),IF(C7="",D7:E7,C7),B7,I7,F7,G7,H7,K7,I7,L7,M7,,J7)</f>
        <v>asiOpt_7¬0</v>
      </c>
      <c r="R7" s="21" cm="1">
        <f t="array" aca="1" ref="R7" ca="1">_xll.QIns_ProductPV(Q7,AModel,I7)</f>
        <v>132316.57863016907</v>
      </c>
      <c r="S7" t="str" cm="1">
        <f t="array" aca="1" ref="S7" ca="1">IF(VLOOKUP(B7,AssetStatic,4,FALSE),_xll.QRisk_PortfolioFxDeltaSpecific("asiOpt_DeltaA"&amp;ROW(),Q7,AModel,B7,"ZAR",FALSE),_xll.QRisk_PortfolioDelta("asiOpt_DeltaA"&amp;ROW(),Q7,AModel,FALSE))</f>
        <v>asiOpt_DeltaA7¬3</v>
      </c>
      <c r="T7" s="21" cm="1">
        <f t="array" aca="1" ref="T7" ca="1">_xll.QCube_SumAllRows(S7)</f>
        <v>-26.47382026085079</v>
      </c>
      <c r="U7" s="11">
        <f t="shared" ref="U7" ca="1" si="10">T7/H7</f>
        <v>-0.25954725745932145</v>
      </c>
      <c r="V7" t="str" cm="1">
        <f t="array" aca="1" ref="V7" ca="1">_xll.QRisk_PortfolioVega("euopt_commVegaA"&amp;ROW(),Q7,AModel,I7)</f>
        <v>euopt_commVegaA7¬1</v>
      </c>
      <c r="W7" s="21" cm="1">
        <f t="array" aca="1" ref="W7" ca="1">_xll.QCube_SumAllRows(V7)</f>
        <v>0</v>
      </c>
      <c r="X7" s="120">
        <f t="shared" ref="X7" ca="1" si="11">W7/H7</f>
        <v>0</v>
      </c>
      <c r="Y7" t="str" cm="1">
        <f t="array" aca="1" ref="Y7" ca="1">_xll.QRisk_PortfolioFxVega("euOpt_fxVegaA"&amp;ROW(),Q7,AModel,I7)</f>
        <v>euOpt_fxVegaA7¬1</v>
      </c>
      <c r="Z7" s="21" cm="1">
        <f t="array" aca="1" ref="Z7" ca="1">_xll.QCube_SumAllRows(Y7)</f>
        <v>10629.674787420081</v>
      </c>
      <c r="AA7" s="120">
        <f t="shared" ref="AA7" ca="1" si="12">Z7/H7</f>
        <v>104.21249791588315</v>
      </c>
    </row>
    <row r="8" spans="1:27" x14ac:dyDescent="0.25">
      <c r="C8" s="121"/>
      <c r="M8" s="14"/>
    </row>
    <row r="9" spans="1:27" x14ac:dyDescent="0.25">
      <c r="C9" s="121"/>
    </row>
    <row r="10" spans="1:27" x14ac:dyDescent="0.25">
      <c r="C10" s="121"/>
    </row>
    <row r="11" spans="1:27" x14ac:dyDescent="0.25">
      <c r="C11" s="121"/>
    </row>
    <row r="12" spans="1:27" x14ac:dyDescent="0.25">
      <c r="C12" s="121"/>
    </row>
    <row r="13" spans="1:27" x14ac:dyDescent="0.25">
      <c r="C13" s="121"/>
    </row>
    <row r="14" spans="1:27" x14ac:dyDescent="0.25">
      <c r="C14" s="121"/>
    </row>
    <row r="15" spans="1:27" x14ac:dyDescent="0.25">
      <c r="C15" s="121"/>
    </row>
    <row r="16" spans="1:27" x14ac:dyDescent="0.25">
      <c r="C16" s="121"/>
    </row>
    <row r="17" spans="3:3" x14ac:dyDescent="0.25">
      <c r="C17" s="121"/>
    </row>
    <row r="18" spans="3:3" x14ac:dyDescent="0.25">
      <c r="C18" s="121"/>
    </row>
    <row r="19" spans="3:3" x14ac:dyDescent="0.25">
      <c r="C19" s="121"/>
    </row>
    <row r="20" spans="3:3" x14ac:dyDescent="0.25">
      <c r="C20" s="121"/>
    </row>
    <row r="21" spans="3:3" x14ac:dyDescent="0.25">
      <c r="C21" s="121"/>
    </row>
    <row r="22" spans="3:3" x14ac:dyDescent="0.25">
      <c r="C22" s="121"/>
    </row>
    <row r="23" spans="3:3" x14ac:dyDescent="0.25">
      <c r="C23" s="121"/>
    </row>
    <row r="24" spans="3:3" x14ac:dyDescent="0.25">
      <c r="C24" s="121"/>
    </row>
    <row r="25" spans="3:3" x14ac:dyDescent="0.25">
      <c r="C25" s="121"/>
    </row>
    <row r="26" spans="3:3" x14ac:dyDescent="0.25">
      <c r="C26" s="121"/>
    </row>
    <row r="27" spans="3:3" x14ac:dyDescent="0.25">
      <c r="C27" s="121"/>
    </row>
    <row r="28" spans="3:3" x14ac:dyDescent="0.25">
      <c r="C28" s="121"/>
    </row>
    <row r="29" spans="3:3" x14ac:dyDescent="0.25">
      <c r="C29" s="121"/>
    </row>
    <row r="30" spans="3:3" x14ac:dyDescent="0.25">
      <c r="C30" s="121"/>
    </row>
    <row r="31" spans="3:3" x14ac:dyDescent="0.25">
      <c r="C31" s="121"/>
    </row>
    <row r="32" spans="3:3" x14ac:dyDescent="0.25">
      <c r="C32" s="121"/>
    </row>
    <row r="33" spans="3:3" x14ac:dyDescent="0.25">
      <c r="C33" s="121"/>
    </row>
    <row r="34" spans="3:3" x14ac:dyDescent="0.25">
      <c r="C34" s="121"/>
    </row>
    <row r="35" spans="3:3" x14ac:dyDescent="0.25">
      <c r="C35" s="121"/>
    </row>
    <row r="36" spans="3:3" x14ac:dyDescent="0.25">
      <c r="C36" s="121"/>
    </row>
    <row r="37" spans="3:3" x14ac:dyDescent="0.25">
      <c r="C37" s="121"/>
    </row>
    <row r="38" spans="3:3" x14ac:dyDescent="0.25">
      <c r="C38" s="121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2EC8-42DA-4218-85A5-93B01AFE31F8}">
  <dimension ref="A1:L31"/>
  <sheetViews>
    <sheetView workbookViewId="0">
      <selection activeCell="D8" sqref="D8"/>
    </sheetView>
  </sheetViews>
  <sheetFormatPr defaultRowHeight="15" x14ac:dyDescent="0.25"/>
  <cols>
    <col min="2" max="2" width="12.7109375" bestFit="1" customWidth="1"/>
    <col min="3" max="3" width="11.140625" bestFit="1" customWidth="1"/>
    <col min="6" max="8" width="10.140625" bestFit="1" customWidth="1"/>
    <col min="18" max="20" width="14.7109375" bestFit="1" customWidth="1"/>
  </cols>
  <sheetData>
    <row r="1" spans="1:2" x14ac:dyDescent="0.25">
      <c r="A1" s="3" t="s">
        <v>182</v>
      </c>
      <c r="B1" s="6" t="s">
        <v>184</v>
      </c>
    </row>
    <row r="3" spans="1:2" x14ac:dyDescent="0.25">
      <c r="A3" s="3" t="s">
        <v>185</v>
      </c>
      <c r="B3" t="str" cm="1">
        <f t="array" aca="1" ref="B3" ca="1">_xll.QIns_CreatePortfolio("PF_"&amp;B1,_xll.QUtils_Join(_xll.QUtils_Filter(AsianOptionObjects,AsianOptionTags,Tag,FALSE),_xll.QUtils_Filter(EuroOptionObjects,EuroOptionTags,Tag,FALSE),_xll.QUtils_Filter(AsianSwapObjects,AsianSwapTags,Tag,FALSE)))</f>
        <v>PF_ClientA¬0</v>
      </c>
    </row>
    <row r="17" spans="1:12" x14ac:dyDescent="0.25">
      <c r="A17" t="s">
        <v>186</v>
      </c>
      <c r="B17" t="str">
        <f t="array" aca="1" ref="B17:L31" ca="1">_xll.QIns_DisplayPortfolio(B3)</f>
        <v>TradeId</v>
      </c>
      <c r="C17" t="str">
        <f ca="1"/>
        <v>Type</v>
      </c>
      <c r="D17" t="str">
        <f ca="1"/>
        <v>Asset</v>
      </c>
      <c r="E17" t="str">
        <f ca="1"/>
        <v>Ccy</v>
      </c>
      <c r="F17" s="1" t="str">
        <f ca="1"/>
        <v>Start</v>
      </c>
      <c r="G17" s="1" t="str">
        <f ca="1"/>
        <v>End</v>
      </c>
      <c r="H17" s="1" t="str">
        <f ca="1"/>
        <v>Settle</v>
      </c>
      <c r="I17" t="str">
        <f ca="1"/>
        <v>Strike/Rate</v>
      </c>
      <c r="J17" t="str">
        <f ca="1"/>
        <v>Quantity</v>
      </c>
      <c r="K17" t="str">
        <f ca="1"/>
        <v>Call/Put</v>
      </c>
      <c r="L17" t="str">
        <f ca="1"/>
        <v>Counterparty</v>
      </c>
    </row>
    <row r="18" spans="1:12" x14ac:dyDescent="0.25">
      <c r="B18" t="str">
        <f ca="1"/>
        <v>asiOpt_4</v>
      </c>
      <c r="C18" t="str">
        <f ca="1"/>
        <v>AsianOption</v>
      </c>
      <c r="D18" t="str">
        <f ca="1"/>
        <v>QS</v>
      </c>
      <c r="E18" t="str">
        <f ca="1"/>
        <v>ZAR</v>
      </c>
      <c r="F18" s="1">
        <f ca="1"/>
        <v>44136</v>
      </c>
      <c r="G18" s="1">
        <f ca="1"/>
        <v>44165</v>
      </c>
      <c r="H18" s="1">
        <f ca="1"/>
        <v>44167</v>
      </c>
      <c r="I18">
        <f ca="1"/>
        <v>5132.6703573199165</v>
      </c>
      <c r="J18">
        <f ca="1"/>
        <v>100</v>
      </c>
      <c r="K18" t="str">
        <f ca="1"/>
        <v>Put</v>
      </c>
      <c r="L18" t="str">
        <f ca="1"/>
        <v/>
      </c>
    </row>
    <row r="19" spans="1:12" x14ac:dyDescent="0.25">
      <c r="B19" t="str">
        <f ca="1"/>
        <v>asiOpt_5</v>
      </c>
      <c r="C19" t="str">
        <f ca="1"/>
        <v>AsianOption</v>
      </c>
      <c r="D19" t="str">
        <f ca="1"/>
        <v>XAU/USD</v>
      </c>
      <c r="E19" t="str">
        <f ca="1"/>
        <v>USD</v>
      </c>
      <c r="F19" s="1">
        <f ca="1"/>
        <v>44166</v>
      </c>
      <c r="G19" s="1">
        <f ca="1"/>
        <v>44196</v>
      </c>
      <c r="H19" s="1">
        <f ca="1"/>
        <v>44201</v>
      </c>
      <c r="I19">
        <f ca="1"/>
        <v>1539.7384821744492</v>
      </c>
      <c r="J19">
        <f ca="1"/>
        <v>101</v>
      </c>
      <c r="K19" t="str">
        <f ca="1"/>
        <v>Put</v>
      </c>
      <c r="L19" t="str">
        <f ca="1"/>
        <v/>
      </c>
    </row>
    <row r="20" spans="1:12" x14ac:dyDescent="0.25">
      <c r="B20" t="str">
        <f ca="1"/>
        <v>AsiSwap_4</v>
      </c>
      <c r="C20" t="str">
        <f ca="1"/>
        <v>AsianSwap</v>
      </c>
      <c r="D20" t="str">
        <f ca="1"/>
        <v>QS</v>
      </c>
      <c r="E20" t="str">
        <f ca="1"/>
        <v>ZAR</v>
      </c>
      <c r="F20" s="1">
        <f ca="1"/>
        <v>44593</v>
      </c>
      <c r="G20" s="1">
        <f ca="1"/>
        <v>44620</v>
      </c>
      <c r="H20" s="1">
        <f ca="1"/>
        <v>44622</v>
      </c>
      <c r="I20">
        <f ca="1"/>
        <v>6413.9630713864817</v>
      </c>
      <c r="J20">
        <f ca="1"/>
        <v>100</v>
      </c>
      <c r="K20" t="str">
        <f ca="1"/>
        <v/>
      </c>
      <c r="L20" t="str">
        <f ca="1"/>
        <v/>
      </c>
    </row>
    <row r="21" spans="1:12" x14ac:dyDescent="0.25">
      <c r="B21" t="str">
        <f ca="1"/>
        <v>AsiSwap_5</v>
      </c>
      <c r="C21" t="str">
        <f ca="1"/>
        <v>AsianSwap</v>
      </c>
      <c r="D21" t="str">
        <f ca="1"/>
        <v>XAU/USD</v>
      </c>
      <c r="E21" t="str">
        <f ca="1"/>
        <v>USD</v>
      </c>
      <c r="F21" s="1">
        <f ca="1"/>
        <v>44593</v>
      </c>
      <c r="G21" s="1">
        <f ca="1"/>
        <v>44620</v>
      </c>
      <c r="H21" s="1">
        <f ca="1"/>
        <v>44622</v>
      </c>
      <c r="I21">
        <f ca="1"/>
        <v>1536.5361022553159</v>
      </c>
      <c r="J21">
        <f ca="1"/>
        <v>101</v>
      </c>
      <c r="K21" t="str">
        <f ca="1"/>
        <v/>
      </c>
      <c r="L21" t="str">
        <f ca="1"/>
        <v/>
      </c>
    </row>
    <row r="22" spans="1:12" x14ac:dyDescent="0.25">
      <c r="B22" t="str">
        <f ca="1"/>
        <v>AsiSwap_6</v>
      </c>
      <c r="C22" t="str">
        <f ca="1"/>
        <v>AsianSwap</v>
      </c>
      <c r="D22" t="str">
        <f ca="1"/>
        <v>XAU/USD</v>
      </c>
      <c r="E22" t="str">
        <f ca="1"/>
        <v>ZAR</v>
      </c>
      <c r="F22" s="1">
        <f ca="1"/>
        <v>44593</v>
      </c>
      <c r="G22" s="1">
        <f ca="1"/>
        <v>44620</v>
      </c>
      <c r="H22" s="1">
        <f ca="1"/>
        <v>44622</v>
      </c>
      <c r="I22">
        <f ca="1"/>
        <v>30052.243624895957</v>
      </c>
      <c r="J22">
        <f ca="1"/>
        <v>102</v>
      </c>
      <c r="K22" t="str">
        <f ca="1"/>
        <v/>
      </c>
      <c r="L22" t="str">
        <f ca="1"/>
        <v/>
      </c>
    </row>
    <row r="23" spans="1:12" x14ac:dyDescent="0.25">
      <c r="B23" t="str">
        <f ca="1"/>
        <v>AsiSwap_7</v>
      </c>
      <c r="C23" t="str">
        <f ca="1"/>
        <v>AsianSwap</v>
      </c>
      <c r="D23" t="str">
        <f ca="1"/>
        <v>XAU/USD</v>
      </c>
      <c r="E23" t="str">
        <f ca="1"/>
        <v>ZAR</v>
      </c>
      <c r="F23" s="1">
        <f ca="1"/>
        <v>44593</v>
      </c>
      <c r="G23" s="1">
        <f ca="1"/>
        <v>44620</v>
      </c>
      <c r="H23" s="1">
        <f ca="1"/>
        <v>44622</v>
      </c>
      <c r="I23">
        <f ca="1"/>
        <v>30052.243624895957</v>
      </c>
      <c r="J23">
        <f ca="1"/>
        <v>102</v>
      </c>
      <c r="K23" t="str">
        <f ca="1"/>
        <v/>
      </c>
      <c r="L23" t="str">
        <f ca="1"/>
        <v/>
      </c>
    </row>
    <row r="24" spans="1:12" x14ac:dyDescent="0.25">
      <c r="B24" t="str">
        <f ca="1"/>
        <v>euOpt_4</v>
      </c>
      <c r="C24" t="str">
        <f ca="1"/>
        <v>EuroOption</v>
      </c>
      <c r="D24" t="str">
        <f ca="1"/>
        <v>QS</v>
      </c>
      <c r="E24" t="str">
        <f ca="1"/>
        <v>ZAR</v>
      </c>
      <c r="F24" s="1">
        <f ca="1"/>
        <v>44326</v>
      </c>
      <c r="G24" s="1">
        <f ca="1"/>
        <v>44326</v>
      </c>
      <c r="H24" s="1">
        <f ca="1"/>
        <v>44328</v>
      </c>
      <c r="I24">
        <f ca="1"/>
        <v>5668.2719423497856</v>
      </c>
      <c r="J24">
        <f ca="1"/>
        <v>100</v>
      </c>
      <c r="K24" t="str">
        <f ca="1"/>
        <v>Put</v>
      </c>
      <c r="L24" t="str">
        <f ca="1"/>
        <v/>
      </c>
    </row>
    <row r="25" spans="1:12" x14ac:dyDescent="0.25">
      <c r="B25" t="e">
        <f ca="1"/>
        <v>#N/A</v>
      </c>
      <c r="C25" t="e">
        <f ca="1"/>
        <v>#N/A</v>
      </c>
      <c r="D25" t="e">
        <f ca="1"/>
        <v>#N/A</v>
      </c>
      <c r="E25" t="e">
        <f ca="1"/>
        <v>#N/A</v>
      </c>
      <c r="F25" s="1" t="e">
        <f ca="1"/>
        <v>#N/A</v>
      </c>
      <c r="G25" s="1" t="e">
        <f ca="1"/>
        <v>#N/A</v>
      </c>
      <c r="H25" s="1" t="e">
        <f ca="1"/>
        <v>#N/A</v>
      </c>
      <c r="I25" t="e">
        <f ca="1"/>
        <v>#N/A</v>
      </c>
      <c r="J25" t="e">
        <f ca="1"/>
        <v>#N/A</v>
      </c>
      <c r="K25" t="e">
        <f ca="1"/>
        <v>#N/A</v>
      </c>
      <c r="L25" t="e">
        <f ca="1"/>
        <v>#N/A</v>
      </c>
    </row>
    <row r="26" spans="1:12" x14ac:dyDescent="0.25">
      <c r="B26" t="e">
        <f ca="1"/>
        <v>#N/A</v>
      </c>
      <c r="C26" t="e">
        <f ca="1"/>
        <v>#N/A</v>
      </c>
      <c r="D26" t="e">
        <f ca="1"/>
        <v>#N/A</v>
      </c>
      <c r="E26" t="e">
        <f ca="1"/>
        <v>#N/A</v>
      </c>
      <c r="F26" s="1" t="e">
        <f ca="1"/>
        <v>#N/A</v>
      </c>
      <c r="G26" s="1" t="e">
        <f ca="1"/>
        <v>#N/A</v>
      </c>
      <c r="H26" s="1" t="e">
        <f ca="1"/>
        <v>#N/A</v>
      </c>
      <c r="I26" t="e">
        <f ca="1"/>
        <v>#N/A</v>
      </c>
      <c r="J26" t="e">
        <f ca="1"/>
        <v>#N/A</v>
      </c>
      <c r="K26" t="e">
        <f ca="1"/>
        <v>#N/A</v>
      </c>
      <c r="L26" t="e">
        <f ca="1"/>
        <v>#N/A</v>
      </c>
    </row>
    <row r="27" spans="1:12" x14ac:dyDescent="0.25">
      <c r="B27" t="e">
        <f ca="1"/>
        <v>#N/A</v>
      </c>
      <c r="C27" t="e">
        <f ca="1"/>
        <v>#N/A</v>
      </c>
      <c r="D27" t="e">
        <f ca="1"/>
        <v>#N/A</v>
      </c>
      <c r="E27" t="e">
        <f ca="1"/>
        <v>#N/A</v>
      </c>
      <c r="F27" s="1" t="e">
        <f ca="1"/>
        <v>#N/A</v>
      </c>
      <c r="G27" s="1" t="e">
        <f ca="1"/>
        <v>#N/A</v>
      </c>
      <c r="H27" s="1" t="e">
        <f ca="1"/>
        <v>#N/A</v>
      </c>
      <c r="I27" t="e">
        <f ca="1"/>
        <v>#N/A</v>
      </c>
      <c r="J27" t="e">
        <f ca="1"/>
        <v>#N/A</v>
      </c>
      <c r="K27" t="e">
        <f ca="1"/>
        <v>#N/A</v>
      </c>
      <c r="L27" t="e">
        <f ca="1"/>
        <v>#N/A</v>
      </c>
    </row>
    <row r="28" spans="1:12" x14ac:dyDescent="0.25">
      <c r="B28" t="e">
        <f ca="1"/>
        <v>#N/A</v>
      </c>
      <c r="C28" t="e">
        <f ca="1"/>
        <v>#N/A</v>
      </c>
      <c r="D28" t="e">
        <f ca="1"/>
        <v>#N/A</v>
      </c>
      <c r="E28" t="e">
        <f ca="1"/>
        <v>#N/A</v>
      </c>
      <c r="F28" t="e">
        <f ca="1"/>
        <v>#N/A</v>
      </c>
      <c r="G28" t="e">
        <f ca="1"/>
        <v>#N/A</v>
      </c>
      <c r="H28" t="e">
        <f ca="1"/>
        <v>#N/A</v>
      </c>
      <c r="I28" t="e">
        <f ca="1"/>
        <v>#N/A</v>
      </c>
      <c r="J28" t="e">
        <f ca="1"/>
        <v>#N/A</v>
      </c>
      <c r="K28" t="e">
        <f ca="1"/>
        <v>#N/A</v>
      </c>
      <c r="L28" t="e">
        <f ca="1"/>
        <v>#N/A</v>
      </c>
    </row>
    <row r="29" spans="1:12" x14ac:dyDescent="0.25">
      <c r="B29" t="e">
        <f ca="1"/>
        <v>#N/A</v>
      </c>
      <c r="C29" t="e">
        <f ca="1"/>
        <v>#N/A</v>
      </c>
      <c r="D29" t="e">
        <f ca="1"/>
        <v>#N/A</v>
      </c>
      <c r="E29" t="e">
        <f ca="1"/>
        <v>#N/A</v>
      </c>
      <c r="F29" t="e">
        <f ca="1"/>
        <v>#N/A</v>
      </c>
      <c r="G29" t="e">
        <f ca="1"/>
        <v>#N/A</v>
      </c>
      <c r="H29" t="e">
        <f ca="1"/>
        <v>#N/A</v>
      </c>
      <c r="I29" t="e">
        <f ca="1"/>
        <v>#N/A</v>
      </c>
      <c r="J29" t="e">
        <f ca="1"/>
        <v>#N/A</v>
      </c>
      <c r="K29" t="e">
        <f ca="1"/>
        <v>#N/A</v>
      </c>
      <c r="L29" t="e">
        <f ca="1"/>
        <v>#N/A</v>
      </c>
    </row>
    <row r="30" spans="1:12" x14ac:dyDescent="0.25">
      <c r="B30" t="e">
        <f ca="1"/>
        <v>#N/A</v>
      </c>
      <c r="C30" t="e">
        <f ca="1"/>
        <v>#N/A</v>
      </c>
      <c r="D30" t="e">
        <f ca="1"/>
        <v>#N/A</v>
      </c>
      <c r="E30" t="e">
        <f ca="1"/>
        <v>#N/A</v>
      </c>
      <c r="F30" t="e">
        <f ca="1"/>
        <v>#N/A</v>
      </c>
      <c r="G30" t="e">
        <f ca="1"/>
        <v>#N/A</v>
      </c>
      <c r="H30" t="e">
        <f ca="1"/>
        <v>#N/A</v>
      </c>
      <c r="I30" t="e">
        <f ca="1"/>
        <v>#N/A</v>
      </c>
      <c r="J30" t="e">
        <f ca="1"/>
        <v>#N/A</v>
      </c>
      <c r="K30" t="e">
        <f ca="1"/>
        <v>#N/A</v>
      </c>
      <c r="L30" t="e">
        <f ca="1"/>
        <v>#N/A</v>
      </c>
    </row>
    <row r="31" spans="1:12" x14ac:dyDescent="0.25">
      <c r="B31" t="e">
        <f ca="1"/>
        <v>#N/A</v>
      </c>
      <c r="C31" t="e">
        <f ca="1"/>
        <v>#N/A</v>
      </c>
      <c r="D31" t="e">
        <f ca="1"/>
        <v>#N/A</v>
      </c>
      <c r="E31" t="e">
        <f ca="1"/>
        <v>#N/A</v>
      </c>
      <c r="F31" t="e">
        <f ca="1"/>
        <v>#N/A</v>
      </c>
      <c r="G31" t="e">
        <f ca="1"/>
        <v>#N/A</v>
      </c>
      <c r="H31" t="e">
        <f ca="1"/>
        <v>#N/A</v>
      </c>
      <c r="I31" t="e">
        <f ca="1"/>
        <v>#N/A</v>
      </c>
      <c r="J31" t="e">
        <f ca="1"/>
        <v>#N/A</v>
      </c>
      <c r="K31" t="e">
        <f ca="1"/>
        <v>#N/A</v>
      </c>
      <c r="L31" t="e">
        <f ca="1"/>
        <v>#N/A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0CDA-D8CB-46CE-9A1B-CB84241FA071}">
  <dimension ref="A1:U45"/>
  <sheetViews>
    <sheetView workbookViewId="0">
      <selection activeCell="B4" sqref="A4:B4"/>
    </sheetView>
  </sheetViews>
  <sheetFormatPr defaultRowHeight="15" x14ac:dyDescent="0.25"/>
  <cols>
    <col min="1" max="1" width="9.140625" style="3"/>
    <col min="2" max="2" width="15.28515625" bestFit="1" customWidth="1"/>
    <col min="3" max="3" width="17.42578125" bestFit="1" customWidth="1"/>
    <col min="5" max="5" width="13.85546875" bestFit="1" customWidth="1"/>
    <col min="6" max="6" width="11.5703125" bestFit="1" customWidth="1"/>
    <col min="7" max="7" width="10.5703125" bestFit="1" customWidth="1"/>
    <col min="15" max="15" width="11.28515625" bestFit="1" customWidth="1"/>
    <col min="16" max="17" width="10.5703125" bestFit="1" customWidth="1"/>
  </cols>
  <sheetData>
    <row r="1" spans="1:21" x14ac:dyDescent="0.25">
      <c r="A1" s="3" t="s">
        <v>190</v>
      </c>
      <c r="B1" s="8" t="str">
        <f ca="1">AModel</f>
        <v>A-Model¬1</v>
      </c>
      <c r="E1" s="105" t="s">
        <v>207</v>
      </c>
      <c r="F1" s="23">
        <f ca="1">SUM(F3:F13)</f>
        <v>387150.04135901615</v>
      </c>
      <c r="G1" s="23">
        <f ca="1">SUM(G3:G13)</f>
        <v>281.06909898487646</v>
      </c>
      <c r="O1" s="105" t="s">
        <v>208</v>
      </c>
      <c r="P1" s="23">
        <f ca="1">SUM(P3:P13)</f>
        <v>724.37526994064683</v>
      </c>
      <c r="Q1" s="23">
        <f ca="1">SUM(Q3:Q13)</f>
        <v>7326.5703885658877</v>
      </c>
    </row>
    <row r="2" spans="1:21" x14ac:dyDescent="0.25">
      <c r="A2" s="3" t="s">
        <v>185</v>
      </c>
      <c r="B2" s="34" t="str">
        <f ca="1">Portfolio</f>
        <v>PF_ClientA¬0</v>
      </c>
      <c r="E2" s="132">
        <f t="array" aca="1" ref="E2:M10" ca="1">_xll.QCube_CubeToMatrix(C6,"TradeId","AssetId")</f>
        <v>0</v>
      </c>
      <c r="F2" s="133" t="str">
        <f ca="1"/>
        <v>USD/ZAR</v>
      </c>
      <c r="G2" s="133" t="str">
        <f ca="1"/>
        <v>XAU/USD</v>
      </c>
      <c r="H2" s="133" t="str">
        <f ca="1"/>
        <v/>
      </c>
      <c r="I2" s="133" t="str">
        <f ca="1"/>
        <v/>
      </c>
      <c r="J2" s="133" t="str">
        <f ca="1"/>
        <v/>
      </c>
      <c r="K2" s="133" t="str">
        <f ca="1"/>
        <v/>
      </c>
      <c r="L2" s="133" t="str">
        <f ca="1"/>
        <v/>
      </c>
      <c r="M2" s="134" t="str">
        <f ca="1"/>
        <v/>
      </c>
      <c r="O2" s="132">
        <f t="array" aca="1" ref="O2:U13" ca="1">_xll.QCube_CubeToMatrix(C7,"PointLabel","AssetId")</f>
        <v>0</v>
      </c>
      <c r="P2" s="133" t="str">
        <f ca="1"/>
        <v>USD/ZAR</v>
      </c>
      <c r="Q2" s="133" t="str">
        <f ca="1"/>
        <v>XAU/USD</v>
      </c>
      <c r="R2" s="133" t="str">
        <f ca="1"/>
        <v/>
      </c>
      <c r="S2" s="133" t="str">
        <f ca="1"/>
        <v/>
      </c>
      <c r="T2" s="133" t="str">
        <f ca="1"/>
        <v/>
      </c>
      <c r="U2" s="134" t="str">
        <f ca="1"/>
        <v/>
      </c>
    </row>
    <row r="3" spans="1:21" x14ac:dyDescent="0.25">
      <c r="B3" s="8"/>
      <c r="E3" s="135" t="str">
        <f ca="1"/>
        <v>asiOpt_4</v>
      </c>
      <c r="F3" s="136">
        <f ca="1"/>
        <v>-7884.0779483852612</v>
      </c>
      <c r="G3" s="136">
        <f ca="1"/>
        <v>0</v>
      </c>
      <c r="H3" s="136" t="str">
        <f ca="1"/>
        <v/>
      </c>
      <c r="I3" s="136" t="str">
        <f ca="1"/>
        <v/>
      </c>
      <c r="J3" s="136" t="str">
        <f ca="1"/>
        <v/>
      </c>
      <c r="K3" s="136" t="str">
        <f ca="1"/>
        <v/>
      </c>
      <c r="L3" s="136" t="str">
        <f ca="1"/>
        <v/>
      </c>
      <c r="M3" s="137" t="str">
        <f ca="1"/>
        <v/>
      </c>
      <c r="O3" s="135" t="str">
        <f ca="1"/>
        <v>3m</v>
      </c>
      <c r="P3" s="136">
        <f ca="1"/>
        <v>2.7189625507890014</v>
      </c>
      <c r="Q3" s="136">
        <f ca="1"/>
        <v>0</v>
      </c>
      <c r="R3" s="136" t="str">
        <f ca="1"/>
        <v/>
      </c>
      <c r="S3" s="136" t="str">
        <f ca="1"/>
        <v/>
      </c>
      <c r="T3" s="136" t="str">
        <f ca="1"/>
        <v/>
      </c>
      <c r="U3" s="137" t="str">
        <f ca="1"/>
        <v/>
      </c>
    </row>
    <row r="4" spans="1:21" x14ac:dyDescent="0.25">
      <c r="A4" s="3" t="s">
        <v>211</v>
      </c>
      <c r="B4" s="34" t="s">
        <v>212</v>
      </c>
      <c r="E4" s="135" t="str">
        <f ca="1"/>
        <v>asiOpt_5</v>
      </c>
      <c r="F4" s="136">
        <f ca="1"/>
        <v>4940.5907637443661</v>
      </c>
      <c r="G4" s="136">
        <f ca="1"/>
        <v>-22.404715427058509</v>
      </c>
      <c r="H4" s="136" t="str">
        <f ca="1"/>
        <v/>
      </c>
      <c r="I4" s="136" t="str">
        <f ca="1"/>
        <v/>
      </c>
      <c r="J4" s="136" t="str">
        <f ca="1"/>
        <v/>
      </c>
      <c r="K4" s="136" t="str">
        <f ca="1"/>
        <v/>
      </c>
      <c r="L4" s="136" t="str">
        <f ca="1"/>
        <v/>
      </c>
      <c r="M4" s="137" t="str">
        <f ca="1"/>
        <v/>
      </c>
      <c r="O4" s="135" t="str">
        <f ca="1"/>
        <v>6m</v>
      </c>
      <c r="P4" s="136">
        <f ca="1"/>
        <v>213.29556543874787</v>
      </c>
      <c r="Q4" s="136">
        <f ca="1"/>
        <v>3948.6416340334108</v>
      </c>
      <c r="R4" s="136" t="str">
        <f ca="1"/>
        <v/>
      </c>
      <c r="S4" s="136" t="str">
        <f ca="1"/>
        <v/>
      </c>
      <c r="T4" s="136" t="str">
        <f ca="1"/>
        <v/>
      </c>
      <c r="U4" s="137" t="str">
        <f ca="1"/>
        <v/>
      </c>
    </row>
    <row r="5" spans="1:21" x14ac:dyDescent="0.25">
      <c r="B5" s="8"/>
      <c r="E5" s="135" t="str">
        <f ca="1"/>
        <v>AsiSwap_4</v>
      </c>
      <c r="F5" s="136">
        <f ca="1"/>
        <v>36205.915185708312</v>
      </c>
      <c r="G5" s="136">
        <f ca="1"/>
        <v>0</v>
      </c>
      <c r="H5" s="136" t="str">
        <f ca="1"/>
        <v/>
      </c>
      <c r="I5" s="136" t="str">
        <f ca="1"/>
        <v/>
      </c>
      <c r="J5" s="136" t="str">
        <f ca="1"/>
        <v/>
      </c>
      <c r="K5" s="136" t="str">
        <f ca="1"/>
        <v/>
      </c>
      <c r="L5" s="136" t="str">
        <f ca="1"/>
        <v/>
      </c>
      <c r="M5" s="137" t="str">
        <f ca="1"/>
        <v/>
      </c>
      <c r="O5" s="135" t="str">
        <f ca="1"/>
        <v>9m</v>
      </c>
      <c r="P5" s="136">
        <f ca="1"/>
        <v>28.863714229810284</v>
      </c>
      <c r="Q5" s="136">
        <f ca="1"/>
        <v>3377.9287545324769</v>
      </c>
      <c r="R5" s="136" t="str">
        <f ca="1"/>
        <v/>
      </c>
      <c r="S5" s="136" t="str">
        <f ca="1"/>
        <v/>
      </c>
      <c r="T5" s="136" t="str">
        <f ca="1"/>
        <v/>
      </c>
      <c r="U5" s="137" t="str">
        <f ca="1"/>
        <v/>
      </c>
    </row>
    <row r="6" spans="1:21" x14ac:dyDescent="0.25">
      <c r="A6" s="3" t="s">
        <v>204</v>
      </c>
      <c r="B6" s="8" t="s">
        <v>202</v>
      </c>
      <c r="C6" t="str" cm="1">
        <f t="array" aca="1" ref="C6" ca="1">IF(B4="On",_xll.QRisk_PortfolioFxDeltaSpecific(B6,B2,B1,Static!$B$9:$B$15,"ZAR",FALSE),B6)</f>
        <v>FxDelta¬0</v>
      </c>
      <c r="E6" s="135" t="str">
        <f ca="1"/>
        <v>AsiSwap_5</v>
      </c>
      <c r="F6" s="136">
        <f ca="1"/>
        <v>17161.68771038084</v>
      </c>
      <c r="G6" s="136">
        <f ca="1"/>
        <v>100.60431518654836</v>
      </c>
      <c r="H6" s="136" t="str">
        <f ca="1"/>
        <v/>
      </c>
      <c r="I6" s="136" t="str">
        <f ca="1"/>
        <v/>
      </c>
      <c r="J6" s="136" t="str">
        <f ca="1"/>
        <v/>
      </c>
      <c r="K6" s="136" t="str">
        <f ca="1"/>
        <v/>
      </c>
      <c r="L6" s="136" t="str">
        <f ca="1"/>
        <v/>
      </c>
      <c r="M6" s="137" t="str">
        <f ca="1"/>
        <v/>
      </c>
      <c r="O6" s="135" t="str">
        <f ca="1"/>
        <v>1y</v>
      </c>
      <c r="P6" s="136">
        <f ca="1"/>
        <v>479.49702772129967</v>
      </c>
      <c r="Q6" s="136">
        <f ca="1"/>
        <v>0</v>
      </c>
      <c r="R6" s="136" t="str">
        <f ca="1"/>
        <v/>
      </c>
      <c r="S6" s="136" t="str">
        <f ca="1"/>
        <v/>
      </c>
      <c r="T6" s="136" t="str">
        <f ca="1"/>
        <v/>
      </c>
      <c r="U6" s="137" t="str">
        <f ca="1"/>
        <v/>
      </c>
    </row>
    <row r="7" spans="1:21" x14ac:dyDescent="0.25">
      <c r="B7" s="8" t="s">
        <v>203</v>
      </c>
      <c r="C7" t="str" cm="1">
        <f t="array" aca="1" ref="C7" ca="1">IF(B4="On",_xll.QRisk_PortfolioFxVega(B7,B2,B1,"ZAR"),B7)</f>
        <v>FxVega(ZAR)¬0</v>
      </c>
      <c r="E7" s="135" t="str">
        <f ca="1"/>
        <v>AsiSwap_6</v>
      </c>
      <c r="F7" s="136">
        <f ca="1"/>
        <v>173033.48197492544</v>
      </c>
      <c r="G7" s="136">
        <f ca="1"/>
        <v>101.4347496126933</v>
      </c>
      <c r="H7" s="136" t="str">
        <f ca="1"/>
        <v/>
      </c>
      <c r="I7" s="136" t="str">
        <f ca="1"/>
        <v/>
      </c>
      <c r="J7" s="136" t="str">
        <f ca="1"/>
        <v/>
      </c>
      <c r="K7" s="136" t="str">
        <f ca="1"/>
        <v/>
      </c>
      <c r="L7" s="136" t="str">
        <f ca="1"/>
        <v/>
      </c>
      <c r="M7" s="137" t="str">
        <f ca="1"/>
        <v/>
      </c>
      <c r="O7" s="135" t="str">
        <f ca="1"/>
        <v/>
      </c>
      <c r="P7" s="136" t="str">
        <f ca="1"/>
        <v/>
      </c>
      <c r="Q7" s="136" t="str">
        <f ca="1"/>
        <v/>
      </c>
      <c r="R7" s="136" t="str">
        <f ca="1"/>
        <v/>
      </c>
      <c r="S7" s="136" t="str">
        <f ca="1"/>
        <v/>
      </c>
      <c r="T7" s="136" t="str">
        <f ca="1"/>
        <v/>
      </c>
      <c r="U7" s="137" t="str">
        <f ca="1"/>
        <v/>
      </c>
    </row>
    <row r="8" spans="1:21" x14ac:dyDescent="0.25">
      <c r="B8" s="8" t="s">
        <v>205</v>
      </c>
      <c r="C8" t="str" cm="1">
        <f t="array" aca="1" ref="C8" ca="1">IF(B4="On",_xll.QRisk_PortfolioDelta(B8,B2,B1,FALSE),B8)</f>
        <v>AssetDelta¬0</v>
      </c>
      <c r="E8" s="135" t="str">
        <f ca="1"/>
        <v>AsiSwap_7</v>
      </c>
      <c r="F8" s="136">
        <f ca="1"/>
        <v>173033.48197492544</v>
      </c>
      <c r="G8" s="136">
        <f ca="1"/>
        <v>101.4347496126933</v>
      </c>
      <c r="H8" s="136" t="str">
        <f ca="1"/>
        <v/>
      </c>
      <c r="I8" s="136" t="str">
        <f ca="1"/>
        <v/>
      </c>
      <c r="J8" s="136" t="str">
        <f ca="1"/>
        <v/>
      </c>
      <c r="K8" s="136" t="str">
        <f ca="1"/>
        <v/>
      </c>
      <c r="L8" s="136" t="str">
        <f ca="1"/>
        <v/>
      </c>
      <c r="M8" s="137" t="str">
        <f ca="1"/>
        <v/>
      </c>
      <c r="O8" s="135" t="str">
        <f ca="1"/>
        <v/>
      </c>
      <c r="P8" s="136" t="str">
        <f ca="1"/>
        <v/>
      </c>
      <c r="Q8" s="136" t="str">
        <f ca="1"/>
        <v/>
      </c>
      <c r="R8" s="136" t="str">
        <f ca="1"/>
        <v/>
      </c>
      <c r="S8" s="136" t="str">
        <f ca="1"/>
        <v/>
      </c>
      <c r="T8" s="136" t="str">
        <f ca="1"/>
        <v/>
      </c>
      <c r="U8" s="137" t="str">
        <f ca="1"/>
        <v/>
      </c>
    </row>
    <row r="9" spans="1:21" x14ac:dyDescent="0.25">
      <c r="B9" s="8" t="s">
        <v>206</v>
      </c>
      <c r="C9" t="str" cm="1">
        <f t="array" aca="1" ref="C9" ca="1">IF(B4="On",_xll.QRisk_PortfolioVega(B9,B2,B1,"ZAR"),B9)</f>
        <v>AssetVega(ZAR)¬0</v>
      </c>
      <c r="E9" s="135" t="str">
        <f ca="1"/>
        <v>euOpt_4</v>
      </c>
      <c r="F9" s="136">
        <f ca="1"/>
        <v>-9341.0383022829992</v>
      </c>
      <c r="G9" s="136">
        <f ca="1"/>
        <v>0</v>
      </c>
      <c r="H9" s="136" t="str">
        <f ca="1"/>
        <v/>
      </c>
      <c r="I9" s="136" t="str">
        <f ca="1"/>
        <v/>
      </c>
      <c r="J9" s="136" t="str">
        <f ca="1"/>
        <v/>
      </c>
      <c r="K9" s="136" t="str">
        <f ca="1"/>
        <v/>
      </c>
      <c r="L9" s="136" t="str">
        <f ca="1"/>
        <v/>
      </c>
      <c r="M9" s="137" t="str">
        <f ca="1"/>
        <v/>
      </c>
      <c r="O9" s="135" t="str">
        <f ca="1"/>
        <v/>
      </c>
      <c r="P9" s="136" t="str">
        <f ca="1"/>
        <v/>
      </c>
      <c r="Q9" s="136" t="str">
        <f ca="1"/>
        <v/>
      </c>
      <c r="R9" s="136" t="str">
        <f ca="1"/>
        <v/>
      </c>
      <c r="S9" s="136" t="str">
        <f ca="1"/>
        <v/>
      </c>
      <c r="T9" s="136" t="str">
        <f ca="1"/>
        <v/>
      </c>
      <c r="U9" s="137" t="str">
        <f ca="1"/>
        <v/>
      </c>
    </row>
    <row r="10" spans="1:21" x14ac:dyDescent="0.25">
      <c r="B10" s="8"/>
      <c r="E10" s="135" t="str">
        <f ca="1"/>
        <v/>
      </c>
      <c r="F10" s="136" t="str">
        <f ca="1"/>
        <v/>
      </c>
      <c r="G10" s="136" t="str">
        <f ca="1"/>
        <v/>
      </c>
      <c r="H10" s="136" t="str">
        <f ca="1"/>
        <v/>
      </c>
      <c r="I10" s="136" t="str">
        <f ca="1"/>
        <v/>
      </c>
      <c r="J10" s="136" t="str">
        <f ca="1"/>
        <v/>
      </c>
      <c r="K10" s="136" t="str">
        <f ca="1"/>
        <v/>
      </c>
      <c r="L10" s="136" t="str">
        <f ca="1"/>
        <v/>
      </c>
      <c r="M10" s="137" t="str">
        <f ca="1"/>
        <v/>
      </c>
      <c r="O10" s="135" t="str">
        <f ca="1"/>
        <v/>
      </c>
      <c r="P10" s="136" t="str">
        <f ca="1"/>
        <v/>
      </c>
      <c r="Q10" s="136" t="str">
        <f ca="1"/>
        <v/>
      </c>
      <c r="R10" s="136" t="str">
        <f ca="1"/>
        <v/>
      </c>
      <c r="S10" s="136" t="str">
        <f ca="1"/>
        <v/>
      </c>
      <c r="T10" s="136" t="str">
        <f ca="1"/>
        <v/>
      </c>
      <c r="U10" s="137" t="str">
        <f ca="1"/>
        <v/>
      </c>
    </row>
    <row r="11" spans="1:21" x14ac:dyDescent="0.25">
      <c r="B11" s="8"/>
      <c r="E11" s="135"/>
      <c r="F11" s="136"/>
      <c r="G11" s="136"/>
      <c r="H11" s="136"/>
      <c r="I11" s="136"/>
      <c r="J11" s="136"/>
      <c r="K11" s="136"/>
      <c r="L11" s="136"/>
      <c r="M11" s="137"/>
      <c r="O11" s="135" t="str">
        <f ca="1"/>
        <v/>
      </c>
      <c r="P11" s="136" t="str">
        <f ca="1"/>
        <v/>
      </c>
      <c r="Q11" s="136" t="str">
        <f ca="1"/>
        <v/>
      </c>
      <c r="R11" s="136" t="str">
        <f ca="1"/>
        <v/>
      </c>
      <c r="S11" s="136" t="str">
        <f ca="1"/>
        <v/>
      </c>
      <c r="T11" s="136" t="str">
        <f ca="1"/>
        <v/>
      </c>
      <c r="U11" s="137" t="str">
        <f ca="1"/>
        <v/>
      </c>
    </row>
    <row r="12" spans="1:21" x14ac:dyDescent="0.25">
      <c r="B12" s="8"/>
      <c r="E12" s="135"/>
      <c r="F12" s="136"/>
      <c r="G12" s="136"/>
      <c r="H12" s="136"/>
      <c r="I12" s="136"/>
      <c r="J12" s="136"/>
      <c r="K12" s="136"/>
      <c r="L12" s="136"/>
      <c r="M12" s="137"/>
      <c r="O12" s="135" t="str">
        <f ca="1"/>
        <v/>
      </c>
      <c r="P12" s="136" t="str">
        <f ca="1"/>
        <v/>
      </c>
      <c r="Q12" s="136" t="str">
        <f ca="1"/>
        <v/>
      </c>
      <c r="R12" s="136" t="str">
        <f ca="1"/>
        <v/>
      </c>
      <c r="S12" s="136" t="str">
        <f ca="1"/>
        <v/>
      </c>
      <c r="T12" s="136" t="str">
        <f ca="1"/>
        <v/>
      </c>
      <c r="U12" s="137" t="str">
        <f ca="1"/>
        <v/>
      </c>
    </row>
    <row r="13" spans="1:21" x14ac:dyDescent="0.25">
      <c r="E13" s="138"/>
      <c r="F13" s="139"/>
      <c r="G13" s="139"/>
      <c r="H13" s="139"/>
      <c r="I13" s="139"/>
      <c r="J13" s="139"/>
      <c r="K13" s="139"/>
      <c r="L13" s="139"/>
      <c r="M13" s="140"/>
      <c r="O13" s="138" t="str">
        <f ca="1"/>
        <v/>
      </c>
      <c r="P13" s="139" t="str">
        <f ca="1"/>
        <v/>
      </c>
      <c r="Q13" s="139" t="str">
        <f ca="1"/>
        <v/>
      </c>
      <c r="R13" s="139" t="str">
        <f ca="1"/>
        <v/>
      </c>
      <c r="S13" s="139" t="str">
        <f ca="1"/>
        <v/>
      </c>
      <c r="T13" s="139" t="str">
        <f ca="1"/>
        <v/>
      </c>
      <c r="U13" s="140" t="str">
        <f ca="1"/>
        <v/>
      </c>
    </row>
    <row r="16" spans="1:21" x14ac:dyDescent="0.25">
      <c r="E16" s="105" t="s">
        <v>209</v>
      </c>
      <c r="F16" s="23">
        <f ca="1">SUM(F18:F45)</f>
        <v>45.365412201795152</v>
      </c>
      <c r="G16" s="23">
        <f ca="1">SUM(G18:G45)</f>
        <v>0</v>
      </c>
      <c r="O16" s="105" t="s">
        <v>210</v>
      </c>
      <c r="P16" s="23">
        <f ca="1">SUM(P18:P45)</f>
        <v>3024.7557043346023</v>
      </c>
      <c r="Q16" s="23">
        <f ca="1">SUM(Q18:Q45)</f>
        <v>0</v>
      </c>
    </row>
    <row r="17" spans="5:21" x14ac:dyDescent="0.25">
      <c r="E17" s="132">
        <f t="array" aca="1" ref="E17:K45" ca="1">_xll.QCube_CubeToMatrix(C8,"PointLabel","AssetId")</f>
        <v>0</v>
      </c>
      <c r="F17" s="133" t="str">
        <f ca="1"/>
        <v>QS</v>
      </c>
      <c r="G17" s="133" t="str">
        <f ca="1"/>
        <v/>
      </c>
      <c r="H17" s="133" t="str">
        <f ca="1"/>
        <v/>
      </c>
      <c r="I17" s="133" t="str">
        <f ca="1"/>
        <v/>
      </c>
      <c r="J17" s="133" t="str">
        <f ca="1"/>
        <v/>
      </c>
      <c r="K17" s="134" t="str">
        <f ca="1"/>
        <v/>
      </c>
      <c r="O17" s="132">
        <f t="array" aca="1" ref="O17:U45" ca="1">_xll.QCube_CubeToMatrix(C9,"PointLabel","AssetId")</f>
        <v>0</v>
      </c>
      <c r="P17" s="133" t="str">
        <f ca="1"/>
        <v>QS</v>
      </c>
      <c r="Q17" s="133" t="str">
        <f ca="1"/>
        <v/>
      </c>
      <c r="R17" s="133" t="str">
        <f ca="1"/>
        <v/>
      </c>
      <c r="S17" s="133" t="str">
        <f ca="1"/>
        <v/>
      </c>
      <c r="T17" s="133" t="str">
        <f ca="1"/>
        <v/>
      </c>
      <c r="U17" s="134" t="str">
        <f ca="1"/>
        <v/>
      </c>
    </row>
    <row r="18" spans="5:21" x14ac:dyDescent="0.25">
      <c r="E18" s="135" t="str">
        <f ca="1"/>
        <v>QSX0</v>
      </c>
      <c r="F18" s="136">
        <f ca="1"/>
        <v>-9.8812201646751419</v>
      </c>
      <c r="G18" s="136" t="str">
        <f ca="1"/>
        <v/>
      </c>
      <c r="H18" s="136" t="str">
        <f ca="1"/>
        <v/>
      </c>
      <c r="I18" s="136" t="str">
        <f ca="1"/>
        <v/>
      </c>
      <c r="J18" s="136" t="str">
        <f ca="1"/>
        <v/>
      </c>
      <c r="K18" s="137" t="str">
        <f ca="1"/>
        <v/>
      </c>
      <c r="O18" s="135" t="str">
        <f ca="1"/>
        <v>QSX0</v>
      </c>
      <c r="P18" s="136">
        <f ca="1"/>
        <v>495.26482782988751</v>
      </c>
      <c r="Q18" s="136" t="str">
        <f ca="1"/>
        <v/>
      </c>
      <c r="R18" s="136" t="str">
        <f ca="1"/>
        <v/>
      </c>
      <c r="S18" s="136" t="str">
        <f ca="1"/>
        <v/>
      </c>
      <c r="T18" s="136" t="str">
        <f ca="1"/>
        <v/>
      </c>
      <c r="U18" s="137" t="str">
        <f ca="1"/>
        <v/>
      </c>
    </row>
    <row r="19" spans="5:21" x14ac:dyDescent="0.25">
      <c r="E19" s="135" t="str">
        <f ca="1"/>
        <v>QSZ0</v>
      </c>
      <c r="F19" s="136">
        <f ca="1"/>
        <v>-15.984943740932067</v>
      </c>
      <c r="G19" s="136" t="str">
        <f ca="1"/>
        <v/>
      </c>
      <c r="H19" s="136" t="str">
        <f ca="1"/>
        <v/>
      </c>
      <c r="I19" s="136" t="str">
        <f ca="1"/>
        <v/>
      </c>
      <c r="J19" s="136" t="str">
        <f ca="1"/>
        <v/>
      </c>
      <c r="K19" s="137" t="str">
        <f ca="1"/>
        <v/>
      </c>
      <c r="O19" s="135" t="str">
        <f ca="1"/>
        <v>QSZ0</v>
      </c>
      <c r="P19" s="136">
        <f ca="1"/>
        <v>691.65091600654705</v>
      </c>
      <c r="Q19" s="136" t="str">
        <f ca="1"/>
        <v/>
      </c>
      <c r="R19" s="136" t="str">
        <f ca="1"/>
        <v/>
      </c>
      <c r="S19" s="136" t="str">
        <f ca="1"/>
        <v/>
      </c>
      <c r="T19" s="136" t="str">
        <f ca="1"/>
        <v/>
      </c>
      <c r="U19" s="137" t="str">
        <f ca="1"/>
        <v/>
      </c>
    </row>
    <row r="20" spans="5:21" x14ac:dyDescent="0.25">
      <c r="E20" s="135" t="str">
        <f ca="1"/>
        <v>QSK1</v>
      </c>
      <c r="F20" s="136">
        <f ca="1"/>
        <v>-28.157499823782928</v>
      </c>
      <c r="G20" s="136" t="str">
        <f ca="1"/>
        <v/>
      </c>
      <c r="H20" s="136" t="str">
        <f ca="1"/>
        <v/>
      </c>
      <c r="I20" s="136" t="str">
        <f ca="1"/>
        <v/>
      </c>
      <c r="J20" s="136" t="str">
        <f ca="1"/>
        <v/>
      </c>
      <c r="K20" s="137" t="str">
        <f ca="1"/>
        <v/>
      </c>
      <c r="O20" s="135" t="str">
        <f ca="1"/>
        <v>QSK1</v>
      </c>
      <c r="P20" s="136">
        <f ca="1"/>
        <v>1837.8399604981678</v>
      </c>
      <c r="Q20" s="136" t="str">
        <f ca="1"/>
        <v/>
      </c>
      <c r="R20" s="136" t="str">
        <f ca="1"/>
        <v/>
      </c>
      <c r="S20" s="136" t="str">
        <f ca="1"/>
        <v/>
      </c>
      <c r="T20" s="136" t="str">
        <f ca="1"/>
        <v/>
      </c>
      <c r="U20" s="137" t="str">
        <f ca="1"/>
        <v/>
      </c>
    </row>
    <row r="21" spans="5:21" x14ac:dyDescent="0.25">
      <c r="E21" s="135" t="str">
        <f ca="1"/>
        <v>QSG2</v>
      </c>
      <c r="F21" s="136">
        <f ca="1"/>
        <v>34.786176575607897</v>
      </c>
      <c r="G21" s="136" t="str">
        <f ca="1"/>
        <v/>
      </c>
      <c r="H21" s="136" t="str">
        <f ca="1"/>
        <v/>
      </c>
      <c r="I21" s="136" t="str">
        <f ca="1"/>
        <v/>
      </c>
      <c r="J21" s="136" t="str">
        <f ca="1"/>
        <v/>
      </c>
      <c r="K21" s="137" t="str">
        <f ca="1"/>
        <v/>
      </c>
      <c r="O21" s="135" t="str">
        <f ca="1"/>
        <v/>
      </c>
      <c r="P21" s="136" t="str">
        <f ca="1"/>
        <v/>
      </c>
      <c r="Q21" s="136" t="str">
        <f ca="1"/>
        <v/>
      </c>
      <c r="R21" s="136" t="str">
        <f ca="1"/>
        <v/>
      </c>
      <c r="S21" s="136" t="str">
        <f ca="1"/>
        <v/>
      </c>
      <c r="T21" s="136" t="str">
        <f ca="1"/>
        <v/>
      </c>
      <c r="U21" s="137" t="str">
        <f ca="1"/>
        <v/>
      </c>
    </row>
    <row r="22" spans="5:21" x14ac:dyDescent="0.25">
      <c r="E22" s="135" t="str">
        <f ca="1"/>
        <v>QSH2</v>
      </c>
      <c r="F22" s="136">
        <f ca="1"/>
        <v>64.602899355577392</v>
      </c>
      <c r="G22" s="136" t="str">
        <f ca="1"/>
        <v/>
      </c>
      <c r="H22" s="136" t="str">
        <f ca="1"/>
        <v/>
      </c>
      <c r="I22" s="136" t="str">
        <f ca="1"/>
        <v/>
      </c>
      <c r="J22" s="136" t="str">
        <f ca="1"/>
        <v/>
      </c>
      <c r="K22" s="137" t="str">
        <f ca="1"/>
        <v/>
      </c>
      <c r="O22" s="135" t="str">
        <f ca="1"/>
        <v/>
      </c>
      <c r="P22" s="136" t="str">
        <f ca="1"/>
        <v/>
      </c>
      <c r="Q22" s="136" t="str">
        <f ca="1"/>
        <v/>
      </c>
      <c r="R22" s="136" t="str">
        <f ca="1"/>
        <v/>
      </c>
      <c r="S22" s="136" t="str">
        <f ca="1"/>
        <v/>
      </c>
      <c r="T22" s="136" t="str">
        <f ca="1"/>
        <v/>
      </c>
      <c r="U22" s="137" t="str">
        <f ca="1"/>
        <v/>
      </c>
    </row>
    <row r="23" spans="5:21" x14ac:dyDescent="0.25">
      <c r="E23" s="135" t="str">
        <f ca="1"/>
        <v/>
      </c>
      <c r="F23" s="136" t="str">
        <f ca="1"/>
        <v/>
      </c>
      <c r="G23" s="136" t="str">
        <f ca="1"/>
        <v/>
      </c>
      <c r="H23" s="136" t="str">
        <f ca="1"/>
        <v/>
      </c>
      <c r="I23" s="136" t="str">
        <f ca="1"/>
        <v/>
      </c>
      <c r="J23" s="136" t="str">
        <f ca="1"/>
        <v/>
      </c>
      <c r="K23" s="137" t="str">
        <f ca="1"/>
        <v/>
      </c>
      <c r="O23" s="135" t="str">
        <f ca="1"/>
        <v/>
      </c>
      <c r="P23" s="136" t="str">
        <f ca="1"/>
        <v/>
      </c>
      <c r="Q23" s="136" t="str">
        <f ca="1"/>
        <v/>
      </c>
      <c r="R23" s="136" t="str">
        <f ca="1"/>
        <v/>
      </c>
      <c r="S23" s="136" t="str">
        <f ca="1"/>
        <v/>
      </c>
      <c r="T23" s="136" t="str">
        <f ca="1"/>
        <v/>
      </c>
      <c r="U23" s="137" t="str">
        <f ca="1"/>
        <v/>
      </c>
    </row>
    <row r="24" spans="5:21" x14ac:dyDescent="0.25">
      <c r="E24" s="135" t="str">
        <f ca="1"/>
        <v/>
      </c>
      <c r="F24" s="136" t="str">
        <f ca="1"/>
        <v/>
      </c>
      <c r="G24" s="136" t="str">
        <f ca="1"/>
        <v/>
      </c>
      <c r="H24" s="136" t="str">
        <f ca="1"/>
        <v/>
      </c>
      <c r="I24" s="136" t="str">
        <f ca="1"/>
        <v/>
      </c>
      <c r="J24" s="136" t="str">
        <f ca="1"/>
        <v/>
      </c>
      <c r="K24" s="137" t="str">
        <f ca="1"/>
        <v/>
      </c>
      <c r="O24" s="135" t="str">
        <f ca="1"/>
        <v/>
      </c>
      <c r="P24" s="136" t="str">
        <f ca="1"/>
        <v/>
      </c>
      <c r="Q24" s="136" t="str">
        <f ca="1"/>
        <v/>
      </c>
      <c r="R24" s="136" t="str">
        <f ca="1"/>
        <v/>
      </c>
      <c r="S24" s="136" t="str">
        <f ca="1"/>
        <v/>
      </c>
      <c r="T24" s="136" t="str">
        <f ca="1"/>
        <v/>
      </c>
      <c r="U24" s="137" t="str">
        <f ca="1"/>
        <v/>
      </c>
    </row>
    <row r="25" spans="5:21" x14ac:dyDescent="0.25">
      <c r="E25" s="135" t="str">
        <f ca="1"/>
        <v/>
      </c>
      <c r="F25" s="136" t="str">
        <f ca="1"/>
        <v/>
      </c>
      <c r="G25" s="136" t="str">
        <f ca="1"/>
        <v/>
      </c>
      <c r="H25" s="136" t="str">
        <f ca="1"/>
        <v/>
      </c>
      <c r="I25" s="136" t="str">
        <f ca="1"/>
        <v/>
      </c>
      <c r="J25" s="136" t="str">
        <f ca="1"/>
        <v/>
      </c>
      <c r="K25" s="137" t="str">
        <f ca="1"/>
        <v/>
      </c>
      <c r="O25" s="135" t="str">
        <f ca="1"/>
        <v/>
      </c>
      <c r="P25" s="136" t="str">
        <f ca="1"/>
        <v/>
      </c>
      <c r="Q25" s="136" t="str">
        <f ca="1"/>
        <v/>
      </c>
      <c r="R25" s="136" t="str">
        <f ca="1"/>
        <v/>
      </c>
      <c r="S25" s="136" t="str">
        <f ca="1"/>
        <v/>
      </c>
      <c r="T25" s="136" t="str">
        <f ca="1"/>
        <v/>
      </c>
      <c r="U25" s="137" t="str">
        <f ca="1"/>
        <v/>
      </c>
    </row>
    <row r="26" spans="5:21" x14ac:dyDescent="0.25">
      <c r="E26" s="135" t="str">
        <f ca="1"/>
        <v/>
      </c>
      <c r="F26" s="136" t="str">
        <f ca="1"/>
        <v/>
      </c>
      <c r="G26" s="136" t="str">
        <f ca="1"/>
        <v/>
      </c>
      <c r="H26" s="136" t="str">
        <f ca="1"/>
        <v/>
      </c>
      <c r="I26" s="136" t="str">
        <f ca="1"/>
        <v/>
      </c>
      <c r="J26" s="136" t="str">
        <f ca="1"/>
        <v/>
      </c>
      <c r="K26" s="137" t="str">
        <f ca="1"/>
        <v/>
      </c>
      <c r="O26" s="135" t="str">
        <f ca="1"/>
        <v/>
      </c>
      <c r="P26" s="136" t="str">
        <f ca="1"/>
        <v/>
      </c>
      <c r="Q26" s="136" t="str">
        <f ca="1"/>
        <v/>
      </c>
      <c r="R26" s="136" t="str">
        <f ca="1"/>
        <v/>
      </c>
      <c r="S26" s="136" t="str">
        <f ca="1"/>
        <v/>
      </c>
      <c r="T26" s="136" t="str">
        <f ca="1"/>
        <v/>
      </c>
      <c r="U26" s="137" t="str">
        <f ca="1"/>
        <v/>
      </c>
    </row>
    <row r="27" spans="5:21" x14ac:dyDescent="0.25">
      <c r="E27" s="135" t="str">
        <f ca="1"/>
        <v/>
      </c>
      <c r="F27" s="136" t="str">
        <f ca="1"/>
        <v/>
      </c>
      <c r="G27" s="136" t="str">
        <f ca="1"/>
        <v/>
      </c>
      <c r="H27" s="136" t="str">
        <f ca="1"/>
        <v/>
      </c>
      <c r="I27" s="136" t="str">
        <f ca="1"/>
        <v/>
      </c>
      <c r="J27" s="136" t="str">
        <f ca="1"/>
        <v/>
      </c>
      <c r="K27" s="137" t="str">
        <f ca="1"/>
        <v/>
      </c>
      <c r="O27" s="135" t="str">
        <f ca="1"/>
        <v/>
      </c>
      <c r="P27" s="136" t="str">
        <f ca="1"/>
        <v/>
      </c>
      <c r="Q27" s="136" t="str">
        <f ca="1"/>
        <v/>
      </c>
      <c r="R27" s="136" t="str">
        <f ca="1"/>
        <v/>
      </c>
      <c r="S27" s="136" t="str">
        <f ca="1"/>
        <v/>
      </c>
      <c r="T27" s="136" t="str">
        <f ca="1"/>
        <v/>
      </c>
      <c r="U27" s="137" t="str">
        <f ca="1"/>
        <v/>
      </c>
    </row>
    <row r="28" spans="5:21" x14ac:dyDescent="0.25">
      <c r="E28" s="135" t="str">
        <f ca="1"/>
        <v/>
      </c>
      <c r="F28" s="136" t="str">
        <f ca="1"/>
        <v/>
      </c>
      <c r="G28" s="136" t="str">
        <f ca="1"/>
        <v/>
      </c>
      <c r="H28" s="136" t="str">
        <f ca="1"/>
        <v/>
      </c>
      <c r="I28" s="136" t="str">
        <f ca="1"/>
        <v/>
      </c>
      <c r="J28" s="136" t="str">
        <f ca="1"/>
        <v/>
      </c>
      <c r="K28" s="137" t="str">
        <f ca="1"/>
        <v/>
      </c>
      <c r="O28" s="135" t="str">
        <f ca="1"/>
        <v/>
      </c>
      <c r="P28" s="136" t="str">
        <f ca="1"/>
        <v/>
      </c>
      <c r="Q28" s="136" t="str">
        <f ca="1"/>
        <v/>
      </c>
      <c r="R28" s="136" t="str">
        <f ca="1"/>
        <v/>
      </c>
      <c r="S28" s="136" t="str">
        <f ca="1"/>
        <v/>
      </c>
      <c r="T28" s="136" t="str">
        <f ca="1"/>
        <v/>
      </c>
      <c r="U28" s="137" t="str">
        <f ca="1"/>
        <v/>
      </c>
    </row>
    <row r="29" spans="5:21" x14ac:dyDescent="0.25">
      <c r="E29" s="135" t="str">
        <f ca="1"/>
        <v/>
      </c>
      <c r="F29" s="136" t="str">
        <f ca="1"/>
        <v/>
      </c>
      <c r="G29" s="136" t="str">
        <f ca="1"/>
        <v/>
      </c>
      <c r="H29" s="136" t="str">
        <f ca="1"/>
        <v/>
      </c>
      <c r="I29" s="136" t="str">
        <f ca="1"/>
        <v/>
      </c>
      <c r="J29" s="136" t="str">
        <f ca="1"/>
        <v/>
      </c>
      <c r="K29" s="137" t="str">
        <f ca="1"/>
        <v/>
      </c>
      <c r="O29" s="135" t="str">
        <f ca="1"/>
        <v/>
      </c>
      <c r="P29" s="136" t="str">
        <f ca="1"/>
        <v/>
      </c>
      <c r="Q29" s="136" t="str">
        <f ca="1"/>
        <v/>
      </c>
      <c r="R29" s="136" t="str">
        <f ca="1"/>
        <v/>
      </c>
      <c r="S29" s="136" t="str">
        <f ca="1"/>
        <v/>
      </c>
      <c r="T29" s="136" t="str">
        <f ca="1"/>
        <v/>
      </c>
      <c r="U29" s="137" t="str">
        <f ca="1"/>
        <v/>
      </c>
    </row>
    <row r="30" spans="5:21" x14ac:dyDescent="0.25">
      <c r="E30" s="135" t="str">
        <f ca="1"/>
        <v/>
      </c>
      <c r="F30" s="136" t="str">
        <f ca="1"/>
        <v/>
      </c>
      <c r="G30" s="136" t="str">
        <f ca="1"/>
        <v/>
      </c>
      <c r="H30" s="136" t="str">
        <f ca="1"/>
        <v/>
      </c>
      <c r="I30" s="136" t="str">
        <f ca="1"/>
        <v/>
      </c>
      <c r="J30" s="136" t="str">
        <f ca="1"/>
        <v/>
      </c>
      <c r="K30" s="137" t="str">
        <f ca="1"/>
        <v/>
      </c>
      <c r="O30" s="135" t="str">
        <f ca="1"/>
        <v/>
      </c>
      <c r="P30" s="136" t="str">
        <f ca="1"/>
        <v/>
      </c>
      <c r="Q30" s="136" t="str">
        <f ca="1"/>
        <v/>
      </c>
      <c r="R30" s="136" t="str">
        <f ca="1"/>
        <v/>
      </c>
      <c r="S30" s="136" t="str">
        <f ca="1"/>
        <v/>
      </c>
      <c r="T30" s="136" t="str">
        <f ca="1"/>
        <v/>
      </c>
      <c r="U30" s="137" t="str">
        <f ca="1"/>
        <v/>
      </c>
    </row>
    <row r="31" spans="5:21" x14ac:dyDescent="0.25">
      <c r="E31" s="135" t="str">
        <f ca="1"/>
        <v/>
      </c>
      <c r="F31" s="136" t="str">
        <f ca="1"/>
        <v/>
      </c>
      <c r="G31" s="136" t="str">
        <f ca="1"/>
        <v/>
      </c>
      <c r="H31" s="136" t="str">
        <f ca="1"/>
        <v/>
      </c>
      <c r="I31" s="136" t="str">
        <f ca="1"/>
        <v/>
      </c>
      <c r="J31" s="136" t="str">
        <f ca="1"/>
        <v/>
      </c>
      <c r="K31" s="137" t="str">
        <f ca="1"/>
        <v/>
      </c>
      <c r="O31" s="135" t="str">
        <f ca="1"/>
        <v/>
      </c>
      <c r="P31" s="136" t="str">
        <f ca="1"/>
        <v/>
      </c>
      <c r="Q31" s="136" t="str">
        <f ca="1"/>
        <v/>
      </c>
      <c r="R31" s="136" t="str">
        <f ca="1"/>
        <v/>
      </c>
      <c r="S31" s="136" t="str">
        <f ca="1"/>
        <v/>
      </c>
      <c r="T31" s="136" t="str">
        <f ca="1"/>
        <v/>
      </c>
      <c r="U31" s="137" t="str">
        <f ca="1"/>
        <v/>
      </c>
    </row>
    <row r="32" spans="5:21" x14ac:dyDescent="0.25">
      <c r="E32" s="135" t="str">
        <f ca="1"/>
        <v/>
      </c>
      <c r="F32" s="136" t="str">
        <f ca="1"/>
        <v/>
      </c>
      <c r="G32" s="136" t="str">
        <f ca="1"/>
        <v/>
      </c>
      <c r="H32" s="136" t="str">
        <f ca="1"/>
        <v/>
      </c>
      <c r="I32" s="136" t="str">
        <f ca="1"/>
        <v/>
      </c>
      <c r="J32" s="136" t="str">
        <f ca="1"/>
        <v/>
      </c>
      <c r="K32" s="137" t="str">
        <f ca="1"/>
        <v/>
      </c>
      <c r="O32" s="135" t="str">
        <f ca="1"/>
        <v/>
      </c>
      <c r="P32" s="136" t="str">
        <f ca="1"/>
        <v/>
      </c>
      <c r="Q32" s="136" t="str">
        <f ca="1"/>
        <v/>
      </c>
      <c r="R32" s="136" t="str">
        <f ca="1"/>
        <v/>
      </c>
      <c r="S32" s="136" t="str">
        <f ca="1"/>
        <v/>
      </c>
      <c r="T32" s="136" t="str">
        <f ca="1"/>
        <v/>
      </c>
      <c r="U32" s="137" t="str">
        <f ca="1"/>
        <v/>
      </c>
    </row>
    <row r="33" spans="5:21" x14ac:dyDescent="0.25">
      <c r="E33" s="135" t="str">
        <f ca="1"/>
        <v/>
      </c>
      <c r="F33" s="136" t="str">
        <f ca="1"/>
        <v/>
      </c>
      <c r="G33" s="136" t="str">
        <f ca="1"/>
        <v/>
      </c>
      <c r="H33" s="136" t="str">
        <f ca="1"/>
        <v/>
      </c>
      <c r="I33" s="136" t="str">
        <f ca="1"/>
        <v/>
      </c>
      <c r="J33" s="136" t="str">
        <f ca="1"/>
        <v/>
      </c>
      <c r="K33" s="137" t="str">
        <f ca="1"/>
        <v/>
      </c>
      <c r="O33" s="135" t="str">
        <f ca="1"/>
        <v/>
      </c>
      <c r="P33" s="136" t="str">
        <f ca="1"/>
        <v/>
      </c>
      <c r="Q33" s="136" t="str">
        <f ca="1"/>
        <v/>
      </c>
      <c r="R33" s="136" t="str">
        <f ca="1"/>
        <v/>
      </c>
      <c r="S33" s="136" t="str">
        <f ca="1"/>
        <v/>
      </c>
      <c r="T33" s="136" t="str">
        <f ca="1"/>
        <v/>
      </c>
      <c r="U33" s="137" t="str">
        <f ca="1"/>
        <v/>
      </c>
    </row>
    <row r="34" spans="5:21" x14ac:dyDescent="0.25">
      <c r="E34" s="135" t="str">
        <f ca="1"/>
        <v/>
      </c>
      <c r="F34" s="136" t="str">
        <f ca="1"/>
        <v/>
      </c>
      <c r="G34" s="136" t="str">
        <f ca="1"/>
        <v/>
      </c>
      <c r="H34" s="136" t="str">
        <f ca="1"/>
        <v/>
      </c>
      <c r="I34" s="136" t="str">
        <f ca="1"/>
        <v/>
      </c>
      <c r="J34" s="136" t="str">
        <f ca="1"/>
        <v/>
      </c>
      <c r="K34" s="137" t="str">
        <f ca="1"/>
        <v/>
      </c>
      <c r="O34" s="135" t="str">
        <f ca="1"/>
        <v/>
      </c>
      <c r="P34" s="136" t="str">
        <f ca="1"/>
        <v/>
      </c>
      <c r="Q34" s="136" t="str">
        <f ca="1"/>
        <v/>
      </c>
      <c r="R34" s="136" t="str">
        <f ca="1"/>
        <v/>
      </c>
      <c r="S34" s="136" t="str">
        <f ca="1"/>
        <v/>
      </c>
      <c r="T34" s="136" t="str">
        <f ca="1"/>
        <v/>
      </c>
      <c r="U34" s="137" t="str">
        <f ca="1"/>
        <v/>
      </c>
    </row>
    <row r="35" spans="5:21" x14ac:dyDescent="0.25">
      <c r="E35" s="135" t="str">
        <f ca="1"/>
        <v/>
      </c>
      <c r="F35" s="136" t="str">
        <f ca="1"/>
        <v/>
      </c>
      <c r="G35" s="136" t="str">
        <f ca="1"/>
        <v/>
      </c>
      <c r="H35" s="136" t="str">
        <f ca="1"/>
        <v/>
      </c>
      <c r="I35" s="136" t="str">
        <f ca="1"/>
        <v/>
      </c>
      <c r="J35" s="136" t="str">
        <f ca="1"/>
        <v/>
      </c>
      <c r="K35" s="137" t="str">
        <f ca="1"/>
        <v/>
      </c>
      <c r="O35" s="135" t="str">
        <f ca="1"/>
        <v/>
      </c>
      <c r="P35" s="136" t="str">
        <f ca="1"/>
        <v/>
      </c>
      <c r="Q35" s="136" t="str">
        <f ca="1"/>
        <v/>
      </c>
      <c r="R35" s="136" t="str">
        <f ca="1"/>
        <v/>
      </c>
      <c r="S35" s="136" t="str">
        <f ca="1"/>
        <v/>
      </c>
      <c r="T35" s="136" t="str">
        <f ca="1"/>
        <v/>
      </c>
      <c r="U35" s="137" t="str">
        <f ca="1"/>
        <v/>
      </c>
    </row>
    <row r="36" spans="5:21" x14ac:dyDescent="0.25">
      <c r="E36" s="135" t="str">
        <f ca="1"/>
        <v/>
      </c>
      <c r="F36" s="136" t="str">
        <f ca="1"/>
        <v/>
      </c>
      <c r="G36" s="136" t="str">
        <f ca="1"/>
        <v/>
      </c>
      <c r="H36" s="136" t="str">
        <f ca="1"/>
        <v/>
      </c>
      <c r="I36" s="136" t="str">
        <f ca="1"/>
        <v/>
      </c>
      <c r="J36" s="136" t="str">
        <f ca="1"/>
        <v/>
      </c>
      <c r="K36" s="137" t="str">
        <f ca="1"/>
        <v/>
      </c>
      <c r="O36" s="135" t="str">
        <f ca="1"/>
        <v/>
      </c>
      <c r="P36" s="136" t="str">
        <f ca="1"/>
        <v/>
      </c>
      <c r="Q36" s="136" t="str">
        <f ca="1"/>
        <v/>
      </c>
      <c r="R36" s="136" t="str">
        <f ca="1"/>
        <v/>
      </c>
      <c r="S36" s="136" t="str">
        <f ca="1"/>
        <v/>
      </c>
      <c r="T36" s="136" t="str">
        <f ca="1"/>
        <v/>
      </c>
      <c r="U36" s="137" t="str">
        <f ca="1"/>
        <v/>
      </c>
    </row>
    <row r="37" spans="5:21" x14ac:dyDescent="0.25">
      <c r="E37" s="135" t="str">
        <f ca="1"/>
        <v/>
      </c>
      <c r="F37" s="136" t="str">
        <f ca="1"/>
        <v/>
      </c>
      <c r="G37" s="136" t="str">
        <f ca="1"/>
        <v/>
      </c>
      <c r="H37" s="136" t="str">
        <f ca="1"/>
        <v/>
      </c>
      <c r="I37" s="136" t="str">
        <f ca="1"/>
        <v/>
      </c>
      <c r="J37" s="136" t="str">
        <f ca="1"/>
        <v/>
      </c>
      <c r="K37" s="137" t="str">
        <f ca="1"/>
        <v/>
      </c>
      <c r="O37" s="135" t="str">
        <f ca="1"/>
        <v/>
      </c>
      <c r="P37" s="136" t="str">
        <f ca="1"/>
        <v/>
      </c>
      <c r="Q37" s="136" t="str">
        <f ca="1"/>
        <v/>
      </c>
      <c r="R37" s="136" t="str">
        <f ca="1"/>
        <v/>
      </c>
      <c r="S37" s="136" t="str">
        <f ca="1"/>
        <v/>
      </c>
      <c r="T37" s="136" t="str">
        <f ca="1"/>
        <v/>
      </c>
      <c r="U37" s="137" t="str">
        <f ca="1"/>
        <v/>
      </c>
    </row>
    <row r="38" spans="5:21" x14ac:dyDescent="0.25">
      <c r="E38" s="135" t="str">
        <f ca="1"/>
        <v/>
      </c>
      <c r="F38" s="136" t="str">
        <f ca="1"/>
        <v/>
      </c>
      <c r="G38" s="136" t="str">
        <f ca="1"/>
        <v/>
      </c>
      <c r="H38" s="136" t="str">
        <f ca="1"/>
        <v/>
      </c>
      <c r="I38" s="136" t="str">
        <f ca="1"/>
        <v/>
      </c>
      <c r="J38" s="136" t="str">
        <f ca="1"/>
        <v/>
      </c>
      <c r="K38" s="137" t="str">
        <f ca="1"/>
        <v/>
      </c>
      <c r="O38" s="135" t="str">
        <f ca="1"/>
        <v/>
      </c>
      <c r="P38" s="136" t="str">
        <f ca="1"/>
        <v/>
      </c>
      <c r="Q38" s="136" t="str">
        <f ca="1"/>
        <v/>
      </c>
      <c r="R38" s="136" t="str">
        <f ca="1"/>
        <v/>
      </c>
      <c r="S38" s="136" t="str">
        <f ca="1"/>
        <v/>
      </c>
      <c r="T38" s="136" t="str">
        <f ca="1"/>
        <v/>
      </c>
      <c r="U38" s="137" t="str">
        <f ca="1"/>
        <v/>
      </c>
    </row>
    <row r="39" spans="5:21" x14ac:dyDescent="0.25">
      <c r="E39" s="135" t="str">
        <f ca="1"/>
        <v/>
      </c>
      <c r="F39" s="136" t="str">
        <f ca="1"/>
        <v/>
      </c>
      <c r="G39" s="136" t="str">
        <f ca="1"/>
        <v/>
      </c>
      <c r="H39" s="136" t="str">
        <f ca="1"/>
        <v/>
      </c>
      <c r="I39" s="136" t="str">
        <f ca="1"/>
        <v/>
      </c>
      <c r="J39" s="136" t="str">
        <f ca="1"/>
        <v/>
      </c>
      <c r="K39" s="137" t="str">
        <f ca="1"/>
        <v/>
      </c>
      <c r="O39" s="135" t="str">
        <f ca="1"/>
        <v/>
      </c>
      <c r="P39" s="136" t="str">
        <f ca="1"/>
        <v/>
      </c>
      <c r="Q39" s="136" t="str">
        <f ca="1"/>
        <v/>
      </c>
      <c r="R39" s="136" t="str">
        <f ca="1"/>
        <v/>
      </c>
      <c r="S39" s="136" t="str">
        <f ca="1"/>
        <v/>
      </c>
      <c r="T39" s="136" t="str">
        <f ca="1"/>
        <v/>
      </c>
      <c r="U39" s="137" t="str">
        <f ca="1"/>
        <v/>
      </c>
    </row>
    <row r="40" spans="5:21" x14ac:dyDescent="0.25">
      <c r="E40" s="135" t="str">
        <f ca="1"/>
        <v/>
      </c>
      <c r="F40" s="136" t="str">
        <f ca="1"/>
        <v/>
      </c>
      <c r="G40" s="136" t="str">
        <f ca="1"/>
        <v/>
      </c>
      <c r="H40" s="136" t="str">
        <f ca="1"/>
        <v/>
      </c>
      <c r="I40" s="136" t="str">
        <f ca="1"/>
        <v/>
      </c>
      <c r="J40" s="136" t="str">
        <f ca="1"/>
        <v/>
      </c>
      <c r="K40" s="137" t="str">
        <f ca="1"/>
        <v/>
      </c>
      <c r="O40" s="135" t="str">
        <f ca="1"/>
        <v/>
      </c>
      <c r="P40" s="136" t="str">
        <f ca="1"/>
        <v/>
      </c>
      <c r="Q40" s="136" t="str">
        <f ca="1"/>
        <v/>
      </c>
      <c r="R40" s="136" t="str">
        <f ca="1"/>
        <v/>
      </c>
      <c r="S40" s="136" t="str">
        <f ca="1"/>
        <v/>
      </c>
      <c r="T40" s="136" t="str">
        <f ca="1"/>
        <v/>
      </c>
      <c r="U40" s="137" t="str">
        <f ca="1"/>
        <v/>
      </c>
    </row>
    <row r="41" spans="5:21" x14ac:dyDescent="0.25">
      <c r="E41" s="135" t="str">
        <f ca="1"/>
        <v/>
      </c>
      <c r="F41" s="136" t="str">
        <f ca="1"/>
        <v/>
      </c>
      <c r="G41" s="136" t="str">
        <f ca="1"/>
        <v/>
      </c>
      <c r="H41" s="136" t="str">
        <f ca="1"/>
        <v/>
      </c>
      <c r="I41" s="136" t="str">
        <f ca="1"/>
        <v/>
      </c>
      <c r="J41" s="136" t="str">
        <f ca="1"/>
        <v/>
      </c>
      <c r="K41" s="137" t="str">
        <f ca="1"/>
        <v/>
      </c>
      <c r="O41" s="135" t="str">
        <f ca="1"/>
        <v/>
      </c>
      <c r="P41" s="136" t="str">
        <f ca="1"/>
        <v/>
      </c>
      <c r="Q41" s="136" t="str">
        <f ca="1"/>
        <v/>
      </c>
      <c r="R41" s="136" t="str">
        <f ca="1"/>
        <v/>
      </c>
      <c r="S41" s="136" t="str">
        <f ca="1"/>
        <v/>
      </c>
      <c r="T41" s="136" t="str">
        <f ca="1"/>
        <v/>
      </c>
      <c r="U41" s="137" t="str">
        <f ca="1"/>
        <v/>
      </c>
    </row>
    <row r="42" spans="5:21" x14ac:dyDescent="0.25">
      <c r="E42" s="135" t="str">
        <f ca="1"/>
        <v/>
      </c>
      <c r="F42" s="136" t="str">
        <f ca="1"/>
        <v/>
      </c>
      <c r="G42" s="136" t="str">
        <f ca="1"/>
        <v/>
      </c>
      <c r="H42" s="136" t="str">
        <f ca="1"/>
        <v/>
      </c>
      <c r="I42" s="136" t="str">
        <f ca="1"/>
        <v/>
      </c>
      <c r="J42" s="136" t="str">
        <f ca="1"/>
        <v/>
      </c>
      <c r="K42" s="137" t="str">
        <f ca="1"/>
        <v/>
      </c>
      <c r="O42" s="135" t="str">
        <f ca="1"/>
        <v/>
      </c>
      <c r="P42" s="136" t="str">
        <f ca="1"/>
        <v/>
      </c>
      <c r="Q42" s="136" t="str">
        <f ca="1"/>
        <v/>
      </c>
      <c r="R42" s="136" t="str">
        <f ca="1"/>
        <v/>
      </c>
      <c r="S42" s="136" t="str">
        <f ca="1"/>
        <v/>
      </c>
      <c r="T42" s="136" t="str">
        <f ca="1"/>
        <v/>
      </c>
      <c r="U42" s="137" t="str">
        <f ca="1"/>
        <v/>
      </c>
    </row>
    <row r="43" spans="5:21" x14ac:dyDescent="0.25">
      <c r="E43" s="135" t="str">
        <f ca="1"/>
        <v/>
      </c>
      <c r="F43" s="136" t="str">
        <f ca="1"/>
        <v/>
      </c>
      <c r="G43" s="136" t="str">
        <f ca="1"/>
        <v/>
      </c>
      <c r="H43" s="136" t="str">
        <f ca="1"/>
        <v/>
      </c>
      <c r="I43" s="136" t="str">
        <f ca="1"/>
        <v/>
      </c>
      <c r="J43" s="136" t="str">
        <f ca="1"/>
        <v/>
      </c>
      <c r="K43" s="137" t="str">
        <f ca="1"/>
        <v/>
      </c>
      <c r="O43" s="135" t="str">
        <f ca="1"/>
        <v/>
      </c>
      <c r="P43" s="136" t="str">
        <f ca="1"/>
        <v/>
      </c>
      <c r="Q43" s="136" t="str">
        <f ca="1"/>
        <v/>
      </c>
      <c r="R43" s="136" t="str">
        <f ca="1"/>
        <v/>
      </c>
      <c r="S43" s="136" t="str">
        <f ca="1"/>
        <v/>
      </c>
      <c r="T43" s="136" t="str">
        <f ca="1"/>
        <v/>
      </c>
      <c r="U43" s="137" t="str">
        <f ca="1"/>
        <v/>
      </c>
    </row>
    <row r="44" spans="5:21" x14ac:dyDescent="0.25">
      <c r="E44" s="141" t="str">
        <f ca="1"/>
        <v/>
      </c>
      <c r="F44" s="25" t="str">
        <f ca="1"/>
        <v/>
      </c>
      <c r="G44" s="25" t="str">
        <f ca="1"/>
        <v/>
      </c>
      <c r="H44" s="25" t="str">
        <f ca="1"/>
        <v/>
      </c>
      <c r="I44" s="25" t="str">
        <f ca="1"/>
        <v/>
      </c>
      <c r="J44" s="25" t="str">
        <f ca="1"/>
        <v/>
      </c>
      <c r="K44" s="142" t="str">
        <f ca="1"/>
        <v/>
      </c>
      <c r="O44" s="141" t="str">
        <f ca="1"/>
        <v/>
      </c>
      <c r="P44" s="25" t="str">
        <f ca="1"/>
        <v/>
      </c>
      <c r="Q44" s="25" t="str">
        <f ca="1"/>
        <v/>
      </c>
      <c r="R44" s="25" t="str">
        <f ca="1"/>
        <v/>
      </c>
      <c r="S44" s="25" t="str">
        <f ca="1"/>
        <v/>
      </c>
      <c r="T44" s="25" t="str">
        <f ca="1"/>
        <v/>
      </c>
      <c r="U44" s="142" t="str">
        <f ca="1"/>
        <v/>
      </c>
    </row>
    <row r="45" spans="5:21" x14ac:dyDescent="0.25">
      <c r="E45" s="143" t="str">
        <f ca="1"/>
        <v/>
      </c>
      <c r="F45" s="144" t="str">
        <f ca="1"/>
        <v/>
      </c>
      <c r="G45" s="144" t="str">
        <f ca="1"/>
        <v/>
      </c>
      <c r="H45" s="144" t="str">
        <f ca="1"/>
        <v/>
      </c>
      <c r="I45" s="144" t="str">
        <f ca="1"/>
        <v/>
      </c>
      <c r="J45" s="144" t="str">
        <f ca="1"/>
        <v/>
      </c>
      <c r="K45" s="145" t="str">
        <f ca="1"/>
        <v/>
      </c>
      <c r="O45" s="143" t="str">
        <f ca="1"/>
        <v/>
      </c>
      <c r="P45" s="144" t="str">
        <f ca="1"/>
        <v/>
      </c>
      <c r="Q45" s="144" t="str">
        <f ca="1"/>
        <v/>
      </c>
      <c r="R45" s="144" t="str">
        <f ca="1"/>
        <v/>
      </c>
      <c r="S45" s="144" t="str">
        <f ca="1"/>
        <v/>
      </c>
      <c r="T45" s="144" t="str">
        <f ca="1"/>
        <v/>
      </c>
      <c r="U45" s="145" t="str">
        <f ca="1"/>
        <v/>
      </c>
    </row>
  </sheetData>
  <dataValidations count="1">
    <dataValidation type="list" allowBlank="1" showInputMessage="1" showErrorMessage="1" sqref="B4" xr:uid="{C7D9EE1F-6699-48E4-BF92-8DCDDD140E32}">
      <formula1>"On,Off"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CA45-2D39-4C87-9882-B99137C338E7}">
  <dimension ref="A1:L96"/>
  <sheetViews>
    <sheetView tabSelected="1" workbookViewId="0">
      <selection activeCell="F6" sqref="F6"/>
    </sheetView>
  </sheetViews>
  <sheetFormatPr defaultRowHeight="15" x14ac:dyDescent="0.25"/>
  <cols>
    <col min="1" max="1" width="16.28515625" style="3" bestFit="1" customWidth="1"/>
    <col min="2" max="2" width="18.7109375" bestFit="1" customWidth="1"/>
    <col min="3" max="3" width="24" bestFit="1" customWidth="1"/>
    <col min="5" max="5" width="13.85546875" bestFit="1" customWidth="1"/>
    <col min="6" max="6" width="26.140625" bestFit="1" customWidth="1"/>
    <col min="7" max="8" width="13.28515625" bestFit="1" customWidth="1"/>
    <col min="12" max="12" width="13.28515625" bestFit="1" customWidth="1"/>
    <col min="15" max="15" width="11.28515625" bestFit="1" customWidth="1"/>
    <col min="16" max="17" width="10.5703125" bestFit="1" customWidth="1"/>
  </cols>
  <sheetData>
    <row r="1" spans="1:12" x14ac:dyDescent="0.25">
      <c r="A1" s="3" t="s">
        <v>190</v>
      </c>
      <c r="B1" t="str">
        <f ca="1">AModel</f>
        <v>A-Model¬1</v>
      </c>
      <c r="E1" s="3" t="s">
        <v>204</v>
      </c>
      <c r="G1" s="8" t="str">
        <f>C11</f>
        <v>ZAR</v>
      </c>
      <c r="J1" s="3" t="s">
        <v>284</v>
      </c>
      <c r="L1" s="8" t="str">
        <f ca="1">G1</f>
        <v>ZAR</v>
      </c>
    </row>
    <row r="2" spans="1:12" x14ac:dyDescent="0.25">
      <c r="A2" s="3" t="s">
        <v>185</v>
      </c>
      <c r="B2" t="str">
        <f ca="1">Portfolio</f>
        <v>PF_ClientA¬0</v>
      </c>
      <c r="F2" s="12" t="s">
        <v>163</v>
      </c>
      <c r="G2" s="21" cm="1">
        <f t="array" aca="1" ref="G2" ca="1">_xll.QCube_SumAllRows(H2)</f>
        <v>1195339.242247683</v>
      </c>
      <c r="H2" s="21" t="str" cm="1">
        <f t="array" aca="1" ref="H2" ca="1">_xll.QRisk_PortfolioPV("C&amp;C_"&amp;F2,B2,B1,C11)</f>
        <v>C&amp;C_PV¬0</v>
      </c>
      <c r="K2" s="12" t="s">
        <v>163</v>
      </c>
      <c r="L2" s="23">
        <f ca="1">G2</f>
        <v>1195339.242247683</v>
      </c>
    </row>
    <row r="3" spans="1:12" x14ac:dyDescent="0.25">
      <c r="F3" s="12" t="s">
        <v>275</v>
      </c>
      <c r="G3" s="21" cm="1">
        <f t="array" aca="1" ref="G3" ca="1">IF(B4="On",_xll.QCap_ComputeEAD(B2,B1,C11,Static!$F$3:$G$21),0)</f>
        <v>5280488.5640212586</v>
      </c>
      <c r="K3" s="12" t="s">
        <v>283</v>
      </c>
      <c r="L3" s="23">
        <f ca="1">G16</f>
        <v>-3357.8849692294598</v>
      </c>
    </row>
    <row r="4" spans="1:12" x14ac:dyDescent="0.25">
      <c r="A4" s="3" t="s">
        <v>211</v>
      </c>
      <c r="B4" s="34" t="s">
        <v>213</v>
      </c>
      <c r="F4" s="12" t="s">
        <v>276</v>
      </c>
      <c r="G4" s="21">
        <f ca="1">IF(B4="On",_xlfn.SINGLE(_xll.QCap_PortfolioPvCcrCapital_B2_SM(C16,C18,B2,B1,C25,C11,valDate,Static!$F$3:$G$21,CCFs)),0)</f>
        <v>63593.552315391542</v>
      </c>
      <c r="K4" s="12" t="s">
        <v>285</v>
      </c>
    </row>
    <row r="5" spans="1:12" x14ac:dyDescent="0.25">
      <c r="F5" s="12" t="s">
        <v>277</v>
      </c>
      <c r="G5" s="21" cm="1">
        <f t="array" aca="1" ref="G5" ca="1">IF($B$4="On",_xll.QCap_PortfolioPvCvaCapital_B2_SM(C18,B2,B1,C11,valDate,C28,Static!$F$3:$G$21,CCFs),0)</f>
        <v>50895.030355521747</v>
      </c>
      <c r="K5" s="12" t="s">
        <v>286</v>
      </c>
      <c r="L5" s="23">
        <f ca="1">-G11*C27*C21</f>
        <v>-14775.09531165742</v>
      </c>
    </row>
    <row r="6" spans="1:12" x14ac:dyDescent="0.25">
      <c r="A6" s="3" t="s">
        <v>214</v>
      </c>
      <c r="B6" s="105" t="s">
        <v>274</v>
      </c>
      <c r="C6" s="8" t="str" cm="1">
        <f t="array" aca="1" ref="C6" ca="1">_xll.QModels_CreateMcSettings(B6,C7,C8,C9,C11,C10,FALSE,C12,,FALSE,C14,C13,FALSE,FALSE,C15)</f>
        <v>Sim Settings¬0</v>
      </c>
      <c r="F6" s="12"/>
      <c r="K6" s="12" t="s">
        <v>287</v>
      </c>
      <c r="L6" s="23">
        <f ca="1">-G12*C27*C21</f>
        <v>-9836.1517273549325</v>
      </c>
    </row>
    <row r="7" spans="1:12" x14ac:dyDescent="0.25">
      <c r="B7" s="105" t="s">
        <v>215</v>
      </c>
      <c r="C7" s="34">
        <f>2^13</f>
        <v>8192</v>
      </c>
      <c r="F7" s="12" t="s">
        <v>279</v>
      </c>
      <c r="G7" s="21">
        <f ca="1">IF(B4="On",_xlfn.SINGLE(_xll.QCap_PortfolioPvCcrCapital_B2_SM(C16,C18,B2,B1,C25,C11,_xll.QUtils_GoodValues($B$36:$B$96),Static!$F$3:$G$21,CCFs)),0)</f>
        <v>51188.959663524991</v>
      </c>
      <c r="K7" s="12"/>
    </row>
    <row r="8" spans="1:12" x14ac:dyDescent="0.25">
      <c r="B8" s="105" t="s">
        <v>216</v>
      </c>
      <c r="C8" s="34">
        <v>1</v>
      </c>
      <c r="F8" s="12" t="s">
        <v>280</v>
      </c>
      <c r="G8" s="21" cm="1">
        <f t="array" aca="1" ref="G8" ca="1">IF($B$4="On",_xll.QCap_PortfolioPvCvaCapital_B2_SM(C18,B2,B1,C11,_xll.QUtils_GoodValues($B$36:$B$96),C28,Static!$F$3:$G$21,CCFs),0)</f>
        <v>34518.902947307135</v>
      </c>
      <c r="K8" s="12" t="s">
        <v>289</v>
      </c>
      <c r="L8" s="23">
        <f ca="1">SUM(L3:L6)</f>
        <v>-27969.132008241813</v>
      </c>
    </row>
    <row r="9" spans="1:12" x14ac:dyDescent="0.25">
      <c r="B9" s="105" t="s">
        <v>217</v>
      </c>
      <c r="C9" s="34" t="s">
        <v>221</v>
      </c>
      <c r="K9" s="12"/>
    </row>
    <row r="10" spans="1:12" x14ac:dyDescent="0.25">
      <c r="B10" s="105" t="s">
        <v>190</v>
      </c>
      <c r="C10" s="34" t="s">
        <v>222</v>
      </c>
      <c r="F10" s="12" t="s">
        <v>281</v>
      </c>
    </row>
    <row r="11" spans="1:12" x14ac:dyDescent="0.25">
      <c r="B11" s="105" t="s">
        <v>164</v>
      </c>
      <c r="C11" s="34" t="s">
        <v>1</v>
      </c>
      <c r="F11" s="12" t="str">
        <f t="array" aca="1" ref="F11:G12" ca="1">IF(B4="On",_xll.QCap_PortfolioPvCapitalSplit(C18,C16,B2,B1,C11,_xll.QUtils_GoodValues($B$36:$B$96),C25,C28,C27,Static!$F$3:$G$21,CCFs,'C&amp;C'!C20),0)</f>
        <v>CCR PV</v>
      </c>
      <c r="G11" s="21">
        <f ca="1"/>
        <v>105536.39508326727</v>
      </c>
    </row>
    <row r="12" spans="1:12" x14ac:dyDescent="0.25">
      <c r="B12" s="105" t="s">
        <v>218</v>
      </c>
      <c r="C12" s="34" t="b">
        <v>1</v>
      </c>
      <c r="F12" s="12" t="str">
        <f ca="1"/>
        <v>CVA PV</v>
      </c>
      <c r="G12" s="21">
        <f ca="1"/>
        <v>70258.226623963797</v>
      </c>
    </row>
    <row r="13" spans="1:12" x14ac:dyDescent="0.25">
      <c r="B13" s="105" t="s">
        <v>219</v>
      </c>
      <c r="C13" s="34" t="b">
        <v>0</v>
      </c>
    </row>
    <row r="14" spans="1:12" x14ac:dyDescent="0.25">
      <c r="B14" s="105" t="s">
        <v>220</v>
      </c>
      <c r="C14" s="34" t="b">
        <v>0</v>
      </c>
    </row>
    <row r="15" spans="1:12" x14ac:dyDescent="0.25">
      <c r="B15" s="105" t="s">
        <v>266</v>
      </c>
      <c r="C15" s="8" t="str" cm="1">
        <f t="array" aca="1" ref="C15" ca="1">_xll.QModels_CreateCreditSettings(B15,_xll.QUtils_GoodValues(B36:B96),C17,,C16,C18,C18,C25,C19,C27)</f>
        <v>Credit Settings¬0</v>
      </c>
      <c r="F15" s="12" t="s">
        <v>282</v>
      </c>
      <c r="G15" s="8" t="str" cm="1">
        <f t="array" aca="1" ref="G15" ca="1">IF(B4="On",_xll.QModels_McPortfolioEPE(F15,B2,B1,C6),F15)</f>
        <v>EPE¬0</v>
      </c>
    </row>
    <row r="16" spans="1:12" x14ac:dyDescent="0.25">
      <c r="B16" s="105" t="s">
        <v>267</v>
      </c>
      <c r="C16" s="8" t="str" cm="1">
        <f t="array" aca="1" ref="C16" ca="1">_xll.QCurves_CreateConstantHazzardCurve(B16,C26,valDate,"ACT365F")</f>
        <v>HazzardCurve¬0</v>
      </c>
      <c r="F16" s="12" t="s">
        <v>283</v>
      </c>
      <c r="G16" s="21" cm="1">
        <f t="array" aca="1" ref="G16" ca="1">_xll.QCap_ComputeCVA(C16,valDate,C18,G15,C25)</f>
        <v>-3357.8849692294598</v>
      </c>
    </row>
    <row r="17" spans="1:8" x14ac:dyDescent="0.25">
      <c r="B17" s="105" t="s">
        <v>268</v>
      </c>
      <c r="C17" s="34" t="s">
        <v>269</v>
      </c>
    </row>
    <row r="18" spans="1:8" x14ac:dyDescent="0.25">
      <c r="B18" s="105" t="s">
        <v>270</v>
      </c>
      <c r="C18" t="str">
        <f>VLOOKUP(C11,'FX-IR'!$B$20:$C$27,2,FALSE)</f>
        <v>ZAR.DISC.[USD.LIBOR.3M]</v>
      </c>
      <c r="F18" s="12" t="s">
        <v>290</v>
      </c>
      <c r="G18" s="8" t="str" cm="1">
        <f t="array" aca="1" ref="G18" ca="1">IF(B4="On",_xll.QModels_McPortfolioPFE(F18,B2,B1,C6,C19),F18)</f>
        <v>PFE¬1</v>
      </c>
    </row>
    <row r="19" spans="1:8" x14ac:dyDescent="0.25">
      <c r="B19" s="12" t="s">
        <v>273</v>
      </c>
      <c r="C19" s="31">
        <v>0.95</v>
      </c>
    </row>
    <row r="20" spans="1:8" x14ac:dyDescent="0.25">
      <c r="B20" s="105" t="s">
        <v>278</v>
      </c>
      <c r="C20" s="19">
        <v>44107</v>
      </c>
      <c r="E20" s="3" t="s">
        <v>290</v>
      </c>
      <c r="G20" s="12" t="s">
        <v>291</v>
      </c>
      <c r="H20" s="162">
        <f ca="1">MAX(_xll.QUtils_GoodValues(H22:H62))</f>
        <v>6726879.9683245299</v>
      </c>
    </row>
    <row r="21" spans="1:8" x14ac:dyDescent="0.25">
      <c r="B21" s="105" t="s">
        <v>288</v>
      </c>
      <c r="C21" s="31">
        <v>0.14000000000000001</v>
      </c>
      <c r="F21" s="105" t="str">
        <f t="array" aca="1" ref="F21:H62" ca="1">_xll.QCube_DisplayCube(G18)</f>
        <v>ExposureDate</v>
      </c>
      <c r="G21" s="105" t="str">
        <f ca="1"/>
        <v>Metric</v>
      </c>
      <c r="H21" s="105" t="str">
        <f ca="1"/>
        <v>Value</v>
      </c>
    </row>
    <row r="22" spans="1:8" x14ac:dyDescent="0.25">
      <c r="F22" s="19">
        <f ca="1"/>
        <v>43964</v>
      </c>
      <c r="G22" s="8" t="str">
        <f ca="1"/>
        <v>PFE</v>
      </c>
      <c r="H22" s="161">
        <f ca="1"/>
        <v>1197172.1487607819</v>
      </c>
    </row>
    <row r="23" spans="1:8" x14ac:dyDescent="0.25">
      <c r="A23" s="3" t="s">
        <v>256</v>
      </c>
      <c r="F23" s="19">
        <f ca="1"/>
        <v>43982</v>
      </c>
      <c r="G23" s="8" t="str">
        <f ca="1"/>
        <v>PFE</v>
      </c>
      <c r="H23" s="161">
        <f ca="1"/>
        <v>1668999.2675749818</v>
      </c>
    </row>
    <row r="24" spans="1:8" x14ac:dyDescent="0.25">
      <c r="B24" s="12" t="s">
        <v>253</v>
      </c>
      <c r="C24" s="34" t="s">
        <v>237</v>
      </c>
      <c r="F24" s="19">
        <f ca="1"/>
        <v>44012</v>
      </c>
      <c r="G24" s="8" t="str">
        <f ca="1"/>
        <v>PFE</v>
      </c>
      <c r="H24" s="161">
        <f ca="1"/>
        <v>2240435.4538663854</v>
      </c>
    </row>
    <row r="25" spans="1:8" x14ac:dyDescent="0.25">
      <c r="B25" s="12" t="s">
        <v>272</v>
      </c>
      <c r="C25" s="31">
        <v>0.56000000000000005</v>
      </c>
      <c r="F25" s="19">
        <f ca="1"/>
        <v>44043</v>
      </c>
      <c r="G25" s="8" t="str">
        <f ca="1"/>
        <v>PFE</v>
      </c>
      <c r="H25" s="161">
        <f ca="1"/>
        <v>2649009.3696759697</v>
      </c>
    </row>
    <row r="26" spans="1:8" x14ac:dyDescent="0.25">
      <c r="B26" s="12" t="s">
        <v>257</v>
      </c>
      <c r="C26" s="158">
        <f>VLOOKUP($C$24,RatingTable,2,FALSE)</f>
        <v>2.5059905666258799E-3</v>
      </c>
      <c r="F26" s="19">
        <f ca="1"/>
        <v>44074</v>
      </c>
      <c r="G26" s="8" t="str">
        <f ca="1"/>
        <v>PFE</v>
      </c>
      <c r="H26" s="161">
        <f ca="1"/>
        <v>2971238.5375984265</v>
      </c>
    </row>
    <row r="27" spans="1:8" x14ac:dyDescent="0.25">
      <c r="B27" s="12" t="s">
        <v>254</v>
      </c>
      <c r="C27" s="159">
        <f>VLOOKUP($C$24,RatingTable,5,FALSE)</f>
        <v>1</v>
      </c>
      <c r="F27" s="19">
        <f ca="1"/>
        <v>44104</v>
      </c>
      <c r="G27" s="8" t="str">
        <f ca="1"/>
        <v>PFE</v>
      </c>
      <c r="H27" s="161">
        <f ca="1"/>
        <v>3232154.2667444744</v>
      </c>
    </row>
    <row r="28" spans="1:8" x14ac:dyDescent="0.25">
      <c r="B28" s="12" t="s">
        <v>255</v>
      </c>
      <c r="C28" s="160">
        <f>VLOOKUP($C$24,RatingTable,6,FALSE)</f>
        <v>0.01</v>
      </c>
      <c r="F28" s="19">
        <f ca="1"/>
        <v>44135</v>
      </c>
      <c r="G28" s="8" t="str">
        <f ca="1"/>
        <v>PFE</v>
      </c>
      <c r="H28" s="161">
        <f ca="1"/>
        <v>3500453.2973647164</v>
      </c>
    </row>
    <row r="29" spans="1:8" x14ac:dyDescent="0.25">
      <c r="B29" s="105"/>
      <c r="F29" s="19">
        <f ca="1"/>
        <v>44166</v>
      </c>
      <c r="G29" s="8" t="str">
        <f ca="1"/>
        <v>PFE</v>
      </c>
      <c r="H29" s="161">
        <f ca="1"/>
        <v>3754530.7444045716</v>
      </c>
    </row>
    <row r="30" spans="1:8" x14ac:dyDescent="0.25">
      <c r="B30" s="105"/>
      <c r="F30" s="19">
        <f ca="1"/>
        <v>44200</v>
      </c>
      <c r="G30" s="8" t="str">
        <f ca="1"/>
        <v>PFE</v>
      </c>
      <c r="H30" s="161">
        <f ca="1"/>
        <v>4044606.244430053</v>
      </c>
    </row>
    <row r="31" spans="1:8" x14ac:dyDescent="0.25">
      <c r="B31" s="105"/>
      <c r="F31" s="19">
        <f ca="1"/>
        <v>44227</v>
      </c>
      <c r="G31" s="8" t="str">
        <f ca="1"/>
        <v>PFE</v>
      </c>
      <c r="H31" s="161">
        <f ca="1"/>
        <v>4282981.1362365205</v>
      </c>
    </row>
    <row r="32" spans="1:8" x14ac:dyDescent="0.25">
      <c r="B32" s="105"/>
      <c r="F32" s="19">
        <f ca="1"/>
        <v>44255</v>
      </c>
      <c r="G32" s="8" t="str">
        <f ca="1"/>
        <v>PFE</v>
      </c>
      <c r="H32" s="161">
        <f ca="1"/>
        <v>4524576.232549753</v>
      </c>
    </row>
    <row r="33" spans="1:8" x14ac:dyDescent="0.25">
      <c r="B33" s="105"/>
      <c r="F33" s="19">
        <f ca="1"/>
        <v>44286</v>
      </c>
      <c r="G33" s="8" t="str">
        <f ca="1"/>
        <v>PFE</v>
      </c>
      <c r="H33" s="161">
        <f ca="1"/>
        <v>4801629.4853962511</v>
      </c>
    </row>
    <row r="34" spans="1:8" x14ac:dyDescent="0.25">
      <c r="B34" s="105"/>
      <c r="F34" s="19">
        <f ca="1"/>
        <v>44316</v>
      </c>
      <c r="G34" s="8" t="str">
        <f ca="1"/>
        <v>PFE</v>
      </c>
      <c r="H34" s="161">
        <f ca="1"/>
        <v>4957935.8720901487</v>
      </c>
    </row>
    <row r="35" spans="1:8" x14ac:dyDescent="0.25">
      <c r="A35" s="3" t="s">
        <v>271</v>
      </c>
      <c r="F35" s="19">
        <f ca="1"/>
        <v>44327</v>
      </c>
      <c r="G35" s="8" t="str">
        <f ca="1"/>
        <v>PFE</v>
      </c>
      <c r="H35" s="161">
        <f ca="1"/>
        <v>5037792.4408195522</v>
      </c>
    </row>
    <row r="36" spans="1:8" x14ac:dyDescent="0.25">
      <c r="B36" s="1">
        <f t="array" aca="1" ref="B36:B96" ca="1">_xll.QIns_ComputeSimDates(B2,valDate+1)</f>
        <v>43964</v>
      </c>
      <c r="F36" s="19">
        <f ca="1"/>
        <v>44347</v>
      </c>
      <c r="G36" s="8" t="str">
        <f ca="1"/>
        <v>PFE</v>
      </c>
      <c r="H36" s="161">
        <f ca="1"/>
        <v>5176237.729950143</v>
      </c>
    </row>
    <row r="37" spans="1:8" x14ac:dyDescent="0.25">
      <c r="B37" s="1">
        <f ca="1"/>
        <v>43982</v>
      </c>
      <c r="F37" s="19">
        <f ca="1"/>
        <v>44377</v>
      </c>
      <c r="G37" s="8" t="str">
        <f ca="1"/>
        <v>PFE</v>
      </c>
      <c r="H37" s="161">
        <f ca="1"/>
        <v>5399396.892606861</v>
      </c>
    </row>
    <row r="38" spans="1:8" x14ac:dyDescent="0.25">
      <c r="B38" s="1">
        <f ca="1"/>
        <v>44012</v>
      </c>
      <c r="F38" s="19">
        <f ca="1"/>
        <v>44408</v>
      </c>
      <c r="G38" s="8" t="str">
        <f ca="1"/>
        <v>PFE</v>
      </c>
      <c r="H38" s="161">
        <f ca="1"/>
        <v>5591165.9689222351</v>
      </c>
    </row>
    <row r="39" spans="1:8" x14ac:dyDescent="0.25">
      <c r="B39" s="1">
        <f ca="1"/>
        <v>44043</v>
      </c>
      <c r="F39" s="19">
        <f ca="1"/>
        <v>44439</v>
      </c>
      <c r="G39" s="8" t="str">
        <f ca="1"/>
        <v>PFE</v>
      </c>
      <c r="H39" s="161">
        <f ca="1"/>
        <v>5779308.6922069471</v>
      </c>
    </row>
    <row r="40" spans="1:8" x14ac:dyDescent="0.25">
      <c r="B40" s="1">
        <f ca="1"/>
        <v>44074</v>
      </c>
      <c r="F40" s="19">
        <f ca="1"/>
        <v>44469</v>
      </c>
      <c r="G40" s="8" t="str">
        <f ca="1"/>
        <v>PFE</v>
      </c>
      <c r="H40" s="161">
        <f ca="1"/>
        <v>6017073.2753876457</v>
      </c>
    </row>
    <row r="41" spans="1:8" x14ac:dyDescent="0.25">
      <c r="B41" s="1">
        <f ca="1"/>
        <v>44104</v>
      </c>
      <c r="F41" s="19">
        <f ca="1"/>
        <v>44500</v>
      </c>
      <c r="G41" s="8" t="str">
        <f ca="1"/>
        <v>PFE</v>
      </c>
      <c r="H41" s="161">
        <f ca="1"/>
        <v>6179190.1549739847</v>
      </c>
    </row>
    <row r="42" spans="1:8" x14ac:dyDescent="0.25">
      <c r="B42" s="1">
        <f ca="1"/>
        <v>44135</v>
      </c>
      <c r="F42" s="19">
        <f ca="1"/>
        <v>44530</v>
      </c>
      <c r="G42" s="8" t="str">
        <f ca="1"/>
        <v>PFE</v>
      </c>
      <c r="H42" s="161">
        <f ca="1"/>
        <v>6444365.417884279</v>
      </c>
    </row>
    <row r="43" spans="1:8" x14ac:dyDescent="0.25">
      <c r="B43" s="1">
        <f ca="1"/>
        <v>44166</v>
      </c>
      <c r="F43" s="19">
        <f ca="1"/>
        <v>44561</v>
      </c>
      <c r="G43" s="8" t="str">
        <f ca="1"/>
        <v>PFE</v>
      </c>
      <c r="H43" s="161">
        <f ca="1"/>
        <v>6586350.3561860435</v>
      </c>
    </row>
    <row r="44" spans="1:8" x14ac:dyDescent="0.25">
      <c r="B44" s="1">
        <f ca="1"/>
        <v>44200</v>
      </c>
      <c r="F44" s="19">
        <f ca="1"/>
        <v>44592</v>
      </c>
      <c r="G44" s="8" t="str">
        <f ca="1"/>
        <v>PFE</v>
      </c>
      <c r="H44" s="161">
        <f ca="1"/>
        <v>6726879.9683245299</v>
      </c>
    </row>
    <row r="45" spans="1:8" x14ac:dyDescent="0.25">
      <c r="B45" s="1">
        <f ca="1"/>
        <v>44227</v>
      </c>
      <c r="F45" s="19">
        <f ca="1"/>
        <v>44621</v>
      </c>
      <c r="G45" s="8" t="str">
        <f ca="1"/>
        <v>PFE</v>
      </c>
      <c r="H45" s="161">
        <f ca="1"/>
        <v>6714692.6569927968</v>
      </c>
    </row>
    <row r="46" spans="1:8" x14ac:dyDescent="0.25">
      <c r="B46" s="1">
        <f ca="1"/>
        <v>44255</v>
      </c>
      <c r="F46" t="e">
        <f ca="1"/>
        <v>#N/A</v>
      </c>
      <c r="G46" t="e">
        <f ca="1"/>
        <v>#N/A</v>
      </c>
      <c r="H46" s="102" t="e">
        <f ca="1"/>
        <v>#N/A</v>
      </c>
    </row>
    <row r="47" spans="1:8" x14ac:dyDescent="0.25">
      <c r="B47" s="1">
        <f ca="1"/>
        <v>44286</v>
      </c>
      <c r="F47" t="e">
        <f ca="1"/>
        <v>#N/A</v>
      </c>
      <c r="G47" t="e">
        <f ca="1"/>
        <v>#N/A</v>
      </c>
      <c r="H47" t="e">
        <f ca="1"/>
        <v>#N/A</v>
      </c>
    </row>
    <row r="48" spans="1:8" x14ac:dyDescent="0.25">
      <c r="B48" s="1">
        <f ca="1"/>
        <v>44316</v>
      </c>
      <c r="F48" t="e">
        <f ca="1"/>
        <v>#N/A</v>
      </c>
      <c r="G48" t="e">
        <f ca="1"/>
        <v>#N/A</v>
      </c>
      <c r="H48" t="e">
        <f ca="1"/>
        <v>#N/A</v>
      </c>
    </row>
    <row r="49" spans="2:8" x14ac:dyDescent="0.25">
      <c r="B49" s="1">
        <f ca="1"/>
        <v>44327</v>
      </c>
      <c r="F49" t="e">
        <f ca="1"/>
        <v>#N/A</v>
      </c>
      <c r="G49" t="e">
        <f ca="1"/>
        <v>#N/A</v>
      </c>
      <c r="H49" t="e">
        <f ca="1"/>
        <v>#N/A</v>
      </c>
    </row>
    <row r="50" spans="2:8" x14ac:dyDescent="0.25">
      <c r="B50" s="1">
        <f ca="1"/>
        <v>44347</v>
      </c>
      <c r="F50" t="e">
        <f ca="1"/>
        <v>#N/A</v>
      </c>
      <c r="G50" t="e">
        <f ca="1"/>
        <v>#N/A</v>
      </c>
      <c r="H50" t="e">
        <f ca="1"/>
        <v>#N/A</v>
      </c>
    </row>
    <row r="51" spans="2:8" x14ac:dyDescent="0.25">
      <c r="B51" s="1">
        <f ca="1"/>
        <v>44377</v>
      </c>
      <c r="F51" t="e">
        <f ca="1"/>
        <v>#N/A</v>
      </c>
      <c r="G51" t="e">
        <f ca="1"/>
        <v>#N/A</v>
      </c>
      <c r="H51" t="e">
        <f ca="1"/>
        <v>#N/A</v>
      </c>
    </row>
    <row r="52" spans="2:8" x14ac:dyDescent="0.25">
      <c r="B52" s="1">
        <f ca="1"/>
        <v>44408</v>
      </c>
      <c r="F52" t="e">
        <f ca="1"/>
        <v>#N/A</v>
      </c>
      <c r="G52" t="e">
        <f ca="1"/>
        <v>#N/A</v>
      </c>
      <c r="H52" t="e">
        <f ca="1"/>
        <v>#N/A</v>
      </c>
    </row>
    <row r="53" spans="2:8" x14ac:dyDescent="0.25">
      <c r="B53" s="1">
        <f ca="1"/>
        <v>44439</v>
      </c>
      <c r="F53" t="e">
        <f ca="1"/>
        <v>#N/A</v>
      </c>
      <c r="G53" t="e">
        <f ca="1"/>
        <v>#N/A</v>
      </c>
      <c r="H53" t="e">
        <f ca="1"/>
        <v>#N/A</v>
      </c>
    </row>
    <row r="54" spans="2:8" x14ac:dyDescent="0.25">
      <c r="B54" s="1">
        <f ca="1"/>
        <v>44469</v>
      </c>
      <c r="F54" t="e">
        <f ca="1"/>
        <v>#N/A</v>
      </c>
      <c r="G54" t="e">
        <f ca="1"/>
        <v>#N/A</v>
      </c>
      <c r="H54" t="e">
        <f ca="1"/>
        <v>#N/A</v>
      </c>
    </row>
    <row r="55" spans="2:8" x14ac:dyDescent="0.25">
      <c r="B55" s="1">
        <f ca="1"/>
        <v>44500</v>
      </c>
      <c r="F55" t="e">
        <f ca="1"/>
        <v>#N/A</v>
      </c>
      <c r="G55" t="e">
        <f ca="1"/>
        <v>#N/A</v>
      </c>
      <c r="H55" t="e">
        <f ca="1"/>
        <v>#N/A</v>
      </c>
    </row>
    <row r="56" spans="2:8" x14ac:dyDescent="0.25">
      <c r="B56" s="1">
        <f ca="1"/>
        <v>44530</v>
      </c>
      <c r="F56" t="e">
        <f ca="1"/>
        <v>#N/A</v>
      </c>
      <c r="G56" t="e">
        <f ca="1"/>
        <v>#N/A</v>
      </c>
      <c r="H56" t="e">
        <f ca="1"/>
        <v>#N/A</v>
      </c>
    </row>
    <row r="57" spans="2:8" x14ac:dyDescent="0.25">
      <c r="B57" s="1">
        <f ca="1"/>
        <v>44561</v>
      </c>
      <c r="F57" t="e">
        <f ca="1"/>
        <v>#N/A</v>
      </c>
      <c r="G57" t="e">
        <f ca="1"/>
        <v>#N/A</v>
      </c>
      <c r="H57" t="e">
        <f ca="1"/>
        <v>#N/A</v>
      </c>
    </row>
    <row r="58" spans="2:8" x14ac:dyDescent="0.25">
      <c r="B58" s="1">
        <f ca="1"/>
        <v>44592</v>
      </c>
      <c r="F58" t="e">
        <f ca="1"/>
        <v>#N/A</v>
      </c>
      <c r="G58" t="e">
        <f ca="1"/>
        <v>#N/A</v>
      </c>
      <c r="H58" t="e">
        <f ca="1"/>
        <v>#N/A</v>
      </c>
    </row>
    <row r="59" spans="2:8" x14ac:dyDescent="0.25">
      <c r="B59" s="1">
        <f ca="1"/>
        <v>44621</v>
      </c>
      <c r="F59" t="e">
        <f ca="1"/>
        <v>#N/A</v>
      </c>
      <c r="G59" t="e">
        <f ca="1"/>
        <v>#N/A</v>
      </c>
      <c r="H59" t="e">
        <f ca="1"/>
        <v>#N/A</v>
      </c>
    </row>
    <row r="60" spans="2:8" x14ac:dyDescent="0.25">
      <c r="B60" s="1" t="e">
        <f ca="1"/>
        <v>#N/A</v>
      </c>
      <c r="F60" t="e">
        <f ca="1"/>
        <v>#N/A</v>
      </c>
      <c r="G60" t="e">
        <f ca="1"/>
        <v>#N/A</v>
      </c>
      <c r="H60" t="e">
        <f ca="1"/>
        <v>#N/A</v>
      </c>
    </row>
    <row r="61" spans="2:8" x14ac:dyDescent="0.25">
      <c r="B61" s="1" t="e">
        <f ca="1"/>
        <v>#N/A</v>
      </c>
      <c r="F61" t="e">
        <f ca="1"/>
        <v>#N/A</v>
      </c>
      <c r="G61" t="e">
        <f ca="1"/>
        <v>#N/A</v>
      </c>
      <c r="H61" t="e">
        <f ca="1"/>
        <v>#N/A</v>
      </c>
    </row>
    <row r="62" spans="2:8" x14ac:dyDescent="0.25">
      <c r="B62" s="1" t="e">
        <f ca="1"/>
        <v>#N/A</v>
      </c>
      <c r="F62" t="e">
        <f ca="1"/>
        <v>#N/A</v>
      </c>
      <c r="G62" t="e">
        <f ca="1"/>
        <v>#N/A</v>
      </c>
      <c r="H62" t="e">
        <f ca="1"/>
        <v>#N/A</v>
      </c>
    </row>
    <row r="63" spans="2:8" x14ac:dyDescent="0.25">
      <c r="B63" s="1" t="e">
        <f ca="1"/>
        <v>#N/A</v>
      </c>
    </row>
    <row r="64" spans="2:8" x14ac:dyDescent="0.25">
      <c r="B64" s="1" t="e">
        <f ca="1"/>
        <v>#N/A</v>
      </c>
    </row>
    <row r="65" spans="2:2" x14ac:dyDescent="0.25">
      <c r="B65" s="1" t="e">
        <f ca="1"/>
        <v>#N/A</v>
      </c>
    </row>
    <row r="66" spans="2:2" x14ac:dyDescent="0.25">
      <c r="B66" s="1" t="e">
        <f ca="1"/>
        <v>#N/A</v>
      </c>
    </row>
    <row r="67" spans="2:2" x14ac:dyDescent="0.25">
      <c r="B67" s="1" t="e">
        <f ca="1"/>
        <v>#N/A</v>
      </c>
    </row>
    <row r="68" spans="2:2" x14ac:dyDescent="0.25">
      <c r="B68" s="1" t="e">
        <f ca="1"/>
        <v>#N/A</v>
      </c>
    </row>
    <row r="69" spans="2:2" x14ac:dyDescent="0.25">
      <c r="B69" s="1" t="e">
        <f ca="1"/>
        <v>#N/A</v>
      </c>
    </row>
    <row r="70" spans="2:2" x14ac:dyDescent="0.25">
      <c r="B70" s="1" t="e">
        <f ca="1"/>
        <v>#N/A</v>
      </c>
    </row>
    <row r="71" spans="2:2" x14ac:dyDescent="0.25">
      <c r="B71" s="1" t="e">
        <f ca="1"/>
        <v>#N/A</v>
      </c>
    </row>
    <row r="72" spans="2:2" x14ac:dyDescent="0.25">
      <c r="B72" s="1" t="e">
        <f ca="1"/>
        <v>#N/A</v>
      </c>
    </row>
    <row r="73" spans="2:2" x14ac:dyDescent="0.25">
      <c r="B73" s="1" t="e">
        <f ca="1"/>
        <v>#N/A</v>
      </c>
    </row>
    <row r="74" spans="2:2" x14ac:dyDescent="0.25">
      <c r="B74" s="1" t="e">
        <f ca="1"/>
        <v>#N/A</v>
      </c>
    </row>
    <row r="75" spans="2:2" x14ac:dyDescent="0.25">
      <c r="B75" s="1" t="e">
        <f ca="1"/>
        <v>#N/A</v>
      </c>
    </row>
    <row r="76" spans="2:2" x14ac:dyDescent="0.25">
      <c r="B76" s="1" t="e">
        <f ca="1"/>
        <v>#N/A</v>
      </c>
    </row>
    <row r="77" spans="2:2" x14ac:dyDescent="0.25">
      <c r="B77" s="1" t="e">
        <f ca="1"/>
        <v>#N/A</v>
      </c>
    </row>
    <row r="78" spans="2:2" x14ac:dyDescent="0.25">
      <c r="B78" s="1" t="e">
        <f ca="1"/>
        <v>#N/A</v>
      </c>
    </row>
    <row r="79" spans="2:2" x14ac:dyDescent="0.25">
      <c r="B79" s="1" t="e">
        <f ca="1"/>
        <v>#N/A</v>
      </c>
    </row>
    <row r="80" spans="2:2" x14ac:dyDescent="0.25">
      <c r="B80" s="1" t="e">
        <f ca="1"/>
        <v>#N/A</v>
      </c>
    </row>
    <row r="81" spans="2:2" x14ac:dyDescent="0.25">
      <c r="B81" s="1" t="e">
        <f ca="1"/>
        <v>#N/A</v>
      </c>
    </row>
    <row r="82" spans="2:2" x14ac:dyDescent="0.25">
      <c r="B82" s="1" t="e">
        <f ca="1"/>
        <v>#N/A</v>
      </c>
    </row>
    <row r="83" spans="2:2" x14ac:dyDescent="0.25">
      <c r="B83" s="1" t="e">
        <f ca="1"/>
        <v>#N/A</v>
      </c>
    </row>
    <row r="84" spans="2:2" x14ac:dyDescent="0.25">
      <c r="B84" s="1" t="e">
        <f ca="1"/>
        <v>#N/A</v>
      </c>
    </row>
    <row r="85" spans="2:2" x14ac:dyDescent="0.25">
      <c r="B85" t="e">
        <f ca="1"/>
        <v>#N/A</v>
      </c>
    </row>
    <row r="86" spans="2:2" x14ac:dyDescent="0.25">
      <c r="B86" t="e">
        <f ca="1"/>
        <v>#N/A</v>
      </c>
    </row>
    <row r="87" spans="2:2" x14ac:dyDescent="0.25">
      <c r="B87" t="e">
        <f ca="1"/>
        <v>#N/A</v>
      </c>
    </row>
    <row r="88" spans="2:2" x14ac:dyDescent="0.25">
      <c r="B88" t="e">
        <f ca="1"/>
        <v>#N/A</v>
      </c>
    </row>
    <row r="89" spans="2:2" x14ac:dyDescent="0.25">
      <c r="B89" t="e">
        <f ca="1"/>
        <v>#N/A</v>
      </c>
    </row>
    <row r="90" spans="2:2" x14ac:dyDescent="0.25">
      <c r="B90" t="e">
        <f ca="1"/>
        <v>#N/A</v>
      </c>
    </row>
    <row r="91" spans="2:2" x14ac:dyDescent="0.25">
      <c r="B91" t="e">
        <f ca="1"/>
        <v>#N/A</v>
      </c>
    </row>
    <row r="92" spans="2:2" x14ac:dyDescent="0.25">
      <c r="B92" t="e">
        <f ca="1"/>
        <v>#N/A</v>
      </c>
    </row>
    <row r="93" spans="2:2" x14ac:dyDescent="0.25">
      <c r="B93" t="e">
        <f ca="1"/>
        <v>#N/A</v>
      </c>
    </row>
    <row r="94" spans="2:2" x14ac:dyDescent="0.25">
      <c r="B94" t="e">
        <f ca="1"/>
        <v>#N/A</v>
      </c>
    </row>
    <row r="95" spans="2:2" x14ac:dyDescent="0.25">
      <c r="B95" t="e">
        <f ca="1"/>
        <v>#N/A</v>
      </c>
    </row>
    <row r="96" spans="2:2" x14ac:dyDescent="0.25">
      <c r="B96" t="e">
        <f ca="1"/>
        <v>#N/A</v>
      </c>
    </row>
  </sheetData>
  <dataValidations count="2">
    <dataValidation type="list" allowBlank="1" showInputMessage="1" showErrorMessage="1" sqref="B4" xr:uid="{750F832C-4335-4782-9965-C031444F4F6C}">
      <formula1>"On,Off"</formula1>
    </dataValidation>
    <dataValidation type="list" allowBlank="1" showInputMessage="1" showErrorMessage="1" sqref="C17" xr:uid="{252B4D13-6A59-4580-AC3C-CC05A22D5AC1}">
      <formula1>"MultiLinear,MonoLinear"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967358-505E-4C87-AC84-8663E454E8E0}">
          <x14:formula1>
            <xm:f>Static!B$31:B$56</xm:f>
          </x14:formula1>
          <xm:sqref>C24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6AE6-9DC6-479A-B2B4-0900DD083846}">
  <dimension ref="A1:J56"/>
  <sheetViews>
    <sheetView workbookViewId="0">
      <selection activeCell="H24" sqref="H24"/>
    </sheetView>
  </sheetViews>
  <sheetFormatPr defaultRowHeight="15" x14ac:dyDescent="0.25"/>
  <cols>
    <col min="1" max="1" width="11.7109375" bestFit="1" customWidth="1"/>
  </cols>
  <sheetData>
    <row r="1" spans="1:7" x14ac:dyDescent="0.25">
      <c r="A1" s="2" t="s">
        <v>192</v>
      </c>
    </row>
    <row r="2" spans="1:7" x14ac:dyDescent="0.25">
      <c r="B2" s="105" t="s">
        <v>117</v>
      </c>
      <c r="C2" s="105" t="s">
        <v>172</v>
      </c>
      <c r="D2" s="105" t="s">
        <v>191</v>
      </c>
      <c r="E2" s="105" t="s">
        <v>197</v>
      </c>
      <c r="F2" s="105" t="s">
        <v>117</v>
      </c>
      <c r="G2" s="105" t="s">
        <v>258</v>
      </c>
    </row>
    <row r="3" spans="1:7" x14ac:dyDescent="0.25">
      <c r="B3" t="s">
        <v>130</v>
      </c>
      <c r="C3" t="s">
        <v>193</v>
      </c>
      <c r="D3" t="s">
        <v>194</v>
      </c>
      <c r="E3" t="b">
        <v>0</v>
      </c>
      <c r="F3" t="s">
        <v>130</v>
      </c>
      <c r="G3" t="s">
        <v>263</v>
      </c>
    </row>
    <row r="4" spans="1:7" x14ac:dyDescent="0.25">
      <c r="B4" t="s">
        <v>136</v>
      </c>
      <c r="C4" t="s">
        <v>193</v>
      </c>
      <c r="D4" t="s">
        <v>194</v>
      </c>
      <c r="E4" t="b">
        <v>0</v>
      </c>
      <c r="F4" t="s">
        <v>136</v>
      </c>
      <c r="G4" t="s">
        <v>263</v>
      </c>
    </row>
    <row r="5" spans="1:7" x14ac:dyDescent="0.25">
      <c r="B5" t="s">
        <v>137</v>
      </c>
      <c r="C5" t="s">
        <v>193</v>
      </c>
      <c r="D5" t="s">
        <v>195</v>
      </c>
      <c r="E5" t="b">
        <v>0</v>
      </c>
      <c r="F5" t="s">
        <v>137</v>
      </c>
      <c r="G5" t="s">
        <v>263</v>
      </c>
    </row>
    <row r="6" spans="1:7" x14ac:dyDescent="0.25">
      <c r="B6" t="s">
        <v>138</v>
      </c>
      <c r="C6" t="s">
        <v>193</v>
      </c>
      <c r="D6" t="s">
        <v>195</v>
      </c>
      <c r="E6" t="b">
        <v>0</v>
      </c>
      <c r="F6" t="s">
        <v>138</v>
      </c>
      <c r="G6" t="s">
        <v>263</v>
      </c>
    </row>
    <row r="7" spans="1:7" x14ac:dyDescent="0.25">
      <c r="B7" t="s">
        <v>155</v>
      </c>
      <c r="C7" t="s">
        <v>193</v>
      </c>
      <c r="D7" t="s">
        <v>196</v>
      </c>
      <c r="E7" t="b">
        <v>0</v>
      </c>
      <c r="F7" t="s">
        <v>155</v>
      </c>
      <c r="G7" t="s">
        <v>263</v>
      </c>
    </row>
    <row r="8" spans="1:7" x14ac:dyDescent="0.25">
      <c r="B8" t="s">
        <v>145</v>
      </c>
      <c r="C8" t="s">
        <v>193</v>
      </c>
      <c r="D8" t="s">
        <v>196</v>
      </c>
      <c r="E8" t="b">
        <v>0</v>
      </c>
      <c r="F8" t="s">
        <v>145</v>
      </c>
      <c r="G8" t="s">
        <v>263</v>
      </c>
    </row>
    <row r="9" spans="1:7" x14ac:dyDescent="0.25">
      <c r="B9" t="s">
        <v>10</v>
      </c>
      <c r="C9" t="s">
        <v>173</v>
      </c>
      <c r="D9" t="s">
        <v>196</v>
      </c>
      <c r="E9" t="b">
        <v>1</v>
      </c>
      <c r="F9" t="s">
        <v>10</v>
      </c>
      <c r="G9" t="s">
        <v>259</v>
      </c>
    </row>
    <row r="10" spans="1:7" x14ac:dyDescent="0.25">
      <c r="B10" t="s">
        <v>11</v>
      </c>
      <c r="C10" t="s">
        <v>173</v>
      </c>
      <c r="D10" t="s">
        <v>196</v>
      </c>
      <c r="E10" t="b">
        <v>1</v>
      </c>
      <c r="F10" t="s">
        <v>11</v>
      </c>
      <c r="G10" t="s">
        <v>260</v>
      </c>
    </row>
    <row r="11" spans="1:7" x14ac:dyDescent="0.25">
      <c r="B11" t="s">
        <v>13</v>
      </c>
      <c r="C11" t="s">
        <v>173</v>
      </c>
      <c r="D11" t="s">
        <v>196</v>
      </c>
      <c r="E11" t="b">
        <v>1</v>
      </c>
      <c r="F11" t="s">
        <v>13</v>
      </c>
      <c r="G11" t="s">
        <v>260</v>
      </c>
    </row>
    <row r="12" spans="1:7" x14ac:dyDescent="0.25">
      <c r="B12" t="s">
        <v>12</v>
      </c>
      <c r="C12" t="s">
        <v>173</v>
      </c>
      <c r="D12" t="s">
        <v>196</v>
      </c>
      <c r="E12" t="b">
        <v>1</v>
      </c>
      <c r="F12" t="s">
        <v>12</v>
      </c>
      <c r="G12" t="s">
        <v>260</v>
      </c>
    </row>
    <row r="13" spans="1:7" x14ac:dyDescent="0.25">
      <c r="B13" t="s">
        <v>7</v>
      </c>
      <c r="C13" t="s">
        <v>173</v>
      </c>
      <c r="D13" t="s">
        <v>198</v>
      </c>
      <c r="E13" t="b">
        <v>1</v>
      </c>
      <c r="F13" t="s">
        <v>7</v>
      </c>
      <c r="G13" t="s">
        <v>261</v>
      </c>
    </row>
    <row r="14" spans="1:7" x14ac:dyDescent="0.25">
      <c r="B14" t="s">
        <v>9</v>
      </c>
      <c r="C14" t="s">
        <v>173</v>
      </c>
      <c r="D14" t="s">
        <v>199</v>
      </c>
      <c r="E14" t="b">
        <v>1</v>
      </c>
      <c r="F14" t="s">
        <v>9</v>
      </c>
      <c r="G14" t="s">
        <v>261</v>
      </c>
    </row>
    <row r="15" spans="1:7" x14ac:dyDescent="0.25">
      <c r="B15" t="s">
        <v>8</v>
      </c>
      <c r="C15" t="s">
        <v>173</v>
      </c>
      <c r="D15" t="s">
        <v>200</v>
      </c>
      <c r="E15" t="b">
        <v>1</v>
      </c>
      <c r="F15" t="s">
        <v>8</v>
      </c>
      <c r="G15" t="s">
        <v>261</v>
      </c>
    </row>
    <row r="16" spans="1:7" x14ac:dyDescent="0.25">
      <c r="B16" t="s">
        <v>105</v>
      </c>
      <c r="C16" t="s">
        <v>173</v>
      </c>
      <c r="D16" t="s">
        <v>196</v>
      </c>
      <c r="E16" t="b">
        <v>0</v>
      </c>
      <c r="F16" t="s">
        <v>105</v>
      </c>
      <c r="G16" t="s">
        <v>262</v>
      </c>
    </row>
    <row r="17" spans="1:10" x14ac:dyDescent="0.25">
      <c r="B17" t="s">
        <v>109</v>
      </c>
      <c r="C17" t="s">
        <v>173</v>
      </c>
      <c r="D17" t="s">
        <v>196</v>
      </c>
      <c r="E17" t="b">
        <v>0</v>
      </c>
      <c r="F17" t="s">
        <v>109</v>
      </c>
      <c r="G17" t="s">
        <v>262</v>
      </c>
    </row>
    <row r="18" spans="1:10" x14ac:dyDescent="0.25">
      <c r="B18" t="s">
        <v>110</v>
      </c>
      <c r="C18" t="s">
        <v>173</v>
      </c>
      <c r="D18" t="s">
        <v>196</v>
      </c>
      <c r="E18" t="b">
        <v>0</v>
      </c>
      <c r="F18" t="s">
        <v>110</v>
      </c>
      <c r="G18" t="s">
        <v>262</v>
      </c>
    </row>
    <row r="19" spans="1:10" x14ac:dyDescent="0.25">
      <c r="B19" t="s">
        <v>111</v>
      </c>
      <c r="C19" t="s">
        <v>173</v>
      </c>
      <c r="D19" t="s">
        <v>196</v>
      </c>
      <c r="E19" t="b">
        <v>0</v>
      </c>
      <c r="F19" t="s">
        <v>111</v>
      </c>
      <c r="G19" t="s">
        <v>262</v>
      </c>
    </row>
    <row r="20" spans="1:10" x14ac:dyDescent="0.25">
      <c r="B20" t="s">
        <v>112</v>
      </c>
      <c r="C20" t="s">
        <v>173</v>
      </c>
      <c r="D20" t="s">
        <v>196</v>
      </c>
      <c r="E20" t="b">
        <v>0</v>
      </c>
      <c r="F20" t="s">
        <v>112</v>
      </c>
      <c r="G20" t="s">
        <v>262</v>
      </c>
    </row>
    <row r="21" spans="1:10" x14ac:dyDescent="0.25">
      <c r="B21" t="s">
        <v>113</v>
      </c>
      <c r="C21" t="s">
        <v>173</v>
      </c>
      <c r="D21" t="s">
        <v>196</v>
      </c>
      <c r="E21" t="b">
        <v>0</v>
      </c>
      <c r="F21" t="s">
        <v>113</v>
      </c>
      <c r="G21" t="s">
        <v>262</v>
      </c>
    </row>
    <row r="28" spans="1:10" ht="15.75" thickBot="1" x14ac:dyDescent="0.3"/>
    <row r="29" spans="1:10" ht="15.75" thickBot="1" x14ac:dyDescent="0.3">
      <c r="A29" s="2" t="s">
        <v>223</v>
      </c>
      <c r="B29" s="146"/>
      <c r="C29" s="147"/>
      <c r="D29" s="147"/>
      <c r="E29" s="147"/>
      <c r="F29" s="147"/>
      <c r="G29" s="148"/>
    </row>
    <row r="30" spans="1:10" ht="30.75" thickBot="1" x14ac:dyDescent="0.3">
      <c r="B30" s="149" t="s">
        <v>224</v>
      </c>
      <c r="C30" s="150" t="s">
        <v>225</v>
      </c>
      <c r="D30" s="150" t="s">
        <v>226</v>
      </c>
      <c r="E30" s="150" t="s">
        <v>227</v>
      </c>
      <c r="F30" s="150" t="s">
        <v>254</v>
      </c>
      <c r="G30" s="150" t="s">
        <v>255</v>
      </c>
      <c r="I30" t="s">
        <v>264</v>
      </c>
    </row>
    <row r="31" spans="1:10" ht="15.75" thickBot="1" x14ac:dyDescent="0.3">
      <c r="B31" s="151" t="s">
        <v>228</v>
      </c>
      <c r="C31" s="152">
        <v>3.8450848270366999E-4</v>
      </c>
      <c r="D31" s="153">
        <v>0</v>
      </c>
      <c r="E31" s="153">
        <v>3.8450848270366999E-4</v>
      </c>
      <c r="F31" s="153">
        <v>0.2</v>
      </c>
      <c r="G31" s="153">
        <v>7.0000000000000001E-3</v>
      </c>
      <c r="I31" s="3" t="s">
        <v>261</v>
      </c>
      <c r="J31" s="11">
        <v>2.5000000000000001E-2</v>
      </c>
    </row>
    <row r="32" spans="1:10" ht="15.75" thickBot="1" x14ac:dyDescent="0.3">
      <c r="B32" s="154" t="s">
        <v>229</v>
      </c>
      <c r="C32" s="155">
        <v>3.8450848270366999E-4</v>
      </c>
      <c r="D32" s="156">
        <v>3.8450848270366999E-4</v>
      </c>
      <c r="E32" s="156">
        <v>3.8450848270366999E-4</v>
      </c>
      <c r="F32" s="156">
        <v>0.2</v>
      </c>
      <c r="G32" s="156">
        <v>7.0000000000000001E-3</v>
      </c>
      <c r="I32" s="3" t="s">
        <v>259</v>
      </c>
      <c r="J32" s="11">
        <v>0.05</v>
      </c>
    </row>
    <row r="33" spans="2:10" ht="15.75" thickBot="1" x14ac:dyDescent="0.3">
      <c r="B33" s="154" t="s">
        <v>230</v>
      </c>
      <c r="C33" s="155">
        <v>3.8450848270366999E-4</v>
      </c>
      <c r="D33" s="157">
        <v>3.8450848270366999E-4</v>
      </c>
      <c r="E33" s="157">
        <v>3.8450848270366999E-4</v>
      </c>
      <c r="F33" s="157">
        <v>0.2</v>
      </c>
      <c r="G33" s="157">
        <v>7.0000000000000001E-3</v>
      </c>
      <c r="I33" s="3" t="s">
        <v>265</v>
      </c>
      <c r="J33" s="11">
        <v>7.0000000000000007E-2</v>
      </c>
    </row>
    <row r="34" spans="2:10" ht="15.75" thickBot="1" x14ac:dyDescent="0.3">
      <c r="B34" s="154" t="s">
        <v>231</v>
      </c>
      <c r="C34" s="155">
        <v>3.8450848270366999E-4</v>
      </c>
      <c r="D34" s="155">
        <v>3.8450848270366999E-4</v>
      </c>
      <c r="E34" s="155">
        <v>4.79035945633728E-4</v>
      </c>
      <c r="F34" s="155">
        <v>0.2</v>
      </c>
      <c r="G34" s="155">
        <v>7.0000000000000001E-3</v>
      </c>
      <c r="I34" s="3" t="s">
        <v>260</v>
      </c>
      <c r="J34" s="11">
        <v>8.5000000000000006E-2</v>
      </c>
    </row>
    <row r="35" spans="2:10" ht="15.75" thickBot="1" x14ac:dyDescent="0.3">
      <c r="B35" s="154" t="s">
        <v>232</v>
      </c>
      <c r="C35" s="155">
        <v>5.9680201486231104E-4</v>
      </c>
      <c r="D35" s="155">
        <v>4.79035945633728E-4</v>
      </c>
      <c r="E35" s="155">
        <v>6.9065416042752995E-4</v>
      </c>
      <c r="F35" s="155">
        <v>0.5</v>
      </c>
      <c r="G35" s="155">
        <v>8.0000000000000002E-3</v>
      </c>
      <c r="I35" s="3" t="s">
        <v>262</v>
      </c>
      <c r="J35" s="11">
        <v>0.1</v>
      </c>
    </row>
    <row r="36" spans="2:10" ht="15.75" thickBot="1" x14ac:dyDescent="0.3">
      <c r="B36" s="154" t="s">
        <v>183</v>
      </c>
      <c r="C36" s="155">
        <v>7.9926534669274901E-4</v>
      </c>
      <c r="D36" s="155">
        <v>6.9065416042752995E-4</v>
      </c>
      <c r="E36" s="155">
        <v>8.2656925717321304E-4</v>
      </c>
      <c r="F36" s="155">
        <v>0.5</v>
      </c>
      <c r="G36" s="155">
        <v>8.0000000000000002E-3</v>
      </c>
      <c r="I36" s="3" t="s">
        <v>263</v>
      </c>
      <c r="J36" s="11">
        <v>0.1</v>
      </c>
    </row>
    <row r="37" spans="2:10" ht="15.75" thickBot="1" x14ac:dyDescent="0.3">
      <c r="B37" s="154" t="s">
        <v>233</v>
      </c>
      <c r="C37" s="155">
        <v>8.5480590361002701E-4</v>
      </c>
      <c r="D37" s="155">
        <v>8.2656925717321304E-4</v>
      </c>
      <c r="E37" s="155">
        <v>1.16740944703136E-3</v>
      </c>
      <c r="F37" s="155">
        <v>0.5</v>
      </c>
      <c r="G37" s="155">
        <v>8.0000000000000002E-3</v>
      </c>
    </row>
    <row r="38" spans="2:10" ht="15.75" thickBot="1" x14ac:dyDescent="0.3">
      <c r="B38" s="154" t="s">
        <v>234</v>
      </c>
      <c r="C38" s="155">
        <v>1.5943324809321901E-3</v>
      </c>
      <c r="D38" s="155">
        <v>1.16740944703136E-3</v>
      </c>
      <c r="E38" s="155">
        <v>1.6282179373851E-3</v>
      </c>
      <c r="F38" s="155">
        <v>1</v>
      </c>
      <c r="G38" s="155">
        <v>0.01</v>
      </c>
    </row>
    <row r="39" spans="2:10" ht="15.75" thickBot="1" x14ac:dyDescent="0.3">
      <c r="B39" s="154" t="s">
        <v>235</v>
      </c>
      <c r="C39" s="155">
        <v>1.6628235849981E-3</v>
      </c>
      <c r="D39" s="155">
        <v>1.6282179373851E-3</v>
      </c>
      <c r="E39" s="155">
        <v>1.69672357737767E-3</v>
      </c>
      <c r="F39" s="155">
        <v>1</v>
      </c>
      <c r="G39" s="155">
        <v>0.01</v>
      </c>
    </row>
    <row r="40" spans="2:10" ht="15.75" thickBot="1" x14ac:dyDescent="0.3">
      <c r="B40" s="154" t="s">
        <v>236</v>
      </c>
      <c r="C40" s="155">
        <v>1.7313146890640099E-3</v>
      </c>
      <c r="D40" s="155">
        <v>1.69672357737767E-3</v>
      </c>
      <c r="E40" s="155">
        <v>2.0829446172798802E-3</v>
      </c>
      <c r="F40" s="155">
        <v>1</v>
      </c>
      <c r="G40" s="155">
        <v>0.01</v>
      </c>
    </row>
    <row r="41" spans="2:10" ht="15.75" thickBot="1" x14ac:dyDescent="0.3">
      <c r="B41" s="154" t="s">
        <v>237</v>
      </c>
      <c r="C41" s="155">
        <v>2.5059905666258799E-3</v>
      </c>
      <c r="D41" s="155">
        <v>2.0829446172798802E-3</v>
      </c>
      <c r="E41" s="155">
        <v>2.8672842833211598E-3</v>
      </c>
      <c r="F41" s="155">
        <v>1</v>
      </c>
      <c r="G41" s="155">
        <v>0.01</v>
      </c>
    </row>
    <row r="42" spans="2:10" ht="15.75" thickBot="1" x14ac:dyDescent="0.3">
      <c r="B42" s="154" t="s">
        <v>238</v>
      </c>
      <c r="C42" s="155">
        <v>3.2806664441877502E-3</v>
      </c>
      <c r="D42" s="155">
        <v>2.8672842833211598E-3</v>
      </c>
      <c r="E42" s="155">
        <v>3.6330961829909498E-3</v>
      </c>
      <c r="F42" s="155">
        <v>1</v>
      </c>
      <c r="G42" s="155">
        <v>0.01</v>
      </c>
    </row>
    <row r="43" spans="2:10" ht="15.75" thickBot="1" x14ac:dyDescent="0.3">
      <c r="B43" s="154" t="s">
        <v>239</v>
      </c>
      <c r="C43" s="155">
        <v>4.0233861318782699E-3</v>
      </c>
      <c r="D43" s="155">
        <v>3.6330961829909498E-3</v>
      </c>
      <c r="E43" s="155">
        <v>4.3790277525402096E-3</v>
      </c>
      <c r="F43" s="155">
        <v>1</v>
      </c>
      <c r="G43" s="155">
        <v>0.02</v>
      </c>
    </row>
    <row r="44" spans="2:10" ht="15.75" thickBot="1" x14ac:dyDescent="0.3">
      <c r="B44" s="154" t="s">
        <v>240</v>
      </c>
      <c r="C44" s="155">
        <v>4.7661058195687901E-3</v>
      </c>
      <c r="D44" s="155">
        <v>4.3790277525402096E-3</v>
      </c>
      <c r="E44" s="155">
        <v>5.3918150040372604E-3</v>
      </c>
      <c r="F44" s="155">
        <v>1</v>
      </c>
      <c r="G44" s="155">
        <v>0.02</v>
      </c>
    </row>
    <row r="45" spans="2:10" ht="15.75" thickBot="1" x14ac:dyDescent="0.3">
      <c r="B45" s="154" t="s">
        <v>241</v>
      </c>
      <c r="C45" s="155">
        <v>6.0996692348705599E-3</v>
      </c>
      <c r="D45" s="155">
        <v>5.3918150040372604E-3</v>
      </c>
      <c r="E45" s="155">
        <v>6.7335176922535501E-3</v>
      </c>
      <c r="F45" s="155">
        <v>1</v>
      </c>
      <c r="G45" s="155">
        <v>0.02</v>
      </c>
    </row>
    <row r="46" spans="2:10" ht="15.75" thickBot="1" x14ac:dyDescent="0.3">
      <c r="B46" s="154" t="s">
        <v>242</v>
      </c>
      <c r="C46" s="155">
        <v>7.4332326501723297E-3</v>
      </c>
      <c r="D46" s="155">
        <v>6.7335176922535501E-3</v>
      </c>
      <c r="E46" s="155">
        <v>8.3328239623363005E-3</v>
      </c>
      <c r="F46" s="155">
        <v>1</v>
      </c>
      <c r="G46" s="155">
        <v>0.02</v>
      </c>
    </row>
    <row r="47" spans="2:10" ht="15.75" thickBot="1" x14ac:dyDescent="0.3">
      <c r="B47" s="154" t="s">
        <v>243</v>
      </c>
      <c r="C47" s="155">
        <v>9.3412864167081097E-3</v>
      </c>
      <c r="D47" s="155">
        <v>8.3328239623363005E-3</v>
      </c>
      <c r="E47" s="155">
        <v>1.0251015005874499E-2</v>
      </c>
      <c r="F47" s="155">
        <v>1</v>
      </c>
      <c r="G47" s="155">
        <v>0.02</v>
      </c>
    </row>
    <row r="48" spans="2:10" ht="15.75" thickBot="1" x14ac:dyDescent="0.3">
      <c r="B48" s="154" t="s">
        <v>244</v>
      </c>
      <c r="C48" s="155">
        <v>1.1249340183243899E-2</v>
      </c>
      <c r="D48" s="155">
        <v>1.0251015005874499E-2</v>
      </c>
      <c r="E48" s="155">
        <v>1.4187363557E-2</v>
      </c>
      <c r="F48" s="155">
        <v>1</v>
      </c>
      <c r="G48" s="155">
        <v>0.02</v>
      </c>
    </row>
    <row r="49" spans="2:7" ht="15.75" thickBot="1" x14ac:dyDescent="0.3">
      <c r="B49" s="154" t="s">
        <v>245</v>
      </c>
      <c r="C49" s="155">
        <v>1.78927191657254E-2</v>
      </c>
      <c r="D49" s="155">
        <v>1.4187363557E-2</v>
      </c>
      <c r="E49" s="155">
        <v>2.0952744774576499E-2</v>
      </c>
      <c r="F49" s="155">
        <v>1.5</v>
      </c>
      <c r="G49" s="155">
        <v>0.03</v>
      </c>
    </row>
    <row r="50" spans="2:7" ht="15.75" thickBot="1" x14ac:dyDescent="0.3">
      <c r="B50" s="154" t="s">
        <v>246</v>
      </c>
      <c r="C50" s="155">
        <v>2.4536098148206901E-2</v>
      </c>
      <c r="D50" s="155">
        <v>2.0952744774576499E-2</v>
      </c>
      <c r="E50" s="155">
        <v>3.0095007478138199E-2</v>
      </c>
      <c r="F50" s="155">
        <v>1.5</v>
      </c>
      <c r="G50" s="155">
        <v>0.03</v>
      </c>
    </row>
    <row r="51" spans="2:7" ht="15.75" thickBot="1" x14ac:dyDescent="0.3">
      <c r="B51" s="154" t="s">
        <v>247</v>
      </c>
      <c r="C51" s="155">
        <v>3.6913345782951301E-2</v>
      </c>
      <c r="D51" s="155">
        <v>3.0095007478138199E-2</v>
      </c>
      <c r="E51" s="155">
        <v>4.2655371510212599E-2</v>
      </c>
      <c r="F51" s="155">
        <v>1.5</v>
      </c>
      <c r="G51" s="155">
        <v>0.03</v>
      </c>
    </row>
    <row r="52" spans="2:7" ht="15.75" thickBot="1" x14ac:dyDescent="0.3">
      <c r="B52" s="154" t="s">
        <v>248</v>
      </c>
      <c r="C52" s="155">
        <v>4.9290593417695601E-2</v>
      </c>
      <c r="D52" s="155">
        <v>4.2655371510212599E-2</v>
      </c>
      <c r="E52" s="155">
        <v>6.0807891392586001E-2</v>
      </c>
      <c r="F52" s="155">
        <v>1.5</v>
      </c>
      <c r="G52" s="155">
        <v>0.03</v>
      </c>
    </row>
    <row r="53" spans="2:7" ht="15.75" thickBot="1" x14ac:dyDescent="0.3">
      <c r="B53" s="154" t="s">
        <v>249</v>
      </c>
      <c r="C53" s="155">
        <v>7.5016334745222804E-2</v>
      </c>
      <c r="D53" s="155">
        <v>6.0807891392586001E-2</v>
      </c>
      <c r="E53" s="155">
        <v>8.6932740101771294E-2</v>
      </c>
      <c r="F53" s="155">
        <v>1.5</v>
      </c>
      <c r="G53" s="155">
        <v>0.03</v>
      </c>
    </row>
    <row r="54" spans="2:7" ht="15.75" thickBot="1" x14ac:dyDescent="0.3">
      <c r="B54" s="154" t="s">
        <v>250</v>
      </c>
      <c r="C54" s="155">
        <v>0.10074207607275</v>
      </c>
      <c r="D54" s="155">
        <v>8.6932740101771294E-2</v>
      </c>
      <c r="E54" s="155">
        <v>0.19032801599777299</v>
      </c>
      <c r="F54" s="155">
        <v>1.5</v>
      </c>
      <c r="G54" s="155">
        <v>0.03</v>
      </c>
    </row>
    <row r="55" spans="2:7" ht="15.75" thickBot="1" x14ac:dyDescent="0.3">
      <c r="B55" s="154" t="s">
        <v>251</v>
      </c>
      <c r="C55" s="155">
        <v>0.35957918563727997</v>
      </c>
      <c r="D55" s="155">
        <v>0.19032801599777299</v>
      </c>
      <c r="E55" s="155">
        <v>1</v>
      </c>
      <c r="F55" s="155">
        <v>1.5</v>
      </c>
      <c r="G55" s="155">
        <v>0.1</v>
      </c>
    </row>
    <row r="56" spans="2:7" ht="15.75" thickBot="1" x14ac:dyDescent="0.3">
      <c r="B56" s="154" t="s">
        <v>252</v>
      </c>
      <c r="C56" s="155">
        <v>1</v>
      </c>
      <c r="D56" s="155">
        <v>1</v>
      </c>
      <c r="E56" s="155">
        <v>0</v>
      </c>
      <c r="F56" s="155">
        <v>1.5</v>
      </c>
      <c r="G56" s="15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28</vt:i4>
      </vt:variant>
    </vt:vector>
  </HeadingPairs>
  <TitlesOfParts>
    <vt:vector size="40" baseType="lpstr">
      <vt:lpstr>FX-IR</vt:lpstr>
      <vt:lpstr>Base</vt:lpstr>
      <vt:lpstr>Energy</vt:lpstr>
      <vt:lpstr>Correlations</vt:lpstr>
      <vt:lpstr>AsianSwap</vt:lpstr>
      <vt:lpstr>CustomSwap</vt:lpstr>
      <vt:lpstr>EuroOption</vt:lpstr>
      <vt:lpstr>AsianOption</vt:lpstr>
      <vt:lpstr>PortfolioBuilder</vt:lpstr>
      <vt:lpstr>Risk</vt:lpstr>
      <vt:lpstr>C&amp;C</vt:lpstr>
      <vt:lpstr>Static</vt:lpstr>
      <vt:lpstr>AModel</vt:lpstr>
      <vt:lpstr>AsianOptionObjects</vt:lpstr>
      <vt:lpstr>AsianOptionTags</vt:lpstr>
      <vt:lpstr>CustomSwap!AsianSwapObjects</vt:lpstr>
      <vt:lpstr>AsianSwapObjects</vt:lpstr>
      <vt:lpstr>CustomSwap!AsianSwapTags</vt:lpstr>
      <vt:lpstr>AsianSwapTags</vt:lpstr>
      <vt:lpstr>AssetStatic</vt:lpstr>
      <vt:lpstr>BidMidASK</vt:lpstr>
      <vt:lpstr>CCFs</vt:lpstr>
      <vt:lpstr>CorrelMatrix</vt:lpstr>
      <vt:lpstr>CurvesBase</vt:lpstr>
      <vt:lpstr>CurvesEnergyBasis</vt:lpstr>
      <vt:lpstr>CurvesEnergyFlat</vt:lpstr>
      <vt:lpstr>EuroOptionObjects</vt:lpstr>
      <vt:lpstr>EuroOptionTags</vt:lpstr>
      <vt:lpstr>FixingsBase</vt:lpstr>
      <vt:lpstr>FixingsEnergy</vt:lpstr>
      <vt:lpstr>FundingModel</vt:lpstr>
      <vt:lpstr>LiborSpot</vt:lpstr>
      <vt:lpstr>m3Date</vt:lpstr>
      <vt:lpstr>MetalSpotDate</vt:lpstr>
      <vt:lpstr>Portfolio</vt:lpstr>
      <vt:lpstr>RatingTable</vt:lpstr>
      <vt:lpstr>Tag</vt:lpstr>
      <vt:lpstr>valDate</vt:lpstr>
      <vt:lpstr>VolsBase</vt:lpstr>
      <vt:lpstr>VolsEnergy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2020-05-04T10:29:36Z</dcterms:created>
  <dcterms:modified xsi:type="dcterms:W3CDTF">2020-05-12T13:55:51Z</dcterms:modified>
</cp:coreProperties>
</file>