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rdipa2\Dropbox\Excel-Challenge\"/>
    </mc:Choice>
  </mc:AlternateContent>
  <xr:revisionPtr revIDLastSave="0" documentId="13_ncr:1_{8C7C9F4B-60FA-4098-97D6-10439F6BEA58}" xr6:coauthVersionLast="36" xr6:coauthVersionMax="47" xr10:uidLastSave="{00000000-0000-0000-0000-000000000000}"/>
  <bookViews>
    <workbookView xWindow="156" yWindow="1080" windowWidth="26436" windowHeight="14484" tabRatio="849" xr2:uid="{00000000-000D-0000-FFFF-FFFF00000000}"/>
  </bookViews>
  <sheets>
    <sheet name="Crowdfunding" sheetId="1" r:id="rId1"/>
    <sheet name="Category Analysis" sheetId="2" r:id="rId2"/>
    <sheet name="Sub-Category Analysis" sheetId="3" r:id="rId3"/>
    <sheet name="Date Created Analysis" sheetId="5" r:id="rId4"/>
    <sheet name="Outcomes based on Goal" sheetId="6" r:id="rId5"/>
    <sheet name="Statistical Analysis" sheetId="7" r:id="rId6"/>
  </sheets>
  <definedNames>
    <definedName name="_xlnm._FilterDatabase" localSheetId="0" hidden="1">Crowdfunding!$A$1:$T$1001</definedName>
    <definedName name="_xlchart.v1.0" hidden="1">'Statistical Analysis'!$E$2:$E$365</definedName>
    <definedName name="_xlchart.v1.1" hidden="1">'Statistical Analysis'!$B$2:$B$566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I15" i="7" l="1"/>
  <c r="H15" i="7"/>
  <c r="I14" i="7"/>
  <c r="H14" i="7"/>
  <c r="I11" i="7"/>
  <c r="I10" i="7"/>
  <c r="I9" i="7"/>
  <c r="H13" i="7"/>
  <c r="H12" i="7"/>
  <c r="H11" i="7"/>
  <c r="H10" i="7"/>
  <c r="H9" i="7"/>
  <c r="I12" i="7" l="1"/>
  <c r="I13" i="7" s="1"/>
  <c r="H3" i="7"/>
  <c r="I8" i="7"/>
  <c r="I7" i="7"/>
  <c r="I6" i="7"/>
  <c r="I5" i="7"/>
  <c r="I4" i="7"/>
  <c r="H8" i="7"/>
  <c r="H7" i="7"/>
  <c r="H6" i="7"/>
  <c r="H5" i="7"/>
  <c r="H4" i="7"/>
  <c r="I3" i="7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B2" i="6"/>
  <c r="E2" i="6" s="1"/>
  <c r="D2" i="6"/>
  <c r="C2" i="6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6" l="1"/>
  <c r="H2" i="6"/>
  <c r="F2" i="6"/>
  <c r="F9" i="6"/>
  <c r="G7" i="6"/>
  <c r="E13" i="6"/>
  <c r="H13" i="6" s="1"/>
  <c r="E11" i="6"/>
  <c r="H11" i="6" s="1"/>
  <c r="E9" i="6"/>
  <c r="H9" i="6" s="1"/>
  <c r="E7" i="6"/>
  <c r="H7" i="6" s="1"/>
  <c r="E12" i="6"/>
  <c r="F12" i="6" s="1"/>
  <c r="E8" i="6"/>
  <c r="G8" i="6" s="1"/>
  <c r="E3" i="6"/>
  <c r="F3" i="6" s="1"/>
  <c r="E4" i="6"/>
  <c r="G4" i="6" s="1"/>
  <c r="E10" i="6"/>
  <c r="G10" i="6" s="1"/>
  <c r="E5" i="6"/>
  <c r="F5" i="6" s="1"/>
  <c r="E6" i="6"/>
  <c r="H6" i="6" s="1"/>
  <c r="H4" i="6" l="1"/>
  <c r="G6" i="6"/>
  <c r="H5" i="6"/>
  <c r="H10" i="6"/>
  <c r="F11" i="6"/>
  <c r="F7" i="6"/>
  <c r="G11" i="6"/>
  <c r="F10" i="6"/>
  <c r="G5" i="6"/>
  <c r="G3" i="6"/>
  <c r="G13" i="6"/>
  <c r="F13" i="6"/>
  <c r="F6" i="6"/>
  <c r="H8" i="6"/>
  <c r="F8" i="6"/>
  <c r="G9" i="6"/>
  <c r="H3" i="6"/>
  <c r="F4" i="6"/>
  <c r="G12" i="6"/>
  <c r="H12" i="6"/>
</calcChain>
</file>

<file path=xl/sharedStrings.xml><?xml version="1.0" encoding="utf-8"?>
<sst xmlns="http://schemas.openxmlformats.org/spreadsheetml/2006/main" count="9070" uniqueCount="2122">
  <si>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</si>
  <si>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</si>
  <si>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</si>
  <si>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</si>
  <si>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</si>
  <si>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</si>
  <si>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</si>
  <si>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</si>
  <si>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</si>
  <si>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</si>
  <si>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</si>
  <si>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</si>
  <si>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</si>
  <si>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</si>
  <si>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</si>
  <si>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</si>
  <si>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</si>
  <si>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</si>
  <si>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</si>
  <si>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</si>
  <si>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</si>
  <si>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</si>
  <si>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</si>
  <si>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</si>
  <si>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</si>
  <si>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</si>
  <si>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</si>
  <si>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</si>
  <si>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</si>
  <si>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</si>
  <si>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</si>
  <si>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</si>
  <si>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</si>
  <si>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</si>
  <si>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</si>
  <si>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</si>
  <si>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</si>
  <si>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</si>
  <si>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</si>
  <si>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</si>
  <si>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</si>
  <si>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</si>
  <si>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</si>
  <si>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</si>
  <si>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</si>
  <si>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</si>
  <si>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</si>
  <si>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</si>
  <si>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</si>
  <si>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</si>
  <si>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</si>
  <si>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</si>
  <si>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</si>
  <si>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</si>
  <si>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</si>
  <si>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</si>
  <si>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</si>
  <si>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</si>
  <si>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</si>
  <si>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</si>
  <si>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</si>
  <si>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</si>
  <si>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</si>
  <si>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</si>
  <si>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</si>
  <si>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</si>
  <si>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</si>
  <si>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</si>
  <si>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</si>
  <si>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</si>
  <si>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</si>
  <si>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</si>
  <si>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</si>
  <si>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</si>
  <si>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</si>
  <si>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</si>
  <si>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</si>
  <si>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</si>
  <si>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</si>
  <si>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</si>
  <si>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</si>
  <si>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</si>
  <si>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</si>
  <si>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</si>
  <si>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</si>
  <si>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</si>
  <si>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</si>
  <si>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</si>
  <si>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</si>
  <si>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</si>
  <si>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</si>
  <si>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</si>
  <si>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</si>
  <si>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</si>
  <si>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</si>
  <si>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</si>
  <si>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</si>
  <si>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</si>
  <si>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</si>
  <si>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</si>
  <si>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</si>
  <si>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</si>
  <si>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</si>
  <si>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</si>
  <si>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</si>
  <si>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</si>
  <si>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</si>
  <si>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</si>
  <si>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</si>
  <si>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</si>
  <si>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</si>
  <si>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</si>
  <si>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</si>
  <si>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</si>
  <si>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</si>
  <si>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</si>
  <si>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</si>
  <si>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</si>
  <si>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</si>
  <si>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</si>
  <si>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</si>
  <si>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</si>
  <si>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</si>
  <si>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</si>
  <si>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</si>
  <si>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</si>
  <si>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</si>
  <si>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</si>
  <si>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</si>
  <si>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</si>
  <si>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</si>
  <si>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</si>
  <si>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</si>
  <si>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</si>
  <si>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</si>
  <si>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</si>
  <si>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</si>
  <si>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</si>
  <si>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</si>
  <si>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</si>
  <si>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</si>
  <si>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</si>
  <si>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</si>
  <si>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</si>
  <si>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</si>
  <si>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</si>
  <si>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</si>
  <si>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</si>
  <si>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</si>
  <si>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</si>
  <si>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</si>
  <si>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</si>
  <si>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</si>
  <si>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</si>
  <si>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</si>
  <si>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</si>
  <si>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</si>
  <si>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</si>
  <si>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</si>
  <si>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</si>
  <si>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</si>
  <si>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</si>
  <si>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</si>
  <si>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</si>
  <si>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</si>
  <si>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</si>
  <si>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</si>
  <si>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</si>
  <si>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</si>
  <si>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</si>
  <si>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</si>
  <si>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</si>
  <si>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</si>
  <si>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</si>
  <si>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</si>
  <si>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</si>
  <si>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</si>
  <si>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</si>
  <si>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</si>
  <si>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</si>
  <si>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</si>
  <si>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</si>
  <si>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</si>
  <si>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</si>
  <si>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</si>
  <si>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</si>
  <si>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</si>
  <si>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</si>
  <si>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</si>
  <si>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</si>
  <si>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</si>
  <si>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</si>
  <si>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</si>
  <si>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</si>
  <si>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</si>
  <si>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</si>
  <si>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</si>
  <si>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</si>
  <si>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</si>
  <si>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</si>
  <si>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</si>
  <si>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</si>
  <si>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</si>
  <si>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</si>
  <si>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</si>
  <si>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</si>
  <si>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</si>
  <si>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</si>
  <si>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</si>
  <si>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</si>
  <si>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</si>
  <si>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</si>
  <si>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</si>
  <si>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</si>
  <si>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</si>
  <si>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</si>
  <si>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</si>
  <si>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</si>
  <si>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</si>
  <si>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</si>
  <si>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</si>
  <si>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</si>
  <si>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</si>
  <si>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</si>
  <si>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</si>
  <si>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</si>
  <si>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</si>
  <si>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</si>
  <si>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</si>
  <si>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</si>
  <si>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</si>
  <si>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</si>
  <si>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</si>
  <si>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</si>
  <si>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</si>
  <si>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</si>
  <si>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</si>
  <si>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</si>
  <si>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</si>
  <si>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</si>
  <si>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</si>
  <si>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</si>
  <si>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</si>
  <si>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</si>
  <si>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</si>
  <si>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</si>
  <si>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</si>
  <si>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</si>
  <si>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</si>
  <si>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</si>
  <si>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</si>
  <si>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</si>
  <si>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</si>
  <si>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</si>
  <si>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</si>
  <si>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</si>
  <si>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</si>
  <si>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</si>
  <si>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</si>
  <si>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</si>
  <si>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</si>
  <si>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</si>
  <si>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</si>
  <si>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</si>
  <si>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</si>
  <si>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</si>
  <si>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</si>
  <si>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</si>
  <si>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</si>
  <si>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</si>
  <si>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</si>
  <si>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</si>
  <si>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</si>
  <si>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</si>
  <si>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</si>
  <si>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</si>
  <si>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</si>
  <si>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</si>
  <si>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</si>
  <si>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</si>
  <si>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</si>
  <si>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</si>
  <si>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</si>
  <si>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</si>
  <si>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</si>
  <si>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</si>
  <si>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</si>
  <si>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</si>
  <si>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</si>
  <si>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</si>
  <si>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</si>
  <si>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</si>
  <si>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</si>
  <si>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</si>
  <si>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</si>
  <si>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</si>
  <si>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</si>
  <si>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</si>
  <si>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</si>
  <si>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</si>
  <si>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</si>
  <si>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</si>
  <si>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</si>
  <si>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</si>
  <si>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</si>
  <si>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</si>
  <si>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</si>
  <si>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</si>
  <si>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</si>
  <si>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</si>
  <si>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</si>
  <si>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</si>
  <si>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</si>
  <si>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</si>
  <si>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</si>
  <si>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</si>
  <si>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</si>
  <si>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</si>
  <si>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</si>
  <si>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</si>
  <si>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</si>
  <si>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</si>
  <si>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</si>
  <si>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</si>
  <si>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</si>
  <si>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</si>
  <si>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</si>
  <si>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</si>
  <si>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</si>
  <si>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</si>
  <si>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</si>
  <si>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</si>
  <si>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</si>
  <si>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</si>
  <si>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</si>
  <si>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</si>
  <si>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</si>
  <si>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</si>
  <si>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</si>
  <si>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</si>
  <si>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</si>
  <si>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</si>
  <si>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</si>
  <si>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</si>
  <si>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</si>
  <si>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</si>
  <si>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</si>
  <si>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</si>
  <si>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</si>
  <si>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</si>
  <si>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</si>
  <si>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</si>
  <si>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</si>
  <si>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</si>
  <si>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</si>
  <si>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</si>
  <si>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</si>
  <si>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</si>
  <si>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</si>
  <si>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</si>
  <si>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</si>
  <si>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</si>
  <si>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</si>
  <si>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</si>
  <si>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</si>
  <si>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</si>
  <si>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</si>
  <si>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</si>
  <si>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</si>
  <si>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</si>
  <si>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</si>
  <si>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</si>
  <si>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</si>
  <si>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</si>
  <si>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</si>
  <si>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</si>
  <si>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</si>
  <si>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</si>
  <si>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</si>
  <si>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</si>
  <si>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</si>
  <si>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</si>
  <si>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</si>
  <si>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</si>
  <si>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</si>
  <si>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</si>
  <si>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</si>
  <si>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</si>
  <si>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</si>
  <si>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</si>
  <si>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</si>
  <si>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</si>
  <si>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</si>
  <si>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</si>
  <si>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</si>
  <si>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</si>
  <si>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</si>
  <si>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</si>
  <si>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</si>
  <si>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</si>
  <si>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</si>
  <si>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</si>
  <si>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</si>
  <si>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</si>
  <si>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</si>
  <si>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</si>
  <si>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</si>
  <si>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</si>
  <si>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</si>
  <si>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</si>
  <si>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</si>
  <si>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</si>
  <si>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</si>
  <si>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</si>
  <si>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</si>
  <si>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</si>
  <si>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</si>
  <si>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</si>
  <si>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</si>
  <si>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</si>
  <si>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</si>
  <si>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</si>
  <si>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</si>
  <si>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</si>
  <si>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</si>
  <si>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</si>
  <si>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</si>
  <si>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</si>
  <si>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</si>
  <si>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</si>
  <si>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</si>
  <si>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</si>
  <si>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</si>
  <si>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</si>
  <si>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</si>
  <si>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</si>
  <si>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</si>
  <si>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</si>
  <si>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</si>
  <si>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</si>
  <si>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</si>
  <si>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</si>
  <si>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</si>
  <si>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</si>
  <si>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</si>
  <si>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</si>
  <si>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</si>
  <si>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</si>
  <si>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</si>
  <si>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</si>
  <si>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</si>
  <si>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</si>
  <si>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</si>
  <si>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</si>
  <si>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</si>
  <si>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</si>
  <si>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</si>
  <si>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</si>
  <si>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</si>
  <si>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</si>
  <si>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</si>
  <si>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</si>
  <si>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</si>
  <si>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</si>
  <si>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</si>
  <si>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</si>
  <si>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</si>
  <si>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</si>
  <si>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</si>
  <si>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</si>
  <si>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</si>
  <si>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</si>
  <si>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</si>
  <si>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</si>
  <si>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</si>
  <si>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</si>
  <si>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</si>
  <si>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</si>
  <si>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</si>
  <si>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</si>
  <si>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</si>
  <si>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</si>
  <si>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</si>
  <si>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</si>
  <si>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</si>
  <si>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</si>
  <si>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</si>
  <si>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</si>
  <si>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</si>
  <si>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</si>
  <si>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</si>
  <si>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</si>
  <si>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</si>
  <si>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</si>
  <si>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</si>
  <si>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</si>
  <si>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</si>
  <si>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</si>
  <si>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</si>
  <si>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</si>
  <si>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</si>
  <si>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</si>
  <si>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</si>
  <si>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</si>
  <si>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</si>
  <si>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</si>
  <si>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</si>
  <si>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</si>
  <si>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</si>
  <si>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</si>
  <si>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</si>
  <si>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</si>
  <si>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</si>
  <si>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</si>
  <si>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</si>
  <si>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</si>
  <si>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</si>
  <si>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</si>
  <si>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</si>
  <si>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</si>
  <si>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</si>
  <si>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</si>
  <si>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</si>
  <si>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</si>
  <si>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</si>
  <si>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</si>
  <si>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</si>
  <si>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</si>
  <si>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</si>
  <si>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</si>
  <si>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</si>
  <si>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</si>
  <si>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</si>
  <si>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</si>
  <si>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</si>
  <si>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</si>
  <si>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</si>
  <si>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</si>
  <si>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</si>
  <si>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</si>
  <si>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</si>
  <si>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</si>
  <si>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</si>
  <si>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</si>
  <si>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</si>
  <si>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</si>
  <si>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</si>
  <si>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</si>
  <si>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</si>
  <si>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</si>
  <si>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</si>
  <si>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</si>
  <si>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</si>
  <si>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</si>
  <si>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</si>
  <si>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</si>
  <si>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</si>
  <si>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</si>
  <si>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</si>
  <si>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</si>
  <si>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</si>
  <si>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</si>
  <si>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</si>
  <si>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</si>
  <si>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</si>
  <si>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</si>
  <si>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</si>
  <si>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</si>
  <si>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</si>
  <si>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</si>
  <si>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</si>
  <si>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</si>
  <si>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</si>
  <si>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</si>
  <si>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</si>
  <si>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</si>
  <si>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</si>
  <si>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</si>
  <si>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</si>
  <si>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</si>
  <si>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</si>
  <si>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</si>
  <si>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</si>
  <si>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</si>
  <si>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</si>
  <si>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</si>
  <si>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</si>
  <si>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</si>
  <si>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</si>
  <si>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</si>
  <si>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</si>
  <si>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</si>
  <si>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</si>
  <si>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</si>
  <si>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</si>
  <si>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</si>
  <si>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</si>
  <si>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</si>
  <si>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</si>
  <si>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</si>
  <si>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</si>
  <si>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</si>
  <si>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</si>
  <si>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</si>
  <si>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</si>
  <si>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</si>
  <si>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</si>
  <si>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</si>
  <si>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</si>
  <si>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</si>
  <si>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</si>
  <si>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</si>
  <si>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</si>
  <si>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</si>
  <si>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</si>
  <si>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</si>
  <si>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</si>
  <si>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</si>
  <si>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</si>
  <si>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</si>
  <si>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</si>
  <si>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</si>
  <si>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</si>
  <si>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</si>
  <si>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</si>
  <si>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</si>
  <si>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</si>
  <si>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</si>
  <si>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</si>
  <si>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</si>
  <si>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</si>
  <si>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</si>
  <si>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</si>
  <si>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</si>
  <si>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</si>
  <si>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</si>
  <si>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</si>
  <si>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</si>
  <si>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</si>
  <si>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</si>
  <si>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</si>
  <si>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</si>
  <si>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</si>
  <si>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</si>
  <si>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</si>
  <si>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</si>
  <si>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</si>
  <si>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</si>
  <si>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</si>
  <si>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</si>
  <si>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</si>
  <si>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</si>
  <si>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</si>
  <si>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</si>
  <si>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</si>
  <si>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</si>
  <si>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</si>
  <si>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</si>
  <si>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</si>
  <si>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</si>
  <si>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</si>
  <si>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</si>
  <si>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</si>
  <si>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</si>
  <si>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</si>
  <si>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</si>
  <si>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</si>
  <si>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</si>
  <si>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</si>
  <si>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</si>
  <si>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</si>
  <si>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</si>
  <si>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</si>
  <si>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</si>
  <si>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</si>
  <si>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</si>
  <si>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</si>
  <si>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</si>
  <si>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</si>
  <si>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</si>
  <si>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</si>
  <si>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</si>
  <si>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</si>
  <si>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</si>
  <si>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</si>
  <si>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</si>
  <si>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</si>
  <si>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</si>
  <si>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</si>
  <si>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</si>
  <si>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</si>
  <si>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</si>
  <si>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</si>
  <si>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</si>
  <si>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</si>
  <si>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</si>
  <si>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</si>
  <si>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</si>
  <si>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</si>
  <si>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</si>
  <si>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</si>
  <si>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</si>
  <si>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</si>
  <si>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</si>
  <si>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</si>
  <si>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</si>
  <si>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</si>
  <si>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</si>
  <si>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</si>
  <si>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</si>
  <si>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</si>
  <si>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</si>
  <si>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</si>
  <si>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</si>
  <si>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</si>
  <si>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</si>
  <si>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</si>
  <si>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</si>
  <si>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</si>
  <si>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</si>
  <si>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</si>
  <si>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</si>
  <si>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</si>
  <si>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</si>
  <si>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</si>
  <si>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</si>
  <si>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</si>
  <si>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</si>
  <si>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</si>
  <si>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</si>
  <si>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</si>
  <si>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</si>
  <si>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</si>
  <si>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</si>
  <si>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</si>
  <si>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</si>
  <si>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</si>
  <si>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</si>
  <si>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</si>
  <si>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</si>
  <si>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</si>
  <si>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</si>
  <si>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</si>
  <si>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</si>
  <si>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</si>
  <si>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</si>
  <si>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</si>
  <si>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</si>
  <si>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</si>
  <si>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</si>
  <si>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</si>
  <si>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</si>
  <si>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</si>
  <si>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</si>
  <si>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</si>
  <si>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</si>
  <si>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</si>
  <si>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</si>
  <si>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</si>
  <si>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</si>
  <si>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</si>
  <si>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</si>
  <si>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</si>
  <si>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</si>
  <si>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</si>
  <si>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</si>
  <si>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</si>
  <si>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</si>
  <si>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</si>
  <si>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</si>
  <si>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</si>
  <si>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</si>
  <si>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</si>
  <si>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</si>
  <si>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</si>
  <si>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</si>
  <si>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</si>
  <si>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</si>
  <si>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</si>
  <si>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</si>
  <si>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</si>
  <si>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</si>
  <si>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</si>
  <si>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</si>
  <si>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</si>
  <si>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</si>
  <si>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</si>
  <si>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</si>
  <si>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</si>
  <si>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</si>
  <si>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</si>
  <si>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</si>
  <si>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</si>
  <si>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</si>
  <si>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</si>
  <si>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</si>
  <si>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</si>
  <si>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</si>
  <si>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</si>
  <si>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</si>
  <si>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</si>
  <si>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</si>
  <si>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</si>
  <si>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</si>
  <si>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</si>
  <si>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</si>
  <si>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</si>
  <si>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</si>
  <si>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</si>
  <si>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</si>
  <si>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</si>
  <si>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</si>
  <si>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</si>
  <si>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</si>
  <si>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</si>
  <si>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</si>
  <si>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</si>
  <si>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</si>
  <si>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</si>
  <si>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</si>
  <si>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</si>
  <si>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</si>
  <si>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</si>
  <si>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</si>
  <si>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</si>
  <si>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</si>
  <si>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</si>
  <si>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</si>
  <si>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</si>
  <si>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</si>
  <si>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</si>
  <si>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</si>
  <si>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</si>
  <si>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</si>
  <si>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</si>
  <si>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</si>
  <si>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</si>
  <si>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</si>
  <si>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</si>
  <si>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</si>
  <si>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</si>
  <si>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</si>
  <si>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</si>
  <si>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</si>
  <si>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</si>
  <si>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</si>
  <si>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</si>
  <si>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</si>
  <si>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</si>
  <si>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</si>
  <si>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</si>
  <si>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</si>
  <si>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</si>
  <si>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</si>
  <si>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</si>
  <si>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</si>
  <si>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</si>
  <si>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</si>
  <si>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</si>
  <si>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</si>
  <si>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</si>
  <si>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</si>
  <si>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</si>
  <si>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</si>
  <si>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</si>
  <si>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</si>
  <si>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</si>
  <si>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</si>
  <si>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</si>
  <si>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</si>
  <si>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</si>
  <si>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</si>
  <si>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</si>
  <si>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</si>
  <si>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</si>
  <si>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</si>
  <si>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</si>
  <si>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</si>
  <si>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</si>
  <si>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</si>
  <si>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</si>
  <si>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</si>
  <si>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</si>
  <si>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</si>
  <si>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</si>
  <si>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</si>
  <si>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</si>
  <si>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</si>
  <si>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</si>
  <si>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</si>
  <si>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</si>
  <si>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</si>
  <si>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</si>
  <si>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</si>
  <si>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</si>
  <si>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</si>
  <si>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</si>
  <si>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</si>
  <si>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</si>
  <si>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</si>
  <si>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</si>
  <si>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</si>
  <si>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</si>
  <si>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</si>
  <si>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</si>
  <si>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</si>
  <si>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</si>
  <si>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</si>
  <si>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</si>
  <si>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</si>
  <si>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</si>
  <si>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</si>
  <si>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</si>
  <si>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</si>
  <si>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</si>
  <si>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</si>
  <si>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</si>
  <si>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</si>
  <si>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</si>
  <si>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</si>
  <si>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</si>
  <si>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</si>
  <si>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</si>
  <si>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</si>
  <si>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</si>
  <si>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</si>
  <si>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</si>
  <si>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</si>
  <si>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</si>
  <si>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</si>
  <si>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</si>
  <si>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</si>
  <si>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</si>
  <si>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</si>
  <si>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</si>
  <si>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</si>
  <si>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</si>
  <si>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</si>
  <si>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</si>
  <si>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</si>
  <si>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</si>
  <si>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</si>
  <si>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</si>
  <si>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</si>
  <si>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</si>
  <si>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</si>
  <si>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</si>
  <si>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</si>
  <si>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</si>
  <si>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</si>
  <si>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</si>
  <si>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</si>
  <si>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</si>
  <si>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</si>
  <si>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</si>
  <si>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</si>
  <si>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</si>
  <si>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</si>
  <si>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</si>
  <si>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</si>
  <si>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</si>
  <si>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</si>
  <si>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</si>
  <si>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</si>
  <si>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</si>
  <si>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</si>
  <si>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</si>
  <si>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</si>
  <si>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</si>
  <si>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</si>
  <si>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</si>
  <si>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</si>
  <si>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</si>
  <si>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</si>
  <si>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</si>
  <si>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</si>
  <si>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</si>
  <si>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</si>
  <si>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</si>
  <si>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</si>
  <si>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</si>
  <si>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</si>
  <si>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</si>
  <si>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</si>
  <si>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</si>
  <si>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</si>
  <si>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</si>
  <si>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</si>
  <si>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</si>
  <si>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</si>
  <si>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</si>
  <si>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</si>
  <si>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</si>
  <si>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</si>
  <si>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</si>
  <si>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</si>
  <si>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</si>
  <si>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</si>
  <si>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</si>
  <si>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</si>
  <si>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</si>
  <si>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</si>
  <si>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</si>
  <si>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</si>
  <si>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</si>
  <si>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</si>
  <si>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</si>
  <si>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</si>
  <si>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</si>
  <si>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</si>
  <si>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</si>
  <si>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</si>
  <si>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</si>
  <si>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</si>
  <si>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</si>
  <si>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</si>
  <si>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</si>
  <si>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</si>
  <si>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</si>
  <si>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</si>
  <si>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</si>
  <si>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</si>
  <si>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</si>
  <si>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</si>
  <si>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</si>
  <si>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</si>
  <si>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</si>
  <si>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</si>
  <si>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</si>
  <si>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</si>
  <si>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</si>
  <si>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</si>
  <si>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</si>
  <si>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</si>
  <si>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</si>
  <si>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</si>
  <si>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</si>
  <si>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</si>
  <si>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</si>
  <si>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</si>
  <si>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</si>
  <si>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</si>
  <si>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</si>
  <si>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</si>
  <si>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</si>
  <si>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</si>
  <si>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</si>
  <si>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</si>
  <si>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</si>
  <si>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</si>
  <si>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</si>
  <si>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</si>
  <si>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</si>
  <si>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</si>
  <si>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</si>
  <si>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</si>
  <si>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</si>
  <si>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</si>
  <si>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</si>
  <si>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</si>
  <si>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</si>
  <si>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</si>
  <si>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</si>
  <si>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</si>
  <si>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</si>
  <si>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</si>
  <si>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</si>
  <si>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</si>
  <si>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</si>
  <si>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</si>
  <si>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</si>
  <si>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</si>
  <si>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</si>
  <si>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</si>
  <si>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</si>
  <si>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</si>
  <si>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</si>
  <si>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</si>
  <si>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</si>
  <si>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</si>
  <si>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</si>
  <si>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</si>
  <si>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</si>
  <si>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</si>
  <si>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</si>
  <si>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</si>
  <si>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</si>
  <si>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</si>
  <si>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</si>
  <si>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</si>
  <si>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</si>
  <si>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</si>
  <si>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</si>
  <si>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</si>
  <si>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</si>
  <si>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</si>
  <si>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</si>
  <si>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</si>
  <si>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</si>
  <si>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</si>
  <si>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</si>
  <si>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</si>
  <si>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</si>
  <si>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</si>
  <si>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</si>
  <si>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</si>
  <si>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</si>
  <si>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</si>
  <si>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</si>
  <si>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</si>
  <si>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</si>
  <si>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</si>
  <si>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</si>
  <si>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</si>
  <si>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</si>
  <si>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</si>
  <si>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</si>
  <si>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</si>
  <si>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</si>
  <si>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</si>
  <si>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</si>
  <si>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</si>
  <si>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</si>
  <si>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</si>
  <si>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</si>
  <si>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</si>
  <si>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</si>
  <si>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</si>
  <si>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</si>
  <si>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</si>
  <si>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</si>
  <si>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</si>
  <si>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</si>
  <si>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</si>
  <si>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</si>
  <si>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</si>
  <si>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</si>
  <si>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</si>
  <si>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</si>
  <si>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</si>
  <si>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</si>
  <si>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</si>
  <si>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</si>
  <si>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</si>
  <si>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</si>
  <si>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</si>
  <si>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</si>
  <si>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</si>
  <si>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</si>
  <si>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</si>
  <si>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</si>
  <si>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</si>
  <si>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</si>
  <si>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</si>
  <si>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</si>
  <si>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</si>
  <si>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</si>
  <si>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</si>
  <si>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</si>
  <si>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</si>
  <si>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</si>
  <si>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</si>
  <si>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</si>
  <si>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</si>
  <si>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</si>
  <si>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</si>
  <si>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</si>
  <si>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</si>
  <si>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</si>
  <si>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</si>
  <si>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</si>
  <si>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</si>
  <si>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</si>
  <si>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</si>
  <si>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</si>
  <si>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</si>
  <si>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</si>
  <si>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</si>
  <si>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</si>
  <si>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</si>
  <si>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</si>
  <si>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</si>
  <si>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</si>
  <si>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</si>
  <si>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</si>
  <si>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</si>
  <si>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</si>
  <si>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</si>
  <si>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</si>
  <si>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</si>
  <si>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</si>
  <si>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</si>
  <si>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</si>
  <si>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</si>
  <si>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</si>
  <si>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</si>
  <si>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</si>
  <si>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</si>
  <si>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</si>
  <si>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</si>
  <si>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</si>
  <si>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</si>
  <si>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</si>
  <si>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</si>
  <si>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</si>
  <si>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</si>
  <si>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</si>
  <si>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</si>
  <si>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</si>
  <si>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</si>
  <si>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</si>
  <si>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</si>
  <si>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</si>
  <si>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</si>
  <si>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</si>
  <si>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</si>
  <si>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</si>
  <si>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</si>
  <si>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</si>
  <si>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</si>
  <si>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</si>
  <si>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</si>
  <si>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</si>
  <si>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</si>
  <si>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</si>
  <si>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</si>
  <si>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</si>
  <si>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</si>
  <si>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</si>
  <si>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</si>
  <si>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</si>
  <si>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</si>
  <si>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</si>
  <si>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</si>
  <si>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</si>
  <si>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</si>
  <si>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</si>
  <si>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</si>
  <si>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</si>
  <si>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</si>
  <si>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</si>
  <si>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</si>
  <si>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</si>
  <si>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</si>
  <si>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</si>
  <si>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</si>
  <si>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</si>
  <si>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</si>
  <si>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</si>
  <si>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</si>
  <si>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</si>
  <si>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</si>
  <si>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</si>
  <si>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</si>
  <si>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</si>
  <si>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</si>
  <si>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</si>
  <si>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</si>
  <si>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</si>
  <si>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</si>
  <si>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</si>
  <si>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</si>
  <si>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</si>
  <si>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</si>
  <si>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</si>
  <si>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</si>
  <si>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</si>
  <si>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</si>
  <si>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</si>
  <si>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</si>
  <si>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</si>
  <si>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</si>
  <si>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</si>
  <si>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</si>
  <si>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</si>
  <si>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</si>
  <si>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</si>
  <si>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</si>
  <si>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</si>
  <si>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</si>
  <si>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</si>
  <si>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</si>
  <si>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</si>
  <si>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</si>
  <si>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</si>
  <si>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</si>
  <si>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</si>
  <si>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</si>
  <si>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</si>
  <si>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</si>
  <si>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</si>
  <si>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</si>
  <si>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</si>
  <si>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</si>
  <si>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</si>
  <si>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</si>
  <si>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</si>
  <si>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</si>
  <si>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</si>
  <si>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</si>
  <si>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</si>
  <si>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</si>
  <si>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</si>
  <si>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</si>
  <si>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</si>
  <si>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</si>
  <si>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</si>
  <si>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</si>
  <si>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</si>
  <si>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</si>
  <si>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</si>
  <si>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</si>
  <si>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</si>
  <si>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</si>
  <si>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</si>
  <si>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</si>
  <si>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</si>
  <si>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</si>
  <si>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</si>
  <si>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</si>
  <si>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</si>
  <si>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</si>
  <si>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</si>
  <si>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</si>
  <si>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</si>
  <si>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</si>
  <si>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</si>
  <si>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</si>
  <si>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</si>
  <si>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</si>
  <si>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</si>
  <si>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</si>
  <si>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</si>
  <si>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</si>
  <si>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</si>
  <si>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</si>
  <si>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</si>
  <si>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</si>
  <si>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</si>
  <si>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</si>
  <si>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</si>
  <si>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</si>
  <si>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</si>
  <si>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</si>
  <si>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</si>
  <si>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</si>
  <si>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</si>
  <si>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</si>
  <si>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</si>
  <si>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</si>
  <si>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</si>
  <si>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</si>
  <si>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</si>
  <si>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</si>
  <si>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</si>
  <si>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</si>
  <si>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</si>
  <si>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</si>
  <si>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</si>
  <si>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</si>
  <si>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</si>
  <si>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</si>
  <si>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</si>
  <si>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</si>
  <si>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</si>
  <si>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</si>
  <si>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</si>
  <si>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</si>
  <si>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</si>
  <si>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</si>
  <si>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</si>
  <si>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</si>
  <si>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</si>
  <si>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</si>
  <si>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</si>
  <si>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</si>
  <si>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</si>
  <si>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</si>
  <si>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</si>
  <si>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</si>
  <si>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</si>
  <si>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</si>
  <si>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</si>
  <si>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</si>
  <si>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</si>
  <si>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</si>
  <si>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</si>
  <si>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</si>
  <si>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</si>
  <si>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</si>
  <si>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</si>
  <si>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</si>
  <si>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</si>
  <si>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</si>
  <si>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</si>
  <si>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</si>
  <si>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</si>
  <si>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</si>
  <si>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</si>
  <si>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</si>
  <si>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</si>
  <si>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</si>
  <si>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</si>
  <si>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</si>
  <si>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</si>
  <si>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</si>
  <si>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</si>
  <si>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</si>
  <si>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</si>
  <si>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</si>
  <si>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</si>
  <si>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</si>
  <si>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</si>
  <si>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</si>
  <si>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</si>
  <si>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</si>
  <si>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</si>
  <si>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</si>
  <si>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</si>
  <si>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</si>
  <si>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</si>
  <si>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</si>
  <si>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</si>
  <si>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</si>
  <si>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</si>
  <si>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</si>
  <si>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</si>
  <si>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</si>
  <si>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</si>
  <si>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</si>
  <si>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</si>
  <si>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</si>
  <si>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</si>
  <si>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</si>
  <si>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</si>
  <si>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</si>
  <si>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</si>
  <si>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</si>
  <si>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</si>
  <si>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</si>
  <si>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</si>
  <si>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</si>
  <si>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</si>
  <si>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</si>
  <si>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</si>
  <si>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</si>
  <si>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</si>
  <si>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</si>
  <si>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</si>
  <si>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</si>
  <si>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</si>
  <si>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</si>
  <si>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</si>
  <si>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</si>
  <si>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</si>
  <si>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</si>
  <si>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</si>
  <si>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</si>
  <si>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</si>
  <si>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</si>
  <si>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</si>
  <si>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</si>
  <si>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</si>
  <si>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</si>
  <si>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</si>
  <si>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</si>
  <si>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</si>
  <si>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</si>
  <si>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</si>
  <si>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</si>
  <si>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</si>
  <si>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</si>
  <si>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</si>
  <si>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</si>
  <si>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</si>
  <si>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</si>
  <si>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</si>
  <si>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</si>
  <si>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</si>
  <si>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</si>
  <si>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</si>
  <si>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</si>
  <si>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</si>
  <si>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</si>
  <si>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</si>
  <si>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</si>
  <si>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</si>
  <si>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</si>
  <si>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</si>
  <si>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</si>
  <si>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</si>
  <si>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</si>
  <si>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</si>
  <si>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</si>
  <si>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</si>
  <si>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</si>
  <si>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</si>
  <si>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</si>
  <si>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</si>
  <si>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</si>
  <si>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</si>
  <si>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</si>
  <si>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</si>
  <si>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</si>
  <si>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</si>
  <si>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</si>
  <si>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</si>
  <si>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</si>
  <si>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</si>
  <si>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</si>
  <si>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</si>
  <si>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</si>
  <si>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</si>
  <si>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</si>
  <si>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</si>
  <si>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</si>
  <si>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</si>
  <si>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</si>
  <si>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</si>
  <si>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</si>
  <si>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</si>
  <si>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</si>
  <si>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</si>
  <si>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</si>
  <si>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</si>
  <si>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</si>
  <si>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</si>
  <si>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</si>
  <si>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</si>
  <si>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</si>
  <si>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</si>
  <si>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</si>
  <si>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</si>
  <si>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</si>
  <si>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</si>
  <si>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</si>
  <si>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</si>
  <si>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</si>
  <si>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</si>
  <si>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</si>
  <si>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</si>
  <si>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</si>
  <si>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</si>
  <si>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</si>
  <si>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</si>
  <si>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</si>
  <si>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</si>
  <si>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</si>
  <si>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</si>
  <si>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</si>
  <si>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</si>
  <si>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</si>
  <si>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</si>
  <si>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</si>
  <si>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</si>
  <si>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</si>
  <si>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</si>
  <si>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</si>
  <si>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</si>
  <si>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</si>
  <si>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</si>
  <si>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</si>
  <si>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</si>
  <si>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</si>
  <si>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</si>
  <si>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</si>
  <si>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</si>
  <si>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</si>
  <si>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</si>
  <si>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</si>
  <si>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</si>
  <si>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</si>
  <si>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</si>
  <si>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</si>
  <si>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</si>
  <si>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</si>
  <si>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</si>
  <si>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</si>
  <si>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</si>
  <si>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</si>
  <si>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</si>
  <si>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</si>
  <si>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</si>
  <si>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</si>
  <si>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</si>
  <si>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</si>
  <si>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</si>
  <si>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</si>
  <si>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</si>
  <si>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</si>
  <si>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</si>
  <si>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</si>
  <si>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</si>
  <si>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</si>
  <si>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</si>
  <si>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</si>
  <si>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</si>
  <si>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</si>
  <si>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</si>
  <si>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</si>
  <si>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</si>
  <si>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</si>
  <si>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</si>
  <si>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</si>
  <si>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</si>
  <si>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</si>
  <si>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</si>
  <si>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</si>
  <si>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</si>
  <si>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</si>
  <si>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</si>
  <si>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</si>
  <si>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</si>
  <si>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</si>
  <si>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</si>
  <si>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</si>
  <si>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</si>
  <si>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</si>
  <si>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</si>
  <si>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</si>
  <si>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</si>
  <si>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</si>
  <si>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</si>
  <si>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</si>
  <si>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</si>
  <si>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</si>
  <si>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</si>
  <si>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</si>
  <si>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</si>
  <si>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</si>
  <si>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</si>
  <si>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</si>
  <si>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</si>
  <si>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</si>
  <si>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</si>
  <si>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</si>
  <si>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</si>
  <si>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</si>
  <si>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</si>
  <si>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</si>
  <si>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</si>
  <si>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</si>
  <si>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</si>
  <si>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</si>
  <si>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</si>
  <si>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</si>
  <si>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</si>
  <si>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</si>
  <si>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</si>
  <si>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</si>
  <si>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</si>
  <si>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</si>
  <si>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</si>
  <si>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</si>
  <si>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</si>
  <si>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</si>
  <si>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</si>
  <si>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</si>
  <si>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</si>
  <si>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</si>
  <si>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</si>
  <si>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</si>
  <si>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</si>
  <si>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</si>
  <si>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</si>
  <si>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</si>
  <si>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</si>
  <si>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</si>
  <si>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</si>
  <si>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</si>
  <si>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</si>
  <si>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</si>
  <si>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</si>
  <si>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</si>
  <si>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</si>
  <si>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</si>
  <si>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</si>
  <si>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</si>
  <si>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</si>
  <si>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</si>
  <si>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</si>
  <si>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</si>
  <si>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</si>
  <si>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</si>
  <si>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</si>
  <si>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</si>
  <si>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</si>
  <si>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</si>
  <si>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</si>
  <si>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</si>
  <si>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</si>
  <si>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</si>
  <si>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</si>
  <si>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</si>
  <si>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</si>
  <si>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</si>
  <si>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</si>
  <si>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</si>
  <si>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</si>
  <si>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</si>
  <si>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</si>
  <si>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</si>
  <si>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</si>
  <si>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</si>
  <si>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</si>
  <si>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</si>
  <si>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</si>
  <si>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</si>
  <si>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</si>
  <si>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</si>
  <si>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</si>
  <si>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</si>
  <si>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</si>
  <si>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</si>
  <si>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</si>
  <si>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</si>
  <si>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</si>
  <si>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</si>
  <si>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</si>
  <si>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</si>
  <si>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</si>
  <si>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</si>
  <si>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</si>
  <si>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</si>
  <si>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</si>
  <si>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</si>
  <si>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</si>
  <si>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</si>
  <si>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</si>
  <si>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</si>
  <si>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</si>
  <si>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</si>
  <si>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</si>
  <si>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</si>
  <si>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</si>
  <si>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</si>
  <si>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</si>
  <si>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</si>
  <si>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</si>
  <si>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</si>
  <si>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</si>
  <si>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</si>
  <si>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</si>
  <si>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</si>
  <si>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</si>
  <si>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</si>
  <si>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</si>
  <si>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</si>
  <si>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</si>
  <si>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</si>
  <si>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</si>
  <si>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</si>
  <si>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</si>
  <si>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</si>
  <si>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</si>
  <si>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</si>
  <si>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</si>
  <si>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</si>
  <si>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</si>
  <si>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</si>
  <si>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</si>
  <si>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</si>
  <si>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</si>
  <si>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</si>
  <si>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</si>
  <si>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</si>
  <si>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</si>
  <si>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</si>
  <si>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</si>
  <si>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</si>
  <si>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</si>
  <si>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</si>
  <si>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</si>
  <si>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</si>
  <si>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</si>
  <si>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</si>
  <si>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</si>
  <si>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</si>
  <si>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</si>
  <si>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</si>
  <si>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</si>
  <si>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</si>
  <si>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</si>
  <si>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</si>
  <si>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</si>
  <si>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</si>
  <si>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</si>
  <si>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</si>
  <si>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</si>
  <si>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</si>
  <si>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</si>
  <si>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</si>
  <si>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</si>
  <si>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</si>
  <si>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</si>
  <si>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</si>
  <si>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</si>
  <si>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</si>
  <si>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</si>
  <si>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</si>
  <si>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</si>
  <si>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</si>
  <si>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</si>
  <si>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</si>
  <si>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</si>
  <si>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</si>
  <si>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</si>
  <si>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</si>
  <si>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</si>
  <si>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</si>
  <si>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</si>
  <si>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</si>
  <si>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</si>
  <si>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</si>
  <si>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</si>
  <si>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</si>
  <si>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</si>
  <si>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</si>
  <si>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</si>
  <si>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</si>
  <si>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</si>
  <si>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</si>
  <si>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</si>
  <si>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</si>
  <si>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</si>
  <si>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</si>
  <si>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</si>
  <si>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</si>
  <si>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</si>
  <si>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</si>
  <si>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</si>
  <si>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</si>
  <si>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</si>
  <si>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</si>
  <si>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</si>
  <si>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</si>
  <si>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</si>
  <si>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</si>
  <si>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</si>
  <si>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</si>
  <si>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</si>
  <si>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</si>
  <si>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</si>
  <si>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</si>
  <si>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</si>
  <si>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</si>
  <si>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</si>
  <si>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</si>
  <si>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</si>
  <si>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</si>
  <si>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</si>
  <si>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</si>
  <si>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</si>
  <si>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</si>
  <si>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</si>
  <si>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</si>
  <si>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</si>
  <si>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</si>
  <si>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</si>
  <si>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</si>
  <si>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</si>
  <si>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</si>
  <si>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</si>
  <si>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</si>
  <si>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</si>
  <si>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</si>
  <si>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</si>
  <si>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</si>
  <si>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</si>
  <si>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</si>
  <si>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</si>
  <si>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</si>
  <si>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</si>
  <si>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</si>
  <si>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</si>
  <si>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</si>
  <si>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</si>
  <si>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</si>
  <si>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</si>
  <si>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</si>
  <si>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</si>
  <si>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</si>
  <si>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</si>
  <si>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</si>
  <si>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</si>
  <si>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</si>
  <si>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</si>
  <si>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</si>
  <si>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</si>
  <si>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</si>
  <si>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</si>
  <si>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</si>
  <si>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</si>
  <si>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</si>
  <si>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</si>
  <si>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</si>
  <si>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</si>
  <si>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</si>
  <si>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</si>
  <si>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</si>
  <si>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</si>
  <si>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</si>
  <si>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</si>
  <si>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</si>
  <si>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</si>
  <si>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</si>
  <si>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</si>
  <si>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</si>
  <si>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</si>
  <si>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</si>
  <si>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</si>
  <si>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</si>
  <si>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</si>
  <si>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</si>
  <si>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</si>
  <si>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</si>
  <si>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</si>
  <si>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</si>
  <si>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</si>
  <si>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</si>
  <si>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</si>
  <si>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</si>
  <si>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</si>
  <si>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</si>
  <si>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</si>
  <si>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</si>
  <si>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</si>
  <si>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</si>
  <si>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</si>
  <si>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</si>
  <si>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</si>
  <si>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</si>
  <si>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</si>
  <si>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</si>
  <si>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</si>
  <si>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</si>
  <si>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</si>
  <si>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</si>
  <si>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</si>
  <si>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</si>
  <si>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</si>
  <si>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</si>
  <si>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</si>
  <si>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</si>
  <si>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</si>
  <si>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</si>
  <si>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</si>
  <si>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</si>
  <si>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</si>
  <si>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</si>
  <si>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</si>
  <si>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</si>
  <si>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</si>
  <si>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</si>
  <si>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</si>
  <si>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</si>
  <si>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</si>
  <si>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</si>
  <si>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</si>
  <si>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</si>
  <si>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</si>
  <si>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</si>
  <si>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</si>
  <si>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</si>
  <si>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</si>
  <si>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</si>
  <si>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</si>
  <si>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</si>
  <si>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</si>
  <si>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</si>
  <si>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</si>
  <si>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</si>
  <si>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</si>
  <si>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</si>
  <si>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</si>
  <si>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</si>
  <si>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</si>
  <si>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</si>
  <si>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</si>
  <si>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</si>
  <si>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</si>
  <si>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</si>
  <si>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</si>
  <si>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</si>
  <si>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</si>
  <si>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</si>
  <si>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</si>
  <si>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</si>
  <si>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</si>
  <si>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</si>
  <si>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</si>
  <si>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</si>
  <si>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</si>
  <si>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</si>
  <si>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</si>
  <si>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</si>
  <si>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</si>
  <si>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</si>
  <si>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</si>
  <si>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</si>
  <si>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</si>
  <si>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</si>
  <si>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</si>
  <si>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</si>
  <si>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</si>
  <si>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</si>
  <si>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</si>
  <si>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</si>
  <si>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</si>
  <si>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</si>
  <si>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</si>
  <si>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</si>
  <si>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</si>
  <si>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</si>
  <si>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</si>
  <si>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</si>
  <si>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</si>
  <si>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</si>
  <si>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</si>
  <si>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</si>
  <si>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</si>
  <si>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</si>
  <si>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</si>
  <si>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</si>
  <si>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</si>
  <si>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</si>
  <si>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</si>
  <si>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</si>
  <si>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</si>
  <si>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</si>
  <si>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</si>
  <si>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</si>
  <si>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</si>
  <si>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</si>
  <si>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</si>
  <si>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</si>
  <si>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</si>
  <si>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</si>
  <si>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</si>
  <si>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</si>
  <si>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</si>
  <si>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</si>
  <si>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</si>
  <si>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</si>
  <si>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</si>
  <si>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</si>
  <si>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</si>
  <si>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</si>
  <si>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</si>
  <si>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</si>
  <si>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</si>
  <si>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</si>
  <si>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</si>
  <si>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</si>
  <si>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</si>
  <si>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</si>
  <si>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</si>
  <si>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</si>
  <si>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</si>
  <si>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</si>
  <si>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</si>
  <si>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</si>
  <si>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</si>
  <si>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</si>
  <si>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</si>
  <si>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</si>
  <si>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</si>
  <si>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</si>
  <si>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</si>
  <si>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</si>
  <si>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</si>
  <si>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</si>
  <si>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</si>
  <si>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</si>
  <si>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</si>
  <si>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</si>
  <si>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</si>
  <si>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</si>
  <si>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</si>
  <si>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</si>
  <si>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</si>
  <si>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</si>
  <si>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</si>
  <si>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</si>
  <si>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</si>
  <si>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</si>
  <si>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</si>
  <si>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</si>
  <si>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</si>
  <si>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</si>
  <si>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</si>
  <si>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</si>
  <si>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</si>
  <si>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</si>
  <si>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</si>
  <si>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</si>
  <si>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</si>
  <si>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</si>
  <si>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</si>
  <si>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</si>
  <si>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</si>
  <si>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</si>
  <si>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</si>
  <si>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</si>
  <si>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</si>
  <si>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</si>
  <si>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Descriptive Statistics 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</si>
  <si>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</si>
  <si>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</si>
  <si>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</si>
  <si>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</si>
  <si>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</si>
  <si>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</si>
  <si>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 xml:space="preserve">Successful </t>
  </si>
  <si>
    <t>Unsuccessful</t>
  </si>
  <si>
    <t>First Quartile</t>
  </si>
  <si>
    <t>Second Quartile</t>
  </si>
  <si>
    <t>Third Quartile</t>
  </si>
  <si>
    <t>Inter-Quartile Range</t>
  </si>
  <si>
    <t>Outliers</t>
  </si>
  <si>
    <t>LE Outliers</t>
  </si>
  <si>
    <t>HE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</si>
</sst>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  <fill>
        <patternFill>
          <bgColor rgb="FFFFC7CE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  <fill>
        <patternFill>
          <bgColor rgb="FFFFC7CE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59996337778862885"/>
      </font>
      <fill>
        <patternFill>
          <bgColor rgb="FFFFC7CE"/>
        </patternFill>
      </fill>
    </dxf>
    <dxf>
      <font>
        <color rgb="FF0070C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Analysis!PivotTable1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5B4-911A-172727EDA687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3-45B4-911A-172727EDA687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3-45B4-911A-172727EDA687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3-45B4-911A-172727ED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181488"/>
        <c:axId val="432489568"/>
      </c:barChart>
      <c:catAx>
        <c:axId val="6981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568"/>
        <c:crosses val="autoZero"/>
        <c:auto val="1"/>
        <c:lblAlgn val="ctr"/>
        <c:lblOffset val="100"/>
        <c:noMultiLvlLbl val="0"/>
      </c:catAx>
      <c:valAx>
        <c:axId val="432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Analysis!PivotTable2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4DD1-90EF-3A01506FC68B}"/>
            </c:ext>
          </c:extLst>
        </c:ser>
        <c:ser>
          <c:idx val="1"/>
          <c:order val="1"/>
          <c:tx>
            <c:strRef>
              <c:f>'Sub-Category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C-4DD1-90EF-3A01506FC68B}"/>
            </c:ext>
          </c:extLst>
        </c:ser>
        <c:ser>
          <c:idx val="2"/>
          <c:order val="2"/>
          <c:tx>
            <c:strRef>
              <c:f>'Sub-Category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C-4DD1-90EF-3A01506FC68B}"/>
            </c:ext>
          </c:extLst>
        </c:ser>
        <c:ser>
          <c:idx val="3"/>
          <c:order val="3"/>
          <c:tx>
            <c:strRef>
              <c:f>'Sub-Category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C-4DD1-90EF-3A01506F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953456"/>
        <c:axId val="432500384"/>
      </c:barChart>
      <c:catAx>
        <c:axId val="6929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0384"/>
        <c:crosses val="autoZero"/>
        <c:auto val="1"/>
        <c:lblAlgn val="ctr"/>
        <c:lblOffset val="100"/>
        <c:noMultiLvlLbl val="0"/>
      </c:catAx>
      <c:valAx>
        <c:axId val="432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Analysis!PivotTable4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Analysis'!$B$5:$B$6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'Date Created Analysis'!$A$7:$A$19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7-4D6B-871B-AE3FB19B52DB}"/>
            </c:ext>
          </c:extLst>
        </c:ser>
        <c:ser>
          <c:idx val="1"/>
          <c:order val="1"/>
          <c:tx>
            <c:strRef>
              <c:f>'Date Created Analysis'!$C$5:$C$6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Analysis'!$A$7:$A$19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7-4D6B-871B-AE3FB19B52DB}"/>
            </c:ext>
          </c:extLst>
        </c:ser>
        <c:ser>
          <c:idx val="2"/>
          <c:order val="2"/>
          <c:tx>
            <c:strRef>
              <c:f>'Date Created Analysis'!$D$5:$D$6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'Date Created Analysis'!$A$7:$A$19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Analysis'!$D$7:$D$19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7-4D6B-871B-AE3FB19B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957200"/>
        <c:axId val="432498304"/>
      </c:lineChart>
      <c:catAx>
        <c:axId val="80895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8304"/>
        <c:crosses val="autoZero"/>
        <c:auto val="1"/>
        <c:lblAlgn val="ctr"/>
        <c:lblOffset val="100"/>
        <c:noMultiLvlLbl val="0"/>
      </c:catAx>
      <c:valAx>
        <c:axId val="4324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7-4991-B4CE-B80FFE014067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7-4991-B4CE-B80FFE014067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7-4991-B4CE-B80FFE01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52447"/>
        <c:axId val="264593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37-4991-B4CE-B80FFE0140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37-4991-B4CE-B80FFE0140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37-4991-B4CE-B80FFE0140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37-4991-B4CE-B80FFE014067}"/>
                  </c:ext>
                </c:extLst>
              </c15:ser>
            </c15:filteredLineSeries>
          </c:ext>
        </c:extLst>
      </c:lineChart>
      <c:catAx>
        <c:axId val="6522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3247"/>
        <c:crosses val="autoZero"/>
        <c:auto val="1"/>
        <c:lblAlgn val="ctr"/>
        <c:lblOffset val="100"/>
        <c:noMultiLvlLbl val="0"/>
      </c:catAx>
      <c:valAx>
        <c:axId val="2645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- Successful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Successful projects</a:t>
          </a:r>
        </a:p>
      </cx:txPr>
    </cx:title>
    <cx:plotArea>
      <cx:plotAreaRegion>
        <cx:series layoutId="boxWhisker" uniqueId="{002B298B-2969-4D25-8F7D-7B5A87B28DC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- Unsuccessful Projects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- Unsuccessful Projects</a:t>
          </a:r>
        </a:p>
      </cx:txPr>
    </cx:title>
    <cx:plotArea>
      <cx:plotAreaRegion>
        <cx:series layoutId="boxWhisker" uniqueId="{78751148-9FEE-4B52-81F2-2FE04A164B3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30480</xdr:rowOff>
    </xdr:from>
    <xdr:to>
      <xdr:col>16</xdr:col>
      <xdr:colOff>647700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8C7A9-7661-46F2-BC9B-85D0E0DB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135466</xdr:colOff>
      <xdr:row>0</xdr:row>
      <xdr:rowOff>67732</xdr:rowOff>
    </xdr:from>
    <xdr:to>
      <xdr:col>18</xdr:col>
      <xdr:colOff>457200</xdr:colOff>
      <xdr:row>29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74350-3DA1-4636-B5C3-7195C133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0</xdr:row>
      <xdr:rowOff>91440</xdr:rowOff>
    </xdr:from>
    <xdr:to>
      <xdr:col>15</xdr:col>
      <xdr:colOff>563880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ADB08-CCB6-4B34-AD72-14740082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165946</xdr:rowOff>
    </xdr:from>
    <xdr:to>
      <xdr:col>7</xdr:col>
      <xdr:colOff>1382485</xdr:colOff>
      <xdr:row>37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33095-AC13-4AEE-A25F-7AD78A26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16</xdr:row>
      <xdr:rowOff>0</xdr:rowOff>
    </xdr:from>
    <xdr:to>
      <xdr:col>7</xdr:col>
      <xdr:colOff>541020</xdr:colOff>
      <xdr:row>29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22A371-757C-4298-BF4F-D93FEC45D4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5340" y="3169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137160</xdr:colOff>
      <xdr:row>16</xdr:row>
      <xdr:rowOff>0</xdr:rowOff>
    </xdr:from>
    <xdr:to>
      <xdr:col>14</xdr:col>
      <xdr:colOff>449580</xdr:colOff>
      <xdr:row>29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F2DE396-F9B1-4E7C-92C5-ED5DC42AC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4040" y="3169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mdeep Singh Birdi" refreshedDate="44976.778008333335" createdVersion="6" refreshedVersion="6" minRefreshableVersion="3" recordCount="1000" xr:uid="{8C0C86AF-0D2E-43AD-8B4E-CD1BE110C6E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576E9-4FC3-415C-87C7-630ED5EA610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8B30-F75B-4048-ACAD-A1170E9ABFF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C005F-5272-43DB-A37B-5997A91B5FD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60" zoomScaleNormal="60" workbookViewId="0">
      <selection activeCell="B1" sqref="B1"/>
    </sheetView>
  </sheetViews>
  <sheetFormatPr defaultColWidth="11.19921875" defaultRowHeight="15.6" x14ac:dyDescent="0.3"/>
  <cols>
    <col min="1" max="1" width="7.5" bestFit="1" customWidth="1"/>
    <col min="2" max="2" width="31.3984375" style="4" bestFit="1" customWidth="1"/>
    <col min="3" max="3" width="33.59765625" style="3" bestFit="1" customWidth="1"/>
    <col min="4" max="4" width="9.5" bestFit="1" customWidth="1"/>
    <col min="5" max="5" width="12.69921875" bestFit="1" customWidth="1"/>
    <col min="6" max="6" width="19.5" bestFit="1" customWidth="1"/>
    <col min="7" max="7" width="13.5" bestFit="1" customWidth="1"/>
    <col min="8" max="8" width="18.5" bestFit="1" customWidth="1"/>
    <col min="9" max="9" width="21.5" bestFit="1" customWidth="1"/>
    <col min="10" max="10" width="12.59765625" bestFit="1" customWidth="1"/>
    <col min="11" max="11" width="13.3984375" bestFit="1" customWidth="1"/>
    <col min="12" max="12" width="16.5" bestFit="1" customWidth="1"/>
    <col min="13" max="13" width="13.19921875" bestFit="1" customWidth="1"/>
    <col min="14" max="14" width="28.59765625" bestFit="1" customWidth="1"/>
    <col min="15" max="15" width="26" bestFit="1" customWidth="1"/>
    <col min="16" max="16" width="14.09765625" bestFit="1" customWidth="1"/>
    <col min="17" max="17" width="13.5" bestFit="1" customWidth="1"/>
    <col min="18" max="18" width="29.19921875" bestFit="1" customWidth="1"/>
    <col min="19" max="19" width="19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7">
        <f>0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L2/86400+DATE(1970,1,1)</f>
        <v>42336.25</v>
      </c>
      <c r="O2" s="11">
        <f t="shared" ref="O2:O65" si="0">M2/86400+DATE(1970,1,1)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1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L3/86400+DATE(1970,1,1)</f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1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ref="O66:O129" si="4">M66/86400+DATE(1970,1,1)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5">E67/D67*100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L67/86400+DATE(1970,1,1)</f>
        <v>40570.25</v>
      </c>
      <c r="O67" s="11">
        <f t="shared" si="4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4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4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4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4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4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4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4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4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4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4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4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4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4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4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4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4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4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4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4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4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4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4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4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4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4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4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4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4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4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4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4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4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4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4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4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4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4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4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4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4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4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4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4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4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4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4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4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4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4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4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4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4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4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4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4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4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4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4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4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4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4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4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5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ref="O130:O193" si="8">M130/86400+DATE(1970,1,1)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9">E131/D131*100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L131/86400+DATE(1970,1,1)</f>
        <v>42038.25</v>
      </c>
      <c r="O131" s="11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9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ref="O194:O257" si="12">M194/86400+DATE(1970,1,1)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3">E195/D195*100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L195/86400+DATE(1970,1,1)</f>
        <v>43198.208333333328</v>
      </c>
      <c r="O195" s="11">
        <f t="shared" si="12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2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2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2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2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2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2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2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2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2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2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2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2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2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2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2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2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2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2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2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2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2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2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2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2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2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2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2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2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2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2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2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2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2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2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2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2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2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2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2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2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2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2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2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2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2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2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2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2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2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2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2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2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2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2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2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2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2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2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2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2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2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2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3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ref="O258:O321" si="16">M258/86400+DATE(1970,1,1)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17">E259/D259*100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L259/86400+DATE(1970,1,1)</f>
        <v>41338.25</v>
      </c>
      <c r="O259" s="11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6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6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6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6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6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6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6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6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6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6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6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6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6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6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6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6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6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6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6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6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17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ref="O322:O385" si="20">M322/86400+DATE(1970,1,1)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21">E323/D323*100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L323/86400+DATE(1970,1,1)</f>
        <v>40634.208333333336</v>
      </c>
      <c r="O323" s="11">
        <f t="shared" si="20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0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0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0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0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0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0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0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0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0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0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0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0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0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0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0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0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0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0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0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0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0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0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0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0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0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0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0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0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0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0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0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0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0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0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0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0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0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0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0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0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0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0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0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0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0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0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0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0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0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0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0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0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0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0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0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0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0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0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0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0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0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0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21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ref="O386:O449" si="24">M386/86400+DATE(1970,1,1)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25">E387/D387*100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L387/86400+DATE(1970,1,1)</f>
        <v>43553.208333333328</v>
      </c>
      <c r="O387" s="11">
        <f t="shared" si="24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4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4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4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4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4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4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4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4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4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4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4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4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4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4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4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4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4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4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4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4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4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4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4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4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4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4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4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4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4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4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4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4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4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4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4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4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4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4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4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4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4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4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4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4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4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4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4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4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4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4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4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4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4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4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4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4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4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4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4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4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4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4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25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ref="O450:O513" si="28">M450/86400+DATE(1970,1,1)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29">E451/D451*100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L451/86400+DATE(1970,1,1)</f>
        <v>43530.25</v>
      </c>
      <c r="O451" s="11">
        <f t="shared" si="28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28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28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28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28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28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28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28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28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28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28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28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28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28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28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28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28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28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28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28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28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28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28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28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28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28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28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28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28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28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28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28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28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28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28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28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28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28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28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28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28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28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28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28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28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28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28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28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28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28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28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28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28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28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28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28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28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28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28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28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28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28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28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29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ref="O514:O577" si="32">M514/86400+DATE(1970,1,1)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33">E515/D515*100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L515/86400+DATE(1970,1,1)</f>
        <v>40430.208333333336</v>
      </c>
      <c r="O515" s="11">
        <f t="shared" si="32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2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2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2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2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2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2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2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2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2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2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2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2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2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2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2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2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2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2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2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2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2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2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2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2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2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2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2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2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2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2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2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2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2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2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2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2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2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2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2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2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2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2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2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2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2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2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2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2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2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2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2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2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2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2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2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2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2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2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2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2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2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2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33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ref="O578:O641" si="36">M578/86400+DATE(1970,1,1)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37">E579/D579*100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L579/86400+DATE(1970,1,1)</f>
        <v>40613.25</v>
      </c>
      <c r="O579" s="11">
        <f t="shared" si="36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6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6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6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6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6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6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6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6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6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6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6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6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6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6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6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6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6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6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6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6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6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6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6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6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6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6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6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6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6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6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6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6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6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6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6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6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6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6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6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6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6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6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6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6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6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6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6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6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6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6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6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6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6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6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6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6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6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6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6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6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6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6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37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ref="O642:O705" si="40">M642/86400+DATE(1970,1,1)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41">E643/D643*100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L643/86400+DATE(1970,1,1)</f>
        <v>42786.25</v>
      </c>
      <c r="O643" s="11">
        <f t="shared" si="40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0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0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0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0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0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0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0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0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0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0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0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0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0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0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0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0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0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0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0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0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0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0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0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0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0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0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0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0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0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0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0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0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0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0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0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0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0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0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0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0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0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0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0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0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0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0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0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0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0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0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0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0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0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0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0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0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0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0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0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0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0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0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41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ref="O706:O769" si="44">M706/86400+DATE(1970,1,1)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45">E707/D707*100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L707/86400+DATE(1970,1,1)</f>
        <v>41619.25</v>
      </c>
      <c r="O707" s="11">
        <f t="shared" si="44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4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4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4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4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4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4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4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4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4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4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4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4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4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4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4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4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4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4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4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4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4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4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4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4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4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4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4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4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4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4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4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4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4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4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4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4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4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4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4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4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4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4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4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4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4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4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4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4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4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4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4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4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4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4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4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4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4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4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4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4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4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4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45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ref="O770:O833" si="48">M770/86400+DATE(1970,1,1)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49">E771/D771*100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L771/86400+DATE(1970,1,1)</f>
        <v>41501.208333333336</v>
      </c>
      <c r="O771" s="11">
        <f t="shared" si="4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4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4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4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4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4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4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4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4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4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4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4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4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4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4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4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4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4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4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4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4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4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4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4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4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4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4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4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4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4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4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4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4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4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4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4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4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4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4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4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4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4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4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4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4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4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4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4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4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4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4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4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4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4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4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4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4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4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4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4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4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4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4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49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ref="O834:O897" si="52">M834/86400+DATE(1970,1,1)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53">E835/D835*100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L835/86400+DATE(1970,1,1)</f>
        <v>40588.25</v>
      </c>
      <c r="O835" s="11">
        <f t="shared" si="52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2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2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2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2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2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2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2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2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2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2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2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2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2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2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2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2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2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2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2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2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2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2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2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2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2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2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2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2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2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2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2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2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2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2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2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2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2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2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2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2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2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2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2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2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2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2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2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2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2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2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2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2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2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2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2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2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2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2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2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2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2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2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53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ref="O898:O961" si="56">M898/86400+DATE(1970,1,1)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57">E899/D899*100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L899/86400+DATE(1970,1,1)</f>
        <v>43583.208333333328</v>
      </c>
      <c r="O899" s="11">
        <f t="shared" si="56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6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6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6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6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6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6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6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6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6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6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6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6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57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ref="O962:O1001" si="60">M962/86400+DATE(1970,1,1)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61">E963/D963*100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L963/86400+DATE(1970,1,1)</f>
        <v>40591.25</v>
      </c>
      <c r="O963" s="11">
        <f t="shared" si="60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0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0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0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0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0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0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0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0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0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0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0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0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0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0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0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0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0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0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0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0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0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0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0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0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0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0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0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0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0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0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0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0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0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0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0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0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0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0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88FB8EFA-E687-4492-8C72-BDE4E5C44DDF}"/>
  <conditionalFormatting sqref="G2:G1001">
    <cfRule type="containsText" dxfId="5" priority="2" operator="containsText" text="live">
      <formula>NOT(ISERROR(SEARCH("live",G2)))</formula>
    </cfRule>
    <cfRule type="containsText" dxfId="4" priority="3" operator="containsText" text="live">
      <formula>NOT(ISERROR(SEARCH("live",G2)))</formula>
    </cfRule>
    <cfRule type="containsText" dxfId="3" priority="4" operator="containsText" text="canceled">
      <formula>NOT(ISERROR(SEARCH("canceled",G2)))</formula>
    </cfRule>
    <cfRule type="containsText" dxfId="2" priority="5" operator="containsText" text="canceled">
      <formula>NOT(ISERROR(SEARCH("canceled",G2)))</formula>
    </cfRule>
    <cfRule type="containsText" dxfId="1" priority="6" operator="containsText" text="successful">
      <formula>NOT(ISERROR(SEARCH("successful",G2)))</formula>
    </cfRule>
    <cfRule type="containsText" dxfId="0" priority="7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rgb="FF5A8AC6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07D7-6B86-4530-851F-763FED935AFF}">
  <sheetPr codeName="Sheet2"/>
  <dimension ref="A1:F14"/>
  <sheetViews>
    <sheetView workbookViewId="0">
      <selection activeCell="B18" sqref="B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2066</v>
      </c>
    </row>
    <row r="3" spans="1:6" x14ac:dyDescent="0.3">
      <c r="A3" s="8" t="s">
        <v>2069</v>
      </c>
      <c r="B3" s="8" t="s">
        <v>2070</v>
      </c>
    </row>
    <row r="4" spans="1:6" x14ac:dyDescent="0.3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172D-2173-4C5B-A6DB-235966597694}">
  <sheetPr codeName="Sheet3"/>
  <dimension ref="A1:F30"/>
  <sheetViews>
    <sheetView zoomScale="90" zoomScaleNormal="90" workbookViewId="0">
      <selection activeCell="B6" sqref="B6"/>
    </sheetView>
  </sheetViews>
  <sheetFormatPr defaultRowHeight="15.6" x14ac:dyDescent="0.3"/>
  <cols>
    <col min="1" max="1" width="17.3984375" bestFit="1" customWidth="1"/>
    <col min="2" max="2" width="15.5" bestFit="1" customWidth="1"/>
    <col min="3" max="3" width="5.6992187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8" t="s">
        <v>6</v>
      </c>
      <c r="B1" t="s">
        <v>2066</v>
      </c>
    </row>
    <row r="2" spans="1:6" x14ac:dyDescent="0.3">
      <c r="A2" s="8" t="s">
        <v>2031</v>
      </c>
      <c r="B2" t="s">
        <v>2066</v>
      </c>
    </row>
    <row r="4" spans="1:6" x14ac:dyDescent="0.3">
      <c r="A4" s="8" t="s">
        <v>2069</v>
      </c>
      <c r="B4" s="8" t="s">
        <v>2070</v>
      </c>
    </row>
    <row r="5" spans="1:6" x14ac:dyDescent="0.3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D386-225E-436A-9903-8D37D271D911}">
  <sheetPr codeName="Sheet4"/>
  <dimension ref="A2:E19"/>
  <sheetViews>
    <sheetView workbookViewId="0">
      <selection activeCell="E21" sqref="E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8" t="s">
        <v>2031</v>
      </c>
      <c r="B2" t="s">
        <v>2066</v>
      </c>
    </row>
    <row r="3" spans="1:5" x14ac:dyDescent="0.3">
      <c r="A3" s="8" t="s">
        <v>2085</v>
      </c>
      <c r="B3" t="s">
        <v>2066</v>
      </c>
    </row>
    <row r="5" spans="1:5" x14ac:dyDescent="0.3">
      <c r="A5" s="8" t="s">
        <v>2069</v>
      </c>
      <c r="B5" s="8" t="s">
        <v>2070</v>
      </c>
    </row>
    <row r="6" spans="1:5" x14ac:dyDescent="0.3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12" t="s">
        <v>2073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">
      <c r="A8" s="12" t="s">
        <v>2074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">
      <c r="A9" s="12" t="s">
        <v>2075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">
      <c r="A10" s="12" t="s">
        <v>2076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">
      <c r="A11" s="12" t="s">
        <v>2077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">
      <c r="A12" s="12" t="s">
        <v>2078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">
      <c r="A13" s="12" t="s">
        <v>2079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">
      <c r="A14" s="12" t="s">
        <v>2080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">
      <c r="A15" s="12" t="s">
        <v>2081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">
      <c r="A16" s="12" t="s">
        <v>2082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">
      <c r="A17" s="12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">
      <c r="A18" s="12" t="s">
        <v>2084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">
      <c r="A19" s="12" t="s">
        <v>2068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08FA-0401-4BCD-BC46-A94B25DC4B99}">
  <sheetPr codeName="Sheet5"/>
  <dimension ref="A1:H13"/>
  <sheetViews>
    <sheetView zoomScale="70" zoomScaleNormal="70" workbookViewId="0"/>
  </sheetViews>
  <sheetFormatPr defaultColWidth="27.59765625"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3">
        <f>B2/$E2</f>
        <v>0.58823529411764708</v>
      </c>
      <c r="G2" s="13">
        <f t="shared" ref="G2:G13" si="0">C2/$E2</f>
        <v>0.39215686274509803</v>
      </c>
      <c r="H2" s="13">
        <f t="shared" ref="H2:H13" si="1">D2/$E2</f>
        <v>1.9607843137254902E-2</v>
      </c>
    </row>
    <row r="3" spans="1:8" x14ac:dyDescent="0.3">
      <c r="A3" t="s">
        <v>2095</v>
      </c>
      <c r="B3">
        <f>COUNTIFS(Crowdfunding!$D$2:$D$1001,"&gt;=1000",Crowdfunding!$D$2:$D$1001,"&lt;4999",Crowdfunding!$G$2:$G$1001,"successful")</f>
        <v>191</v>
      </c>
      <c r="C3">
        <f>COUNTIFS(Crowdfunding!$D$2:$D$1001,"&gt;=1000",Crowdfunding!$D$2:$D$1001,"&lt;4999",Crowdfunding!$G$2:$G$1001,"failed")</f>
        <v>38</v>
      </c>
      <c r="D3">
        <f>COUNTIFS(Crowdfunding!$D$2:$D$1001,"&gt;=1000",Crowdfunding!$D$2:$D$1001,"&lt;4999",Crowdfunding!$G$2:$G$1001,"canceled")</f>
        <v>2</v>
      </c>
      <c r="E3">
        <f t="shared" ref="E3:E13" si="2">SUM(B3:D3)</f>
        <v>231</v>
      </c>
      <c r="F3" s="13">
        <f t="shared" ref="F3:F13" si="3">B3/$E3</f>
        <v>0.82683982683982682</v>
      </c>
      <c r="G3" s="13">
        <f t="shared" si="0"/>
        <v>0.16450216450216451</v>
      </c>
      <c r="H3" s="13">
        <f t="shared" si="1"/>
        <v>8.658008658008658E-3</v>
      </c>
    </row>
    <row r="4" spans="1:8" x14ac:dyDescent="0.3">
      <c r="A4" t="s">
        <v>2096</v>
      </c>
      <c r="B4">
        <f>COUNTIFS(Crowdfunding!$D$2:$D$1001,"&gt;=5000",Crowdfunding!$D$2:$D$1001,"&lt;9999",Crowdfunding!$G$2:$G$1001,"successful")</f>
        <v>164</v>
      </c>
      <c r="C4">
        <f>COUNTIFS(Crowdfunding!$D$2:$D$1001,"&gt;=5000",Crowdfunding!$D$2:$D$1001,"&lt;9999",Crowdfunding!$G$2:$G$1001,"failed")</f>
        <v>126</v>
      </c>
      <c r="D4">
        <f>COUNTIFS(Crowdfunding!$D$2:$D$1001,"&gt;=5000",Crowdfunding!$D$2:$D$1001,"&lt;9999",Crowdfunding!$G$2:$G$1001,"canceled")</f>
        <v>25</v>
      </c>
      <c r="E4">
        <f t="shared" si="2"/>
        <v>315</v>
      </c>
      <c r="F4" s="13">
        <f t="shared" si="3"/>
        <v>0.52063492063492067</v>
      </c>
      <c r="G4" s="13">
        <f t="shared" si="0"/>
        <v>0.4</v>
      </c>
      <c r="H4" s="13">
        <f t="shared" si="1"/>
        <v>7.9365079365079361E-2</v>
      </c>
    </row>
    <row r="5" spans="1:8" x14ac:dyDescent="0.3">
      <c r="A5" t="s">
        <v>2097</v>
      </c>
      <c r="B5">
        <f>COUNTIFS(Crowdfunding!$D$2:$D$1001,"&gt;=10000",Crowdfunding!$D$2:$D$1001,"&lt;14999",Crowdfunding!$G$2:$G$1001,"successful")</f>
        <v>4</v>
      </c>
      <c r="C5">
        <f>COUNTIFS(Crowdfunding!$D$2:$D$1001,"&gt;=10000",Crowdfunding!$D$2:$D$1001,"&lt;14999",Crowdfunding!$G$2:$G$1001,"failed")</f>
        <v>5</v>
      </c>
      <c r="D5">
        <f>COUNTIFS(Crowdfunding!$D$2:$D$1001,"&gt;=10000",Crowdfunding!$D$2:$D$1001,"&lt;14999",Crowdfunding!$G$2:$G$1001,"canceled")</f>
        <v>0</v>
      </c>
      <c r="E5">
        <f t="shared" si="2"/>
        <v>9</v>
      </c>
      <c r="F5" s="13">
        <f t="shared" si="3"/>
        <v>0.44444444444444442</v>
      </c>
      <c r="G5" s="13">
        <f t="shared" si="0"/>
        <v>0.55555555555555558</v>
      </c>
      <c r="H5" s="13">
        <f t="shared" si="1"/>
        <v>0</v>
      </c>
    </row>
    <row r="6" spans="1:8" x14ac:dyDescent="0.3">
      <c r="A6" t="s">
        <v>2098</v>
      </c>
      <c r="B6">
        <f>COUNTIFS(Crowdfunding!$D$2:$D$1001,"&gt;=15000",Crowdfunding!$D$2:$D$1001,"&lt;19999",Crowdfunding!$G$2:$G$1001,"successful")</f>
        <v>10</v>
      </c>
      <c r="C6">
        <f>COUNTIFS(Crowdfunding!$D$2:$D$1001,"&gt;=15000",Crowdfunding!$D$2:$D$1001,"&lt;19999",Crowdfunding!$G$2:$G$1001,"failed")</f>
        <v>0</v>
      </c>
      <c r="D6">
        <f>COUNTIFS(Crowdfunding!$D$2:$D$1001,"&gt;=15000",Crowdfunding!$D$2:$D$1001,"&lt;19999",Crowdfunding!$G$2:$G$1001,"canceled")</f>
        <v>0</v>
      </c>
      <c r="E6">
        <f t="shared" si="2"/>
        <v>10</v>
      </c>
      <c r="F6" s="13">
        <f t="shared" si="3"/>
        <v>1</v>
      </c>
      <c r="G6" s="13">
        <f t="shared" si="0"/>
        <v>0</v>
      </c>
      <c r="H6" s="13">
        <f t="shared" si="1"/>
        <v>0</v>
      </c>
    </row>
    <row r="7" spans="1:8" x14ac:dyDescent="0.3">
      <c r="A7" t="s">
        <v>2099</v>
      </c>
      <c r="B7">
        <f>COUNTIFS(Crowdfunding!$D$2:$D$1001,"&gt;=20000",Crowdfunding!$D$2:$D$1001,"&lt;24999",Crowdfunding!$G$2:$G$1001,"successful")</f>
        <v>7</v>
      </c>
      <c r="C7">
        <f>COUNTIFS(Crowdfunding!$D$2:$D$1001,"&gt;=20000",Crowdfunding!$D$2:$D$1001,"&lt;24999",Crowdfunding!$G$2:$G$1001,"failed")</f>
        <v>0</v>
      </c>
      <c r="D7">
        <f>COUNTIFS(Crowdfunding!$D$2:$D$1001,"&gt;=20000",Crowdfunding!$D$2:$D$1001,"&lt;24999",Crowdfunding!$G$2:$G$1001,"canceled")</f>
        <v>0</v>
      </c>
      <c r="E7">
        <f t="shared" si="2"/>
        <v>7</v>
      </c>
      <c r="F7" s="13">
        <f t="shared" si="3"/>
        <v>1</v>
      </c>
      <c r="G7" s="13">
        <f t="shared" si="0"/>
        <v>0</v>
      </c>
      <c r="H7" s="13">
        <f t="shared" si="1"/>
        <v>0</v>
      </c>
    </row>
    <row r="8" spans="1:8" x14ac:dyDescent="0.3">
      <c r="A8" t="s">
        <v>2100</v>
      </c>
      <c r="B8">
        <f>COUNTIFS(Crowdfunding!$D$2:$D$1001,"&gt;=25000",Crowdfunding!$D$2:$D$1001,"&lt;29999",Crowdfunding!$G$2:$G$1001,"successful")</f>
        <v>11</v>
      </c>
      <c r="C8">
        <f>COUNTIFS(Crowdfunding!$D$2:$D$1001,"&gt;=25000",Crowdfunding!$D$2:$D$1001,"&lt;29999",Crowdfunding!$G$2:$G$1001,"failed")</f>
        <v>3</v>
      </c>
      <c r="D8">
        <f>COUNTIFS(Crowdfunding!$D$2:$D$1001,"&gt;=25000",Crowdfunding!$D$2:$D$1001,"&lt;29999",Crowdfunding!$G$2:$G$1001,"canceled")</f>
        <v>0</v>
      </c>
      <c r="E8">
        <f t="shared" si="2"/>
        <v>14</v>
      </c>
      <c r="F8" s="13">
        <f t="shared" si="3"/>
        <v>0.7857142857142857</v>
      </c>
      <c r="G8" s="13">
        <f t="shared" si="0"/>
        <v>0.21428571428571427</v>
      </c>
      <c r="H8" s="13">
        <f t="shared" si="1"/>
        <v>0</v>
      </c>
    </row>
    <row r="9" spans="1:8" x14ac:dyDescent="0.3">
      <c r="A9" t="s">
        <v>2101</v>
      </c>
      <c r="B9">
        <f>COUNTIFS(Crowdfunding!$D$2:$D$1001,"&gt;=30000",Crowdfunding!$D$2:$D$1001,"&lt;34999",Crowdfunding!$G$2:$G$1001,"successful")</f>
        <v>7</v>
      </c>
      <c r="C9">
        <f>COUNTIFS(Crowdfunding!$D$2:$D$1001,"&gt;=30000",Crowdfunding!$D$2:$D$1001,"&lt;34999",Crowdfunding!$G$2:$G$1001,"failed")</f>
        <v>0</v>
      </c>
      <c r="D9">
        <f>COUNTIFS(Crowdfunding!$D$2:$D$1001,"&gt;=30000",Crowdfunding!$D$2:$D$1001,"&lt;34999",Crowdfunding!$G$2:$G$1001,"canceled")</f>
        <v>0</v>
      </c>
      <c r="E9">
        <f t="shared" si="2"/>
        <v>7</v>
      </c>
      <c r="F9" s="13">
        <f t="shared" si="3"/>
        <v>1</v>
      </c>
      <c r="G9" s="13">
        <f t="shared" si="0"/>
        <v>0</v>
      </c>
      <c r="H9" s="13">
        <f t="shared" si="1"/>
        <v>0</v>
      </c>
    </row>
    <row r="10" spans="1:8" x14ac:dyDescent="0.3">
      <c r="A10" t="s">
        <v>2102</v>
      </c>
      <c r="B10">
        <f>COUNTIFS(Crowdfunding!$D$2:$D$1001,"&gt;=35000",Crowdfunding!$D$2:$D$1001,"&lt;39999",Crowdfunding!$G$2:$G$1001,"successful")</f>
        <v>8</v>
      </c>
      <c r="C10">
        <f>COUNTIFS(Crowdfunding!$D$2:$D$1001,"&gt;=35000",Crowdfunding!$D$2:$D$1001,"&lt;39999",Crowdfunding!$G$2:$G$1001,"failed")</f>
        <v>3</v>
      </c>
      <c r="D10">
        <f>COUNTIFS(Crowdfunding!$D$2:$D$1001,"&gt;=35000",Crowdfunding!$D$2:$D$1001,"&lt;39999",Crowdfunding!$G$2:$G$1001,"canceled")</f>
        <v>1</v>
      </c>
      <c r="E10">
        <f t="shared" si="2"/>
        <v>12</v>
      </c>
      <c r="F10" s="13">
        <f t="shared" si="3"/>
        <v>0.66666666666666663</v>
      </c>
      <c r="G10" s="13">
        <f t="shared" si="0"/>
        <v>0.25</v>
      </c>
      <c r="H10" s="13">
        <f t="shared" si="1"/>
        <v>8.3333333333333329E-2</v>
      </c>
    </row>
    <row r="11" spans="1:8" x14ac:dyDescent="0.3">
      <c r="A11" t="s">
        <v>2103</v>
      </c>
      <c r="B11">
        <f>COUNTIFS(Crowdfunding!$D$2:$D$1001,"&gt;=40000",Crowdfunding!$D$2:$D$1001,"&lt;44999",Crowdfunding!$G$2:$G$1001,"successful")</f>
        <v>11</v>
      </c>
      <c r="C11">
        <f>COUNTIFS(Crowdfunding!$D$2:$D$1001,"&gt;=40000",Crowdfunding!$D$2:$D$1001,"&lt;44999",Crowdfunding!$G$2:$G$1001,"failed")</f>
        <v>3</v>
      </c>
      <c r="D11">
        <f>COUNTIFS(Crowdfunding!$D$2:$D$1001,"&gt;=40000",Crowdfunding!$D$2:$D$1001,"&lt;44999",Crowdfunding!$G$2:$G$1001,"canceled")</f>
        <v>0</v>
      </c>
      <c r="E11">
        <f t="shared" si="2"/>
        <v>14</v>
      </c>
      <c r="F11" s="13">
        <f t="shared" si="3"/>
        <v>0.7857142857142857</v>
      </c>
      <c r="G11" s="13">
        <f t="shared" si="0"/>
        <v>0.21428571428571427</v>
      </c>
      <c r="H11" s="13">
        <f t="shared" si="1"/>
        <v>0</v>
      </c>
    </row>
    <row r="12" spans="1:8" x14ac:dyDescent="0.3">
      <c r="A12" t="s">
        <v>2104</v>
      </c>
      <c r="B12">
        <f>COUNTIFS(Crowdfunding!$D$2:$D$1001,"&gt;=45000",Crowdfunding!$D$2:$D$1001,"&lt;49999",Crowdfunding!$G$2:$G$1001,"successful")</f>
        <v>8</v>
      </c>
      <c r="C12">
        <f>COUNTIFS(Crowdfunding!$D$2:$D$1001,"&gt;=45000",Crowdfunding!$D$2:$D$1001,"&lt;49999",Crowdfunding!$G$2:$G$1001,"failed")</f>
        <v>3</v>
      </c>
      <c r="D12">
        <f>COUNTIFS(Crowdfunding!$D$2:$D$1001,"&gt;=45000",Crowdfunding!$D$2:$D$1001,"&lt;49999",Crowdfunding!$G$2:$G$1001,"canceled")</f>
        <v>0</v>
      </c>
      <c r="E12">
        <f t="shared" si="2"/>
        <v>11</v>
      </c>
      <c r="F12" s="13">
        <f t="shared" si="3"/>
        <v>0.72727272727272729</v>
      </c>
      <c r="G12" s="13">
        <f t="shared" si="0"/>
        <v>0.27272727272727271</v>
      </c>
      <c r="H12" s="13">
        <f t="shared" si="1"/>
        <v>0</v>
      </c>
    </row>
    <row r="13" spans="1:8" x14ac:dyDescent="0.3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2"/>
        <v>305</v>
      </c>
      <c r="F13" s="13">
        <f t="shared" si="3"/>
        <v>0.3737704918032787</v>
      </c>
      <c r="G13" s="13">
        <f t="shared" si="0"/>
        <v>0.53442622950819674</v>
      </c>
      <c r="H13" s="13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99EA-D6F0-49ED-BF17-7014F89CC680}">
  <sheetPr codeName="Sheet6"/>
  <dimension ref="A1:I566"/>
  <sheetViews>
    <sheetView workbookViewId="0">
      <selection activeCell="F14" sqref="F14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3.19921875" customWidth="1"/>
    <col min="5" max="6" width="13.19921875" bestFit="1" customWidth="1"/>
    <col min="7" max="7" width="42.796875" bestFit="1" customWidth="1"/>
    <col min="9" max="9" width="11.8984375" bestFit="1" customWidth="1"/>
  </cols>
  <sheetData>
    <row r="1" spans="1:9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G1" s="14" t="s">
        <v>2106</v>
      </c>
      <c r="H1" s="15" t="s">
        <v>2113</v>
      </c>
      <c r="I1" s="15" t="s">
        <v>2114</v>
      </c>
    </row>
    <row r="2" spans="1:9" x14ac:dyDescent="0.3">
      <c r="A2" t="s">
        <v>20</v>
      </c>
      <c r="B2">
        <v>158</v>
      </c>
      <c r="D2" t="s">
        <v>14</v>
      </c>
      <c r="E2">
        <v>0</v>
      </c>
      <c r="G2" s="16"/>
      <c r="H2" s="16"/>
      <c r="I2" s="16"/>
    </row>
    <row r="3" spans="1:9" x14ac:dyDescent="0.3">
      <c r="A3" t="s">
        <v>20</v>
      </c>
      <c r="B3">
        <v>1425</v>
      </c>
      <c r="D3" t="s">
        <v>14</v>
      </c>
      <c r="E3">
        <v>24</v>
      </c>
      <c r="G3" s="16" t="s">
        <v>2107</v>
      </c>
      <c r="H3" s="16">
        <f>AVERAGE($B$2:$B$566)</f>
        <v>851.14690265486729</v>
      </c>
      <c r="I3" s="16">
        <f>AVERAGE($E$2:$E$566)</f>
        <v>585.61538461538464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s="16" t="s">
        <v>2108</v>
      </c>
      <c r="H4" s="16">
        <f>MEDIAN(B2:B566)</f>
        <v>201</v>
      </c>
      <c r="I4" s="16">
        <f>MEDIAN(E2:E566)</f>
        <v>114.5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s="16" t="s">
        <v>2109</v>
      </c>
      <c r="H5" s="16">
        <f>MIN(B2:B566)</f>
        <v>16</v>
      </c>
      <c r="I5" s="16">
        <f>MIN(E2:E566)</f>
        <v>0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s="16" t="s">
        <v>2110</v>
      </c>
      <c r="H6" s="16">
        <f>MAX(B2:B566)</f>
        <v>7295</v>
      </c>
      <c r="I6" s="16">
        <f>MAX(E2:E566)</f>
        <v>6080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s="16" t="s">
        <v>2111</v>
      </c>
      <c r="H7" s="16">
        <f>_xlfn.VAR.S(B2:B566)</f>
        <v>1606216.5936295739</v>
      </c>
      <c r="I7" s="16">
        <f>_xlfn.VAR.S(E2:E566)</f>
        <v>924113.45496927318</v>
      </c>
    </row>
    <row r="8" spans="1:9" x14ac:dyDescent="0.3">
      <c r="A8" t="s">
        <v>20</v>
      </c>
      <c r="B8">
        <v>100</v>
      </c>
      <c r="D8" t="s">
        <v>14</v>
      </c>
      <c r="E8">
        <v>55</v>
      </c>
      <c r="G8" s="16" t="s">
        <v>2112</v>
      </c>
      <c r="H8" s="16">
        <f>_xlfn.STDEV.S(B2:B566)</f>
        <v>1267.366006183523</v>
      </c>
      <c r="I8" s="16">
        <f>_xlfn.STDEV.S(E2:E365)</f>
        <v>961.30819978260524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  <c r="G9" s="16" t="s">
        <v>2115</v>
      </c>
      <c r="H9" s="16">
        <f>_xlfn.QUARTILE.EXC($B$2:$B$566,1)</f>
        <v>127.5</v>
      </c>
      <c r="I9" s="16">
        <f>_xlfn.QUARTILE.EXC($E$2:$E$566,1)</f>
        <v>38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  <c r="G10" s="16" t="s">
        <v>2116</v>
      </c>
      <c r="H10" s="16">
        <f>_xlfn.QUARTILE.EXC($B$2:$B$566,2)</f>
        <v>201</v>
      </c>
      <c r="I10" s="16">
        <f>_xlfn.QUARTILE.EXC($E$2:$E$566,2)</f>
        <v>114.5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  <c r="G11" s="16" t="s">
        <v>2117</v>
      </c>
      <c r="H11" s="16">
        <f>_xlfn.QUARTILE.EXC($B$2:$B$566,3)</f>
        <v>1288.5</v>
      </c>
      <c r="I11" s="16">
        <f>_xlfn.QUARTILE.EXC($E$2:$E$566,3)</f>
        <v>789.5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  <c r="G12" s="16" t="s">
        <v>2118</v>
      </c>
      <c r="H12" s="16">
        <f>H11-H9</f>
        <v>1161</v>
      </c>
      <c r="I12" s="16">
        <f>I11-I9</f>
        <v>751.5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  <c r="G13" s="16" t="s">
        <v>2119</v>
      </c>
      <c r="H13" s="16">
        <f>1.5*H12</f>
        <v>1741.5</v>
      </c>
      <c r="I13" s="16">
        <f>1.5*I12</f>
        <v>1127.25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  <c r="G14" s="16" t="s">
        <v>2120</v>
      </c>
      <c r="H14" s="16">
        <f>H9-H13</f>
        <v>-1614</v>
      </c>
      <c r="I14" s="16">
        <f>I9-I13</f>
        <v>-1089.25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G15" s="16" t="s">
        <v>2121</v>
      </c>
      <c r="H15" s="16">
        <f>H11+H13</f>
        <v>3030</v>
      </c>
      <c r="I15" s="16">
        <f>I11+I13</f>
        <v>1916.75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7" priority="7" operator="containsText" text="live">
      <formula>NOT(ISERROR(SEARCH("live",A2)))</formula>
    </cfRule>
    <cfRule type="containsText" dxfId="16" priority="8" operator="containsText" text="live">
      <formula>NOT(ISERROR(SEARCH("live",A2)))</formula>
    </cfRule>
    <cfRule type="containsText" dxfId="15" priority="9" operator="containsText" text="canceled">
      <formula>NOT(ISERROR(SEARCH("canceled",A2)))</formula>
    </cfRule>
    <cfRule type="containsText" dxfId="14" priority="10" operator="containsText" text="canceled">
      <formula>NOT(ISERROR(SEARCH("canceled",A2)))</formula>
    </cfRule>
    <cfRule type="containsText" dxfId="13" priority="11" operator="containsText" text="successful">
      <formula>NOT(ISERROR(SEARCH("successful",A2)))</formula>
    </cfRule>
    <cfRule type="containsText" dxfId="12" priority="12" operator="containsText" text="failed">
      <formula>NOT(ISERROR(SEARCH("failed",A2)))</formula>
    </cfRule>
  </conditionalFormatting>
  <conditionalFormatting sqref="D2:D365">
    <cfRule type="containsText" dxfId="11" priority="1" operator="containsText" text="live">
      <formula>NOT(ISERROR(SEARCH("live",D2)))</formula>
    </cfRule>
    <cfRule type="containsText" dxfId="10" priority="2" operator="containsText" text="live">
      <formula>NOT(ISERROR(SEARCH("live",D2)))</formula>
    </cfRule>
    <cfRule type="containsText" dxfId="9" priority="3" operator="containsText" text="canceled">
      <formula>NOT(ISERROR(SEARCH("canceled",D2)))</formula>
    </cfRule>
    <cfRule type="containsText" dxfId="8" priority="4" operator="containsText" text="canceled">
      <formula>NOT(ISERROR(SEARCH("canceled",D2)))</formula>
    </cfRule>
    <cfRule type="containsText" dxfId="7" priority="5" operator="containsText" text="successful">
      <formula>NOT(ISERROR(SEARCH("successful",D2)))</formula>
    </cfRule>
    <cfRule type="containsText" dxfId="6" priority="6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Sub-Category Analysis</vt:lpstr>
      <vt:lpstr>Date Created Analysis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Paramdeep Singh Birdi</cp:lastModifiedBy>
  <dcterms:created xsi:type="dcterms:W3CDTF">2021-09-29T18:52:28Z</dcterms:created>
  <dcterms:modified xsi:type="dcterms:W3CDTF">2023-02-28T02:33:54Z</dcterms:modified>
</cp:coreProperties>
</file>