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E26E7961-9123-46E7-9948-2066D21D9F1F}" xr6:coauthVersionLast="45" xr6:coauthVersionMax="45" xr10:uidLastSave="{00000000-0000-0000-0000-000000000000}"/>
  <bookViews>
    <workbookView xWindow="28680" yWindow="-120" windowWidth="24240" windowHeight="13140" xr2:uid="{322649BC-9BD6-49F6-A3FA-A1E1C677AF44}"/>
  </bookViews>
  <sheets>
    <sheet name="Tabelle1" sheetId="1" r:id="rId1"/>
    <sheet name="UTM_KOORDS" sheetId="2" r:id="rId2"/>
    <sheet name="GK_K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8" i="1" l="1"/>
  <c r="AZ18" i="1" s="1"/>
  <c r="BB18" i="1" s="1"/>
  <c r="AX17" i="1"/>
  <c r="AZ17" i="1" s="1"/>
  <c r="BB17" i="1" s="1"/>
  <c r="AX16" i="1"/>
  <c r="AZ16" i="1" s="1"/>
  <c r="BB16" i="1" s="1"/>
  <c r="AX15" i="1"/>
  <c r="AZ15" i="1" s="1"/>
  <c r="BB15" i="1" s="1"/>
  <c r="AX14" i="1"/>
  <c r="AZ14" i="1" s="1"/>
  <c r="AX13" i="1"/>
  <c r="AZ13" i="1" s="1"/>
  <c r="AX12" i="1"/>
  <c r="AZ12" i="1" s="1"/>
  <c r="AX11" i="1"/>
  <c r="AZ11" i="1" s="1"/>
  <c r="AX10" i="1"/>
  <c r="AZ10" i="1" s="1"/>
  <c r="AX9" i="1"/>
  <c r="AZ9" i="1" s="1"/>
  <c r="BA8" i="1"/>
  <c r="AX8" i="1"/>
  <c r="AZ8" i="1" s="1"/>
  <c r="AX7" i="1"/>
  <c r="AZ7" i="1" s="1"/>
  <c r="BA18" i="1"/>
  <c r="BA17" i="1"/>
  <c r="BA16" i="1"/>
  <c r="BA15" i="1"/>
  <c r="BA14" i="1"/>
  <c r="BA13" i="1"/>
  <c r="BA12" i="1"/>
  <c r="BA11" i="1"/>
  <c r="BA10" i="1"/>
  <c r="BA9" i="1"/>
  <c r="BA7" i="1"/>
  <c r="AU14" i="1"/>
  <c r="AV14" i="1"/>
  <c r="AU13" i="1"/>
  <c r="AV13" i="1"/>
  <c r="AU15" i="1"/>
  <c r="AK23" i="1"/>
  <c r="AL23" i="1"/>
  <c r="AK24" i="1"/>
  <c r="AL24" i="1"/>
  <c r="AK25" i="1"/>
  <c r="AL25" i="1"/>
  <c r="AZ37" i="1"/>
  <c r="AZ38" i="1"/>
  <c r="AZ39" i="1"/>
  <c r="AY37" i="1"/>
  <c r="AY38" i="1"/>
  <c r="AY39" i="1"/>
  <c r="AZ36" i="1"/>
  <c r="AL22" i="1" s="1"/>
  <c r="AY36" i="1"/>
  <c r="AK22" i="1" s="1"/>
  <c r="AX39" i="1"/>
  <c r="AX38" i="1"/>
  <c r="AX37" i="1"/>
  <c r="AX36" i="1"/>
  <c r="AW37" i="1"/>
  <c r="AW38" i="1"/>
  <c r="AW39" i="1"/>
  <c r="AW36" i="1"/>
  <c r="AV37" i="1"/>
  <c r="AV38" i="1"/>
  <c r="AV39" i="1"/>
  <c r="AV36" i="1"/>
  <c r="AL21" i="1"/>
  <c r="AK21" i="1"/>
  <c r="BA54" i="1"/>
  <c r="AZ54" i="1"/>
  <c r="AY54" i="1"/>
  <c r="BA51" i="1"/>
  <c r="AZ51" i="1"/>
  <c r="AY51" i="1"/>
  <c r="BC47" i="1"/>
  <c r="BB47" i="1"/>
  <c r="BA47" i="1"/>
  <c r="AZ47" i="1"/>
  <c r="AY47" i="1"/>
  <c r="AG68" i="1"/>
  <c r="AG74" i="1" s="1"/>
  <c r="BC44" i="1"/>
  <c r="BB44" i="1"/>
  <c r="BA44" i="1"/>
  <c r="AY44" i="1"/>
  <c r="AZ44" i="1"/>
  <c r="R55" i="1"/>
  <c r="Q55" i="1"/>
  <c r="AH76" i="1" s="1"/>
  <c r="R54" i="1"/>
  <c r="Q54" i="1"/>
  <c r="AH75" i="1" s="1"/>
  <c r="Q58" i="1"/>
  <c r="BB14" i="1" l="1"/>
  <c r="BB13" i="1"/>
  <c r="BB12" i="1"/>
  <c r="BB11" i="1"/>
  <c r="BB10" i="1"/>
  <c r="BB9" i="1"/>
  <c r="BB8" i="1"/>
  <c r="BB7" i="1"/>
  <c r="AY67" i="1"/>
  <c r="AX67" i="1"/>
  <c r="AY66" i="1"/>
  <c r="AX66" i="1"/>
  <c r="AU68" i="1"/>
  <c r="AX60" i="1"/>
  <c r="AY65" i="1" s="1"/>
  <c r="AX65" i="1"/>
  <c r="AY64" i="1"/>
  <c r="AX64" i="1"/>
  <c r="AX61" i="1"/>
  <c r="AU67" i="1"/>
  <c r="AT67" i="1"/>
  <c r="AJ20" i="1"/>
  <c r="AK20" i="1"/>
  <c r="AL20" i="1"/>
  <c r="AU65" i="1"/>
  <c r="AT65" i="1"/>
  <c r="AU64" i="1"/>
  <c r="AT64" i="1"/>
  <c r="AT61" i="1"/>
  <c r="AK18" i="1"/>
  <c r="AL18" i="1"/>
  <c r="AK19" i="1"/>
  <c r="AL19" i="1"/>
  <c r="AZ34" i="1"/>
  <c r="AZ33" i="1"/>
  <c r="AY34" i="1"/>
  <c r="AY33" i="1"/>
  <c r="AX34" i="1"/>
  <c r="Y16" i="1"/>
  <c r="Y15" i="1"/>
  <c r="W15" i="1"/>
  <c r="AX33" i="1"/>
  <c r="AW34" i="1"/>
  <c r="AG67" i="1"/>
  <c r="AG65" i="1"/>
  <c r="AG64" i="1"/>
  <c r="AG62" i="1"/>
  <c r="AG63" i="1" s="1"/>
  <c r="AG66" i="1" s="1"/>
  <c r="AO65" i="1"/>
  <c r="AN65" i="1"/>
  <c r="AM65" i="1"/>
  <c r="AO64" i="1"/>
  <c r="AN64" i="1"/>
  <c r="AM64" i="1"/>
  <c r="AO63" i="1"/>
  <c r="AN63" i="1"/>
  <c r="AM63" i="1"/>
  <c r="AO62" i="1"/>
  <c r="AN62" i="1"/>
  <c r="AM62" i="1"/>
  <c r="AO61" i="1"/>
  <c r="AN61" i="1"/>
  <c r="AR52" i="1"/>
  <c r="AK62" i="1" l="1"/>
  <c r="AN43" i="1"/>
  <c r="AO43" i="1"/>
  <c r="AM44" i="1"/>
  <c r="AM45" i="1"/>
  <c r="AM46" i="1"/>
  <c r="AM47" i="1"/>
  <c r="AG46" i="1"/>
  <c r="AG49" i="1"/>
  <c r="AG47" i="1"/>
  <c r="AG44" i="1"/>
  <c r="AG45" i="1" s="1"/>
  <c r="AR44" i="1" s="1"/>
  <c r="AG70" i="1" l="1"/>
  <c r="AL71" i="1"/>
  <c r="AM71" i="1"/>
  <c r="AK44" i="1"/>
  <c r="AG48" i="1" s="1"/>
  <c r="AI48" i="1"/>
  <c r="AK45" i="1"/>
  <c r="AI50" i="1" s="1"/>
  <c r="AI52" i="1" s="1"/>
  <c r="AK8" i="1"/>
  <c r="AN44" i="1" s="1"/>
  <c r="AL8" i="1"/>
  <c r="AO44" i="1" s="1"/>
  <c r="AH50" i="1" l="1"/>
  <c r="AH56" i="1" s="1"/>
  <c r="AH48" i="1"/>
  <c r="AH52" i="1" s="1"/>
  <c r="AN71" i="1"/>
  <c r="AO71" i="1"/>
  <c r="AG50" i="1"/>
  <c r="AH53" i="1"/>
  <c r="AS44" i="1"/>
  <c r="AR35" i="1"/>
  <c r="AG53" i="1" l="1"/>
  <c r="AG55" i="1" s="1"/>
  <c r="AL73" i="1"/>
  <c r="AM73" i="1"/>
  <c r="AH55" i="1"/>
  <c r="AM53" i="1" s="1"/>
  <c r="AH54" i="1"/>
  <c r="AL53" i="1" s="1"/>
  <c r="AT44" i="1"/>
  <c r="AR47" i="1"/>
  <c r="AG54" i="1"/>
  <c r="AU44" i="1"/>
  <c r="AS45" i="1" s="1"/>
  <c r="AG52" i="1"/>
  <c r="AR34" i="1"/>
  <c r="AR33" i="1"/>
  <c r="F84" i="1"/>
  <c r="Y22" i="2"/>
  <c r="Y23" i="2"/>
  <c r="Y21" i="2"/>
  <c r="Y20" i="2"/>
  <c r="Y19" i="2"/>
  <c r="Y23" i="3"/>
  <c r="Y22" i="3"/>
  <c r="Y21" i="3"/>
  <c r="Y20" i="3"/>
  <c r="Y19" i="3"/>
  <c r="AI35" i="1"/>
  <c r="AI34" i="1"/>
  <c r="AH33" i="1"/>
  <c r="X21" i="2" s="1"/>
  <c r="Z21" i="2" s="1"/>
  <c r="AH32" i="1"/>
  <c r="X20" i="2" s="1"/>
  <c r="Z20" i="2" s="1"/>
  <c r="AI33" i="1"/>
  <c r="AI32" i="1"/>
  <c r="AH31" i="1"/>
  <c r="X19" i="3" s="1"/>
  <c r="AI31" i="1"/>
  <c r="R14" i="1"/>
  <c r="R6" i="1"/>
  <c r="AB76" i="1"/>
  <c r="AB75" i="1"/>
  <c r="AB74" i="1"/>
  <c r="AB73" i="1"/>
  <c r="AB72" i="1"/>
  <c r="AD72" i="1" s="1"/>
  <c r="R10" i="1" s="1"/>
  <c r="AB71" i="1"/>
  <c r="AB77" i="1"/>
  <c r="AD76" i="1" s="1"/>
  <c r="R18" i="1" s="1"/>
  <c r="AB70" i="1"/>
  <c r="AB60" i="1"/>
  <c r="AB59" i="1"/>
  <c r="AB58" i="1"/>
  <c r="AT45" i="1" l="1"/>
  <c r="AG56" i="1" s="1"/>
  <c r="AN73" i="1"/>
  <c r="AO73" i="1"/>
  <c r="AC74" i="1"/>
  <c r="AR48" i="1"/>
  <c r="X20" i="3"/>
  <c r="AA20" i="3" s="1"/>
  <c r="AL52" i="1"/>
  <c r="AS47" i="1"/>
  <c r="AK17" i="1" s="1"/>
  <c r="AC70" i="1"/>
  <c r="AM52" i="1"/>
  <c r="AT47" i="1"/>
  <c r="AL17" i="1" s="1"/>
  <c r="AA19" i="3"/>
  <c r="Z19" i="3"/>
  <c r="AA20" i="2"/>
  <c r="X21" i="3"/>
  <c r="X19" i="2"/>
  <c r="Z19" i="2" s="1"/>
  <c r="AA21" i="2"/>
  <c r="AC76" i="1"/>
  <c r="AK31" i="1"/>
  <c r="AL12" i="1" s="1"/>
  <c r="AC72" i="1"/>
  <c r="S9" i="2"/>
  <c r="AC7" i="2" s="1"/>
  <c r="AB7" i="2"/>
  <c r="P6" i="2"/>
  <c r="L6" i="2"/>
  <c r="AC9" i="3"/>
  <c r="AB9" i="3"/>
  <c r="AC8" i="3"/>
  <c r="AB8" i="3"/>
  <c r="AC7" i="3"/>
  <c r="AB7" i="3"/>
  <c r="AC6" i="3"/>
  <c r="AB6" i="3"/>
  <c r="AC5" i="3"/>
  <c r="AB5" i="3"/>
  <c r="AC6" i="2"/>
  <c r="AC5" i="2"/>
  <c r="AB9" i="2"/>
  <c r="AB8" i="2"/>
  <c r="AB6" i="2"/>
  <c r="AB5" i="2"/>
  <c r="W74" i="1"/>
  <c r="AB41" i="1" s="1"/>
  <c r="W72" i="1"/>
  <c r="W73" i="1" s="1"/>
  <c r="AA41" i="1" s="1"/>
  <c r="W64" i="1"/>
  <c r="AB40" i="1" s="1"/>
  <c r="W62" i="1"/>
  <c r="W63" i="1" s="1"/>
  <c r="AA40" i="1" s="1"/>
  <c r="W54" i="1"/>
  <c r="AB39" i="1" s="1"/>
  <c r="W52" i="1"/>
  <c r="W53" i="1" s="1"/>
  <c r="AA39" i="1" s="1"/>
  <c r="W44" i="1"/>
  <c r="AB38" i="1" s="1"/>
  <c r="W42" i="1"/>
  <c r="W43" i="1" s="1"/>
  <c r="AA38" i="1" s="1"/>
  <c r="AU45" i="1" l="1"/>
  <c r="Z20" i="3"/>
  <c r="AB20" i="3" s="1"/>
  <c r="AA19" i="2"/>
  <c r="AB19" i="3"/>
  <c r="AN52" i="1"/>
  <c r="AA21" i="3"/>
  <c r="Z21" i="3"/>
  <c r="AB21" i="3" s="1"/>
  <c r="T92" i="1"/>
  <c r="Q92" i="1"/>
  <c r="T91" i="1"/>
  <c r="Q83" i="1"/>
  <c r="T82" i="1"/>
  <c r="Y11" i="1"/>
  <c r="Q84" i="1" s="1"/>
  <c r="K90" i="1"/>
  <c r="K89" i="1"/>
  <c r="K84" i="1"/>
  <c r="G65" i="3" l="1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F65" i="2"/>
  <c r="F66" i="2"/>
  <c r="D66" i="2"/>
  <c r="D65" i="2"/>
  <c r="D64" i="2"/>
  <c r="F64" i="2"/>
  <c r="H64" i="2" s="1"/>
  <c r="G75" i="2"/>
  <c r="G74" i="2"/>
  <c r="G73" i="2"/>
  <c r="G72" i="2"/>
  <c r="G71" i="2"/>
  <c r="G70" i="2"/>
  <c r="G69" i="2"/>
  <c r="G68" i="2"/>
  <c r="G67" i="2"/>
  <c r="G66" i="2"/>
  <c r="G65" i="2"/>
  <c r="G64" i="2"/>
  <c r="F85" i="1"/>
  <c r="F86" i="1"/>
  <c r="F87" i="1"/>
  <c r="F88" i="1"/>
  <c r="F89" i="1"/>
  <c r="F90" i="1"/>
  <c r="F91" i="1"/>
  <c r="F92" i="1"/>
  <c r="F93" i="1"/>
  <c r="F94" i="1"/>
  <c r="F83" i="1"/>
  <c r="I68" i="3" l="1"/>
  <c r="I74" i="3"/>
  <c r="I64" i="3"/>
  <c r="I66" i="3"/>
  <c r="I70" i="3"/>
  <c r="I72" i="3"/>
  <c r="I65" i="3"/>
  <c r="I67" i="3"/>
  <c r="I69" i="3"/>
  <c r="I71" i="3"/>
  <c r="I73" i="3"/>
  <c r="I75" i="3"/>
  <c r="H66" i="2"/>
  <c r="H65" i="2"/>
  <c r="X10" i="2"/>
  <c r="X10" i="3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Q66" i="1"/>
  <c r="Q65" i="1"/>
  <c r="Q67" i="1" s="1"/>
  <c r="Y17" i="1"/>
  <c r="R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Z23" i="1"/>
  <c r="Y23" i="1"/>
  <c r="Z17" i="1"/>
  <c r="Z18" i="1"/>
  <c r="Y18" i="1"/>
  <c r="Z24" i="1"/>
  <c r="Q52" i="1"/>
  <c r="Q36" i="1"/>
  <c r="Z16" i="1"/>
  <c r="Z15" i="1"/>
  <c r="D73" i="1" l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AC8" i="2" s="1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11" i="1" s="1"/>
  <c r="W5" i="1"/>
  <c r="T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AB57" i="1" s="1"/>
  <c r="G7" i="1"/>
  <c r="G6" i="1"/>
  <c r="F7" i="1"/>
  <c r="F6" i="1"/>
  <c r="G11" i="1"/>
  <c r="F11" i="1"/>
  <c r="G10" i="1"/>
  <c r="F10" i="1"/>
  <c r="AK9" i="1" l="1"/>
  <c r="AG57" i="1" s="1"/>
  <c r="AJ33" i="1"/>
  <c r="AJ31" i="1"/>
  <c r="AJ32" i="1"/>
  <c r="X5" i="1"/>
  <c r="AB62" i="1"/>
  <c r="AB63" i="1" s="1"/>
  <c r="D68" i="2"/>
  <c r="F68" i="2" s="1"/>
  <c r="H68" i="2" s="1"/>
  <c r="D67" i="2"/>
  <c r="F67" i="2" s="1"/>
  <c r="H67" i="2" s="1"/>
  <c r="Q81" i="1"/>
  <c r="Q90" i="1"/>
  <c r="G73" i="1"/>
  <c r="Q38" i="1"/>
  <c r="R60" i="2"/>
  <c r="S41" i="2"/>
  <c r="S58" i="2" s="1"/>
  <c r="S81" i="2" s="1"/>
  <c r="D75" i="2" s="1"/>
  <c r="F75" i="2" s="1"/>
  <c r="H75" i="2" s="1"/>
  <c r="R57" i="2"/>
  <c r="R79" i="2" s="1"/>
  <c r="T31" i="2"/>
  <c r="V64" i="2" s="1"/>
  <c r="R54" i="2"/>
  <c r="T28" i="2"/>
  <c r="T41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28" i="2"/>
  <c r="S31" i="2"/>
  <c r="U64" i="2" s="1"/>
  <c r="W20" i="1"/>
  <c r="X11" i="1"/>
  <c r="W12" i="1"/>
  <c r="W25" i="1"/>
  <c r="Q63" i="1"/>
  <c r="Q46" i="1"/>
  <c r="X25" i="1"/>
  <c r="AN45" i="1" l="1"/>
  <c r="AH57" i="1"/>
  <c r="AL55" i="1" s="1"/>
  <c r="AK13" i="1"/>
  <c r="AL31" i="1"/>
  <c r="AK12" i="1"/>
  <c r="AK14" i="1"/>
  <c r="X20" i="1"/>
  <c r="AL9" i="1"/>
  <c r="AK32" i="1"/>
  <c r="AL13" i="1" s="1"/>
  <c r="AK33" i="1"/>
  <c r="AL14" i="1" s="1"/>
  <c r="X12" i="1"/>
  <c r="AC59" i="1"/>
  <c r="Q12" i="1" s="1"/>
  <c r="AC58" i="1"/>
  <c r="Q8" i="1" s="1"/>
  <c r="AC60" i="1"/>
  <c r="Q16" i="1" s="1"/>
  <c r="AC57" i="1"/>
  <c r="S64" i="2"/>
  <c r="S61" i="2"/>
  <c r="S12" i="2"/>
  <c r="AC9" i="2"/>
  <c r="D69" i="2"/>
  <c r="F69" i="2" s="1"/>
  <c r="H69" i="2" s="1"/>
  <c r="D70" i="2"/>
  <c r="F70" i="2" s="1"/>
  <c r="H70" i="2" s="1"/>
  <c r="R63" i="1"/>
  <c r="R81" i="1"/>
  <c r="R90" i="1"/>
  <c r="Q68" i="1"/>
  <c r="R68" i="1"/>
  <c r="C87" i="1"/>
  <c r="E87" i="1" s="1"/>
  <c r="G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AS48" i="1" l="1"/>
  <c r="AL54" i="1"/>
  <c r="AO55" i="1"/>
  <c r="AN55" i="1"/>
  <c r="AH58" i="1"/>
  <c r="AM55" i="1" s="1"/>
  <c r="AO45" i="1"/>
  <c r="AG58" i="1"/>
  <c r="AN53" i="1"/>
  <c r="AO53" i="1"/>
  <c r="AO52" i="1"/>
  <c r="AP33" i="1"/>
  <c r="AQ33" i="1" s="1"/>
  <c r="AL32" i="1"/>
  <c r="AL33" i="1"/>
  <c r="Q20" i="1"/>
  <c r="P27" i="1" s="1"/>
  <c r="P29" i="1" s="1"/>
  <c r="P31" i="1" s="1"/>
  <c r="Q10" i="1" s="1"/>
  <c r="S10" i="1" s="1"/>
  <c r="AC62" i="1"/>
  <c r="D71" i="2"/>
  <c r="F71" i="2" s="1"/>
  <c r="H71" i="2" s="1"/>
  <c r="D72" i="2"/>
  <c r="F72" i="2" s="1"/>
  <c r="H72" i="2" s="1"/>
  <c r="D73" i="2"/>
  <c r="F73" i="2" s="1"/>
  <c r="H73" i="2" s="1"/>
  <c r="D74" i="2"/>
  <c r="F74" i="2" s="1"/>
  <c r="H74" i="2" s="1"/>
  <c r="W21" i="1"/>
  <c r="R69" i="1"/>
  <c r="Q69" i="1"/>
  <c r="X21" i="1" s="1"/>
  <c r="Q48" i="1"/>
  <c r="W27" i="1" s="1"/>
  <c r="Q49" i="1"/>
  <c r="G67" i="1"/>
  <c r="D69" i="1"/>
  <c r="D70" i="1"/>
  <c r="T61" i="3"/>
  <c r="T58" i="3"/>
  <c r="T81" i="3" s="1"/>
  <c r="S58" i="3"/>
  <c r="S81" i="3" s="1"/>
  <c r="T55" i="3"/>
  <c r="S64" i="3"/>
  <c r="T64" i="3"/>
  <c r="AT48" i="1" l="1"/>
  <c r="AM54" i="1"/>
  <c r="AN54" i="1" s="1"/>
  <c r="AO54" i="1"/>
  <c r="C83" i="1"/>
  <c r="E83" i="1" s="1"/>
  <c r="G83" i="1" s="1"/>
  <c r="Q14" i="1"/>
  <c r="T10" i="1"/>
  <c r="X27" i="1"/>
  <c r="E70" i="1"/>
  <c r="E69" i="1"/>
  <c r="AG71" i="1" l="1"/>
  <c r="Q18" i="1"/>
  <c r="S18" i="1" s="1"/>
  <c r="AH34" i="1"/>
  <c r="AH35" i="1"/>
  <c r="T11" i="1"/>
  <c r="X6" i="1" s="1"/>
  <c r="T14" i="1"/>
  <c r="Q91" i="1"/>
  <c r="S14" i="1"/>
  <c r="Q64" i="1"/>
  <c r="W16" i="1"/>
  <c r="X15" i="1"/>
  <c r="C84" i="1" s="1"/>
  <c r="E84" i="1" s="1"/>
  <c r="G84" i="1" s="1"/>
  <c r="X16" i="1"/>
  <c r="Q22" i="1" l="1"/>
  <c r="AG75" i="1"/>
  <c r="AL72" i="1" s="1"/>
  <c r="AG76" i="1"/>
  <c r="AM72" i="1" s="1"/>
  <c r="X22" i="2"/>
  <c r="X22" i="3"/>
  <c r="AL10" i="1"/>
  <c r="AK34" i="1"/>
  <c r="AL15" i="1" s="1"/>
  <c r="AK35" i="1"/>
  <c r="AL16" i="1" s="1"/>
  <c r="X23" i="2"/>
  <c r="X23" i="3"/>
  <c r="D76" i="1"/>
  <c r="X28" i="1" s="1"/>
  <c r="X22" i="1"/>
  <c r="X13" i="1"/>
  <c r="S22" i="1"/>
  <c r="R27" i="1" s="1"/>
  <c r="C85" i="1"/>
  <c r="E85" i="1" s="1"/>
  <c r="G85" i="1" s="1"/>
  <c r="T18" i="1"/>
  <c r="R64" i="1"/>
  <c r="R91" i="1"/>
  <c r="J84" i="1"/>
  <c r="L84" i="1" s="1"/>
  <c r="C86" i="1"/>
  <c r="E86" i="1" s="1"/>
  <c r="G86" i="1" s="1"/>
  <c r="AN72" i="1" l="1"/>
  <c r="AO46" i="1"/>
  <c r="AG73" i="1"/>
  <c r="AM70" i="1" s="1"/>
  <c r="AO72" i="1"/>
  <c r="AA23" i="3"/>
  <c r="Z23" i="3"/>
  <c r="Z23" i="2"/>
  <c r="AA23" i="2"/>
  <c r="AA22" i="3"/>
  <c r="Z22" i="3"/>
  <c r="Z22" i="2"/>
  <c r="AA22" i="2"/>
  <c r="S11" i="1"/>
  <c r="S15" i="1"/>
  <c r="T19" i="1"/>
  <c r="T22" i="1"/>
  <c r="T15" i="1" s="1"/>
  <c r="S19" i="1"/>
  <c r="R94" i="1"/>
  <c r="R97" i="1"/>
  <c r="X24" i="1"/>
  <c r="X17" i="1"/>
  <c r="X18" i="1"/>
  <c r="R73" i="1" s="1"/>
  <c r="X23" i="1"/>
  <c r="AB22" i="3" l="1"/>
  <c r="AB23" i="3"/>
  <c r="R29" i="1"/>
  <c r="X7" i="1" s="1"/>
  <c r="AL11" i="1" s="1"/>
  <c r="AO47" i="1" s="1"/>
  <c r="T23" i="1"/>
  <c r="S23" i="1"/>
  <c r="W6" i="1"/>
  <c r="Q97" i="1"/>
  <c r="Q93" i="1" s="1"/>
  <c r="Q94" i="1"/>
  <c r="R72" i="1"/>
  <c r="Q78" i="1" s="1"/>
  <c r="R82" i="1"/>
  <c r="R85" i="1" s="1"/>
  <c r="Q85" i="1" s="1"/>
  <c r="AK10" i="1" l="1"/>
  <c r="AJ34" i="1"/>
  <c r="AJ35" i="1"/>
  <c r="S55" i="1"/>
  <c r="E76" i="1"/>
  <c r="X9" i="1"/>
  <c r="W13" i="1"/>
  <c r="W22" i="1"/>
  <c r="D75" i="1"/>
  <c r="W28" i="1" s="1"/>
  <c r="W7" i="1"/>
  <c r="J76" i="1"/>
  <c r="K76" i="1" s="1"/>
  <c r="Q86" i="1"/>
  <c r="W14" i="1" s="1"/>
  <c r="R86" i="1"/>
  <c r="Q87" i="1"/>
  <c r="X14" i="1" s="1"/>
  <c r="R87" i="1"/>
  <c r="R95" i="1"/>
  <c r="R96" i="1"/>
  <c r="Q95" i="1"/>
  <c r="Q96" i="1"/>
  <c r="W18" i="1"/>
  <c r="W17" i="1"/>
  <c r="AK11" i="1" l="1"/>
  <c r="AN47" i="1" s="1"/>
  <c r="AN46" i="1"/>
  <c r="AG72" i="1"/>
  <c r="AL70" i="1" s="1"/>
  <c r="AK16" i="1"/>
  <c r="AL35" i="1"/>
  <c r="AK15" i="1"/>
  <c r="AP34" i="1"/>
  <c r="AQ34" i="1" s="1"/>
  <c r="AL34" i="1"/>
  <c r="AP35" i="1"/>
  <c r="AQ35" i="1" s="1"/>
  <c r="E75" i="1"/>
  <c r="J77" i="1"/>
  <c r="K77" i="1" s="1"/>
  <c r="W9" i="1"/>
  <c r="J89" i="1"/>
  <c r="L89" i="1" s="1"/>
  <c r="W24" i="1"/>
  <c r="Q82" i="1" s="1"/>
  <c r="W23" i="1"/>
  <c r="C89" i="1"/>
  <c r="E89" i="1" s="1"/>
  <c r="G89" i="1" s="1"/>
  <c r="C88" i="1"/>
  <c r="E88" i="1" s="1"/>
  <c r="G88" i="1" s="1"/>
  <c r="Q73" i="1"/>
  <c r="J90" i="1"/>
  <c r="L90" i="1" s="1"/>
  <c r="C91" i="1"/>
  <c r="E91" i="1" s="1"/>
  <c r="G91" i="1" s="1"/>
  <c r="C90" i="1"/>
  <c r="E90" i="1" s="1"/>
  <c r="G90" i="1" s="1"/>
  <c r="AN70" i="1" l="1"/>
  <c r="AO70" i="1"/>
  <c r="Q72" i="1"/>
  <c r="Q77" i="1" s="1"/>
  <c r="C94" i="1" s="1"/>
  <c r="E94" i="1" s="1"/>
  <c r="G94" i="1" s="1"/>
  <c r="C92" i="1"/>
  <c r="E92" i="1" s="1"/>
  <c r="G92" i="1" s="1"/>
  <c r="C93" i="1"/>
  <c r="E93" i="1" s="1"/>
  <c r="G93" i="1" s="1"/>
</calcChain>
</file>

<file path=xl/sharedStrings.xml><?xml version="1.0" encoding="utf-8"?>
<sst xmlns="http://schemas.openxmlformats.org/spreadsheetml/2006/main" count="779" uniqueCount="280">
  <si>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</si>
  <si>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</si>
  <si>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</si>
  <si>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</si>
  <si>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</si>
  <si>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</si>
  <si>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</si>
  <si>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</si>
  <si>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</si>
  <si>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</si>
  <si>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</si>
  <si>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</si>
  <si>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</si>
  <si>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</si>
  <si>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</si>
  <si>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</si>
  <si>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</si>
  <si>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</si>
  <si>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</si>
  <si>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</si>
  <si>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</si>
  <si>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</si>
  <si>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</si>
  <si>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</si>
  <si>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</si>
  <si>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</si>
  <si>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</si>
  <si>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</si>
  <si>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</si>
  <si>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</si>
  <si>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</si>
  <si>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</si>
  <si>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</si>
  <si>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</si>
  <si>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</si>
  <si>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</si>
  <si>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</si>
  <si>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</si>
  <si>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</si>
  <si>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</si>
  <si>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</si>
  <si>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</si>
  <si>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</si>
  <si>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</si>
  <si>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</si>
  <si>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</si>
  <si>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</si>
  <si>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</si>
  <si>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</si>
  <si>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</si>
  <si>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</si>
  <si>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</si>
  <si>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</si>
  <si>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</si>
  <si>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</si>
  <si>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</si>
  <si>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</si>
  <si>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</si>
  <si>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</si>
  <si>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</si>
  <si>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</si>
  <si>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</si>
  <si>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</si>
  <si>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</si>
  <si>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</si>
  <si>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</si>
  <si>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</si>
  <si>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</si>
  <si>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</si>
  <si>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</si>
  <si>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</si>
  <si>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</si>
  <si>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</si>
  <si>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</si>
  <si>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</si>
  <si>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</si>
  <si>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</si>
  <si>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</si>
  <si>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</si>
  <si>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</si>
  <si>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</si>
  <si>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</si>
  <si>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</si>
  <si>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</si>
  <si>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</si>
  <si>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</si>
  <si>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</si>
  <si>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</si>
  <si>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</si>
  <si>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</si>
  <si>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</si>
  <si>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</si>
  <si>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</si>
  <si>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</si>
  <si>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</si>
  <si>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</si>
  <si>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</si>
  <si>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</si>
  <si>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</si>
  <si>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</si>
  <si>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</si>
  <si>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</si>
  <si>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</si>
  <si>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</si>
  <si>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</si>
  <si>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</si>
  <si>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</si>
  <si>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</si>
  <si>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</si>
  <si>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</si>
  <si>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</si>
  <si>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</si>
  <si>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</si>
  <si>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</si>
  <si>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</si>
  <si>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</si>
  <si>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</si>
  <si>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</si>
  <si>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</si>
  <si>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</si>
  <si>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</si>
  <si>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</si>
  <si>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</si>
  <si>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</si>
  <si>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</si>
  <si>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</si>
  <si>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</si>
  <si>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</si>
  <si>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</si>
  <si>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</si>
  <si>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</si>
  <si>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</si>
  <si>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</si>
  <si>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</si>
  <si>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</si>
  <si>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</si>
  <si>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</si>
  <si>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</si>
  <si>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</si>
  <si>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</si>
  <si>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</si>
  <si>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</si>
  <si>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</si>
  <si>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</si>
  <si>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</si>
  <si>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</si>
  <si>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</si>
  <si>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</si>
  <si>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</si>
  <si>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</si>
  <si>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</si>
  <si>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</si>
  <si>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</si>
  <si>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</si>
  <si>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</si>
  <si>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</si>
  <si>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</si>
  <si>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</si>
  <si>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</si>
  <si>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</si>
  <si>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</si>
  <si>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</si>
  <si>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</si>
  <si>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</si>
  <si>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</si>
  <si>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</si>
  <si>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</si>
  <si>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</si>
  <si>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</si>
  <si>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</si>
  <si>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</si>
  <si>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</si>
  <si>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</si>
  <si>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</si>
  <si>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</si>
  <si>
    <t>AE</t>
  </si>
  <si>
    <t>CG</t>
  </si>
  <si>
    <t>LH</t>
  </si>
  <si>
    <t>t(A,M)</t>
  </si>
  <si>
    <t>t(A,E)</t>
  </si>
  <si>
    <t>t(E,A)</t>
  </si>
  <si>
    <t>Winkel beta E</t>
  </si>
  <si>
    <t>t(E,K)</t>
  </si>
  <si>
    <t>Absteckung</t>
  </si>
  <si>
    <t>Seite 1 (P3021A - P1)</t>
  </si>
  <si>
    <t>Festpunkt E</t>
  </si>
  <si>
    <t>Anschlusspunkt F</t>
  </si>
  <si>
    <t>Absteckwinkel</t>
  </si>
  <si>
    <t>Absteckstrecke</t>
  </si>
  <si>
    <t>s (E,F)</t>
  </si>
  <si>
    <t>Absteckweite</t>
  </si>
  <si>
    <t>Seite 2 (P1 - P2)</t>
  </si>
  <si>
    <t>Festpunkt B</t>
  </si>
  <si>
    <t>Anschlusspunkt C</t>
  </si>
  <si>
    <t>s (B,C)</t>
  </si>
  <si>
    <t>Seite 3 (P2 - P3)</t>
  </si>
  <si>
    <t>Festpunkt G</t>
  </si>
  <si>
    <t>Anschlusspunkt H</t>
  </si>
  <si>
    <t>s (G,H)</t>
  </si>
  <si>
    <t>Seite 2 (P3 - P0)</t>
  </si>
  <si>
    <t>Festpunkt A</t>
  </si>
  <si>
    <t>Anschlusspunkt D</t>
  </si>
  <si>
    <t>s (A,D)</t>
  </si>
  <si>
    <t>Absteckpunkt</t>
  </si>
  <si>
    <t>Fest- Anschlusspunkt</t>
  </si>
  <si>
    <t>E, F</t>
  </si>
  <si>
    <t>B, C</t>
  </si>
  <si>
    <t>G, H</t>
  </si>
  <si>
    <t>A, D</t>
  </si>
  <si>
    <t>x Ostwert</t>
  </si>
  <si>
    <t>y Hochwert</t>
  </si>
  <si>
    <t>Ringpolygonzug Winkelkontrolle</t>
  </si>
  <si>
    <t>Außenwinkel</t>
  </si>
  <si>
    <t>∑</t>
  </si>
  <si>
    <t>∆</t>
  </si>
  <si>
    <t>Verbesserung</t>
  </si>
  <si>
    <t>Streckenkontrolle von mehrfach gemessenen Strecken</t>
  </si>
  <si>
    <t>Strecke</t>
  </si>
  <si>
    <t>P3021A - P1</t>
  </si>
  <si>
    <t>P1 - P3021A</t>
  </si>
  <si>
    <t>P1- P2</t>
  </si>
  <si>
    <t>P2 - P1</t>
  </si>
  <si>
    <t>P2 - P3</t>
  </si>
  <si>
    <t>P3 - P2</t>
  </si>
  <si>
    <t>P3 - P3021A</t>
  </si>
  <si>
    <t>P3021A - P3</t>
  </si>
  <si>
    <t>s [m]</t>
  </si>
  <si>
    <t>s[m] Mittel</t>
  </si>
  <si>
    <r>
      <t>∆</t>
    </r>
    <r>
      <rPr>
        <b/>
        <sz val="9.35"/>
        <color theme="1"/>
        <rFont val="Calibri"/>
        <family val="2"/>
      </rPr>
      <t>s</t>
    </r>
  </si>
  <si>
    <t>Ausgangspunkt</t>
  </si>
  <si>
    <t>Objektpunkt</t>
  </si>
  <si>
    <t>t [gon]</t>
  </si>
  <si>
    <t>ds Koods</t>
  </si>
  <si>
    <t xml:space="preserve">Kontrolle </t>
  </si>
  <si>
    <t>B-J</t>
  </si>
  <si>
    <t>s gemessen</t>
  </si>
  <si>
    <t>s berechnet (koordinaten)</t>
  </si>
  <si>
    <t xml:space="preserve"> </t>
  </si>
  <si>
    <t>C - L</t>
  </si>
  <si>
    <t>erlaubte Abweichung</t>
  </si>
  <si>
    <t>B-C</t>
  </si>
  <si>
    <t>gamma</t>
  </si>
  <si>
    <t xml:space="preserve">a </t>
  </si>
  <si>
    <t>b</t>
  </si>
  <si>
    <t>g (P0321 - P1)</t>
  </si>
  <si>
    <t>m</t>
  </si>
  <si>
    <t>beta</t>
  </si>
  <si>
    <t>t(P0, FSP1)</t>
  </si>
  <si>
    <t>t(P1, FSP2)</t>
  </si>
  <si>
    <t>sa</t>
  </si>
  <si>
    <t>sb</t>
  </si>
  <si>
    <t>Freie Stattionierung</t>
  </si>
  <si>
    <t>Innenwinkel</t>
  </si>
  <si>
    <t>FSP 1</t>
  </si>
  <si>
    <t>t</t>
  </si>
  <si>
    <t>FSP 2</t>
  </si>
  <si>
    <t>g (P2, P3)</t>
  </si>
  <si>
    <t xml:space="preserve">sa (P2) </t>
  </si>
  <si>
    <t>sb (p3)</t>
  </si>
  <si>
    <t>t(P2, FSP1)</t>
  </si>
  <si>
    <t>t(P3, FSP2)</t>
  </si>
  <si>
    <t>Objektpunktbestimmung aus Freier Stationierung</t>
  </si>
  <si>
    <t xml:space="preserve">F </t>
  </si>
  <si>
    <t>K aus Strecke A,J</t>
  </si>
  <si>
    <t>A,J</t>
  </si>
  <si>
    <t>A,k</t>
  </si>
  <si>
    <t>Vector A,J</t>
  </si>
  <si>
    <t>Kontrolle K-E</t>
  </si>
  <si>
    <t>A,b</t>
  </si>
  <si>
    <t>Vector A,B</t>
  </si>
  <si>
    <t>alpha (P3021A)</t>
  </si>
  <si>
    <t>beta (P1)</t>
  </si>
  <si>
    <t>alpha(P2)</t>
  </si>
  <si>
    <t>beta(P3)</t>
  </si>
  <si>
    <t>Kontrolle</t>
  </si>
  <si>
    <t>p1</t>
  </si>
  <si>
    <t>p2</t>
  </si>
  <si>
    <t>s</t>
  </si>
  <si>
    <t>s [m] Koord</t>
  </si>
  <si>
    <t>s [m]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</si>
</sst>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8" borderId="0" xfId="0" applyNumberFormat="1" applyFill="1"/>
    <xf numFmtId="165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5" borderId="0" xfId="0" applyNumberFormat="1" applyFill="1"/>
    <xf numFmtId="0" fontId="6" fillId="10" borderId="0" xfId="0" applyFont="1" applyFill="1"/>
    <xf numFmtId="0" fontId="4" fillId="0" borderId="0" xfId="0" applyFont="1" applyFill="1"/>
    <xf numFmtId="0" fontId="0" fillId="11" borderId="0" xfId="0" applyFill="1"/>
    <xf numFmtId="165" fontId="0" fillId="11" borderId="0" xfId="0" applyNumberFormat="1" applyFill="1"/>
    <xf numFmtId="164" fontId="0" fillId="11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164" fontId="10" fillId="0" borderId="0" xfId="0" applyNumberFormat="1" applyFont="1"/>
    <xf numFmtId="164" fontId="0" fillId="0" borderId="0" xfId="0" applyNumberFormat="1" applyAlignment="1">
      <alignment horizontal="left" indent="4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0" fontId="0" fillId="12" borderId="0" xfId="0" applyFill="1"/>
    <xf numFmtId="164" fontId="1" fillId="0" borderId="0" xfId="0" applyNumberFormat="1" applyFont="1"/>
    <xf numFmtId="164" fontId="4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Tabelle1!$AK$8:$AK$25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.000">
                  <c:v>75.311327476819272</c:v>
                </c:pt>
                <c:pt idx="3" formatCode="0.000">
                  <c:v>84.448672839820915</c:v>
                </c:pt>
                <c:pt idx="4" formatCode="0.000">
                  <c:v>13.088619263575319</c:v>
                </c:pt>
                <c:pt idx="5" formatCode="0.000">
                  <c:v>8.664302048364835</c:v>
                </c:pt>
                <c:pt idx="6" formatCode="0.000">
                  <c:v>9.0231831486844971</c:v>
                </c:pt>
                <c:pt idx="7" formatCode="0.000">
                  <c:v>60.147307594573</c:v>
                </c:pt>
                <c:pt idx="8" formatCode="0.000">
                  <c:v>60.514454117962565</c:v>
                </c:pt>
                <c:pt idx="9" formatCode="0.00">
                  <c:v>-14.277123571524365</c:v>
                </c:pt>
                <c:pt idx="10" formatCode="0.000">
                  <c:v>21.253082809166997</c:v>
                </c:pt>
                <c:pt idx="11" formatCode="0.000">
                  <c:v>24.802038557338079</c:v>
                </c:pt>
                <c:pt idx="12" formatCode="0.000">
                  <c:v>12.659744044170566</c:v>
                </c:pt>
                <c:pt idx="13" formatCode="0.000">
                  <c:v>82.412610400289438</c:v>
                </c:pt>
                <c:pt idx="14" formatCode="0.000">
                  <c:v>64.188464356951314</c:v>
                </c:pt>
                <c:pt idx="15" formatCode="0.000">
                  <c:v>51.97948547789175</c:v>
                </c:pt>
                <c:pt idx="16" formatCode="0.000">
                  <c:v>48.366546961604179</c:v>
                </c:pt>
                <c:pt idx="17" formatCode="0.000">
                  <c:v>60.493348382721777</c:v>
                </c:pt>
              </c:numCache>
            </c:numRef>
          </c:xVal>
          <c:yVal>
            <c:numRef>
              <c:f>Tabelle1!$AL$8:$AL$25</c:f>
              <c:numCache>
                <c:formatCode>General</c:formatCode>
                <c:ptCount val="18"/>
                <c:pt idx="0">
                  <c:v>0</c:v>
                </c:pt>
                <c:pt idx="1">
                  <c:v>181.83600000000001</c:v>
                </c:pt>
                <c:pt idx="2" formatCode="0.000">
                  <c:v>183.15417587465905</c:v>
                </c:pt>
                <c:pt idx="3" formatCode="0.000">
                  <c:v>8.1959047818665169</c:v>
                </c:pt>
                <c:pt idx="4" formatCode="0.000">
                  <c:v>19.589835266616333</c:v>
                </c:pt>
                <c:pt idx="5" formatCode="0.000">
                  <c:v>169.20628400894537</c:v>
                </c:pt>
                <c:pt idx="6" formatCode="0.000">
                  <c:v>154.79155018371983</c:v>
                </c:pt>
                <c:pt idx="7" formatCode="0.000">
                  <c:v>170.87689514923619</c:v>
                </c:pt>
                <c:pt idx="8" formatCode="0.000">
                  <c:v>156.41761097185307</c:v>
                </c:pt>
                <c:pt idx="9" formatCode="0.00">
                  <c:v>114.57690915504494</c:v>
                </c:pt>
                <c:pt idx="10" formatCode="0.000">
                  <c:v>155.10855647594073</c:v>
                </c:pt>
                <c:pt idx="11" formatCode="0.000">
                  <c:v>34.434163654868314</c:v>
                </c:pt>
                <c:pt idx="12" formatCode="0.000">
                  <c:v>33.85267534337622</c:v>
                </c:pt>
                <c:pt idx="13" formatCode="0.000">
                  <c:v>68.637620721623961</c:v>
                </c:pt>
                <c:pt idx="14" formatCode="0.000">
                  <c:v>35.665883885492875</c:v>
                </c:pt>
                <c:pt idx="15" formatCode="0.000">
                  <c:v>35.308765408881264</c:v>
                </c:pt>
                <c:pt idx="16" formatCode="0.000">
                  <c:v>155.88618460853857</c:v>
                </c:pt>
                <c:pt idx="17" formatCode="0.000">
                  <c:v>156.42966547287244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A-43C3-9FD8-D6F2D844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62400"/>
        <c:axId val="420963712"/>
      </c:scatterChart>
      <c:valAx>
        <c:axId val="4209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63712"/>
        <c:crosses val="autoZero"/>
        <c:crossBetween val="midCat"/>
      </c:valAx>
      <c:valAx>
        <c:axId val="420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UTM_KOORDS!$S$3:$S$81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UTM_KOORDS!$T$3:$T$81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UTM_KOORDS!$R$37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UTM_KOORDS!$S$35:$S$42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UTM_KOORDS!$T$35:$T$42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UTM_KOORDS!$S$45:$S$65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UTM_KOORDS!$T$45:$T$64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UTM_KOORDS!$S$71:$S$93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UTM_KOORDS!$T$71:$T$93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GK_KOORDS!$R$37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GK_KOORDS!$S$35:$S$42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GK_KOORDS!$T$35:$T$42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GK_KOORDS!$S$45:$S$65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GK_KOORDS!$T$45:$T$64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GK_KOORDS!$S$71:$S$93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GK_KOORDS!$T$71:$T$93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445812</xdr:colOff>
      <xdr:row>1</xdr:row>
      <xdr:rowOff>134471</xdr:rowOff>
    </xdr:from>
    <xdr:to>
      <xdr:col>43</xdr:col>
      <xdr:colOff>182101</xdr:colOff>
      <xdr:row>25</xdr:row>
      <xdr:rowOff>151412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9BC660-F9A6-4798-B177-00C81A88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977900</xdr:colOff>
      <xdr:row>28</xdr:row>
      <xdr:rowOff>111125</xdr:rowOff>
    </xdr:from>
    <xdr:to>
      <xdr:col>25</xdr:col>
      <xdr:colOff>258425</xdr:colOff>
      <xdr:row>48</xdr:row>
      <xdr:rowOff>39583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BC97"/>
  <sheetViews>
    <sheetView tabSelected="1" topLeftCell="AI1" zoomScale="85" zoomScaleNormal="85" workbookViewId="0">
      <selection activeCell="AX21" sqref="AX21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1" max="21" width="14.26953125" bestFit="1" customWidth="1"/>
    <col min="22" max="22" width="17.81640625" customWidth="1"/>
    <col min="25" max="25" width="14.1796875" customWidth="1"/>
    <col min="26" max="26" width="19.36328125" customWidth="1"/>
    <col min="27" max="27" width="15.453125" customWidth="1"/>
    <col min="28" max="28" width="13.08984375" customWidth="1"/>
    <col min="32" max="32" width="14.90625" customWidth="1"/>
    <col min="33" max="33" width="12" customWidth="1"/>
    <col min="44" max="44" width="18.26953125" customWidth="1"/>
    <col min="50" max="50" width="13.08984375" customWidth="1"/>
    <col min="51" max="51" width="14.6328125" customWidth="1"/>
    <col min="52" max="52" width="12.26953125" bestFit="1" customWidth="1"/>
    <col min="53" max="53" width="13.54296875" customWidth="1"/>
    <col min="54" max="55" width="13.26953125" bestFit="1" customWidth="1"/>
  </cols>
  <sheetData>
    <row r="1" spans="1:54" x14ac:dyDescent="0.35">
      <c r="N1" s="1" t="s">
        <v>38</v>
      </c>
    </row>
    <row r="2" spans="1:5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35</v>
      </c>
      <c r="R2" s="1" t="s">
        <v>226</v>
      </c>
      <c r="S2" s="1" t="s">
        <v>30</v>
      </c>
      <c r="T2" s="1" t="s">
        <v>31</v>
      </c>
      <c r="V2" s="1" t="s">
        <v>39</v>
      </c>
    </row>
    <row r="3" spans="1:54" x14ac:dyDescent="0.35">
      <c r="A3" s="1" t="s">
        <v>0</v>
      </c>
      <c r="C3" s="1" t="s">
        <v>5</v>
      </c>
      <c r="D3" s="1" t="s">
        <v>6</v>
      </c>
      <c r="W3" t="s">
        <v>30</v>
      </c>
      <c r="X3" t="s">
        <v>31</v>
      </c>
    </row>
    <row r="4" spans="1:54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5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  <c r="AW5" t="s">
        <v>160</v>
      </c>
      <c r="AX5" t="s">
        <v>278</v>
      </c>
      <c r="AY5" t="s">
        <v>279</v>
      </c>
      <c r="BA5" t="s">
        <v>239</v>
      </c>
    </row>
    <row r="6" spans="1:5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f>AD70</f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75.311327476819272</v>
      </c>
      <c r="X6" s="2">
        <f>X5+T11</f>
        <v>183.15417587465905</v>
      </c>
      <c r="AJ6" s="1" t="s">
        <v>39</v>
      </c>
    </row>
    <row r="7" spans="1:5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84.448672839820915</v>
      </c>
      <c r="X7" s="2">
        <f>X6+T15</f>
        <v>8.1959047818665169</v>
      </c>
      <c r="AK7" t="s">
        <v>30</v>
      </c>
      <c r="AL7" t="s">
        <v>31</v>
      </c>
      <c r="AW7" t="s">
        <v>169</v>
      </c>
      <c r="AX7" s="2">
        <f>((AK12-AK20)^2+(AL12-AL20)^2)^0.5</f>
        <v>14.269286632801494</v>
      </c>
      <c r="AY7">
        <v>14.25</v>
      </c>
      <c r="AZ7" s="2">
        <f>AY7-AX7</f>
        <v>-1.9286632801494008E-2</v>
      </c>
      <c r="BA7" s="2">
        <f>0.008*(AY7)^0.5+0.0004*AY7+0.03</f>
        <v>6.5899337741083003E-2</v>
      </c>
      <c r="BB7" s="20">
        <f>BA7-ABS(AZ7)</f>
        <v>4.6612704939588995E-2</v>
      </c>
    </row>
    <row r="8" spans="1:54" x14ac:dyDescent="0.35">
      <c r="B8" t="s">
        <v>4</v>
      </c>
      <c r="C8">
        <v>140.34</v>
      </c>
      <c r="K8">
        <v>23.56</v>
      </c>
      <c r="P8" t="s">
        <v>2</v>
      </c>
      <c r="Q8" s="2">
        <f>AC58</f>
        <v>298.88574999999997</v>
      </c>
      <c r="AJ8" t="s">
        <v>29</v>
      </c>
      <c r="AK8">
        <f t="shared" ref="AK8:AL11" si="0">W4</f>
        <v>0</v>
      </c>
      <c r="AL8">
        <f t="shared" si="0"/>
        <v>0</v>
      </c>
      <c r="AW8" s="29" t="s">
        <v>170</v>
      </c>
      <c r="AX8" s="43">
        <f>((AK20-AK19)^2+(AL20-AL19)^2)^0.5</f>
        <v>12.156210129020469</v>
      </c>
      <c r="AY8" s="29">
        <v>12.22</v>
      </c>
      <c r="AZ8" s="43">
        <f>AY8-AX8</f>
        <v>6.3789870979531926E-2</v>
      </c>
      <c r="BA8" s="12">
        <f>0.008*(AY8)^0.5+0.0004*AY8+0.03</f>
        <v>6.2853693268717661E-2</v>
      </c>
      <c r="BB8" s="23">
        <f t="shared" ref="BB8:BB18" si="1">BA8-ABS(AZ8)</f>
        <v>-9.3617771081426493E-4</v>
      </c>
    </row>
    <row r="9" spans="1:5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0</v>
      </c>
      <c r="AJ9" t="s">
        <v>2</v>
      </c>
      <c r="AK9">
        <f t="shared" si="0"/>
        <v>0</v>
      </c>
      <c r="AL9">
        <f t="shared" si="0"/>
        <v>181.83600000000001</v>
      </c>
      <c r="AW9" s="11" t="s">
        <v>171</v>
      </c>
      <c r="AX9" s="12">
        <f>((AK19-AK18)^2+(AL19-AL18)^2)^0.5</f>
        <v>120.72656778703256</v>
      </c>
      <c r="AY9" s="11">
        <v>120.83</v>
      </c>
      <c r="AZ9" s="12">
        <f>AY9-AX9</f>
        <v>0.10343221296743366</v>
      </c>
      <c r="BA9" s="12">
        <f t="shared" ref="BA9:BA18" si="2">0.008*(AY9)^0.5+0.0004*AY9+0.03</f>
        <v>0.16627016008991771</v>
      </c>
      <c r="BB9" s="23">
        <f t="shared" si="1"/>
        <v>6.2837947122484056E-2</v>
      </c>
    </row>
    <row r="10" spans="1:5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98.885749999999973</v>
      </c>
      <c r="R10">
        <f>AD72</f>
        <v>75.316999999999993</v>
      </c>
      <c r="S10" s="2">
        <f>SIN(Q10*PI()/200)*R10</f>
        <v>75.305463954240835</v>
      </c>
      <c r="T10" s="2">
        <f>COS(Q10*PI()/200)*R10</f>
        <v>1.3181758746590351</v>
      </c>
      <c r="Y10" t="s">
        <v>45</v>
      </c>
      <c r="Z10" t="s">
        <v>46</v>
      </c>
      <c r="AA10" t="s">
        <v>47</v>
      </c>
      <c r="AJ10" t="s">
        <v>14</v>
      </c>
      <c r="AK10" s="2">
        <f t="shared" si="0"/>
        <v>75.311327476819272</v>
      </c>
      <c r="AL10" s="2">
        <f t="shared" si="0"/>
        <v>183.15417587465905</v>
      </c>
      <c r="AW10" s="11" t="s">
        <v>162</v>
      </c>
      <c r="AX10" s="12">
        <f>((AK18-AK14)^2+(AL18-AL14)^2)^0.5</f>
        <v>12.234007466679822</v>
      </c>
      <c r="AY10" s="11">
        <v>12.22</v>
      </c>
      <c r="AZ10" s="12">
        <f t="shared" ref="AZ10:AZ18" si="3">AY10-AX10</f>
        <v>-1.4007466679821334E-2</v>
      </c>
      <c r="BA10" s="12">
        <f t="shared" si="2"/>
        <v>6.2853693268717661E-2</v>
      </c>
      <c r="BB10" s="23">
        <f t="shared" si="1"/>
        <v>4.8846226588896327E-2</v>
      </c>
    </row>
    <row r="11" spans="1:5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37">
        <f>-R27*(ABS(S10)/(ABS(S18)+ABS(S14)+ABS(S10)))+S10</f>
        <v>75.311327476819272</v>
      </c>
      <c r="T11" s="37">
        <f>T10</f>
        <v>1.3181758746590351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  <c r="AJ11" t="s">
        <v>3</v>
      </c>
      <c r="AK11" s="2">
        <f t="shared" si="0"/>
        <v>84.448672839820915</v>
      </c>
      <c r="AL11" s="2">
        <f t="shared" si="0"/>
        <v>8.1959047818665169</v>
      </c>
      <c r="AW11" s="11" t="s">
        <v>163</v>
      </c>
      <c r="AX11" s="12">
        <f>((AK14-AK13)^2+(AL14-AL13)^2)^0.5</f>
        <v>14.419200633054107</v>
      </c>
      <c r="AY11" s="11">
        <v>14.57</v>
      </c>
      <c r="AZ11" s="12">
        <f>AY11-AX11</f>
        <v>0.15079936694589335</v>
      </c>
      <c r="BA11" s="12">
        <f t="shared" si="2"/>
        <v>6.63645354943877E-2</v>
      </c>
      <c r="BB11" s="23">
        <f t="shared" si="1"/>
        <v>-8.4434831451505654E-2</v>
      </c>
    </row>
    <row r="12" spans="1:54" x14ac:dyDescent="0.35">
      <c r="P12" t="s">
        <v>14</v>
      </c>
      <c r="Q12" s="2">
        <f>AC59</f>
        <v>297.79274999999996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  <c r="AJ12" t="s">
        <v>4</v>
      </c>
      <c r="AK12" s="2">
        <f t="shared" ref="AK12:AL16" si="4">AJ31</f>
        <v>13.088619263575319</v>
      </c>
      <c r="AL12" s="2">
        <f t="shared" si="4"/>
        <v>19.589835266616333</v>
      </c>
      <c r="AU12" t="s">
        <v>30</v>
      </c>
      <c r="AV12" t="s">
        <v>31</v>
      </c>
      <c r="AW12" s="11" t="s">
        <v>164</v>
      </c>
      <c r="AX12" s="12">
        <f>((AK13-AK15)^2+(AL13-AL15)^2)^0.5</f>
        <v>51.510103879267845</v>
      </c>
      <c r="AY12" s="11">
        <v>51.52</v>
      </c>
      <c r="AZ12" s="12">
        <f t="shared" ref="AZ12:AZ18" si="5">AY12-AX12</f>
        <v>9.8961207321579536E-3</v>
      </c>
      <c r="BA12" s="12">
        <f t="shared" si="2"/>
        <v>0.10802994702376435</v>
      </c>
      <c r="BB12" s="23">
        <f t="shared" si="1"/>
        <v>9.8133826291606399E-2</v>
      </c>
    </row>
    <row r="13" spans="1:54" x14ac:dyDescent="0.35">
      <c r="A13" s="1" t="s">
        <v>12</v>
      </c>
      <c r="V13" t="s">
        <v>16</v>
      </c>
      <c r="W13" s="2">
        <f>W6+SIN(Y13*(PI()/200))*Z13</f>
        <v>60.148754082861345</v>
      </c>
      <c r="X13" s="2">
        <f>X6+COS(Y13*(PI()/200))*Z13</f>
        <v>170.87510876543453</v>
      </c>
      <c r="Y13">
        <f>C27+I32-200+200-I23</f>
        <v>256.66499999999996</v>
      </c>
      <c r="Z13">
        <f>K27</f>
        <v>19.510999999999999</v>
      </c>
      <c r="AA13" t="s">
        <v>14</v>
      </c>
      <c r="AJ13" t="s">
        <v>20</v>
      </c>
      <c r="AK13" s="2">
        <f t="shared" si="4"/>
        <v>8.664302048364835</v>
      </c>
      <c r="AL13" s="2">
        <f t="shared" si="4"/>
        <v>169.20628400894537</v>
      </c>
      <c r="AT13" t="s">
        <v>275</v>
      </c>
      <c r="AU13" s="2">
        <f t="shared" ref="AU13:AV13" si="6">AK22</f>
        <v>64.188464356951314</v>
      </c>
      <c r="AV13" s="2">
        <f t="shared" si="6"/>
        <v>35.665883885492875</v>
      </c>
      <c r="AW13" s="11" t="s">
        <v>165</v>
      </c>
      <c r="AX13" s="12">
        <f>((AK15-AK16)^2+(AL15-AL16)^2)^0.5</f>
        <v>14.463944672597412</v>
      </c>
      <c r="AY13" s="11">
        <v>14.51</v>
      </c>
      <c r="AZ13" s="12">
        <f t="shared" si="5"/>
        <v>4.6055327402587665E-2</v>
      </c>
      <c r="BA13" s="12">
        <f t="shared" si="2"/>
        <v>6.6277595127585451E-2</v>
      </c>
      <c r="BB13" s="23">
        <f t="shared" si="1"/>
        <v>2.0222267724997786E-2</v>
      </c>
    </row>
    <row r="14" spans="1:54" x14ac:dyDescent="0.35">
      <c r="Q14">
        <f>200+Q12+P29-400+Q10</f>
        <v>196.67849999999993</v>
      </c>
      <c r="R14">
        <f>AD74</f>
        <v>175.19800000000001</v>
      </c>
      <c r="S14" s="2">
        <f>SIN(Q14*PI()/200)*R14</f>
        <v>9.1366339556657419</v>
      </c>
      <c r="T14" s="2">
        <f>COS(Q14*PI()/200)*R14</f>
        <v>-174.95959854766522</v>
      </c>
      <c r="V14" s="9" t="s">
        <v>40</v>
      </c>
      <c r="W14" s="27">
        <f>Q86</f>
        <v>64.766285859645834</v>
      </c>
      <c r="X14" s="27">
        <f>Q87</f>
        <v>18.460731557749131</v>
      </c>
      <c r="AJ14" t="s">
        <v>19</v>
      </c>
      <c r="AK14" s="2">
        <f t="shared" si="4"/>
        <v>9.0231831486844971</v>
      </c>
      <c r="AL14" s="2">
        <f t="shared" si="4"/>
        <v>154.79155018371983</v>
      </c>
      <c r="AT14" t="s">
        <v>276</v>
      </c>
      <c r="AU14" s="2">
        <f t="shared" ref="AU14:AV14" si="7">AK23</f>
        <v>51.97948547789175</v>
      </c>
      <c r="AV14" s="2">
        <f t="shared" si="7"/>
        <v>35.308765408881264</v>
      </c>
      <c r="AW14" s="11" t="s">
        <v>166</v>
      </c>
      <c r="AX14" s="12">
        <f>((AK16-AK24)^2+(AL16-AL24)^2)^0.5</f>
        <v>12.159525577058051</v>
      </c>
      <c r="AY14" s="11">
        <v>12.17</v>
      </c>
      <c r="AZ14" s="12">
        <f t="shared" si="5"/>
        <v>1.0474422941948447E-2</v>
      </c>
      <c r="BA14" s="12">
        <f t="shared" si="2"/>
        <v>6.2776421668019847E-2</v>
      </c>
      <c r="BB14" s="23">
        <f t="shared" si="1"/>
        <v>5.23019987260714E-2</v>
      </c>
    </row>
    <row r="15" spans="1:5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37">
        <f>-R27*(ABS(S14)/(ABS(S18)+ABS(S14)+ABS(S10)))+S14</f>
        <v>9.1373453630016357</v>
      </c>
      <c r="T15" s="37">
        <f>T14+(T22*(-1))</f>
        <v>-174.95827109279253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 s="2">
        <f>C43-200-R47</f>
        <v>171.0964303452306</v>
      </c>
      <c r="Z15">
        <f>K43</f>
        <v>89.162999999999997</v>
      </c>
      <c r="AA15" t="s">
        <v>54</v>
      </c>
      <c r="AJ15" t="s">
        <v>16</v>
      </c>
      <c r="AK15" s="2">
        <f t="shared" si="4"/>
        <v>60.147307594573</v>
      </c>
      <c r="AL15" s="2">
        <f t="shared" si="4"/>
        <v>170.87689514923619</v>
      </c>
      <c r="AT15" t="s">
        <v>277</v>
      </c>
      <c r="AU15">
        <f>((AU14-AU13)^2+(AV14-AV13)^2)^0.5</f>
        <v>12.214200705558262</v>
      </c>
      <c r="AW15" s="11" t="s">
        <v>167</v>
      </c>
      <c r="AX15" s="12">
        <f>((AK24-AK23)^2+(AL24-AL23)^2)^0.5</f>
        <v>120.63153545227036</v>
      </c>
      <c r="AY15" s="11">
        <v>120.8</v>
      </c>
      <c r="AZ15" s="12">
        <f>AY15-AX15</f>
        <v>0.16846454772964137</v>
      </c>
      <c r="BA15" s="12">
        <f t="shared" si="2"/>
        <v>0.16624724264981816</v>
      </c>
      <c r="BB15" s="23">
        <f t="shared" si="1"/>
        <v>-2.2173050798232063E-3</v>
      </c>
    </row>
    <row r="16" spans="1:5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 s="2">
        <f>AC60</f>
        <v>297.16274999999996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54</v>
      </c>
      <c r="AB16" t="s">
        <v>31</v>
      </c>
      <c r="AJ16" t="s">
        <v>17</v>
      </c>
      <c r="AK16" s="2">
        <f t="shared" si="4"/>
        <v>60.514454117962565</v>
      </c>
      <c r="AL16" s="2">
        <f t="shared" si="4"/>
        <v>156.41761097185307</v>
      </c>
      <c r="AW16" s="11" t="s">
        <v>168</v>
      </c>
      <c r="AX16" s="12">
        <f>((AK23-AK22)^2+(AL23-AL22)^2)^0.5</f>
        <v>12.214200705558262</v>
      </c>
      <c r="AY16" s="11">
        <v>12.17</v>
      </c>
      <c r="AZ16" s="12">
        <f t="shared" ref="AZ16:AZ18" si="8">AY16-AX16</f>
        <v>-4.4200705558262499E-2</v>
      </c>
      <c r="BA16" s="12">
        <f t="shared" si="2"/>
        <v>6.2776421668019847E-2</v>
      </c>
      <c r="BB16" s="23">
        <f t="shared" si="1"/>
        <v>1.8575716109757348E-2</v>
      </c>
    </row>
    <row r="17" spans="1:54" x14ac:dyDescent="0.35">
      <c r="V17" t="s">
        <v>41</v>
      </c>
      <c r="W17">
        <f>W28+Z17*SIN((Y17-(200-Q57))*(PI()/200))</f>
        <v>50.094804114712545</v>
      </c>
      <c r="X17">
        <f>X28+Z17*COS((Y17-(200-Q57))*(PI()/200))</f>
        <v>156.53446390835549</v>
      </c>
      <c r="Y17">
        <f>C50</f>
        <v>380.26100000000002</v>
      </c>
      <c r="Z17">
        <f>K50</f>
        <v>93.656000000000006</v>
      </c>
      <c r="AA17" t="s">
        <v>63</v>
      </c>
      <c r="AJ17" t="s">
        <v>253</v>
      </c>
      <c r="AK17" s="35">
        <f>AS47</f>
        <v>-14.277123571524365</v>
      </c>
      <c r="AL17" s="35">
        <f>AT47</f>
        <v>114.57690915504494</v>
      </c>
      <c r="AW17" s="11" t="s">
        <v>172</v>
      </c>
      <c r="AX17" s="12">
        <f>((AK22-AK26)^2+(AL22-AL26)^2)^0.5</f>
        <v>73.431697718608334</v>
      </c>
      <c r="AY17" s="11">
        <v>14.35</v>
      </c>
      <c r="AZ17" s="12">
        <f>AY17-AX17</f>
        <v>-59.081697718608332</v>
      </c>
      <c r="BA17" s="12">
        <f t="shared" si="2"/>
        <v>6.6045115079801292E-2</v>
      </c>
      <c r="BB17" s="23">
        <f t="shared" si="1"/>
        <v>-59.01565260352853</v>
      </c>
    </row>
    <row r="18" spans="1:54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293.84124999999989</v>
      </c>
      <c r="R18">
        <f>AD76</f>
        <v>84.852000000000004</v>
      </c>
      <c r="S18" s="2">
        <f>SIN(Q18*PI()/200)*R18</f>
        <v>-84.455248793704811</v>
      </c>
      <c r="T18" s="2">
        <f>COS(Q18*PI()/200)*R18</f>
        <v>-8.1959047818665258</v>
      </c>
      <c r="V18" t="s">
        <v>42</v>
      </c>
      <c r="W18">
        <f>W28+Z18*SIN((Y18-(200-Q57))*(PI()/200))</f>
        <v>51.354988189077623</v>
      </c>
      <c r="X18">
        <f>X28+Z18*COS((Y18-(200-Q57))*(PI()/200))</f>
        <v>35.909510927344627</v>
      </c>
      <c r="Y18">
        <f>C49</f>
        <v>251.05699999999999</v>
      </c>
      <c r="Z18">
        <f>K49</f>
        <v>45.133000000000003</v>
      </c>
      <c r="AA18" t="s">
        <v>63</v>
      </c>
      <c r="AJ18" t="s">
        <v>262</v>
      </c>
      <c r="AK18" s="2">
        <f t="shared" ref="AK18:AL19" si="9">AY33</f>
        <v>21.253082809166997</v>
      </c>
      <c r="AL18" s="2">
        <f t="shared" si="9"/>
        <v>155.10855647594073</v>
      </c>
      <c r="AW18" s="11" t="s">
        <v>173</v>
      </c>
      <c r="AX18" s="12">
        <f>((AK26-AK12)^2+(AL26-AL12)^2)^0.5</f>
        <v>23.56</v>
      </c>
      <c r="AY18" s="11">
        <v>51.69</v>
      </c>
      <c r="AZ18" s="12">
        <f t="shared" ref="AZ18" si="10">AY18-AX18</f>
        <v>28.13</v>
      </c>
      <c r="BA18" s="2">
        <f t="shared" si="2"/>
        <v>0.10819260629765981</v>
      </c>
      <c r="BB18" s="23">
        <f t="shared" si="1"/>
        <v>-28.021807393702339</v>
      </c>
    </row>
    <row r="19" spans="1:54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37">
        <f>-R27*(ABS(S18)/(ABS(S18)+ABS(S14)+ABS(S10)))+S18</f>
        <v>-84.448672839820901</v>
      </c>
      <c r="T19" s="39">
        <f>T18</f>
        <v>-8.1959047818665258</v>
      </c>
      <c r="AJ19" t="s">
        <v>23</v>
      </c>
      <c r="AK19" s="2">
        <f t="shared" si="9"/>
        <v>24.802038557338079</v>
      </c>
      <c r="AL19" s="2">
        <f t="shared" si="9"/>
        <v>34.434163654868314</v>
      </c>
    </row>
    <row r="20" spans="1:54" x14ac:dyDescent="0.35">
      <c r="P20" t="s">
        <v>29</v>
      </c>
      <c r="Q20" s="2">
        <f>AC57</f>
        <v>306.15874999999994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  <c r="AJ20" t="str">
        <f t="shared" ref="AJ20:AL20" si="11">AS65</f>
        <v>K</v>
      </c>
      <c r="AK20" s="2">
        <f t="shared" si="11"/>
        <v>12.659744044170566</v>
      </c>
      <c r="AL20" s="2">
        <f t="shared" si="11"/>
        <v>33.85267534337622</v>
      </c>
    </row>
    <row r="21" spans="1:54" x14ac:dyDescent="0.35">
      <c r="A21" s="1" t="s">
        <v>15</v>
      </c>
      <c r="V21" t="s">
        <v>43</v>
      </c>
      <c r="W21" s="2">
        <f>Q68</f>
        <v>11.384981305743809</v>
      </c>
      <c r="X21" s="2">
        <f>Q69</f>
        <v>33.737630773642707</v>
      </c>
      <c r="AB21" t="s">
        <v>31</v>
      </c>
      <c r="AJ21" t="s">
        <v>63</v>
      </c>
      <c r="AK21" s="2">
        <f>AZ54</f>
        <v>82.412610400289438</v>
      </c>
      <c r="AL21" s="2">
        <f>BA54</f>
        <v>68.637620721623961</v>
      </c>
    </row>
    <row r="22" spans="1:54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399.99999999999983</v>
      </c>
      <c r="S22" s="2">
        <f>S18+S14+S10+S6</f>
        <v>-1.3150883798232371E-2</v>
      </c>
      <c r="T22" s="38">
        <f>T6+T10+T14+T18</f>
        <v>-1.3274548727029156E-3</v>
      </c>
      <c r="V22" t="s">
        <v>17</v>
      </c>
      <c r="W22" s="2">
        <f>W6+SIN(Y22*(PI()/200))*Z22</f>
        <v>60.517604047984676</v>
      </c>
      <c r="X22" s="2">
        <f>X6+COS(Y22*(PI()/200))*Z22</f>
        <v>156.41586794182325</v>
      </c>
      <c r="Y22">
        <f>C28+I32-200+200-I23</f>
        <v>232.17199999999997</v>
      </c>
      <c r="Z22">
        <f>K28</f>
        <v>30.558</v>
      </c>
      <c r="AA22" t="s">
        <v>14</v>
      </c>
      <c r="AJ22" t="s">
        <v>44</v>
      </c>
      <c r="AK22" s="2">
        <f>AY36</f>
        <v>64.188464356951314</v>
      </c>
      <c r="AL22" s="2">
        <f>AZ36</f>
        <v>35.665883885492875</v>
      </c>
    </row>
    <row r="23" spans="1:54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S23" s="37">
        <f>S11+S15+S19+S7</f>
        <v>1.4210854715202004E-14</v>
      </c>
      <c r="T23" s="37">
        <f>T6+T11+T15+T19</f>
        <v>0</v>
      </c>
      <c r="W23" s="2">
        <f>W28+Z23*SIN((Y23-(200-Q57))*(PI()/200))</f>
        <v>62.229899640331709</v>
      </c>
      <c r="X23" s="2">
        <f>X28+Z23*COS((Y23-(200-Q57))*(PI()/200))</f>
        <v>156.84128754044556</v>
      </c>
      <c r="Y23">
        <f>C51</f>
        <v>388.37</v>
      </c>
      <c r="Z23">
        <f>K51</f>
        <v>90.486999999999995</v>
      </c>
      <c r="AA23" t="s">
        <v>63</v>
      </c>
      <c r="AB23" t="s">
        <v>31</v>
      </c>
      <c r="AJ23" t="s">
        <v>42</v>
      </c>
      <c r="AK23" s="2">
        <f t="shared" ref="AK23:AL25" si="12">AY37</f>
        <v>51.97948547789175</v>
      </c>
      <c r="AL23" s="2">
        <f t="shared" si="12"/>
        <v>35.308765408881264</v>
      </c>
    </row>
    <row r="24" spans="1:54" x14ac:dyDescent="0.35">
      <c r="P24" t="s">
        <v>2</v>
      </c>
      <c r="V24" t="s">
        <v>44</v>
      </c>
      <c r="W24" s="2">
        <f>W28+Z24*SIN((Y24-(200-Q57))*(PI()/200))</f>
        <v>64.970445860639671</v>
      </c>
      <c r="X24" s="2">
        <f>X28+Z24*COS((Y24-(200-Q57))*(PI()/200))</f>
        <v>35.25674750597878</v>
      </c>
      <c r="Y24" s="2">
        <f>C48-(200-Q57)</f>
        <v>233.38671001543935</v>
      </c>
      <c r="Z24">
        <f>K48</f>
        <v>37.673000000000002</v>
      </c>
      <c r="AA24" t="s">
        <v>63</v>
      </c>
      <c r="AJ24" t="s">
        <v>41</v>
      </c>
      <c r="AK24" s="2">
        <f t="shared" si="12"/>
        <v>48.366546961604179</v>
      </c>
      <c r="AL24" s="2">
        <f t="shared" si="12"/>
        <v>155.88618460853857</v>
      </c>
    </row>
    <row r="25" spans="1:54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  <c r="AJ25" t="s">
        <v>17</v>
      </c>
      <c r="AK25" s="2">
        <f t="shared" si="12"/>
        <v>60.493348382721777</v>
      </c>
      <c r="AL25" s="2">
        <f t="shared" si="12"/>
        <v>156.42966547287244</v>
      </c>
    </row>
    <row r="26" spans="1:54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32</v>
      </c>
      <c r="R26" t="s">
        <v>36</v>
      </c>
      <c r="U26" s="2"/>
      <c r="W26" s="2"/>
      <c r="X26" s="2"/>
      <c r="AJ26" t="s">
        <v>40</v>
      </c>
    </row>
    <row r="27" spans="1:54" x14ac:dyDescent="0.35">
      <c r="B27" t="s">
        <v>16</v>
      </c>
      <c r="C27">
        <v>59.994</v>
      </c>
      <c r="K27">
        <v>19.510999999999999</v>
      </c>
      <c r="P27" s="2">
        <f>Q16+Q12+Q8+Q20</f>
        <v>1200</v>
      </c>
      <c r="R27" s="2">
        <f>S22</f>
        <v>-1.3150883798232371E-2</v>
      </c>
      <c r="V27" t="s">
        <v>52</v>
      </c>
      <c r="W27" s="2">
        <f>Q48</f>
        <v>-14.314016515102081</v>
      </c>
      <c r="X27" s="2">
        <f>Q49</f>
        <v>114.57230599148026</v>
      </c>
    </row>
    <row r="28" spans="1:54" x14ac:dyDescent="0.35">
      <c r="B28" t="s">
        <v>17</v>
      </c>
      <c r="C28">
        <v>35.500999999999998</v>
      </c>
      <c r="K28">
        <v>30.558</v>
      </c>
      <c r="P28" t="s">
        <v>33</v>
      </c>
      <c r="R28" t="s">
        <v>37</v>
      </c>
      <c r="V28" t="s">
        <v>53</v>
      </c>
      <c r="W28" s="12">
        <f>D75</f>
        <v>82.432458318997718</v>
      </c>
      <c r="X28" s="12">
        <f>D76</f>
        <v>68.638374936410457</v>
      </c>
    </row>
    <row r="29" spans="1:54" x14ac:dyDescent="0.35">
      <c r="P29">
        <f>1200-P27</f>
        <v>0</v>
      </c>
      <c r="R29" s="2">
        <f>T22</f>
        <v>-1.3274548727029156E-3</v>
      </c>
      <c r="AF29" s="1" t="s">
        <v>229</v>
      </c>
      <c r="AG29" s="1" t="s">
        <v>230</v>
      </c>
      <c r="AH29" s="1" t="s">
        <v>231</v>
      </c>
      <c r="AI29" s="1" t="s">
        <v>226</v>
      </c>
      <c r="AJ29" s="1" t="s">
        <v>30</v>
      </c>
      <c r="AK29" s="1" t="s">
        <v>31</v>
      </c>
      <c r="AL29" t="s">
        <v>232</v>
      </c>
      <c r="AN29" s="1" t="s">
        <v>233</v>
      </c>
      <c r="AU29" t="s">
        <v>261</v>
      </c>
    </row>
    <row r="30" spans="1:54" x14ac:dyDescent="0.35">
      <c r="A30" s="1" t="s">
        <v>18</v>
      </c>
      <c r="P30" t="s">
        <v>34</v>
      </c>
    </row>
    <row r="31" spans="1:54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0</v>
      </c>
      <c r="AF31" s="1" t="s">
        <v>29</v>
      </c>
      <c r="AG31" t="s">
        <v>4</v>
      </c>
      <c r="AH31">
        <f>C8-I6</f>
        <v>37.498000000000005</v>
      </c>
      <c r="AI31">
        <f>K8</f>
        <v>23.56</v>
      </c>
      <c r="AJ31" s="2">
        <f>W5+AI31*SIN(AH31*(PI()/200))</f>
        <v>13.088619263575319</v>
      </c>
      <c r="AK31" s="2">
        <f>X4+AI31*COS(AH31*(PI()/200))</f>
        <v>19.589835266616333</v>
      </c>
      <c r="AL31">
        <f>((AJ31-W4)^2+(AK31-X4)^2)^0.5</f>
        <v>23.56</v>
      </c>
      <c r="AN31" t="s">
        <v>217</v>
      </c>
      <c r="AO31" t="s">
        <v>235</v>
      </c>
      <c r="AP31" t="s">
        <v>236</v>
      </c>
      <c r="AR31" t="s">
        <v>239</v>
      </c>
      <c r="AU31" t="s">
        <v>47</v>
      </c>
      <c r="AV31" t="s">
        <v>226</v>
      </c>
      <c r="AW31" t="s">
        <v>35</v>
      </c>
      <c r="AX31" t="s">
        <v>231</v>
      </c>
      <c r="AY31" t="s">
        <v>30</v>
      </c>
      <c r="AZ31" t="s">
        <v>31</v>
      </c>
    </row>
    <row r="32" spans="1:54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AF32" s="1" t="s">
        <v>2</v>
      </c>
      <c r="AG32" t="s">
        <v>20</v>
      </c>
      <c r="AH32" s="35">
        <f>C37+200+Q4-400</f>
        <v>161.721</v>
      </c>
      <c r="AI32">
        <f>K37</f>
        <v>15.316000000000001</v>
      </c>
      <c r="AJ32" s="2">
        <f>W5+AI32*SIN(AH32*(PI()/200))</f>
        <v>8.664302048364835</v>
      </c>
      <c r="AK32" s="2">
        <f>X5+AI32*COS(AH32*(PI()/200))</f>
        <v>169.20628400894537</v>
      </c>
      <c r="AL32">
        <f>((AJ32-W5)^2+(AK32-X5)^2)^0.5</f>
        <v>15.31600000000001</v>
      </c>
    </row>
    <row r="33" spans="1:55" x14ac:dyDescent="0.35">
      <c r="AF33" s="1"/>
      <c r="AG33" t="s">
        <v>19</v>
      </c>
      <c r="AH33" s="35">
        <f>C36+200+Q4-400</f>
        <v>179.49900000000002</v>
      </c>
      <c r="AI33">
        <f>K36</f>
        <v>28.51</v>
      </c>
      <c r="AJ33" s="2">
        <f>W5+AI33*SIN(AH33*(PI()/200))</f>
        <v>9.0231831486844971</v>
      </c>
      <c r="AK33" s="2">
        <f>X5+AI33*COS(AH33*(PI()/200))</f>
        <v>154.79155018371983</v>
      </c>
      <c r="AL33" s="2">
        <f>((AJ33-W5)^2+(AK33-X5)^2)^0.5</f>
        <v>28.510000000000016</v>
      </c>
      <c r="AN33" s="26" t="s">
        <v>234</v>
      </c>
      <c r="AO33" s="26">
        <v>14.57</v>
      </c>
      <c r="AP33" s="25">
        <f>((AJ33-AJ32)^2+(AK33-AK32)^2)^0.5</f>
        <v>14.419200633054107</v>
      </c>
      <c r="AQ33" s="25">
        <f>AO33-AP33</f>
        <v>0.15079936694589335</v>
      </c>
      <c r="AR33" s="26">
        <f>0.008*(AO33)^0.5+0.0004*AO33+0.03</f>
        <v>6.63645354943877E-2</v>
      </c>
      <c r="AU33" t="s">
        <v>22</v>
      </c>
      <c r="AV33">
        <v>53.9</v>
      </c>
      <c r="AW33">
        <v>253.71199999999999</v>
      </c>
      <c r="AX33" s="35">
        <f>200+AG53+AW33-400-400</f>
        <v>45.8199294572388</v>
      </c>
      <c r="AY33">
        <f>AK17+AV33*SIN(AX33*(PI()/200))</f>
        <v>21.253082809166997</v>
      </c>
      <c r="AZ33">
        <f>AL17+AV33*COS(AX33*(PI()/200))</f>
        <v>155.10855647594073</v>
      </c>
    </row>
    <row r="34" spans="1:55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55</v>
      </c>
      <c r="AF34" s="1" t="s">
        <v>14</v>
      </c>
      <c r="AG34" t="s">
        <v>16</v>
      </c>
      <c r="AH34" s="35">
        <f>Q14+C27</f>
        <v>256.6724999999999</v>
      </c>
      <c r="AI34">
        <f>K27</f>
        <v>19.510999999999999</v>
      </c>
      <c r="AJ34" s="2">
        <f>W6+AI34*SIN(AH34*(PI()/200))</f>
        <v>60.147307594573</v>
      </c>
      <c r="AK34" s="2">
        <f>X6+AI34*COS(AH34*(PI()/200))</f>
        <v>170.87689514923619</v>
      </c>
      <c r="AL34">
        <f>((AJ34-W6)^2+(AK34-X6)^2)^0.5</f>
        <v>19.510999999999996</v>
      </c>
      <c r="AM34" t="s">
        <v>237</v>
      </c>
      <c r="AN34" t="s">
        <v>238</v>
      </c>
      <c r="AO34">
        <v>14.51</v>
      </c>
      <c r="AP34" s="2">
        <f>((AJ34-AJ35)^2+(AK34-AK35)^2)^0.5</f>
        <v>14.463944672597412</v>
      </c>
      <c r="AQ34" s="2">
        <f>AO34-AP34</f>
        <v>4.6055327402587665E-2</v>
      </c>
      <c r="AR34">
        <f>0.008*(AO34)^0.5+0.0004*AO34+0.03</f>
        <v>6.6277595127585451E-2</v>
      </c>
      <c r="AU34" t="s">
        <v>23</v>
      </c>
      <c r="AV34">
        <v>89.162999999999997</v>
      </c>
      <c r="AW34">
        <f>379.009</f>
        <v>379.00900000000001</v>
      </c>
      <c r="AX34" s="35">
        <f>200+AG53+AW34-400-400</f>
        <v>171.11692945723883</v>
      </c>
      <c r="AY34">
        <f>AK17+AV34*SIN(AX34*(PI()/200))</f>
        <v>24.802038557338079</v>
      </c>
      <c r="AZ34">
        <f>AL17+AV34*COS(AX34*(PI()/200))</f>
        <v>34.434163654868314</v>
      </c>
    </row>
    <row r="35" spans="1:55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56</v>
      </c>
      <c r="Q35">
        <v>0</v>
      </c>
      <c r="V35" s="14" t="s">
        <v>183</v>
      </c>
      <c r="AG35" t="s">
        <v>17</v>
      </c>
      <c r="AH35">
        <f>Q14+C28</f>
        <v>232.17949999999993</v>
      </c>
      <c r="AI35">
        <f>K28</f>
        <v>30.558</v>
      </c>
      <c r="AJ35" s="2">
        <f>W6+AI35*SIN(AH35*(PI()/200))</f>
        <v>60.514454117962565</v>
      </c>
      <c r="AK35" s="2">
        <f>X6+AI35*COS(AH35*(PI()/200))</f>
        <v>156.41761097185307</v>
      </c>
      <c r="AL35" s="2">
        <f>((AJ35-W6)^2+(AK35-X6)^2)^0.5</f>
        <v>30.558</v>
      </c>
      <c r="AN35" t="s">
        <v>240</v>
      </c>
      <c r="AO35">
        <v>51.52</v>
      </c>
      <c r="AP35" s="2">
        <f>((AJ32-AJ34)^2+(AK32-AK34)^2)^0.5</f>
        <v>51.510103879267845</v>
      </c>
      <c r="AQ35" s="2">
        <f>AO35-AP35</f>
        <v>9.8961207321579536E-3</v>
      </c>
      <c r="AR35">
        <f>0.008*(AO35)^0.5+0.0004*AO35+0.03</f>
        <v>0.10802994702376435</v>
      </c>
    </row>
    <row r="36" spans="1:55" x14ac:dyDescent="0.35">
      <c r="B36" t="s">
        <v>19</v>
      </c>
      <c r="C36">
        <v>379.49900000000002</v>
      </c>
      <c r="K36">
        <v>28.51</v>
      </c>
      <c r="P36" t="s">
        <v>57</v>
      </c>
      <c r="Q36">
        <f>Q35+200+I32-400</f>
        <v>98.882000000000005</v>
      </c>
      <c r="AF36" s="1"/>
      <c r="AU36" t="s">
        <v>44</v>
      </c>
      <c r="AV36">
        <f>K48</f>
        <v>37.673000000000002</v>
      </c>
      <c r="AW36">
        <f>C48</f>
        <v>236.09100000000001</v>
      </c>
      <c r="AX36" s="2">
        <f>AW36+200+BA47-400</f>
        <v>232.144796444745</v>
      </c>
      <c r="AY36">
        <f>$AK$21+AV36*SIN(AX36*(PI()/200))</f>
        <v>64.188464356951314</v>
      </c>
      <c r="AZ36">
        <f>$AL$21+AV36*COS(AX36*(PI()/200))</f>
        <v>35.665883885492875</v>
      </c>
    </row>
    <row r="37" spans="1:55" x14ac:dyDescent="0.35">
      <c r="B37" t="s">
        <v>20</v>
      </c>
      <c r="C37">
        <v>361.721</v>
      </c>
      <c r="K37">
        <v>15.316000000000001</v>
      </c>
      <c r="P37" t="s">
        <v>58</v>
      </c>
      <c r="Q37">
        <f>Q36+200+(400-I23)-400</f>
        <v>196.67100000000005</v>
      </c>
      <c r="V37" s="28" t="s">
        <v>184</v>
      </c>
      <c r="W37" t="s">
        <v>171</v>
      </c>
      <c r="Y37" s="1" t="s">
        <v>203</v>
      </c>
      <c r="Z37" s="1" t="s">
        <v>204</v>
      </c>
      <c r="AA37" s="1" t="s">
        <v>187</v>
      </c>
      <c r="AB37" s="1" t="s">
        <v>188</v>
      </c>
      <c r="AU37" t="s">
        <v>42</v>
      </c>
      <c r="AV37">
        <f t="shared" ref="AV37:AV39" si="13">K49</f>
        <v>45.133000000000003</v>
      </c>
      <c r="AW37">
        <f t="shared" ref="AW37:AW39" si="14">C49</f>
        <v>251.05699999999999</v>
      </c>
      <c r="AX37" s="2">
        <f>AW37+200+BA47-400</f>
        <v>247.11079644474489</v>
      </c>
      <c r="AY37">
        <f t="shared" ref="AY37:AY39" si="15">$AK$21+AV37*SIN(AX37*(PI()/200))</f>
        <v>51.97948547789175</v>
      </c>
      <c r="AZ37">
        <f t="shared" ref="AZ37:AZ39" si="16">$AL$21+AV37*COS(AX37*(PI()/200))</f>
        <v>35.308765408881264</v>
      </c>
    </row>
    <row r="38" spans="1:55" x14ac:dyDescent="0.35">
      <c r="P38" t="s">
        <v>59</v>
      </c>
      <c r="Q38">
        <f>Q37+200+(400-I16)-400</f>
        <v>293.83000000000004</v>
      </c>
      <c r="V38" s="29" t="s">
        <v>190</v>
      </c>
      <c r="W38" s="11">
        <v>50</v>
      </c>
      <c r="Y38">
        <v>1</v>
      </c>
      <c r="Z38" t="s">
        <v>205</v>
      </c>
      <c r="AA38" s="2">
        <f>W43</f>
        <v>355.98726155955796</v>
      </c>
      <c r="AB38" s="2">
        <f>W44</f>
        <v>78.421758619658604</v>
      </c>
      <c r="AU38" t="s">
        <v>41</v>
      </c>
      <c r="AV38">
        <f t="shared" si="13"/>
        <v>93.656000000000006</v>
      </c>
      <c r="AW38">
        <f t="shared" si="14"/>
        <v>380.26100000000002</v>
      </c>
      <c r="AX38" s="2">
        <f>AW38+200+BA47-400</f>
        <v>376.31479644474484</v>
      </c>
      <c r="AY38">
        <f t="shared" si="15"/>
        <v>48.366546961604179</v>
      </c>
      <c r="AZ38">
        <f t="shared" si="16"/>
        <v>155.88618460853857</v>
      </c>
    </row>
    <row r="39" spans="1:55" x14ac:dyDescent="0.35">
      <c r="A39" s="1" t="s">
        <v>21</v>
      </c>
      <c r="V39" t="s">
        <v>185</v>
      </c>
      <c r="Y39">
        <v>2</v>
      </c>
      <c r="Z39" t="s">
        <v>206</v>
      </c>
      <c r="AA39" s="2">
        <f>W53</f>
        <v>350.95310259624915</v>
      </c>
      <c r="AB39" s="2">
        <f>W54</f>
        <v>35.89676308526996</v>
      </c>
      <c r="AU39" t="s">
        <v>17</v>
      </c>
      <c r="AV39">
        <f t="shared" si="13"/>
        <v>90.486999999999995</v>
      </c>
      <c r="AW39">
        <f t="shared" si="14"/>
        <v>388.37</v>
      </c>
      <c r="AX39" s="2">
        <f>AW39+200+BA47-400</f>
        <v>384.42379644474499</v>
      </c>
      <c r="AY39">
        <f t="shared" si="15"/>
        <v>60.493348382721777</v>
      </c>
      <c r="AZ39">
        <f t="shared" si="16"/>
        <v>156.42966547287244</v>
      </c>
    </row>
    <row r="40" spans="1:55" x14ac:dyDescent="0.35">
      <c r="B40" t="s">
        <v>13</v>
      </c>
      <c r="C40">
        <v>0</v>
      </c>
      <c r="K40">
        <v>115.46299999999999</v>
      </c>
      <c r="V40" t="s">
        <v>186</v>
      </c>
      <c r="Y40">
        <v>3</v>
      </c>
      <c r="Z40" t="s">
        <v>207</v>
      </c>
      <c r="AA40" s="2">
        <f>W63</f>
        <v>355.979496724591</v>
      </c>
      <c r="AB40" s="2">
        <f>W64</f>
        <v>78.410203417667518</v>
      </c>
    </row>
    <row r="41" spans="1:55" x14ac:dyDescent="0.35">
      <c r="B41" t="s">
        <v>2</v>
      </c>
      <c r="C41">
        <v>221.26</v>
      </c>
      <c r="K41">
        <v>68.772999999999996</v>
      </c>
      <c r="V41" t="s">
        <v>189</v>
      </c>
      <c r="W41">
        <v>120.83</v>
      </c>
      <c r="Y41">
        <v>4</v>
      </c>
      <c r="Z41" t="s">
        <v>208</v>
      </c>
      <c r="AA41" s="2">
        <f>W73</f>
        <v>48.942090294142709</v>
      </c>
      <c r="AB41" s="2">
        <f>W74</f>
        <v>35.957808957165341</v>
      </c>
      <c r="AF41" s="1" t="s">
        <v>48</v>
      </c>
    </row>
    <row r="42" spans="1:55" x14ac:dyDescent="0.35">
      <c r="B42" t="s">
        <v>22</v>
      </c>
      <c r="C42">
        <v>253.71199999999999</v>
      </c>
      <c r="K42">
        <v>53.9</v>
      </c>
      <c r="V42" t="s">
        <v>51</v>
      </c>
      <c r="W42" s="20">
        <f>ATAN(W38/(W41/2))*(200/PI())</f>
        <v>44.012738440442035</v>
      </c>
      <c r="AQ42" t="s">
        <v>251</v>
      </c>
      <c r="AX42" s="41" t="s">
        <v>48</v>
      </c>
      <c r="AY42" s="41"/>
    </row>
    <row r="43" spans="1:55" x14ac:dyDescent="0.35">
      <c r="B43" t="s">
        <v>23</v>
      </c>
      <c r="C43">
        <v>379.00900000000001</v>
      </c>
      <c r="K43">
        <v>89.162999999999997</v>
      </c>
      <c r="V43" s="30" t="s">
        <v>187</v>
      </c>
      <c r="W43" s="31">
        <f>400-W42</f>
        <v>355.98726155955796</v>
      </c>
      <c r="AF43" t="s">
        <v>49</v>
      </c>
      <c r="AN43" t="str">
        <f t="shared" ref="AM43:AO47" si="17">AK7</f>
        <v>y</v>
      </c>
      <c r="AO43" t="str">
        <f t="shared" si="17"/>
        <v>x</v>
      </c>
      <c r="AR43" t="s">
        <v>252</v>
      </c>
      <c r="AS43" t="s">
        <v>51</v>
      </c>
      <c r="AT43" t="s">
        <v>246</v>
      </c>
      <c r="AY43" s="1" t="s">
        <v>270</v>
      </c>
      <c r="AZ43" s="1" t="s">
        <v>271</v>
      </c>
      <c r="BA43" s="1" t="s">
        <v>117</v>
      </c>
      <c r="BB43" s="1" t="s">
        <v>30</v>
      </c>
      <c r="BC43" s="1" t="s">
        <v>31</v>
      </c>
    </row>
    <row r="44" spans="1:55" x14ac:dyDescent="0.35">
      <c r="P44" s="1" t="s">
        <v>48</v>
      </c>
      <c r="V44" s="30" t="s">
        <v>188</v>
      </c>
      <c r="W44" s="31">
        <f>(W38^2+(W41/2)^2)^0.5</f>
        <v>78.421758619658604</v>
      </c>
      <c r="AF44" t="s">
        <v>212</v>
      </c>
      <c r="AG44">
        <f>C41</f>
        <v>221.26</v>
      </c>
      <c r="AJ44" t="s">
        <v>245</v>
      </c>
      <c r="AK44">
        <f>AG46/(AG47^2+AG49^2-2*AG47*AG49*COS(AG45*(PI()/200)))^0.5</f>
        <v>0.99998194533111928</v>
      </c>
      <c r="AM44" t="str">
        <f t="shared" si="17"/>
        <v>P3021A</v>
      </c>
      <c r="AN44">
        <f t="shared" si="17"/>
        <v>0</v>
      </c>
      <c r="AO44">
        <f t="shared" si="17"/>
        <v>0</v>
      </c>
      <c r="AQ44" t="s">
        <v>253</v>
      </c>
      <c r="AR44" s="35">
        <f>AG45</f>
        <v>178.74</v>
      </c>
      <c r="AS44" s="35">
        <f>AG48</f>
        <v>7.8920705427612061</v>
      </c>
      <c r="AT44" s="35">
        <f>AG50</f>
        <v>13.249998416222024</v>
      </c>
      <c r="AU44" s="35">
        <f>AR44+AS44+AT44</f>
        <v>199.88206895898324</v>
      </c>
      <c r="AX44" t="s">
        <v>54</v>
      </c>
      <c r="AY44" s="2">
        <f>AS45</f>
        <v>7.9510360632695862</v>
      </c>
      <c r="AZ44" s="2">
        <f>AT45</f>
        <v>13.308963936730404</v>
      </c>
      <c r="BA44" s="2">
        <f>AG53</f>
        <v>392.10792945723881</v>
      </c>
      <c r="BB44" s="2">
        <f>AG54</f>
        <v>-14.277123571524365</v>
      </c>
      <c r="BC44" s="2">
        <f>AG55</f>
        <v>114.57690915504494</v>
      </c>
    </row>
    <row r="45" spans="1:55" x14ac:dyDescent="0.35">
      <c r="A45" s="1" t="s">
        <v>24</v>
      </c>
      <c r="P45" t="s">
        <v>49</v>
      </c>
      <c r="AF45" t="s">
        <v>241</v>
      </c>
      <c r="AG45">
        <f>400-AG44</f>
        <v>178.74</v>
      </c>
      <c r="AK45" s="40">
        <f>AG46/(AH47^2+AG49^2-2*AH47*AG49*COS(AG45*(PI()/200)))^0.5</f>
        <v>0.97861735706908226</v>
      </c>
      <c r="AM45" t="str">
        <f t="shared" si="17"/>
        <v>P1</v>
      </c>
      <c r="AN45">
        <f t="shared" si="17"/>
        <v>0</v>
      </c>
      <c r="AO45">
        <f t="shared" si="17"/>
        <v>181.83600000000001</v>
      </c>
      <c r="AR45" s="35"/>
      <c r="AS45" s="35">
        <f>AS44+(200-AU44)/2</f>
        <v>7.9510360632695862</v>
      </c>
      <c r="AT45" s="35">
        <f>AT44+(200-AU44)/2</f>
        <v>13.308963936730404</v>
      </c>
      <c r="AU45" s="35">
        <f>AR45+AS45+AT45+AR44</f>
        <v>200</v>
      </c>
    </row>
    <row r="46" spans="1:55" x14ac:dyDescent="0.35">
      <c r="B46" t="s">
        <v>14</v>
      </c>
      <c r="C46">
        <v>0</v>
      </c>
      <c r="K46">
        <v>114.73699999999999</v>
      </c>
      <c r="P46" t="s">
        <v>50</v>
      </c>
      <c r="Q46" s="2">
        <f>T6</f>
        <v>181.83600000000001</v>
      </c>
      <c r="R46" s="2"/>
      <c r="AF46" t="s">
        <v>244</v>
      </c>
      <c r="AG46">
        <f>AD70</f>
        <v>181.83600000000001</v>
      </c>
      <c r="AH46" s="40"/>
      <c r="AM46" t="str">
        <f t="shared" si="17"/>
        <v>P2</v>
      </c>
      <c r="AN46" s="2">
        <f t="shared" si="17"/>
        <v>75.311327476819272</v>
      </c>
      <c r="AO46" s="2">
        <f t="shared" si="17"/>
        <v>183.15417587465905</v>
      </c>
      <c r="AR46" s="35" t="s">
        <v>254</v>
      </c>
      <c r="AS46" s="35" t="s">
        <v>30</v>
      </c>
      <c r="AT46" s="35" t="s">
        <v>31</v>
      </c>
      <c r="AU46" s="35"/>
      <c r="AY46" s="1" t="s">
        <v>272</v>
      </c>
      <c r="AZ46" s="1" t="s">
        <v>273</v>
      </c>
      <c r="BA46" s="1" t="s">
        <v>121</v>
      </c>
      <c r="BB46" s="1" t="s">
        <v>30</v>
      </c>
      <c r="BC46" s="1" t="s">
        <v>31</v>
      </c>
    </row>
    <row r="47" spans="1:55" x14ac:dyDescent="0.35">
      <c r="B47" t="s">
        <v>3</v>
      </c>
      <c r="C47">
        <v>201.81</v>
      </c>
      <c r="K47">
        <v>60.475999999999999</v>
      </c>
      <c r="P47" t="s">
        <v>51</v>
      </c>
      <c r="Q47" s="2">
        <f>(SIN((400-C41)*(PI()/200))*K41)/Q46</f>
        <v>0.12397059244175258</v>
      </c>
      <c r="R47" s="2">
        <f>ASIN(Q47)*(200/PI())</f>
        <v>7.9125696547694231</v>
      </c>
      <c r="V47" s="28" t="s">
        <v>191</v>
      </c>
      <c r="W47" t="s">
        <v>164</v>
      </c>
      <c r="AF47" t="s">
        <v>242</v>
      </c>
      <c r="AG47">
        <f>K40</f>
        <v>115.46299999999999</v>
      </c>
      <c r="AH47" s="40">
        <v>119.46299999999999</v>
      </c>
      <c r="AI47">
        <v>119.46299999999999</v>
      </c>
      <c r="AM47" t="str">
        <f t="shared" si="17"/>
        <v>P3</v>
      </c>
      <c r="AN47" s="2">
        <f t="shared" si="17"/>
        <v>84.448672839820915</v>
      </c>
      <c r="AO47" s="2">
        <f t="shared" si="17"/>
        <v>8.1959047818665169</v>
      </c>
      <c r="AQ47" t="s">
        <v>108</v>
      </c>
      <c r="AR47" s="35">
        <f>AG53</f>
        <v>392.10792945723881</v>
      </c>
      <c r="AS47" s="35">
        <f>AG54</f>
        <v>-14.277123571524365</v>
      </c>
      <c r="AT47" s="35">
        <f>AG55</f>
        <v>114.57690915504494</v>
      </c>
      <c r="AU47" s="35"/>
      <c r="AX47" t="s">
        <v>63</v>
      </c>
      <c r="AY47" s="2">
        <f>AG66</f>
        <v>0.62470355525500565</v>
      </c>
      <c r="AZ47" s="2">
        <f>AG68</f>
        <v>1.1852075504215489</v>
      </c>
      <c r="BA47" s="2">
        <f>AG71</f>
        <v>196.05379644474493</v>
      </c>
      <c r="BB47" s="2">
        <f>AG72</f>
        <v>82.418955573921835</v>
      </c>
      <c r="BC47" s="2">
        <f>AG73</f>
        <v>68.637536071382954</v>
      </c>
    </row>
    <row r="48" spans="1:55" x14ac:dyDescent="0.35">
      <c r="B48" t="s">
        <v>25</v>
      </c>
      <c r="C48">
        <v>236.09100000000001</v>
      </c>
      <c r="K48">
        <v>37.673000000000002</v>
      </c>
      <c r="P48" t="s">
        <v>30</v>
      </c>
      <c r="Q48" s="2">
        <f>S4+K40*SIN(-R47*(PI()/200))</f>
        <v>-14.314016515102081</v>
      </c>
      <c r="R48" s="2"/>
      <c r="V48" s="29" t="s">
        <v>190</v>
      </c>
      <c r="W48" s="11">
        <v>25</v>
      </c>
      <c r="AF48" t="s">
        <v>51</v>
      </c>
      <c r="AG48">
        <f>((AG49*AK44*SIN(AG45*(PI()/200)))/AG46)*(200/PI())</f>
        <v>7.8920705427612061</v>
      </c>
      <c r="AH48" s="40">
        <f>((AG49*AK45*SIN(AG45*(PI()/200)))/AG46)*(200/PI())</f>
        <v>7.7234566608123556</v>
      </c>
      <c r="AI48">
        <f>((AG49*SIN(AG45*(PI()/200)))/AG46)*(200/PI())</f>
        <v>7.8922130340542731</v>
      </c>
      <c r="AQ48" t="s">
        <v>110</v>
      </c>
      <c r="AR48" s="35">
        <f>AG56</f>
        <v>213.30896393673041</v>
      </c>
      <c r="AS48" s="35">
        <f>AG57</f>
        <v>-14.272959085575485</v>
      </c>
      <c r="AT48" s="35">
        <f>AG58</f>
        <v>114.56038652868719</v>
      </c>
      <c r="AU48" s="35"/>
    </row>
    <row r="49" spans="2:53" x14ac:dyDescent="0.35">
      <c r="B49" t="s">
        <v>26</v>
      </c>
      <c r="C49">
        <v>251.05699999999999</v>
      </c>
      <c r="K49">
        <v>45.133000000000003</v>
      </c>
      <c r="P49" t="s">
        <v>31</v>
      </c>
      <c r="Q49" s="2">
        <f>S4+K40*COS(-R47*(PI()/200))</f>
        <v>114.57230599148026</v>
      </c>
      <c r="R49" s="2"/>
      <c r="V49" t="s">
        <v>192</v>
      </c>
      <c r="AF49" t="s">
        <v>243</v>
      </c>
      <c r="AG49">
        <f>K41</f>
        <v>68.772999999999996</v>
      </c>
      <c r="AH49" s="40"/>
      <c r="AX49" s="4" t="s">
        <v>274</v>
      </c>
    </row>
    <row r="50" spans="2:53" x14ac:dyDescent="0.35">
      <c r="B50" t="s">
        <v>27</v>
      </c>
      <c r="C50">
        <v>380.26100000000002</v>
      </c>
      <c r="K50">
        <v>93.656000000000006</v>
      </c>
      <c r="Q50" s="2"/>
      <c r="R50" s="2"/>
      <c r="V50" t="s">
        <v>193</v>
      </c>
      <c r="AF50" t="s">
        <v>246</v>
      </c>
      <c r="AG50">
        <f>((AG47*AK44*SIN(AG45*(PI()/200)))/AG46)*(200/PI())</f>
        <v>13.249998416222024</v>
      </c>
      <c r="AH50" s="40">
        <f>((AH47*AK45*SIN(AG45*(PI()/200)))/AG46)*(200/PI())</f>
        <v>13.4161270130811</v>
      </c>
      <c r="AI50">
        <f>((AI47*AK45*SIN(AG45*(PI()/200)))/AG46)*(200/PI())</f>
        <v>13.4161270130811</v>
      </c>
      <c r="AY50" s="1" t="s">
        <v>121</v>
      </c>
      <c r="AZ50" s="1" t="s">
        <v>30</v>
      </c>
      <c r="BA50" s="1" t="s">
        <v>31</v>
      </c>
    </row>
    <row r="51" spans="2:53" x14ac:dyDescent="0.35">
      <c r="B51" t="s">
        <v>28</v>
      </c>
      <c r="C51">
        <v>388.37</v>
      </c>
      <c r="D51" t="s">
        <v>67</v>
      </c>
      <c r="K51">
        <v>90.486999999999995</v>
      </c>
      <c r="P51" t="s">
        <v>60</v>
      </c>
      <c r="Q51" s="2"/>
      <c r="R51" s="2"/>
      <c r="V51" t="s">
        <v>194</v>
      </c>
      <c r="W51" s="2">
        <v>51.52</v>
      </c>
      <c r="AH51" s="40"/>
      <c r="AL51" t="s">
        <v>30</v>
      </c>
      <c r="AM51" t="s">
        <v>31</v>
      </c>
      <c r="AN51" t="s">
        <v>249</v>
      </c>
      <c r="AO51" t="s">
        <v>250</v>
      </c>
      <c r="AV51" t="s">
        <v>249</v>
      </c>
      <c r="AW51" t="s">
        <v>250</v>
      </c>
      <c r="AX51" t="s">
        <v>54</v>
      </c>
      <c r="AY51" s="2">
        <f>AG56</f>
        <v>213.30896393673041</v>
      </c>
      <c r="AZ51" s="2">
        <f>AG57</f>
        <v>-14.272959085575485</v>
      </c>
      <c r="BA51" s="2">
        <f>AG58</f>
        <v>114.56038652868719</v>
      </c>
    </row>
    <row r="52" spans="2:53" x14ac:dyDescent="0.35">
      <c r="P52" s="11" t="s">
        <v>61</v>
      </c>
      <c r="Q52" s="12">
        <f>K22</f>
        <v>175.19900000000001</v>
      </c>
      <c r="R52" s="12"/>
      <c r="V52" t="s">
        <v>51</v>
      </c>
      <c r="W52" s="2">
        <f>ATAN(W48/(W51/2))*(200/PI())</f>
        <v>49.046897403750847</v>
      </c>
      <c r="AG52">
        <f>AG45+AG48+AG50</f>
        <v>199.88206895898324</v>
      </c>
      <c r="AH52" s="40">
        <f>AH50+AG45+AH48</f>
        <v>199.87958367389348</v>
      </c>
      <c r="AI52">
        <f>AI50+AG45+AI48</f>
        <v>200.04834004713538</v>
      </c>
      <c r="AL52">
        <f>AG54</f>
        <v>-14.277123571524365</v>
      </c>
      <c r="AM52">
        <f>AG55</f>
        <v>114.57690915504494</v>
      </c>
      <c r="AN52">
        <f>((AL52-AN44)^2+(AM52-AO44)^2)^0.5</f>
        <v>115.46299999999999</v>
      </c>
      <c r="AO52">
        <f>((AL52-AN45)^2+(AM52-AO45)^2)^0.5</f>
        <v>68.757701814171298</v>
      </c>
      <c r="AQ52" t="s">
        <v>255</v>
      </c>
      <c r="AR52">
        <f>400-C47</f>
        <v>198.19</v>
      </c>
      <c r="AY52" s="2"/>
      <c r="AZ52" s="2"/>
      <c r="BA52" s="2"/>
    </row>
    <row r="53" spans="2:53" x14ac:dyDescent="0.35">
      <c r="P53" s="11" t="s">
        <v>64</v>
      </c>
      <c r="Q53" s="12">
        <f>(SIN((400-C47)*(PI()/200))*K46)/Q52</f>
        <v>1.8617090403772883E-2</v>
      </c>
      <c r="R53" s="12">
        <f>ASIN(Q53)*(200/PI())</f>
        <v>1.1852692604995791</v>
      </c>
      <c r="V53" s="30" t="s">
        <v>187</v>
      </c>
      <c r="W53" s="32">
        <f>400-W52</f>
        <v>350.95310259624915</v>
      </c>
      <c r="AA53" s="1" t="s">
        <v>211</v>
      </c>
      <c r="AF53" t="s">
        <v>247</v>
      </c>
      <c r="AG53" s="35">
        <f>400-AS44</f>
        <v>392.10792945723881</v>
      </c>
      <c r="AH53" s="40">
        <f>400-AH48</f>
        <v>392.27654333918764</v>
      </c>
      <c r="AL53">
        <f>AH54</f>
        <v>-14.457697204182349</v>
      </c>
      <c r="AM53">
        <f>AH55</f>
        <v>118.58492046020091</v>
      </c>
      <c r="AN53">
        <f>((AL53-AN45)^2+(AM53-AO44)^2)^0.5</f>
        <v>119.46299999999999</v>
      </c>
      <c r="AO53">
        <f>((AL53-AN45)^2+(AM53-AO45)^2)^0.5</f>
        <v>64.882386449619858</v>
      </c>
      <c r="AY53" s="42" t="s">
        <v>260</v>
      </c>
      <c r="AZ53" s="42" t="s">
        <v>30</v>
      </c>
      <c r="BA53" s="42" t="s">
        <v>31</v>
      </c>
    </row>
    <row r="54" spans="2:53" x14ac:dyDescent="0.35">
      <c r="P54" s="11" t="s">
        <v>30</v>
      </c>
      <c r="Q54" s="12">
        <f>W7+K47*SIN(((Q37-200)+R53)*(PI()/200))</f>
        <v>82.412610400289438</v>
      </c>
      <c r="R54" s="12">
        <f>W7+K47*SIN(Q58*(PI()/200))</f>
        <v>82.412610400289452</v>
      </c>
      <c r="S54" t="s">
        <v>62</v>
      </c>
      <c r="V54" s="30" t="s">
        <v>188</v>
      </c>
      <c r="W54" s="32">
        <f>(W48^2+(W51/2)^2)^0.5</f>
        <v>35.89676308526996</v>
      </c>
      <c r="AG54">
        <f>AG47*SIN(AG53*(PI()/200))</f>
        <v>-14.277123571524365</v>
      </c>
      <c r="AH54" s="40">
        <f>AH47*SIN(AH53*(PI()/200))</f>
        <v>-14.457697204182349</v>
      </c>
      <c r="AJ54" s="11"/>
      <c r="AL54">
        <f>AG57</f>
        <v>-14.272959085575485</v>
      </c>
      <c r="AM54">
        <f>AG58</f>
        <v>114.56038652868719</v>
      </c>
      <c r="AN54">
        <f>((AL54-AN44)^2+(AM54-AO44)^2)^0.5</f>
        <v>115.44608924801535</v>
      </c>
      <c r="AO54">
        <f>((AL54-AN45)^2+(AM54-AO45)^2)^0.5</f>
        <v>68.772999999999982</v>
      </c>
      <c r="AX54" t="s">
        <v>63</v>
      </c>
      <c r="AY54" s="2">
        <f>AG74</f>
        <v>397.85620755042157</v>
      </c>
      <c r="AZ54" s="2">
        <f>AH75</f>
        <v>82.412610400289438</v>
      </c>
      <c r="BA54" s="2">
        <f>AH76</f>
        <v>68.637620721623961</v>
      </c>
    </row>
    <row r="55" spans="2:53" x14ac:dyDescent="0.35">
      <c r="C55" s="14" t="s">
        <v>148</v>
      </c>
      <c r="D55" s="4"/>
      <c r="P55" s="11" t="s">
        <v>31</v>
      </c>
      <c r="Q55" s="12">
        <f>X7+K47*COS(((Q37-200)+R53)*(PI()/200))</f>
        <v>68.637620721623961</v>
      </c>
      <c r="R55" s="12">
        <f>X7+K47*COS(Q58*(PI()/200))</f>
        <v>68.637620721623961</v>
      </c>
      <c r="S55">
        <f>X7+K47*COS(((Q37-200)-R53)*(PI()/200))</f>
        <v>68.519925023053958</v>
      </c>
      <c r="AA55" s="1" t="s">
        <v>47</v>
      </c>
      <c r="AB55" s="1" t="s">
        <v>212</v>
      </c>
      <c r="AC55" s="1" t="s">
        <v>215</v>
      </c>
      <c r="AG55">
        <f>AG47*COS(AG53*(PI()/200))</f>
        <v>114.57690915504494</v>
      </c>
      <c r="AH55" s="40">
        <f>AH47*COS(AH53*(PI()/200))</f>
        <v>118.58492046020091</v>
      </c>
      <c r="AJ55" s="11"/>
      <c r="AL55">
        <f>AH57</f>
        <v>-14.386184770175671</v>
      </c>
      <c r="AM55">
        <f>AH58</f>
        <v>114.58450769865131</v>
      </c>
      <c r="AN55">
        <f>((AL55-AN45)^2+(AM55-AO44)^2)^0.5</f>
        <v>115.48407559825691</v>
      </c>
      <c r="AO55">
        <f>((AL55-AN45)^2+(AM55-AO45)^2)^0.5</f>
        <v>68.772999999999982</v>
      </c>
    </row>
    <row r="56" spans="2:53" x14ac:dyDescent="0.35">
      <c r="C56" s="13" t="s">
        <v>149</v>
      </c>
      <c r="P56" s="11" t="s">
        <v>65</v>
      </c>
      <c r="Q56" s="12">
        <f>(SIN((400-C47)*(PI()/200))*K47)/Q52</f>
        <v>9.8127644897336424E-3</v>
      </c>
      <c r="R56" s="12">
        <f>ASIN(Q56)*(200/PI())</f>
        <v>0.62471001543931237</v>
      </c>
      <c r="AF56" t="s">
        <v>248</v>
      </c>
      <c r="AG56" s="35">
        <f>200+AT45</f>
        <v>213.30896393673041</v>
      </c>
      <c r="AH56" s="40">
        <f>200+AH50</f>
        <v>213.41612701308111</v>
      </c>
      <c r="AJ56" s="11"/>
    </row>
    <row r="57" spans="2:53" x14ac:dyDescent="0.35">
      <c r="P57" s="11" t="s">
        <v>66</v>
      </c>
      <c r="Q57" s="12">
        <f>Q36+200+(400-I23)+R56-400</f>
        <v>197.29571001543934</v>
      </c>
      <c r="R57" s="12"/>
      <c r="V57" s="28" t="s">
        <v>195</v>
      </c>
      <c r="W57" t="s">
        <v>167</v>
      </c>
      <c r="AA57" t="s">
        <v>29</v>
      </c>
      <c r="AB57">
        <f>400-(I7-I6)</f>
        <v>306.15499999999997</v>
      </c>
      <c r="AC57" s="2">
        <f>AB57+(AB63/4)</f>
        <v>306.15874999999994</v>
      </c>
      <c r="AG57">
        <f>AK9+AG49*SIN(AG56*(PI()/200))</f>
        <v>-14.272959085575485</v>
      </c>
      <c r="AH57" s="40">
        <f>AK9+AG49*SIN(AH56*(PI()/200))</f>
        <v>-14.386184770175671</v>
      </c>
      <c r="AJ57" s="11"/>
    </row>
    <row r="58" spans="2:53" x14ac:dyDescent="0.35">
      <c r="C58" t="s">
        <v>147</v>
      </c>
      <c r="P58" s="11" t="s">
        <v>260</v>
      </c>
      <c r="Q58" s="2">
        <f>(Q37-200)+R53+400</f>
        <v>397.85626926049963</v>
      </c>
      <c r="V58" s="29" t="s">
        <v>190</v>
      </c>
      <c r="W58" s="11">
        <v>50</v>
      </c>
      <c r="AA58" t="s">
        <v>2</v>
      </c>
      <c r="AB58">
        <f>I32</f>
        <v>298.88200000000001</v>
      </c>
      <c r="AC58" s="2">
        <f>AB58+(AB63/4)</f>
        <v>298.88574999999997</v>
      </c>
      <c r="AG58">
        <f>AL9+AG49*COS(AG56*(PI()/200))</f>
        <v>114.56038652868719</v>
      </c>
      <c r="AH58" s="40">
        <f>AL9+AG49*COS(AH56*(PI()/200))</f>
        <v>114.58450769865131</v>
      </c>
      <c r="AJ58" s="11"/>
      <c r="AS58" t="s">
        <v>263</v>
      </c>
    </row>
    <row r="59" spans="2:53" x14ac:dyDescent="0.35">
      <c r="C59" t="s">
        <v>143</v>
      </c>
      <c r="D59">
        <f>K6-K31</f>
        <v>-4.9999999999954525E-3</v>
      </c>
      <c r="V59" t="s">
        <v>196</v>
      </c>
      <c r="AA59" t="s">
        <v>14</v>
      </c>
      <c r="AB59">
        <f>400-I23</f>
        <v>297.78899999999999</v>
      </c>
      <c r="AC59" s="2">
        <f>AB59+(AB63/4)</f>
        <v>297.79274999999996</v>
      </c>
      <c r="AJ59" s="11"/>
    </row>
    <row r="60" spans="2:53" x14ac:dyDescent="0.35">
      <c r="C60" t="s">
        <v>144</v>
      </c>
      <c r="D60">
        <f>K32-K23</f>
        <v>0</v>
      </c>
      <c r="P60" s="1" t="s">
        <v>68</v>
      </c>
      <c r="V60" t="s">
        <v>197</v>
      </c>
      <c r="AA60" t="s">
        <v>3</v>
      </c>
      <c r="AB60">
        <f>400-I16</f>
        <v>297.15899999999999</v>
      </c>
      <c r="AC60" s="2">
        <f>AB60+(AB63/4)</f>
        <v>297.16274999999996</v>
      </c>
      <c r="AS60" t="s">
        <v>265</v>
      </c>
      <c r="AT60">
        <v>14.25</v>
      </c>
      <c r="AX60">
        <f>AT60</f>
        <v>14.25</v>
      </c>
    </row>
    <row r="61" spans="2:53" x14ac:dyDescent="0.35">
      <c r="C61" t="s">
        <v>145</v>
      </c>
      <c r="D61">
        <f>K22-K16</f>
        <v>3.0000000000143245E-3</v>
      </c>
      <c r="V61" t="s">
        <v>198</v>
      </c>
      <c r="W61" s="2">
        <v>120.8</v>
      </c>
      <c r="AF61" t="s">
        <v>60</v>
      </c>
      <c r="AN61">
        <f t="shared" ref="AN61:AN65" si="18">AK25</f>
        <v>60.493348382721777</v>
      </c>
      <c r="AO61">
        <f t="shared" ref="AO61:AO65" si="19">AL25</f>
        <v>156.42966547287244</v>
      </c>
      <c r="AS61" t="s">
        <v>264</v>
      </c>
      <c r="AT61">
        <f>120.83+AT60</f>
        <v>135.07999999999998</v>
      </c>
      <c r="AW61" t="s">
        <v>268</v>
      </c>
      <c r="AX61">
        <f>AT61+14.57</f>
        <v>149.64999999999998</v>
      </c>
    </row>
    <row r="62" spans="2:53" x14ac:dyDescent="0.35">
      <c r="C62" t="s">
        <v>146</v>
      </c>
      <c r="D62">
        <f>K15-K7</f>
        <v>-1.0000000000047748E-3</v>
      </c>
      <c r="P62" t="s">
        <v>43</v>
      </c>
      <c r="Q62" t="s">
        <v>30</v>
      </c>
      <c r="R62" t="s">
        <v>31</v>
      </c>
      <c r="S62" t="s">
        <v>72</v>
      </c>
      <c r="V62" t="s">
        <v>51</v>
      </c>
      <c r="W62" s="2">
        <f>ATAN(W58/(W61/2))*(200/PI())</f>
        <v>44.020503275408977</v>
      </c>
      <c r="AA62" s="34" t="s">
        <v>213</v>
      </c>
      <c r="AB62">
        <f>SUM(AB57:AB61)</f>
        <v>1199.9850000000001</v>
      </c>
      <c r="AC62" s="2">
        <f>SUM(AC57:AC61)</f>
        <v>1200</v>
      </c>
      <c r="AF62" t="s">
        <v>212</v>
      </c>
      <c r="AG62">
        <f>C47</f>
        <v>201.81</v>
      </c>
      <c r="AJ62" t="s">
        <v>245</v>
      </c>
      <c r="AK62">
        <f>AG64/(AG65^2+AG67^2-2*AG65*AG67*COS(AG63*(PI()/200)))^0.5</f>
        <v>1.0000057410348704</v>
      </c>
      <c r="AM62" t="str">
        <f t="shared" ref="AM62:AM65" si="20">AJ26</f>
        <v>D</v>
      </c>
      <c r="AN62">
        <f t="shared" si="18"/>
        <v>0</v>
      </c>
      <c r="AO62">
        <f t="shared" si="19"/>
        <v>0</v>
      </c>
    </row>
    <row r="63" spans="2:53" x14ac:dyDescent="0.35">
      <c r="P63" t="s">
        <v>69</v>
      </c>
      <c r="Q63">
        <f>W11</f>
        <v>13.088619263575319</v>
      </c>
      <c r="R63" s="2">
        <f>X11</f>
        <v>19.589835266616333</v>
      </c>
      <c r="S63">
        <v>14.25</v>
      </c>
      <c r="V63" s="30" t="s">
        <v>187</v>
      </c>
      <c r="W63" s="32">
        <f>400-W62</f>
        <v>355.979496724591</v>
      </c>
      <c r="AA63" s="34" t="s">
        <v>214</v>
      </c>
      <c r="AB63">
        <f>1200-AB62</f>
        <v>1.4999999999872671E-2</v>
      </c>
      <c r="AF63" t="s">
        <v>241</v>
      </c>
      <c r="AG63">
        <f>400-AG62</f>
        <v>198.19</v>
      </c>
      <c r="AM63">
        <f t="shared" si="20"/>
        <v>0</v>
      </c>
      <c r="AN63">
        <f t="shared" si="18"/>
        <v>0</v>
      </c>
      <c r="AO63">
        <f t="shared" si="19"/>
        <v>0</v>
      </c>
      <c r="AS63" t="s">
        <v>266</v>
      </c>
      <c r="AT63" t="s">
        <v>30</v>
      </c>
      <c r="AU63" t="s">
        <v>31</v>
      </c>
      <c r="AW63" t="s">
        <v>269</v>
      </c>
      <c r="AX63" t="s">
        <v>30</v>
      </c>
      <c r="AY63" t="s">
        <v>31</v>
      </c>
    </row>
    <row r="64" spans="2:53" x14ac:dyDescent="0.35">
      <c r="C64" s="13" t="s">
        <v>150</v>
      </c>
      <c r="P64" t="s">
        <v>70</v>
      </c>
      <c r="Q64" s="2">
        <f>W15</f>
        <v>24.790949495208316</v>
      </c>
      <c r="R64" s="2">
        <f>X15</f>
        <v>34.442148108617786</v>
      </c>
      <c r="S64">
        <v>12.22</v>
      </c>
      <c r="V64" s="30" t="s">
        <v>188</v>
      </c>
      <c r="W64" s="32">
        <f>(W58^2+(W61/2)^2)^0.5</f>
        <v>78.410203417667518</v>
      </c>
      <c r="AF64" t="s">
        <v>256</v>
      </c>
      <c r="AG64">
        <f>AD74</f>
        <v>175.19800000000001</v>
      </c>
      <c r="AM64">
        <f t="shared" si="20"/>
        <v>0</v>
      </c>
      <c r="AN64">
        <f t="shared" si="18"/>
        <v>0</v>
      </c>
      <c r="AO64">
        <f t="shared" si="19"/>
        <v>0</v>
      </c>
      <c r="AT64" s="2">
        <f>AK14-AK12</f>
        <v>-4.0654361148908222</v>
      </c>
      <c r="AU64" s="2">
        <f>AL14-AL12</f>
        <v>135.20171491710352</v>
      </c>
      <c r="AX64" s="2">
        <f>AK13-AK12</f>
        <v>-4.4243172152104844</v>
      </c>
      <c r="AY64" s="2">
        <f>AL13-AL12</f>
        <v>149.61644874232906</v>
      </c>
    </row>
    <row r="65" spans="3:51" x14ac:dyDescent="0.35">
      <c r="P65" t="s">
        <v>71</v>
      </c>
      <c r="Q65">
        <f>ATAN(S64/S63)*(200/PI())</f>
        <v>45.12726318413641</v>
      </c>
      <c r="R65" t="s">
        <v>73</v>
      </c>
      <c r="W65" s="2"/>
      <c r="AF65" t="s">
        <v>257</v>
      </c>
      <c r="AG65">
        <f>K46</f>
        <v>114.73699999999999</v>
      </c>
      <c r="AM65" t="str">
        <f t="shared" si="20"/>
        <v>y</v>
      </c>
      <c r="AN65" t="str">
        <f t="shared" si="18"/>
        <v>x</v>
      </c>
      <c r="AO65" t="str">
        <f t="shared" si="19"/>
        <v>ds Koods</v>
      </c>
      <c r="AS65" t="s">
        <v>43</v>
      </c>
      <c r="AT65">
        <f>AK12+AT64*(AT60/AT61)</f>
        <v>12.659744044170566</v>
      </c>
      <c r="AU65">
        <f>AL12+AU64*(AT60/AT61)</f>
        <v>33.85267534337622</v>
      </c>
      <c r="AW65" t="s">
        <v>43</v>
      </c>
      <c r="AX65">
        <f>AK12+AX64*(AX60/AX61)</f>
        <v>12.667326110773786</v>
      </c>
      <c r="AY65">
        <f>AK12+AY64*(AX60/AX61)</f>
        <v>27.335424439507086</v>
      </c>
    </row>
    <row r="66" spans="3:51" x14ac:dyDescent="0.35">
      <c r="C66" s="8" t="s">
        <v>151</v>
      </c>
      <c r="G66" t="s">
        <v>152</v>
      </c>
      <c r="P66" t="s">
        <v>74</v>
      </c>
      <c r="Q66">
        <f>Y11</f>
        <v>37.498000000000005</v>
      </c>
      <c r="R66" t="s">
        <v>73</v>
      </c>
      <c r="W66" s="2"/>
      <c r="AA66" s="1" t="s">
        <v>216</v>
      </c>
      <c r="AF66" t="s">
        <v>51</v>
      </c>
      <c r="AG66">
        <f>((AG67*SIN(AG63*(PI()/200)))/AG64)*(200/PI())</f>
        <v>0.62470355525500565</v>
      </c>
      <c r="AW66" t="s">
        <v>19</v>
      </c>
      <c r="AX66">
        <f>AK13+AX64*(AT61/AX61)</f>
        <v>4.6707386041240584</v>
      </c>
      <c r="AY66">
        <f>AL13+AY64*(AT61/AX61)</f>
        <v>304.25599931876036</v>
      </c>
    </row>
    <row r="67" spans="3:51" x14ac:dyDescent="0.35">
      <c r="C67" t="s">
        <v>156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75</v>
      </c>
      <c r="Q67">
        <f>400-(Q65-Q66)</f>
        <v>392.37073681586361</v>
      </c>
      <c r="R67">
        <f>Q66-Q65+400</f>
        <v>392.37073681586361</v>
      </c>
      <c r="V67" s="28" t="s">
        <v>199</v>
      </c>
      <c r="W67" s="2" t="s">
        <v>173</v>
      </c>
      <c r="AF67" t="s">
        <v>258</v>
      </c>
      <c r="AG67">
        <f>K47</f>
        <v>60.475999999999999</v>
      </c>
      <c r="AS67" t="s">
        <v>267</v>
      </c>
      <c r="AT67">
        <f>12.22</f>
        <v>12.22</v>
      </c>
      <c r="AU67" s="2">
        <f>((AK20-AK19)^2+(AL20-AL19)^2)^0.5</f>
        <v>12.156210129020469</v>
      </c>
      <c r="AX67">
        <f>(AT61/AX61)*AX64</f>
        <v>-3.9935634442407766</v>
      </c>
      <c r="AY67">
        <f>AY64*(AT61/AX61)</f>
        <v>135.04971530981496</v>
      </c>
    </row>
    <row r="68" spans="3:51" x14ac:dyDescent="0.35">
      <c r="D68" s="2"/>
      <c r="E68" s="2" t="s">
        <v>154</v>
      </c>
      <c r="P68" t="s">
        <v>76</v>
      </c>
      <c r="Q68">
        <f>Q63+S63*SIN(Q67*(PI()/200))</f>
        <v>11.384981305743809</v>
      </c>
      <c r="R68">
        <f>Q63+S63*SIN(Q67*(PI()/200))</f>
        <v>11.384981305743809</v>
      </c>
      <c r="V68" s="29" t="s">
        <v>190</v>
      </c>
      <c r="W68" s="12">
        <v>25</v>
      </c>
      <c r="AA68" s="1" t="s">
        <v>217</v>
      </c>
      <c r="AB68" s="1" t="s">
        <v>226</v>
      </c>
      <c r="AC68" s="36" t="s">
        <v>228</v>
      </c>
      <c r="AD68" s="36" t="s">
        <v>227</v>
      </c>
      <c r="AF68" t="s">
        <v>246</v>
      </c>
      <c r="AG68">
        <f>((AG65*SIN(AG63*(PI()/200)))/AG64)*(200/PI())</f>
        <v>1.1852075504215489</v>
      </c>
      <c r="AU68" s="2">
        <f>((AX65-AK20)^2+(AY65-AL20)^2)^0.5</f>
        <v>6.5172553142958121</v>
      </c>
    </row>
    <row r="69" spans="3:51" x14ac:dyDescent="0.35">
      <c r="C69" t="s">
        <v>153</v>
      </c>
      <c r="D69" s="2">
        <f>W5+K41*SIN((200+E67)*(PI()/200))</f>
        <v>-14.314016515102075</v>
      </c>
      <c r="E69" s="2">
        <f>Q48-D69</f>
        <v>0</v>
      </c>
      <c r="P69" t="s">
        <v>77</v>
      </c>
      <c r="Q69">
        <f>R63+S63*COS(Q67*(PI()/200))</f>
        <v>33.737630773642707</v>
      </c>
      <c r="R69">
        <f>R63+S63*COS(Q67*(PI()/200))</f>
        <v>33.737630773642707</v>
      </c>
      <c r="V69" t="s">
        <v>200</v>
      </c>
      <c r="W69" s="2"/>
      <c r="AL69" t="s">
        <v>30</v>
      </c>
      <c r="AM69" t="s">
        <v>31</v>
      </c>
      <c r="AN69" t="s">
        <v>249</v>
      </c>
      <c r="AO69" t="s">
        <v>250</v>
      </c>
    </row>
    <row r="70" spans="3:51" x14ac:dyDescent="0.35">
      <c r="C70" t="s">
        <v>31</v>
      </c>
      <c r="D70">
        <f>X5+K41*COS((200+E67)*(PI()/200))</f>
        <v>114.56911022348824</v>
      </c>
      <c r="E70" s="2">
        <f>Q49-D70</f>
        <v>3.1957679920253668E-3</v>
      </c>
      <c r="V70" t="s">
        <v>201</v>
      </c>
      <c r="W70" s="2"/>
      <c r="AA70" t="s">
        <v>218</v>
      </c>
      <c r="AB70">
        <f>K6</f>
        <v>181.834</v>
      </c>
      <c r="AC70">
        <f>AB70-AB71</f>
        <v>-4.9999999999954525E-3</v>
      </c>
      <c r="AD70">
        <v>181.83600000000001</v>
      </c>
      <c r="AG70" s="35">
        <f>AG63+AG66+AG68</f>
        <v>199.99991110567655</v>
      </c>
      <c r="AL70">
        <f>AG72</f>
        <v>82.418955573921835</v>
      </c>
      <c r="AM70">
        <f>AG73</f>
        <v>68.637536071382954</v>
      </c>
      <c r="AN70">
        <f>((AL70-AN62)^2+(AM70-AO62)^2)^0.5</f>
        <v>107.2566808914321</v>
      </c>
      <c r="AO70">
        <f>((AL70-AN63)^2+(AM70-AO63)^2)^0.5</f>
        <v>107.2566808914321</v>
      </c>
    </row>
    <row r="71" spans="3:51" x14ac:dyDescent="0.35">
      <c r="P71" t="s">
        <v>40</v>
      </c>
      <c r="Q71" t="s">
        <v>30</v>
      </c>
      <c r="R71" t="s">
        <v>31</v>
      </c>
      <c r="S71" t="s">
        <v>80</v>
      </c>
      <c r="V71" t="s">
        <v>202</v>
      </c>
      <c r="W71" s="2">
        <v>51.69</v>
      </c>
      <c r="AA71" t="s">
        <v>219</v>
      </c>
      <c r="AB71">
        <f>K31</f>
        <v>181.839</v>
      </c>
      <c r="AF71" t="s">
        <v>259</v>
      </c>
      <c r="AG71">
        <f>Q14-AG66</f>
        <v>196.05379644474493</v>
      </c>
      <c r="AL71">
        <f>AH72</f>
        <v>0</v>
      </c>
      <c r="AM71">
        <f>AH73</f>
        <v>0</v>
      </c>
      <c r="AN71">
        <f>((AL71-AN63)^2+(AM71-AO62)^2)^0.5</f>
        <v>0</v>
      </c>
      <c r="AO71">
        <f>((AL71-AN63)^2+(AM71-AO63)^2)^0.5</f>
        <v>0</v>
      </c>
    </row>
    <row r="72" spans="3:51" x14ac:dyDescent="0.35">
      <c r="C72" s="8" t="s">
        <v>155</v>
      </c>
      <c r="G72" t="s">
        <v>152</v>
      </c>
      <c r="P72" t="s">
        <v>78</v>
      </c>
      <c r="Q72" s="2">
        <f>W24</f>
        <v>64.970445860639671</v>
      </c>
      <c r="R72" s="2">
        <f>X24</f>
        <v>35.25674750597878</v>
      </c>
      <c r="S72">
        <v>14.35</v>
      </c>
      <c r="V72" t="s">
        <v>51</v>
      </c>
      <c r="W72" s="2">
        <f>ATAN(W68/(W71/2))*(200/PI())</f>
        <v>48.942090294142709</v>
      </c>
      <c r="AA72" t="s">
        <v>220</v>
      </c>
      <c r="AB72">
        <f>K32</f>
        <v>75.316999999999993</v>
      </c>
      <c r="AC72">
        <f>AB72-AB73</f>
        <v>0</v>
      </c>
      <c r="AD72">
        <f>AB72</f>
        <v>75.316999999999993</v>
      </c>
      <c r="AG72">
        <f>AK10+AG65*SIN(AG71*(PI()/200))</f>
        <v>82.418955573921835</v>
      </c>
      <c r="AL72">
        <f>AG75</f>
        <v>-2.0361210280816064</v>
      </c>
      <c r="AM72">
        <f>AG76</f>
        <v>60.441713966093019</v>
      </c>
      <c r="AN72">
        <f>((AL72-AN62)^2+(AM72-AO62)^2)^0.5</f>
        <v>60.475999999999999</v>
      </c>
      <c r="AO72">
        <f>((AL72-AN63)^2+(AM72-AO63)^2)^0.5</f>
        <v>60.475999999999999</v>
      </c>
    </row>
    <row r="73" spans="3:51" x14ac:dyDescent="0.35">
      <c r="C73" t="s">
        <v>65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79</v>
      </c>
      <c r="Q73">
        <f>W18</f>
        <v>51.354988189077623</v>
      </c>
      <c r="R73">
        <f>X18</f>
        <v>35.909510927344627</v>
      </c>
      <c r="S73" t="s">
        <v>82</v>
      </c>
      <c r="T73">
        <v>12.17</v>
      </c>
      <c r="V73" s="30" t="s">
        <v>187</v>
      </c>
      <c r="W73" s="32">
        <f>W72</f>
        <v>48.942090294142709</v>
      </c>
      <c r="AA73" t="s">
        <v>221</v>
      </c>
      <c r="AB73">
        <f>K23</f>
        <v>75.316999999999993</v>
      </c>
      <c r="AG73">
        <f>AL10+AG65*COS(AG71*(PI()/200))</f>
        <v>68.637536071382954</v>
      </c>
      <c r="AL73">
        <f>AH75</f>
        <v>82.412610400289438</v>
      </c>
      <c r="AM73">
        <f>AH76</f>
        <v>68.637620721623961</v>
      </c>
      <c r="AN73">
        <f>((AL73-AN63)^2+(AM73-AO62)^2)^0.5</f>
        <v>107.25185933733455</v>
      </c>
      <c r="AO73">
        <f>((AL73-AN63)^2+(AM73-AO63)^2)^0.5</f>
        <v>107.25185933733455</v>
      </c>
    </row>
    <row r="74" spans="3:51" x14ac:dyDescent="0.35">
      <c r="E74" t="s">
        <v>154</v>
      </c>
      <c r="P74" t="s">
        <v>81</v>
      </c>
      <c r="Q74">
        <f>ATAN(S72/T73)*(200/PI())</f>
        <v>55.221409395296327</v>
      </c>
      <c r="V74" s="30" t="s">
        <v>188</v>
      </c>
      <c r="W74" s="32">
        <f>(W68^2+(W71/2)^2)^0.5</f>
        <v>35.957808957165341</v>
      </c>
      <c r="AA74" t="s">
        <v>222</v>
      </c>
      <c r="AB74">
        <f>K22</f>
        <v>175.19900000000001</v>
      </c>
      <c r="AC74">
        <f>AB74-AB75</f>
        <v>3.0000000000143245E-3</v>
      </c>
      <c r="AD74">
        <v>175.19800000000001</v>
      </c>
      <c r="AF74" t="s">
        <v>260</v>
      </c>
      <c r="AG74">
        <f>(Q37-200)+AG68+400</f>
        <v>397.85620755042157</v>
      </c>
    </row>
    <row r="75" spans="3:51" x14ac:dyDescent="0.35">
      <c r="C75" t="s">
        <v>30</v>
      </c>
      <c r="D75" s="11">
        <f>W6+K46*SIN((Q37-E73)*(PI()/200))</f>
        <v>82.432458318997718</v>
      </c>
      <c r="E75" s="12">
        <f>Q54-D75</f>
        <v>-1.9847918708279622E-2</v>
      </c>
      <c r="I75" s="9" t="s">
        <v>155</v>
      </c>
      <c r="P75" t="s">
        <v>83</v>
      </c>
      <c r="Q75">
        <f>Y24</f>
        <v>233.38671001543935</v>
      </c>
      <c r="AA75" t="s">
        <v>223</v>
      </c>
      <c r="AB75">
        <f>K16</f>
        <v>175.196</v>
      </c>
      <c r="AG75">
        <f>AK27+AG67*SIN(AG74*(PI()/200))</f>
        <v>-2.0361210280816064</v>
      </c>
      <c r="AH75" s="2">
        <f>Q54</f>
        <v>82.412610400289438</v>
      </c>
    </row>
    <row r="76" spans="3:51" x14ac:dyDescent="0.35">
      <c r="C76" t="s">
        <v>31</v>
      </c>
      <c r="D76" s="11">
        <f>X6+K46*COS((Q37-E73)*(PI()/200))</f>
        <v>68.638374936410457</v>
      </c>
      <c r="E76" s="2">
        <f>Q55-D76</f>
        <v>-7.542147864967319E-4</v>
      </c>
      <c r="I76" t="s">
        <v>157</v>
      </c>
      <c r="J76" s="2">
        <f>((W5-W6)^2+(X5-X6)^2)^0.5</f>
        <v>75.322862624552755</v>
      </c>
      <c r="K76" s="2">
        <f>J76-K23</f>
        <v>5.8626245527619858E-3</v>
      </c>
      <c r="P76" t="s">
        <v>84</v>
      </c>
      <c r="Q76">
        <f>Q75-(90/2)</f>
        <v>188.38671001543935</v>
      </c>
      <c r="R76" t="s">
        <v>85</v>
      </c>
      <c r="AA76" t="s">
        <v>224</v>
      </c>
      <c r="AB76">
        <f>K15</f>
        <v>84.850999999999999</v>
      </c>
      <c r="AC76">
        <f>AB76-AB77</f>
        <v>-1.0000000000047748E-3</v>
      </c>
      <c r="AD76">
        <f>AB77</f>
        <v>84.852000000000004</v>
      </c>
      <c r="AG76">
        <f>AL27+AG67*COS(AG74*(PI()/200))</f>
        <v>60.441713966093019</v>
      </c>
      <c r="AH76" s="2">
        <f>Q55</f>
        <v>68.637620721623961</v>
      </c>
    </row>
    <row r="77" spans="3:51" x14ac:dyDescent="0.35">
      <c r="I77" t="s">
        <v>158</v>
      </c>
      <c r="J77" s="2">
        <f>((W7-W6)^2+(X7-X6)^2)^0.5</f>
        <v>175.19671145333137</v>
      </c>
      <c r="K77" s="2">
        <f>J77-K22</f>
        <v>-2.2885466686375366E-3</v>
      </c>
      <c r="P77" t="s">
        <v>86</v>
      </c>
      <c r="Q77">
        <f>Q72+S72*SIN(Q76*(PI()/200))</f>
        <v>67.573694604799911</v>
      </c>
      <c r="AA77" t="s">
        <v>225</v>
      </c>
      <c r="AB77">
        <f>K7</f>
        <v>84.852000000000004</v>
      </c>
    </row>
    <row r="78" spans="3:51" x14ac:dyDescent="0.35">
      <c r="P78" t="s">
        <v>87</v>
      </c>
      <c r="Q78">
        <f>R72+S72*COS(Q76*(PI()/200))</f>
        <v>21.144851957328054</v>
      </c>
    </row>
    <row r="79" spans="3:51" x14ac:dyDescent="0.35">
      <c r="C79" s="13" t="s">
        <v>159</v>
      </c>
    </row>
    <row r="80" spans="3:51" x14ac:dyDescent="0.35">
      <c r="P80" t="s">
        <v>40</v>
      </c>
      <c r="Q80" t="s">
        <v>30</v>
      </c>
      <c r="R80" t="s">
        <v>31</v>
      </c>
    </row>
    <row r="81" spans="2:20" x14ac:dyDescent="0.35">
      <c r="B81" t="s">
        <v>160</v>
      </c>
      <c r="C81" t="s">
        <v>39</v>
      </c>
      <c r="D81" t="s">
        <v>161</v>
      </c>
      <c r="P81" t="s">
        <v>69</v>
      </c>
      <c r="Q81" s="2">
        <f>W11</f>
        <v>13.088619263575319</v>
      </c>
      <c r="R81" s="2">
        <f>X11</f>
        <v>19.589835266616333</v>
      </c>
      <c r="S81">
        <v>51.69</v>
      </c>
    </row>
    <row r="82" spans="2:20" x14ac:dyDescent="0.35">
      <c r="F82" t="s">
        <v>174</v>
      </c>
      <c r="P82" t="s">
        <v>78</v>
      </c>
      <c r="Q82" s="2">
        <f>W24</f>
        <v>64.970445860639671</v>
      </c>
      <c r="R82" s="2">
        <f>X24</f>
        <v>35.25674750597878</v>
      </c>
      <c r="S82">
        <v>14.35</v>
      </c>
      <c r="T82">
        <f>(S81^2+S82^2)^0.5</f>
        <v>53.644930794996839</v>
      </c>
    </row>
    <row r="83" spans="2:20" x14ac:dyDescent="0.35">
      <c r="B83" t="s">
        <v>169</v>
      </c>
      <c r="C83" s="2">
        <f>((W11-W21)^2+(X11-X21)^2)^0.5</f>
        <v>14.249999999999998</v>
      </c>
      <c r="D83">
        <v>14.25</v>
      </c>
      <c r="E83" s="2">
        <f>D83-C83</f>
        <v>0</v>
      </c>
      <c r="F83" s="2">
        <f>0.008*(D83)^0.5+0.0004*D83+0.03</f>
        <v>6.5899337741083003E-2</v>
      </c>
      <c r="G83" s="20">
        <f>F83-ABS(E83)</f>
        <v>6.5899337741083003E-2</v>
      </c>
      <c r="P83" t="s">
        <v>71</v>
      </c>
      <c r="Q83">
        <f>ATAN(S82/S81)*(200/PI())</f>
        <v>17.239483599205755</v>
      </c>
      <c r="R83" t="s">
        <v>73</v>
      </c>
    </row>
    <row r="84" spans="2:20" x14ac:dyDescent="0.35">
      <c r="B84" s="15" t="s">
        <v>170</v>
      </c>
      <c r="C84" s="16">
        <f>((W15-W21)^2+(X15-X21)^2)^0.5</f>
        <v>13.424467504233258</v>
      </c>
      <c r="D84" s="15">
        <v>12.22</v>
      </c>
      <c r="E84" s="16">
        <f>D84-C84</f>
        <v>-1.2044675042332571</v>
      </c>
      <c r="F84" s="2">
        <f>0.008*(D84)^0.5+0.0004*D84+0.03</f>
        <v>6.2853693268717661E-2</v>
      </c>
      <c r="G84" s="21">
        <f t="shared" ref="G84:G94" si="21">F84-ABS(E84)</f>
        <v>-1.1416138109645395</v>
      </c>
      <c r="I84" s="26" t="s">
        <v>175</v>
      </c>
      <c r="J84" s="25">
        <f>((W15-W11)^2+(X15-X11)^2)^0.5</f>
        <v>18.908615221820792</v>
      </c>
      <c r="K84" s="26">
        <f>((D83)^2+(D84)^2)^0.5</f>
        <v>18.772077668707851</v>
      </c>
      <c r="L84" s="25">
        <f>J84-K84</f>
        <v>0.13653755311294091</v>
      </c>
      <c r="P84" t="s">
        <v>74</v>
      </c>
      <c r="Q84">
        <f>Y11</f>
        <v>37.498000000000005</v>
      </c>
      <c r="R84" t="s">
        <v>73</v>
      </c>
    </row>
    <row r="85" spans="2:20" x14ac:dyDescent="0.35">
      <c r="B85" t="s">
        <v>171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">
        <f t="shared" ref="F85:F94" si="22">0.008*(D85)^0.5+0.0004*D85+0.03</f>
        <v>0.16627016008991771</v>
      </c>
      <c r="G85" s="20">
        <f t="shared" si="21"/>
        <v>6.2837947122498267E-2</v>
      </c>
      <c r="P85" t="s">
        <v>178</v>
      </c>
      <c r="Q85">
        <f>ACOS(R85*(PI()/200))*(200/PI())</f>
        <v>84.151243662736988</v>
      </c>
      <c r="R85">
        <f>(1/T82)+R82-R81</f>
        <v>15.685553329679472</v>
      </c>
    </row>
    <row r="86" spans="2:20" x14ac:dyDescent="0.35">
      <c r="B86" t="s">
        <v>162</v>
      </c>
      <c r="C86" s="2">
        <f>((W20-W16)^2+(X20-X16)^2)^0.5</f>
        <v>12.18425811941235</v>
      </c>
      <c r="D86">
        <v>12.22</v>
      </c>
      <c r="E86" s="2">
        <f t="shared" ref="E86:E94" si="23">D86-C86</f>
        <v>3.5741880587650598E-2</v>
      </c>
      <c r="F86" s="2">
        <f t="shared" si="22"/>
        <v>6.2853693268717661E-2</v>
      </c>
      <c r="G86" s="20">
        <f t="shared" si="21"/>
        <v>2.7111812681067063E-2</v>
      </c>
      <c r="P86" t="s">
        <v>76</v>
      </c>
      <c r="Q86">
        <f>Q81+S81*SIN((Q85+Q83)*(PI()/200))</f>
        <v>64.766285859645834</v>
      </c>
      <c r="R86">
        <f>Q81+S81*SIN(Q85*(PI()/200))</f>
        <v>63.185081030728348</v>
      </c>
    </row>
    <row r="87" spans="2:20" x14ac:dyDescent="0.35">
      <c r="B87" t="s">
        <v>163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">
        <f t="shared" si="22"/>
        <v>6.63645354943877E-2</v>
      </c>
      <c r="G87" s="22">
        <f t="shared" si="21"/>
        <v>-8.4434831451505654E-2</v>
      </c>
      <c r="P87" t="s">
        <v>77</v>
      </c>
      <c r="Q87">
        <f>R81+S81*COS((Q85+Q83)*(PI()/200))</f>
        <v>18.460731557749131</v>
      </c>
      <c r="R87">
        <f>R81+S81*COS(Q85*(PI()/200))</f>
        <v>32.325635925082011</v>
      </c>
    </row>
    <row r="88" spans="2:20" x14ac:dyDescent="0.35">
      <c r="B88" t="s">
        <v>164</v>
      </c>
      <c r="C88" s="2">
        <f>((W13-W12)^2+(X13-X12)^2)^0.5</f>
        <v>51.511491701951741</v>
      </c>
      <c r="D88">
        <v>51.52</v>
      </c>
      <c r="E88" s="2">
        <f t="shared" si="23"/>
        <v>8.5082980482624748E-3</v>
      </c>
      <c r="F88" s="2">
        <f t="shared" si="22"/>
        <v>0.10802994702376435</v>
      </c>
      <c r="G88" s="20">
        <f t="shared" si="21"/>
        <v>9.9521648975501878E-2</v>
      </c>
    </row>
    <row r="89" spans="2:20" x14ac:dyDescent="0.35">
      <c r="B89" t="s">
        <v>165</v>
      </c>
      <c r="C89" s="2">
        <f>((W13-W22)^2+(X13-X22)^2)^0.5</f>
        <v>14.463944672597394</v>
      </c>
      <c r="D89">
        <v>14.51</v>
      </c>
      <c r="E89" s="2">
        <f t="shared" si="23"/>
        <v>4.6055327402605428E-2</v>
      </c>
      <c r="F89" s="2">
        <f t="shared" si="22"/>
        <v>6.6277595127585451E-2</v>
      </c>
      <c r="G89" s="20">
        <f t="shared" si="21"/>
        <v>2.0222267724980023E-2</v>
      </c>
      <c r="I89" t="s">
        <v>176</v>
      </c>
      <c r="J89" s="2">
        <f>((W13-W17)^2+(X13-X17)^2)^0.5</f>
        <v>17.513880348994817</v>
      </c>
      <c r="K89">
        <f>((D89)^2+(D90)^2)^0.5</f>
        <v>18.938030520621727</v>
      </c>
      <c r="L89" s="2">
        <f>K89-J89</f>
        <v>1.4241501716269092</v>
      </c>
      <c r="P89" t="s">
        <v>43</v>
      </c>
      <c r="Q89" t="s">
        <v>30</v>
      </c>
      <c r="R89" t="s">
        <v>31</v>
      </c>
    </row>
    <row r="90" spans="2:20" x14ac:dyDescent="0.35">
      <c r="B90" s="5" t="s">
        <v>166</v>
      </c>
      <c r="C90" s="17">
        <f>((W17-W22)^2+(X17-X22)^2)^0.5</f>
        <v>10.423474634319176</v>
      </c>
      <c r="D90" s="5">
        <v>12.17</v>
      </c>
      <c r="E90" s="17">
        <f t="shared" si="23"/>
        <v>1.7465253656808244</v>
      </c>
      <c r="F90" s="2">
        <f t="shared" si="22"/>
        <v>6.2776421668019847E-2</v>
      </c>
      <c r="G90" s="21">
        <f t="shared" si="21"/>
        <v>-1.6837489440128046</v>
      </c>
      <c r="I90" t="s">
        <v>177</v>
      </c>
      <c r="J90" s="2">
        <f>((W18-W22)^2+(X18-X22)^2)^0.5</f>
        <v>120.85419152962332</v>
      </c>
      <c r="K90">
        <f>((D91)^2+(D90)^2)^0.5</f>
        <v>121.41148586521787</v>
      </c>
      <c r="L90" s="2">
        <f>K90-J90</f>
        <v>0.55729433559454833</v>
      </c>
      <c r="P90" t="s">
        <v>69</v>
      </c>
      <c r="Q90" s="2">
        <f>W11</f>
        <v>13.088619263575319</v>
      </c>
      <c r="R90" s="2">
        <f>X11</f>
        <v>19.589835266616333</v>
      </c>
      <c r="S90">
        <v>14.25</v>
      </c>
    </row>
    <row r="91" spans="2:20" x14ac:dyDescent="0.35">
      <c r="B91" t="s">
        <v>167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">
        <f t="shared" si="22"/>
        <v>0.16624724264981816</v>
      </c>
      <c r="G91" s="22">
        <f t="shared" si="21"/>
        <v>-2.2173050798089955E-3</v>
      </c>
      <c r="P91" t="s">
        <v>70</v>
      </c>
      <c r="Q91" s="2">
        <f>W15</f>
        <v>24.790949495208316</v>
      </c>
      <c r="R91" s="2">
        <f>X15</f>
        <v>34.442148108617786</v>
      </c>
      <c r="S91">
        <v>12.22</v>
      </c>
      <c r="T91">
        <f>(S90^2+S91^2)^0.5</f>
        <v>18.772077668707851</v>
      </c>
    </row>
    <row r="92" spans="2:20" x14ac:dyDescent="0.35">
      <c r="B92" s="5" t="s">
        <v>168</v>
      </c>
      <c r="C92" s="17">
        <f>((W24-W18)^2+(X24-X18)^2)^0.5</f>
        <v>13.631096349537373</v>
      </c>
      <c r="D92" s="5">
        <v>12.17</v>
      </c>
      <c r="E92" s="17">
        <f t="shared" si="23"/>
        <v>-1.4610963495373728</v>
      </c>
      <c r="F92" s="2">
        <f t="shared" si="22"/>
        <v>6.2776421668019847E-2</v>
      </c>
      <c r="G92" s="21">
        <f t="shared" si="21"/>
        <v>-1.398319927869353</v>
      </c>
      <c r="P92" t="s">
        <v>71</v>
      </c>
      <c r="Q92">
        <f>ATAN(S91/S90)*(200/PI())</f>
        <v>45.12726318413641</v>
      </c>
      <c r="R92" t="s">
        <v>73</v>
      </c>
      <c r="S92" t="s">
        <v>181</v>
      </c>
      <c r="T92">
        <f>ATAN(S90/S91)*(200/PI())</f>
        <v>54.87273681586359</v>
      </c>
    </row>
    <row r="93" spans="2:20" x14ac:dyDescent="0.35">
      <c r="B93" s="18" t="s">
        <v>172</v>
      </c>
      <c r="C93" s="19">
        <f>((W24-W14)^2+(X24-X14)^2)^0.5</f>
        <v>16.797256711713089</v>
      </c>
      <c r="D93" s="18">
        <v>14.35</v>
      </c>
      <c r="E93" s="19">
        <f>D93-C93</f>
        <v>-2.4472567117130897</v>
      </c>
      <c r="F93" s="2">
        <f t="shared" si="22"/>
        <v>6.6045115079801292E-2</v>
      </c>
      <c r="G93" s="20">
        <f t="shared" si="21"/>
        <v>-2.3812115966332885</v>
      </c>
      <c r="P93" t="s">
        <v>182</v>
      </c>
      <c r="Q93">
        <f>Q97+T92</f>
        <v>339.82749295693134</v>
      </c>
    </row>
    <row r="94" spans="2:20" x14ac:dyDescent="0.35">
      <c r="B94" s="11" t="s">
        <v>173</v>
      </c>
      <c r="C94" s="12">
        <f>((W11-W14)^2+(X11-X14)^2)^0.5</f>
        <v>51.690000000000005</v>
      </c>
      <c r="D94" s="11">
        <v>51.69</v>
      </c>
      <c r="E94" s="12">
        <f t="shared" si="23"/>
        <v>0</v>
      </c>
      <c r="F94" s="2">
        <f t="shared" si="22"/>
        <v>0.10819260629765981</v>
      </c>
      <c r="G94" s="23">
        <f t="shared" si="21"/>
        <v>0.10819260629765981</v>
      </c>
      <c r="P94" t="s">
        <v>179</v>
      </c>
      <c r="Q94">
        <f>ACOS(R94*(PI()/200))*(200/PI())</f>
        <v>84.954756141067691</v>
      </c>
      <c r="R94">
        <f>(1/T91)+R91-R90</f>
        <v>14.905583450489665</v>
      </c>
    </row>
    <row r="95" spans="2:20" x14ac:dyDescent="0.35">
      <c r="P95" t="s">
        <v>76</v>
      </c>
      <c r="Q95">
        <f>Q91+S91*SIN(Q93*(PI()/200))</f>
        <v>14.885334837709912</v>
      </c>
      <c r="R95">
        <f>Q90+S90*SIN(Q94*(PI()/200))</f>
        <v>26.94252295511248</v>
      </c>
    </row>
    <row r="96" spans="2:20" x14ac:dyDescent="0.35">
      <c r="P96" t="s">
        <v>77</v>
      </c>
      <c r="Q96">
        <f>R91+S91*COS(Q93*(PI()/200))</f>
        <v>41.598068612449055</v>
      </c>
      <c r="R96">
        <f>R90+S90*COS(Q94*(PI()/200))</f>
        <v>22.926278358535196</v>
      </c>
    </row>
    <row r="97" spans="16:18" x14ac:dyDescent="0.35">
      <c r="P97" t="s">
        <v>180</v>
      </c>
      <c r="Q97">
        <f>ACOS(R94*(PI()/200))*(200/PI())+200</f>
        <v>284.95475614106772</v>
      </c>
      <c r="R97">
        <f>(1/T91)+R90-R91</f>
        <v>-14.799042233513244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FACC6D-2D27-48FE-A0B1-2522585D25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Tabelle1!AK16:AL16</xm:f>
              <xm:sqref>AM16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AC81"/>
  <sheetViews>
    <sheetView topLeftCell="M1" zoomScaleNormal="100" workbookViewId="0">
      <selection activeCell="V26" sqref="V26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  <col min="26" max="26" width="12.26953125" bestFit="1" customWidth="1"/>
    <col min="27" max="27" width="11.26953125" bestFit="1" customWidth="1"/>
    <col min="28" max="28" width="13.6328125" customWidth="1"/>
    <col min="29" max="29" width="11.816406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88</v>
      </c>
      <c r="O2" s="4" t="s">
        <v>89</v>
      </c>
      <c r="P2" s="4"/>
      <c r="R2" s="5" t="s">
        <v>39</v>
      </c>
      <c r="S2" s="5" t="s">
        <v>142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105</v>
      </c>
      <c r="S3">
        <f>S4</f>
        <v>32691104.289999999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32691104.289999999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92</v>
      </c>
      <c r="P5">
        <f>S5-32500000</f>
        <v>191225.01300000027</v>
      </c>
      <c r="R5" t="s">
        <v>29</v>
      </c>
      <c r="S5">
        <v>32691225.013</v>
      </c>
      <c r="T5">
        <v>5335904.7699999996</v>
      </c>
      <c r="AA5" s="33" t="s">
        <v>1</v>
      </c>
      <c r="AB5">
        <f>T4</f>
        <v>5334162.2300000004</v>
      </c>
      <c r="AC5">
        <f>S4</f>
        <v>32691104.289999999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93</v>
      </c>
      <c r="P6">
        <f>((P5^2)/(2*P3^2))-(P4/P3)</f>
        <v>3.6845655011313606E-4</v>
      </c>
      <c r="V6" t="s">
        <v>96</v>
      </c>
      <c r="AA6" s="33" t="s">
        <v>29</v>
      </c>
      <c r="AB6">
        <f>T5</f>
        <v>5335904.7699999996</v>
      </c>
      <c r="AC6">
        <f>S5</f>
        <v>32691225.013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7" t="s">
        <v>106</v>
      </c>
      <c r="V7" t="s">
        <v>97</v>
      </c>
      <c r="W7">
        <f>S5-S4</f>
        <v>120.72300000116229</v>
      </c>
      <c r="X7">
        <f>T5-T4</f>
        <v>1742.5399999991059</v>
      </c>
      <c r="AA7" s="33" t="s">
        <v>2</v>
      </c>
      <c r="AB7">
        <f>T9</f>
        <v>5335937.8688882738</v>
      </c>
      <c r="AC7">
        <f>S9</f>
        <v>32691046.149110068</v>
      </c>
    </row>
    <row r="8" spans="1:29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5336012.1847437089</v>
      </c>
      <c r="AC8">
        <f>S10</f>
        <v>32691058.555756066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  <c r="AA9" s="33" t="s">
        <v>3</v>
      </c>
      <c r="AB9">
        <f>T11</f>
        <v>5335989.3449267028</v>
      </c>
      <c r="AC9">
        <f>S11</f>
        <v>32691232.324325249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95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100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102</v>
      </c>
      <c r="W13" s="2">
        <f>200+W12+(400-I23)-400</f>
        <v>108.3199188424112</v>
      </c>
    </row>
    <row r="14" spans="1:29" x14ac:dyDescent="0.35">
      <c r="L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8" t="s">
        <v>108</v>
      </c>
      <c r="R16" t="s">
        <v>4</v>
      </c>
    </row>
    <row r="17" spans="1:27" x14ac:dyDescent="0.35"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</row>
    <row r="18" spans="1:27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7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23.568280836320664</v>
      </c>
      <c r="Z19" s="2">
        <f>S5+Y19*SIN(X19*(PI()/200))</f>
        <v>32691238.106219634</v>
      </c>
      <c r="AA19" s="2">
        <f>T5+Y19*COS(X19*(PI()/200))</f>
        <v>5335924.3667206746</v>
      </c>
    </row>
    <row r="20" spans="1:27" x14ac:dyDescent="0.35"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15.321243280521532</v>
      </c>
      <c r="Z20" s="2">
        <f>S9+Y20*SIN(X20*(PI()/200))</f>
        <v>32691054.816378254</v>
      </c>
      <c r="AA20" s="2">
        <f>T9+Y20*COS(X20*(PI()/200))</f>
        <v>5335925.234848625</v>
      </c>
    </row>
    <row r="21" spans="1:27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  <c r="V21" s="1"/>
      <c r="W21" t="s">
        <v>19</v>
      </c>
      <c r="X21">
        <f>Tabelle1!AH33</f>
        <v>179.49900000000002</v>
      </c>
      <c r="Y21" s="2">
        <f>L36</f>
        <v>28.520104696243727</v>
      </c>
      <c r="Z21" s="2">
        <f>S9+Y21*SIN(X21*(PI()/200))</f>
        <v>32691055.17549127</v>
      </c>
      <c r="AA21" s="2">
        <f>T9+Y21*COS(X21*(PI()/200))</f>
        <v>5335910.8148531914</v>
      </c>
    </row>
    <row r="22" spans="1:27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19.517788955749257</v>
      </c>
      <c r="Z22" s="2">
        <f>S10+Y22*SIN(X22*(PI()/200))</f>
        <v>32691043.386459783</v>
      </c>
      <c r="AA22" s="2">
        <f>T10+Y22*COS(X22*(PI()/200))</f>
        <v>5335999.9031910384</v>
      </c>
    </row>
    <row r="23" spans="1:27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30.568859295258356</v>
      </c>
      <c r="Z23" s="2">
        <f>S10+Y23*SIN(X23*(PI()/200))</f>
        <v>32691043.753624391</v>
      </c>
      <c r="AA23" s="2">
        <f>T10+Y23*COS(X23*(PI()/200))</f>
        <v>5335985.4386775214</v>
      </c>
    </row>
    <row r="24" spans="1:27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7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7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8" t="s">
        <v>113</v>
      </c>
      <c r="R26" t="s">
        <v>16</v>
      </c>
    </row>
    <row r="27" spans="1:27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114</v>
      </c>
      <c r="R27" s="2">
        <f>W12+200+(400-I23+C27)-400</f>
        <v>168.31391884241123</v>
      </c>
    </row>
    <row r="28" spans="1:27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7" x14ac:dyDescent="0.35">
      <c r="L29" s="2"/>
      <c r="R29" t="s">
        <v>17</v>
      </c>
    </row>
    <row r="30" spans="1:27" x14ac:dyDescent="0.35">
      <c r="A30" s="1" t="s">
        <v>18</v>
      </c>
      <c r="L30" s="2"/>
      <c r="Q30" t="s">
        <v>115</v>
      </c>
      <c r="R30" s="2">
        <f>W12+200+(400-I23+C28)-400</f>
        <v>143.82091884241117</v>
      </c>
    </row>
    <row r="31" spans="1:27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7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117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54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8" t="s">
        <v>119</v>
      </c>
      <c r="Q38" t="s">
        <v>120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121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63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7" t="s">
        <v>122</v>
      </c>
    </row>
    <row r="44" spans="1:20" x14ac:dyDescent="0.35">
      <c r="L44" s="2"/>
      <c r="Q44" s="8" t="s">
        <v>123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124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125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>K51*P6+K51-0.0004</f>
        <v>90.519940527850082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41</v>
      </c>
    </row>
    <row r="60" spans="2:23" x14ac:dyDescent="0.35">
      <c r="D60" s="13" t="s">
        <v>159</v>
      </c>
      <c r="Q60" t="s">
        <v>128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G63" t="s">
        <v>174</v>
      </c>
      <c r="Q63" t="s">
        <v>129</v>
      </c>
      <c r="R63" s="2">
        <f>R40+200+C51-400</f>
        <v>296.06521153173492</v>
      </c>
    </row>
    <row r="64" spans="2:23" x14ac:dyDescent="0.35">
      <c r="C64" t="s">
        <v>169</v>
      </c>
      <c r="D64" s="2">
        <f>((T73-T18)^2+(S73-S18)^2)^0.5</f>
        <v>14.250000001610616</v>
      </c>
      <c r="E64">
        <v>14.25</v>
      </c>
      <c r="F64" s="2">
        <f t="shared" ref="F64:F70" si="0">E64-D64</f>
        <v>-1.6106156408568495E-9</v>
      </c>
      <c r="G64" s="20">
        <f>0.008*(E64)^0.5+0.0004*E64+0.03</f>
        <v>6.5899337741083003E-2</v>
      </c>
      <c r="H64" s="20">
        <f>G64-ABS(F64)</f>
        <v>6.5899336130467362E-2</v>
      </c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31</v>
      </c>
    </row>
    <row r="65" spans="3:20" x14ac:dyDescent="0.35">
      <c r="C65" s="15" t="s">
        <v>170</v>
      </c>
      <c r="D65" s="16">
        <f>((T73-T47)^2+(S73-S47)^2)^0.5</f>
        <v>13.466956755876975</v>
      </c>
      <c r="E65" s="15">
        <v>12.22</v>
      </c>
      <c r="F65" s="16">
        <f t="shared" si="0"/>
        <v>-1.2469567558769743</v>
      </c>
      <c r="G65" s="20">
        <f t="shared" ref="G65:G75" si="1">0.008*(E65)^0.5+0.0004*E65+0.03</f>
        <v>6.2853693268717661E-2</v>
      </c>
      <c r="H65" s="21">
        <f t="shared" ref="H65:H75" si="2">G65-ABS(F65)</f>
        <v>-1.1841030626082567</v>
      </c>
    </row>
    <row r="66" spans="3:20" x14ac:dyDescent="0.35">
      <c r="C66" t="s">
        <v>171</v>
      </c>
      <c r="D66" s="2">
        <f>((S47-S50)^2+(T47-T50)^2)^0.5</f>
        <v>120.7703928399479</v>
      </c>
      <c r="E66">
        <v>120.83</v>
      </c>
      <c r="F66" s="2">
        <f t="shared" si="0"/>
        <v>5.9607160052095765E-2</v>
      </c>
      <c r="G66" s="20">
        <f t="shared" si="1"/>
        <v>0.16627016008991771</v>
      </c>
      <c r="H66" s="20">
        <f t="shared" si="2"/>
        <v>0.10666300003782195</v>
      </c>
      <c r="P66" t="s">
        <v>130</v>
      </c>
    </row>
    <row r="67" spans="3:20" x14ac:dyDescent="0.35">
      <c r="C67" t="s">
        <v>162</v>
      </c>
      <c r="D67" s="2">
        <f>((S24-S50)^2+(T24-T50)^2)^0.5</f>
        <v>12.365079182360498</v>
      </c>
      <c r="E67">
        <v>12.22</v>
      </c>
      <c r="F67" s="2">
        <f t="shared" si="0"/>
        <v>-0.14507918236049733</v>
      </c>
      <c r="G67" s="20">
        <f t="shared" si="1"/>
        <v>6.2853693268717661E-2</v>
      </c>
      <c r="H67" s="22">
        <f>G67-ABS(F67)</f>
        <v>-8.2225489091779666E-2</v>
      </c>
    </row>
    <row r="68" spans="3:20" x14ac:dyDescent="0.35">
      <c r="C68" t="s">
        <v>163</v>
      </c>
      <c r="D68" s="2">
        <f>((S24-S21)^2+(T24-T21)^2)^0.5</f>
        <v>14.424466381369534</v>
      </c>
      <c r="E68">
        <v>14.57</v>
      </c>
      <c r="F68" s="2">
        <f t="shared" si="0"/>
        <v>0.14553361863046632</v>
      </c>
      <c r="G68" s="20">
        <f t="shared" si="1"/>
        <v>6.63645354943877E-2</v>
      </c>
      <c r="H68" s="22">
        <f>G68-ABS(F68)</f>
        <v>-7.9169083136078622E-2</v>
      </c>
      <c r="P68" t="s">
        <v>43</v>
      </c>
    </row>
    <row r="69" spans="3:20" x14ac:dyDescent="0.35">
      <c r="C69" t="s">
        <v>164</v>
      </c>
      <c r="D69" s="2">
        <f>((S28-S21)^2+(T28-T21)^2)^0.5</f>
        <v>51.524809405148389</v>
      </c>
      <c r="E69">
        <v>51.52</v>
      </c>
      <c r="F69" s="2">
        <f t="shared" si="0"/>
        <v>-4.8094051483857925E-3</v>
      </c>
      <c r="G69" s="20">
        <f t="shared" si="1"/>
        <v>0.10802994702376435</v>
      </c>
      <c r="H69" s="20">
        <f>G69-ABS(F69)</f>
        <v>0.10322054187537856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14.469172789182094</v>
      </c>
      <c r="E70">
        <v>14.51</v>
      </c>
      <c r="F70" s="2">
        <f t="shared" si="0"/>
        <v>4.0827210817905524E-2</v>
      </c>
      <c r="G70" s="20">
        <f t="shared" si="1"/>
        <v>6.6277595127585451E-2</v>
      </c>
      <c r="H70" s="20">
        <f>G70-ABS(F70)</f>
        <v>2.5450384309679927E-2</v>
      </c>
      <c r="P70" t="s">
        <v>132</v>
      </c>
      <c r="Q70">
        <f>12.22</f>
        <v>12.22</v>
      </c>
    </row>
    <row r="71" spans="3:20" x14ac:dyDescent="0.35">
      <c r="C71" s="11" t="s">
        <v>166</v>
      </c>
      <c r="D71" s="12">
        <f>((S61-S31)^2+(T61-T31)^2)^0.5</f>
        <v>12.157753691142897</v>
      </c>
      <c r="E71" s="11">
        <v>12.17</v>
      </c>
      <c r="F71" s="12">
        <f>E71-D71</f>
        <v>1.2246308857102761E-2</v>
      </c>
      <c r="G71" s="20">
        <f t="shared" si="1"/>
        <v>6.2776421668019847E-2</v>
      </c>
      <c r="H71" s="23">
        <f t="shared" si="2"/>
        <v>5.0530112810917086E-2</v>
      </c>
      <c r="P71" t="s">
        <v>133</v>
      </c>
      <c r="Q71">
        <f>ATAN(Q70/Q69)*(200/PI())</f>
        <v>45.12726318413641</v>
      </c>
    </row>
    <row r="72" spans="3:20" x14ac:dyDescent="0.35">
      <c r="C72" s="11" t="s">
        <v>167</v>
      </c>
      <c r="D72" s="12">
        <f>((S61-S58)^2+(T61-T58)^2)^0.5</f>
        <v>120.67531893781634</v>
      </c>
      <c r="E72" s="11">
        <v>120.8</v>
      </c>
      <c r="F72" s="12">
        <f>E72-D72</f>
        <v>0.12468106218365449</v>
      </c>
      <c r="G72" s="20">
        <f t="shared" si="1"/>
        <v>0.16624724264981816</v>
      </c>
      <c r="H72" s="23">
        <f t="shared" si="2"/>
        <v>4.1566180466163671E-2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s="11" t="s">
        <v>168</v>
      </c>
      <c r="D73" s="12">
        <f>((S55-S58)^2+(T55-T58)^2)^0.5</f>
        <v>12.218626518699654</v>
      </c>
      <c r="E73" s="11">
        <v>12.17</v>
      </c>
      <c r="F73" s="12">
        <f>E73-D73</f>
        <v>-4.8626518699654397E-2</v>
      </c>
      <c r="G73" s="20">
        <f t="shared" si="1"/>
        <v>6.2776421668019847E-2</v>
      </c>
      <c r="H73" s="23">
        <f t="shared" si="2"/>
        <v>1.4149902968365449E-2</v>
      </c>
      <c r="S73">
        <f>S18+Q69*SIN(R72*(PI()/200))</f>
        <v>32691193.904290069</v>
      </c>
      <c r="T73">
        <f>T18+Q69*COS(R72*(PI()/200))</f>
        <v>5335922.1096398355</v>
      </c>
    </row>
    <row r="74" spans="3:20" x14ac:dyDescent="0.35">
      <c r="C74" s="18" t="s">
        <v>172</v>
      </c>
      <c r="D74" s="19">
        <f>((S55-S81)^2+(T55-T81)^2)^0.5</f>
        <v>21.407167522749091</v>
      </c>
      <c r="E74" s="18">
        <v>14.35</v>
      </c>
      <c r="F74" s="19">
        <f>E74-D74</f>
        <v>-7.0571675227490918</v>
      </c>
      <c r="G74" s="20">
        <f t="shared" si="1"/>
        <v>6.6045115079801292E-2</v>
      </c>
      <c r="H74" s="21">
        <f t="shared" si="2"/>
        <v>-6.9911224076692902</v>
      </c>
    </row>
    <row r="75" spans="3:20" x14ac:dyDescent="0.35">
      <c r="C75" s="18" t="s">
        <v>173</v>
      </c>
      <c r="D75" s="19">
        <f>((S18-S81)^2+(T18-T81)^2)^0.5</f>
        <v>41.420295825666322</v>
      </c>
      <c r="E75" s="18">
        <v>51.69</v>
      </c>
      <c r="F75" s="17">
        <f>E75-D75</f>
        <v>10.269704174333675</v>
      </c>
      <c r="G75" s="20">
        <f t="shared" si="1"/>
        <v>0.10819260629765981</v>
      </c>
      <c r="H75" s="21">
        <f t="shared" si="2"/>
        <v>-10.161511568036016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103.53080213643861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AC81"/>
  <sheetViews>
    <sheetView topLeftCell="N1" zoomScaleNormal="100" workbookViewId="0">
      <selection activeCell="V17" sqref="V17:AA23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  <col min="26" max="27" width="11.269531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88</v>
      </c>
      <c r="O2" s="4" t="s">
        <v>89</v>
      </c>
      <c r="P2" s="4"/>
      <c r="R2" s="5" t="s">
        <v>39</v>
      </c>
      <c r="S2" s="5" t="s">
        <v>90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105</v>
      </c>
      <c r="S3">
        <f>S4</f>
        <v>4468045.5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4468045.5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92</v>
      </c>
      <c r="P5">
        <f>S5-4500000</f>
        <v>-31820.969999999739</v>
      </c>
      <c r="R5" t="s">
        <v>29</v>
      </c>
      <c r="S5">
        <v>4468179.03</v>
      </c>
      <c r="T5">
        <v>5334489.3499999996</v>
      </c>
      <c r="AA5" s="33" t="s">
        <v>1</v>
      </c>
      <c r="AB5">
        <f>T4</f>
        <v>5334162.2300000004</v>
      </c>
      <c r="AC5">
        <f>S4</f>
        <v>4468045.5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93</v>
      </c>
      <c r="P6" s="3">
        <f>((P5^2)/(2*P3^2))-(P4/P3)</f>
        <v>-6.828286215076401E-5</v>
      </c>
      <c r="V6" t="s">
        <v>96</v>
      </c>
      <c r="AA6" s="33" t="s">
        <v>29</v>
      </c>
      <c r="AB6">
        <f>T5</f>
        <v>5334489.3499999996</v>
      </c>
      <c r="AC6">
        <f>S5</f>
        <v>4468179.03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7" t="s">
        <v>106</v>
      </c>
      <c r="V7" t="s">
        <v>97</v>
      </c>
      <c r="W7">
        <f>S5-S4</f>
        <v>133.53000000026077</v>
      </c>
      <c r="X7">
        <f>T5-T4</f>
        <v>327.11999999918044</v>
      </c>
      <c r="AA7" s="33" t="s">
        <v>2</v>
      </c>
      <c r="AB7">
        <f>T9</f>
        <v>5334522.4345107619</v>
      </c>
      <c r="AC7">
        <f>S9</f>
        <v>4468000.2438050555</v>
      </c>
    </row>
    <row r="8" spans="1:29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5334596.7183158556</v>
      </c>
      <c r="AC8">
        <f>S10</f>
        <v>4468012.6451004166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  <c r="AA9" s="33" t="s">
        <v>3</v>
      </c>
      <c r="AB9">
        <f>T11</f>
        <v>5334573.8884181203</v>
      </c>
      <c r="AC9">
        <f>S11</f>
        <v>4468186.3382023834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95</v>
      </c>
      <c r="W10" s="2">
        <f>UTM_KOORDS!W10</f>
        <v>8.8069188424111822</v>
      </c>
      <c r="X10">
        <f>ACOS((W7*W8+X7*X8)/((W7^2+X7^2)^0.5*(X8)^0.5))*(400/PI())</f>
        <v>49.344944510235905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100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102</v>
      </c>
      <c r="W13" s="2">
        <f>200+W12+(400-I23)-400</f>
        <v>108.3199188424112</v>
      </c>
    </row>
    <row r="14" spans="1:29" x14ac:dyDescent="0.35">
      <c r="L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8" t="s">
        <v>108</v>
      </c>
      <c r="R16" t="s">
        <v>4</v>
      </c>
    </row>
    <row r="17" spans="1:28" x14ac:dyDescent="0.35"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  <c r="AB17" t="s">
        <v>232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23.558391255767727</v>
      </c>
      <c r="Z19" s="2">
        <f>S5+Y19*SIN(X19*(PI()/200))</f>
        <v>4468192.1177255353</v>
      </c>
      <c r="AA19" s="2">
        <f>T5+Y19*COS(X19*(PI()/200))</f>
        <v>5334508.938497616</v>
      </c>
      <c r="AB19" s="2">
        <f>((Z19-S5)^2+(AA19-T5)^2)^0.5</f>
        <v>23.558391255478075</v>
      </c>
    </row>
    <row r="20" spans="1:28" x14ac:dyDescent="0.35"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15.3149541796833</v>
      </c>
      <c r="Z20" s="2">
        <f>S9+Y20*SIN(X20*(PI()/200))</f>
        <v>4468008.9075154802</v>
      </c>
      <c r="AA20" s="2">
        <f>T9+Y20*COS(X20*(PI()/200))</f>
        <v>5334509.8056571642</v>
      </c>
      <c r="AB20" s="2" t="e">
        <f>((Z20-#REF!)^2+(AA20-#REF!)^2)^0.5</f>
        <v>#REF!</v>
      </c>
    </row>
    <row r="21" spans="1:28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  <c r="V21" s="1"/>
      <c r="W21" t="s">
        <v>19</v>
      </c>
      <c r="X21">
        <f>Tabelle1!AH33</f>
        <v>179.49900000000002</v>
      </c>
      <c r="Y21" s="2">
        <f>L36</f>
        <v>28.508053255600082</v>
      </c>
      <c r="Z21" s="2">
        <f>S9+Y21*SIN(X21*(PI()/200))</f>
        <v>4468009.2663720753</v>
      </c>
      <c r="AA21" s="2">
        <f>T9+Y21*COS(X21*(PI()/200))</f>
        <v>5334495.3919076184</v>
      </c>
      <c r="AB21" t="e">
        <f>((Z21-#REF!)^2+(AA21-#REF!)^2)^0.5</f>
        <v>#REF!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19.509667733076576</v>
      </c>
      <c r="Z22" s="2">
        <f>S10+Y22*SIN(X22*(PI()/200))</f>
        <v>4467997.4821159774</v>
      </c>
      <c r="AA22" s="2">
        <f>T10+Y22*COS(X22*(PI()/200))</f>
        <v>5334584.4418734582</v>
      </c>
      <c r="AB22" t="e">
        <f>((Z22-#REF!)^2+(AA22-#REF!)^2)^0.5</f>
        <v>#REF!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30.555913412298398</v>
      </c>
      <c r="Z23" s="2">
        <f>S10+Y23*SIN(X23*(PI()/200))</f>
        <v>4467997.8492374308</v>
      </c>
      <c r="AA23" s="2">
        <f>T10+Y23*COS(X23*(PI()/200))</f>
        <v>5334569.9835766023</v>
      </c>
      <c r="AB23" s="2" t="e">
        <f>((Z23-#REF!)^2+(AA23-#REF!)^2)^0.5</f>
        <v>#REF!</v>
      </c>
    </row>
    <row r="24" spans="1:28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8" t="s">
        <v>113</v>
      </c>
      <c r="R26" t="s">
        <v>16</v>
      </c>
    </row>
    <row r="27" spans="1:28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114</v>
      </c>
      <c r="R27" s="2">
        <f>W12+200+(400-I23+C27)-400</f>
        <v>168.31391884241123</v>
      </c>
    </row>
    <row r="28" spans="1:28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8" x14ac:dyDescent="0.35">
      <c r="L29" s="2"/>
      <c r="R29" t="s">
        <v>17</v>
      </c>
    </row>
    <row r="30" spans="1:28" x14ac:dyDescent="0.35">
      <c r="A30" s="1" t="s">
        <v>18</v>
      </c>
      <c r="L30" s="2"/>
      <c r="Q30" t="s">
        <v>115</v>
      </c>
      <c r="R30" s="2">
        <f>W12+200+(400-I23+C28)-400</f>
        <v>143.82091884241117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117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54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8" t="s">
        <v>119</v>
      </c>
      <c r="Q38" t="s">
        <v>120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121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63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7" t="s">
        <v>122</v>
      </c>
    </row>
    <row r="44" spans="1:20" x14ac:dyDescent="0.35">
      <c r="L44" s="2"/>
      <c r="Q44" s="8" t="s">
        <v>123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124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125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>K51*P6+K51</f>
        <v>90.480821288652564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41</v>
      </c>
    </row>
    <row r="60" spans="2:23" x14ac:dyDescent="0.35">
      <c r="D60" t="s">
        <v>159</v>
      </c>
      <c r="Q60" t="s">
        <v>128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H63" t="s">
        <v>174</v>
      </c>
      <c r="Q63" t="s">
        <v>129</v>
      </c>
      <c r="R63" s="2">
        <f>R40+200+C51-400</f>
        <v>296.06520882697191</v>
      </c>
    </row>
    <row r="64" spans="2:23" x14ac:dyDescent="0.35">
      <c r="C64" t="s">
        <v>169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 t="shared" ref="H64:H75" si="0"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31</v>
      </c>
    </row>
    <row r="65" spans="3:20" x14ac:dyDescent="0.35">
      <c r="C65" t="s">
        <v>170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1">F65-D65</f>
        <v>-1.2422174556736589</v>
      </c>
      <c r="H65" s="2">
        <f t="shared" si="0"/>
        <v>6.2853693268717661E-2</v>
      </c>
      <c r="I65" s="10">
        <f t="shared" ref="I65:I75" si="2">H65-ABS(G65)</f>
        <v>-1.1793637624049413</v>
      </c>
    </row>
    <row r="66" spans="3:20" x14ac:dyDescent="0.35">
      <c r="C66" t="s">
        <v>171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1"/>
        <v>0.10342515036192879</v>
      </c>
      <c r="H66" s="2">
        <f t="shared" si="0"/>
        <v>0.16627016008991771</v>
      </c>
      <c r="I66" s="2">
        <f t="shared" si="2"/>
        <v>6.2845009727988926E-2</v>
      </c>
      <c r="P66" t="s">
        <v>130</v>
      </c>
    </row>
    <row r="67" spans="3:20" x14ac:dyDescent="0.35">
      <c r="C67" t="s">
        <v>162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1"/>
        <v>-0.14055074588101135</v>
      </c>
      <c r="H67" s="2">
        <f t="shared" si="0"/>
        <v>6.2853693268717661E-2</v>
      </c>
      <c r="I67" s="24">
        <f>H67-ABS(G67)</f>
        <v>-7.7697052612293691E-2</v>
      </c>
    </row>
    <row r="68" spans="3:20" x14ac:dyDescent="0.35">
      <c r="C68" t="s">
        <v>163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1"/>
        <v>0.15078907047830192</v>
      </c>
      <c r="H68" s="2">
        <f t="shared" si="0"/>
        <v>6.63645354943877E-2</v>
      </c>
      <c r="I68" s="24">
        <f>H68-ABS(G68)</f>
        <v>-8.4424534983914223E-2</v>
      </c>
      <c r="P68" t="s">
        <v>43</v>
      </c>
    </row>
    <row r="69" spans="3:20" x14ac:dyDescent="0.35">
      <c r="C69" t="s">
        <v>164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1"/>
        <v>1.430158614988386E-2</v>
      </c>
      <c r="H69" s="2">
        <f t="shared" si="0"/>
        <v>0.10802994702376435</v>
      </c>
      <c r="I69" s="2">
        <f>H69-ABS(G69)</f>
        <v>9.3728360873880492E-2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1"/>
        <v>4.6052182094722838E-2</v>
      </c>
      <c r="H70" s="2">
        <f t="shared" si="0"/>
        <v>6.6277595127585451E-2</v>
      </c>
      <c r="I70" s="2">
        <f>H70-ABS(G70)</f>
        <v>2.0225413032862613E-2</v>
      </c>
      <c r="P70" t="s">
        <v>132</v>
      </c>
      <c r="Q70">
        <f>12.22</f>
        <v>12.22</v>
      </c>
    </row>
    <row r="71" spans="3:20" x14ac:dyDescent="0.35">
      <c r="C71" t="s">
        <v>166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1"/>
        <v>1.6811326064742005E-2</v>
      </c>
      <c r="H71" s="2">
        <f t="shared" si="0"/>
        <v>6.2776421668019847E-2</v>
      </c>
      <c r="I71" s="2">
        <f t="shared" si="2"/>
        <v>4.5965095603277842E-2</v>
      </c>
      <c r="P71" t="s">
        <v>133</v>
      </c>
      <c r="Q71">
        <f>ATAN(Q70/Q69)*(200/PI())</f>
        <v>45.12726318413641</v>
      </c>
    </row>
    <row r="72" spans="3:20" x14ac:dyDescent="0.35">
      <c r="C72" t="s">
        <v>167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1"/>
        <v>0.1684530447553243</v>
      </c>
      <c r="H72" s="2">
        <f t="shared" si="0"/>
        <v>0.16624724264981816</v>
      </c>
      <c r="I72" s="25">
        <f t="shared" si="2"/>
        <v>-2.2058021055061383E-3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t="s">
        <v>168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1"/>
        <v>-4.419768696488191E-2</v>
      </c>
      <c r="H73" s="2">
        <f t="shared" si="0"/>
        <v>6.2776421668019847E-2</v>
      </c>
      <c r="I73" s="2">
        <f t="shared" si="2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172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1"/>
        <v>-7.0555489958165687</v>
      </c>
      <c r="H74" s="2">
        <f t="shared" si="0"/>
        <v>6.6045115079801292E-2</v>
      </c>
      <c r="I74" s="10">
        <f t="shared" si="2"/>
        <v>-6.9895038807367671</v>
      </c>
    </row>
    <row r="75" spans="3:20" x14ac:dyDescent="0.35">
      <c r="C75" t="s">
        <v>173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1"/>
        <v>10.282652803750381</v>
      </c>
      <c r="H75" s="2">
        <f t="shared" si="0"/>
        <v>0.10819260629765981</v>
      </c>
      <c r="I75" s="10">
        <f t="shared" si="2"/>
        <v>-10.174460197452721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103.5307994316756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UTM_KOORDS</vt:lpstr>
      <vt:lpstr>GK_KOORDS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2020-12-13T21:25:13Z</dcterms:modified>
</cp:coreProperties>
</file>