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rgit\geo_inf\GeodäsieGrundlagen1\uebung2\GG1_Uebung2\"/>
    </mc:Choice>
  </mc:AlternateContent>
  <xr:revisionPtr revIDLastSave="0" documentId="13_ncr:1_{19E697A5-99F8-466E-B5BD-506F51D60CC5}" xr6:coauthVersionLast="45" xr6:coauthVersionMax="45" xr10:uidLastSave="{00000000-0000-0000-0000-000000000000}"/>
  <bookViews>
    <workbookView xWindow="-110" yWindow="-110" windowWidth="19420" windowHeight="10420" xr2:uid="{322649BC-9BD6-49F6-A3FA-A1E1C677AF44}"/>
  </bookViews>
  <sheets>
    <sheet name="Tabelle1" sheetId="1" r:id="rId1"/>
    <sheet name="GK" sheetId="2" r:id="rId2"/>
    <sheet name="UT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21" i="1" l="1"/>
  <c r="W21" i="1"/>
  <c r="Q95" i="1"/>
  <c r="W24" i="1"/>
  <c r="Q82" i="1" s="1"/>
  <c r="Q67" i="1"/>
  <c r="Q69" i="1" s="1"/>
  <c r="R67" i="1"/>
  <c r="Q94" i="1"/>
  <c r="Q93" i="1"/>
  <c r="Q97" i="1"/>
  <c r="T92" i="1"/>
  <c r="Q92" i="1"/>
  <c r="R97" i="1"/>
  <c r="R94" i="1"/>
  <c r="R90" i="1"/>
  <c r="Q90" i="1"/>
  <c r="T91" i="1"/>
  <c r="R91" i="1"/>
  <c r="Q91" i="1"/>
  <c r="X14" i="1"/>
  <c r="W14" i="1"/>
  <c r="Q87" i="1"/>
  <c r="Q86" i="1"/>
  <c r="Q83" i="1"/>
  <c r="Q85" i="1"/>
  <c r="R85" i="1"/>
  <c r="T82" i="1"/>
  <c r="Q84" i="1"/>
  <c r="R82" i="1"/>
  <c r="R81" i="1"/>
  <c r="Q81" i="1"/>
  <c r="Y11" i="1"/>
  <c r="W11" i="1"/>
  <c r="J84" i="1" s="1"/>
  <c r="L84" i="1" s="1"/>
  <c r="L89" i="1"/>
  <c r="L90" i="1"/>
  <c r="J90" i="1"/>
  <c r="K90" i="1"/>
  <c r="K89" i="1"/>
  <c r="J89" i="1"/>
  <c r="C89" i="1"/>
  <c r="K84" i="1"/>
  <c r="R69" i="1" l="1"/>
  <c r="Q96" i="1"/>
  <c r="R96" i="1"/>
  <c r="R86" i="1"/>
  <c r="S10" i="1"/>
  <c r="S14" i="1"/>
  <c r="T10" i="1"/>
  <c r="X5" i="1"/>
  <c r="G65" i="3"/>
  <c r="G66" i="3"/>
  <c r="G67" i="3"/>
  <c r="G68" i="3"/>
  <c r="G69" i="3"/>
  <c r="G70" i="3"/>
  <c r="G71" i="3"/>
  <c r="G72" i="3"/>
  <c r="G73" i="3"/>
  <c r="G74" i="3"/>
  <c r="G75" i="3"/>
  <c r="G64" i="3"/>
  <c r="F75" i="3"/>
  <c r="F74" i="3"/>
  <c r="F73" i="3"/>
  <c r="F72" i="3"/>
  <c r="F71" i="3"/>
  <c r="F70" i="3"/>
  <c r="F69" i="3"/>
  <c r="F68" i="3"/>
  <c r="F67" i="3"/>
  <c r="F66" i="3"/>
  <c r="F65" i="3"/>
  <c r="F64" i="3"/>
  <c r="L6" i="3"/>
  <c r="H75" i="3"/>
  <c r="D75" i="3"/>
  <c r="H74" i="3"/>
  <c r="D74" i="3"/>
  <c r="H73" i="3"/>
  <c r="D73" i="3"/>
  <c r="H72" i="3"/>
  <c r="D72" i="3"/>
  <c r="H71" i="3"/>
  <c r="D71" i="3"/>
  <c r="H70" i="3"/>
  <c r="D70" i="3"/>
  <c r="H69" i="3"/>
  <c r="D69" i="3"/>
  <c r="H68" i="3"/>
  <c r="D68" i="3"/>
  <c r="H67" i="3"/>
  <c r="D67" i="3"/>
  <c r="H66" i="3"/>
  <c r="D66" i="3"/>
  <c r="H65" i="3"/>
  <c r="D65" i="3"/>
  <c r="H64" i="3"/>
  <c r="D64" i="3"/>
  <c r="R60" i="3"/>
  <c r="R63" i="3"/>
  <c r="D74" i="2"/>
  <c r="D75" i="2"/>
  <c r="F75" i="2" s="1"/>
  <c r="D73" i="2"/>
  <c r="F73" i="2"/>
  <c r="D72" i="2"/>
  <c r="F72" i="2"/>
  <c r="D71" i="2"/>
  <c r="D70" i="2"/>
  <c r="H70" i="2"/>
  <c r="F70" i="2"/>
  <c r="D69" i="2"/>
  <c r="H69" i="2"/>
  <c r="F69" i="2"/>
  <c r="D68" i="2"/>
  <c r="H68" i="2"/>
  <c r="F68" i="2"/>
  <c r="D67" i="2"/>
  <c r="H67" i="2"/>
  <c r="F65" i="2"/>
  <c r="F66" i="2"/>
  <c r="F67" i="2"/>
  <c r="D66" i="2"/>
  <c r="D65" i="2"/>
  <c r="D64" i="2"/>
  <c r="F64" i="2"/>
  <c r="H64" i="2" s="1"/>
  <c r="G75" i="2"/>
  <c r="G74" i="2"/>
  <c r="F74" i="2"/>
  <c r="G73" i="2"/>
  <c r="G72" i="2"/>
  <c r="G71" i="2"/>
  <c r="F71" i="2"/>
  <c r="G70" i="2"/>
  <c r="G69" i="2"/>
  <c r="G68" i="2"/>
  <c r="G67" i="2"/>
  <c r="G66" i="2"/>
  <c r="G65" i="2"/>
  <c r="G64" i="2"/>
  <c r="G85" i="1"/>
  <c r="G86" i="1"/>
  <c r="G87" i="1"/>
  <c r="F84" i="1"/>
  <c r="F85" i="1"/>
  <c r="F86" i="1"/>
  <c r="F87" i="1"/>
  <c r="F88" i="1"/>
  <c r="F89" i="1"/>
  <c r="F90" i="1"/>
  <c r="F91" i="1"/>
  <c r="F92" i="1"/>
  <c r="F93" i="1"/>
  <c r="F94" i="1"/>
  <c r="F83" i="1"/>
  <c r="C85" i="1"/>
  <c r="R95" i="1" l="1"/>
  <c r="R87" i="1"/>
  <c r="I68" i="3"/>
  <c r="I74" i="3"/>
  <c r="I64" i="3"/>
  <c r="I66" i="3"/>
  <c r="I70" i="3"/>
  <c r="I72" i="3"/>
  <c r="I65" i="3"/>
  <c r="I67" i="3"/>
  <c r="I69" i="3"/>
  <c r="I71" i="3"/>
  <c r="I73" i="3"/>
  <c r="I75" i="3"/>
  <c r="H66" i="2"/>
  <c r="H74" i="2"/>
  <c r="H72" i="2"/>
  <c r="H65" i="2"/>
  <c r="H71" i="2"/>
  <c r="H73" i="2"/>
  <c r="H75" i="2"/>
  <c r="X10" i="2"/>
  <c r="X10" i="3"/>
  <c r="D62" i="1"/>
  <c r="D61" i="1"/>
  <c r="D60" i="1"/>
  <c r="D59" i="1"/>
  <c r="W10" i="3" l="1"/>
  <c r="W10" i="2"/>
  <c r="L51" i="2" l="1"/>
  <c r="L50" i="2"/>
  <c r="L49" i="2"/>
  <c r="L48" i="2"/>
  <c r="L47" i="2"/>
  <c r="L46" i="2"/>
  <c r="L43" i="2"/>
  <c r="L42" i="2"/>
  <c r="L41" i="2"/>
  <c r="L40" i="2"/>
  <c r="L37" i="2"/>
  <c r="L36" i="2"/>
  <c r="L32" i="2"/>
  <c r="L31" i="2"/>
  <c r="L28" i="2"/>
  <c r="L27" i="2"/>
  <c r="L23" i="2"/>
  <c r="L22" i="2"/>
  <c r="L16" i="2"/>
  <c r="L15" i="2"/>
  <c r="L8" i="2"/>
  <c r="L7" i="2"/>
  <c r="L6" i="2"/>
  <c r="P5" i="2"/>
  <c r="Q80" i="3"/>
  <c r="Q78" i="3"/>
  <c r="Q71" i="3"/>
  <c r="Q70" i="3"/>
  <c r="G35" i="3"/>
  <c r="F35" i="3"/>
  <c r="G32" i="3"/>
  <c r="F32" i="3"/>
  <c r="G26" i="3"/>
  <c r="F26" i="3"/>
  <c r="G23" i="3"/>
  <c r="F23" i="3"/>
  <c r="G19" i="3"/>
  <c r="F19" i="3"/>
  <c r="H16" i="3"/>
  <c r="G16" i="3"/>
  <c r="F16" i="3"/>
  <c r="G11" i="3"/>
  <c r="F11" i="3"/>
  <c r="G10" i="3"/>
  <c r="F10" i="3"/>
  <c r="X7" i="3"/>
  <c r="W7" i="3"/>
  <c r="I7" i="3"/>
  <c r="G7" i="3"/>
  <c r="F7" i="3"/>
  <c r="G6" i="3"/>
  <c r="F6" i="3"/>
  <c r="P5" i="3"/>
  <c r="P6" i="3" s="1"/>
  <c r="T3" i="3"/>
  <c r="S3" i="3"/>
  <c r="Q80" i="2"/>
  <c r="Q78" i="2"/>
  <c r="Q71" i="2"/>
  <c r="Q70" i="2"/>
  <c r="S3" i="2"/>
  <c r="T3" i="2"/>
  <c r="X7" i="2"/>
  <c r="W7" i="2"/>
  <c r="P6" i="2"/>
  <c r="G35" i="2"/>
  <c r="F35" i="2"/>
  <c r="G32" i="2"/>
  <c r="F32" i="2"/>
  <c r="G26" i="2"/>
  <c r="F26" i="2"/>
  <c r="G23" i="2"/>
  <c r="F23" i="2"/>
  <c r="G19" i="2"/>
  <c r="F19" i="2"/>
  <c r="H16" i="2"/>
  <c r="G16" i="2"/>
  <c r="F16" i="2"/>
  <c r="G11" i="2"/>
  <c r="F11" i="2"/>
  <c r="G10" i="2"/>
  <c r="F10" i="2"/>
  <c r="I7" i="2"/>
  <c r="G7" i="2"/>
  <c r="F7" i="2"/>
  <c r="G6" i="2"/>
  <c r="F6" i="2"/>
  <c r="W11" i="2" l="1"/>
  <c r="R23" i="2" s="1"/>
  <c r="W11" i="3"/>
  <c r="R17" i="3"/>
  <c r="R72" i="3" s="1"/>
  <c r="L41" i="3"/>
  <c r="L7" i="3"/>
  <c r="L49" i="3"/>
  <c r="L47" i="3"/>
  <c r="L42" i="3"/>
  <c r="L36" i="3"/>
  <c r="L27" i="3"/>
  <c r="L8" i="3"/>
  <c r="L50" i="3"/>
  <c r="L31" i="3"/>
  <c r="L23" i="3"/>
  <c r="L15" i="3"/>
  <c r="L51" i="3"/>
  <c r="L43" i="3"/>
  <c r="L48" i="3"/>
  <c r="L40" i="3"/>
  <c r="L32" i="3"/>
  <c r="L22" i="3"/>
  <c r="L46" i="3"/>
  <c r="L37" i="3"/>
  <c r="L28" i="3"/>
  <c r="L16" i="3"/>
  <c r="Q74" i="1"/>
  <c r="Q66" i="1"/>
  <c r="Q65" i="1"/>
  <c r="Y17" i="1"/>
  <c r="R17" i="2" l="1"/>
  <c r="R72" i="2" s="1"/>
  <c r="T9" i="2"/>
  <c r="T24" i="2" s="1"/>
  <c r="R20" i="2"/>
  <c r="W12" i="2"/>
  <c r="W13" i="2" s="1"/>
  <c r="W14" i="2" s="1"/>
  <c r="T9" i="3"/>
  <c r="S9" i="3"/>
  <c r="Q35" i="3"/>
  <c r="R35" i="3" s="1"/>
  <c r="S18" i="3"/>
  <c r="S73" i="3" s="1"/>
  <c r="T18" i="3"/>
  <c r="T73" i="3" s="1"/>
  <c r="Q39" i="3"/>
  <c r="R39" i="3" s="1"/>
  <c r="R20" i="3"/>
  <c r="R36" i="3"/>
  <c r="R23" i="3"/>
  <c r="W12" i="3"/>
  <c r="Q39" i="2"/>
  <c r="R39" i="2" s="1"/>
  <c r="Q35" i="2"/>
  <c r="R35" i="2" s="1"/>
  <c r="R36" i="2" s="1"/>
  <c r="S9" i="2"/>
  <c r="Z23" i="1"/>
  <c r="Y23" i="1"/>
  <c r="Z17" i="1"/>
  <c r="Z18" i="1"/>
  <c r="Y18" i="1"/>
  <c r="Z24" i="1"/>
  <c r="Q52" i="1"/>
  <c r="Q36" i="1"/>
  <c r="Z16" i="1"/>
  <c r="Z15" i="1"/>
  <c r="D73" i="1" l="1"/>
  <c r="E73" i="1" s="1"/>
  <c r="Q56" i="1"/>
  <c r="R56" i="1" s="1"/>
  <c r="Q57" i="1" s="1"/>
  <c r="Y24" i="1" s="1"/>
  <c r="Q75" i="1" s="1"/>
  <c r="Q76" i="1" s="1"/>
  <c r="Q53" i="1"/>
  <c r="R53" i="1" s="1"/>
  <c r="Q37" i="1"/>
  <c r="T21" i="2"/>
  <c r="S18" i="2"/>
  <c r="S73" i="2" s="1"/>
  <c r="T18" i="2"/>
  <c r="T73" i="2" s="1"/>
  <c r="R27" i="2"/>
  <c r="R40" i="2"/>
  <c r="R63" i="2" s="1"/>
  <c r="T10" i="2"/>
  <c r="T11" i="2" s="1"/>
  <c r="T12" i="2" s="1"/>
  <c r="R30" i="2"/>
  <c r="R49" i="2"/>
  <c r="R46" i="2"/>
  <c r="S37" i="2"/>
  <c r="T37" i="2"/>
  <c r="R30" i="3"/>
  <c r="W13" i="3"/>
  <c r="R27" i="3"/>
  <c r="T21" i="3"/>
  <c r="T10" i="3"/>
  <c r="T24" i="3"/>
  <c r="R49" i="3"/>
  <c r="R46" i="3"/>
  <c r="S37" i="3"/>
  <c r="S21" i="3"/>
  <c r="S24" i="3"/>
  <c r="S10" i="3"/>
  <c r="T37" i="3"/>
  <c r="S10" i="2"/>
  <c r="S24" i="2"/>
  <c r="S21" i="2"/>
  <c r="Y22" i="1"/>
  <c r="Z22" i="1"/>
  <c r="Y13" i="1"/>
  <c r="Y20" i="1"/>
  <c r="Z20" i="1"/>
  <c r="Y12" i="1"/>
  <c r="Z13" i="1"/>
  <c r="Z12" i="1"/>
  <c r="Y25" i="1"/>
  <c r="Z25" i="1"/>
  <c r="Z11" i="1"/>
  <c r="W5" i="1"/>
  <c r="Q12" i="1"/>
  <c r="T6" i="1"/>
  <c r="Q20" i="1"/>
  <c r="Q16" i="1"/>
  <c r="G35" i="1"/>
  <c r="F35" i="1"/>
  <c r="G32" i="1"/>
  <c r="F32" i="1"/>
  <c r="G26" i="1"/>
  <c r="F26" i="1"/>
  <c r="G23" i="1"/>
  <c r="F23" i="1"/>
  <c r="G19" i="1"/>
  <c r="F19" i="1"/>
  <c r="H16" i="1"/>
  <c r="G16" i="1"/>
  <c r="F16" i="1"/>
  <c r="I7" i="1"/>
  <c r="G7" i="1"/>
  <c r="G6" i="1"/>
  <c r="F7" i="1"/>
  <c r="F6" i="1"/>
  <c r="G11" i="1"/>
  <c r="F11" i="1"/>
  <c r="G10" i="1"/>
  <c r="F10" i="1"/>
  <c r="G73" i="1" l="1"/>
  <c r="Q38" i="1"/>
  <c r="X6" i="1"/>
  <c r="D76" i="1" s="1"/>
  <c r="X28" i="1" s="1"/>
  <c r="R60" i="2"/>
  <c r="S41" i="2"/>
  <c r="R57" i="2"/>
  <c r="R79" i="2" s="1"/>
  <c r="T31" i="2"/>
  <c r="V64" i="2" s="1"/>
  <c r="R54" i="2"/>
  <c r="T28" i="2"/>
  <c r="T41" i="2"/>
  <c r="S58" i="2"/>
  <c r="S81" i="2" s="1"/>
  <c r="S61" i="2"/>
  <c r="S64" i="2"/>
  <c r="T47" i="2"/>
  <c r="T50" i="2"/>
  <c r="S47" i="2"/>
  <c r="S50" i="2"/>
  <c r="R40" i="3"/>
  <c r="S41" i="3" s="1"/>
  <c r="W14" i="3"/>
  <c r="S11" i="3"/>
  <c r="S31" i="3"/>
  <c r="U64" i="3" s="1"/>
  <c r="S28" i="3"/>
  <c r="T50" i="3"/>
  <c r="T47" i="3"/>
  <c r="S50" i="3"/>
  <c r="S47" i="3"/>
  <c r="T31" i="3"/>
  <c r="V64" i="3" s="1"/>
  <c r="T28" i="3"/>
  <c r="T41" i="3"/>
  <c r="T11" i="3"/>
  <c r="S11" i="2"/>
  <c r="S12" i="2" s="1"/>
  <c r="S28" i="2"/>
  <c r="S31" i="2"/>
  <c r="U64" i="2" s="1"/>
  <c r="W20" i="1"/>
  <c r="X22" i="1"/>
  <c r="X11" i="1"/>
  <c r="R63" i="1" s="1"/>
  <c r="W12" i="1"/>
  <c r="X12" i="1"/>
  <c r="W25" i="1"/>
  <c r="X20" i="1"/>
  <c r="Q63" i="1"/>
  <c r="Q46" i="1"/>
  <c r="X25" i="1"/>
  <c r="P27" i="1"/>
  <c r="P29" i="1" s="1"/>
  <c r="Q68" i="1" l="1"/>
  <c r="C84" i="1" s="1"/>
  <c r="E84" i="1" s="1"/>
  <c r="G84" i="1" s="1"/>
  <c r="R68" i="1"/>
  <c r="C83" i="1"/>
  <c r="E83" i="1" s="1"/>
  <c r="G83" i="1" s="1"/>
  <c r="X13" i="1"/>
  <c r="C87" i="1"/>
  <c r="E87" i="1" s="1"/>
  <c r="Q47" i="1"/>
  <c r="R47" i="1" s="1"/>
  <c r="D67" i="1"/>
  <c r="E67" i="1" s="1"/>
  <c r="T12" i="3"/>
  <c r="S12" i="3"/>
  <c r="T61" i="2"/>
  <c r="S55" i="2"/>
  <c r="T64" i="2"/>
  <c r="T55" i="2"/>
  <c r="T58" i="2"/>
  <c r="T81" i="2" s="1"/>
  <c r="S61" i="3"/>
  <c r="R54" i="3"/>
  <c r="S55" i="3" s="1"/>
  <c r="R57" i="3"/>
  <c r="R79" i="3" s="1"/>
  <c r="P31" i="1"/>
  <c r="Q48" i="1" l="1"/>
  <c r="Y16" i="1"/>
  <c r="Q49" i="1"/>
  <c r="Y15" i="1"/>
  <c r="G67" i="1"/>
  <c r="D69" i="1"/>
  <c r="D70" i="1"/>
  <c r="T61" i="3"/>
  <c r="T58" i="3"/>
  <c r="T81" i="3" s="1"/>
  <c r="S58" i="3"/>
  <c r="S81" i="3" s="1"/>
  <c r="T55" i="3"/>
  <c r="S64" i="3"/>
  <c r="T64" i="3"/>
  <c r="Q10" i="1"/>
  <c r="Q14" i="1" s="1"/>
  <c r="Q18" i="1" s="1"/>
  <c r="S18" i="1" s="1"/>
  <c r="X27" i="1" l="1"/>
  <c r="E70" i="1"/>
  <c r="W27" i="1"/>
  <c r="W15" i="1" s="1"/>
  <c r="E69" i="1"/>
  <c r="T14" i="1"/>
  <c r="Q64" i="1" l="1"/>
  <c r="W16" i="1"/>
  <c r="X15" i="1"/>
  <c r="R64" i="1" s="1"/>
  <c r="X16" i="1"/>
  <c r="S22" i="1"/>
  <c r="R27" i="1" s="1"/>
  <c r="T18" i="1"/>
  <c r="T22" i="1" s="1"/>
  <c r="R29" i="1" s="1"/>
  <c r="Q22" i="1"/>
  <c r="C86" i="1" l="1"/>
  <c r="E86" i="1" s="1"/>
  <c r="E85" i="1"/>
  <c r="T15" i="1"/>
  <c r="X7" i="1" s="1"/>
  <c r="T19" i="1"/>
  <c r="S19" i="1"/>
  <c r="S15" i="1"/>
  <c r="S11" i="1"/>
  <c r="W6" i="1" s="1"/>
  <c r="D75" i="1" l="1"/>
  <c r="W28" i="1" s="1"/>
  <c r="W23" i="1" s="1"/>
  <c r="J76" i="1"/>
  <c r="K76" i="1" s="1"/>
  <c r="S55" i="1"/>
  <c r="Q55" i="1"/>
  <c r="E76" i="1" s="1"/>
  <c r="X24" i="1"/>
  <c r="R72" i="1" s="1"/>
  <c r="Q78" i="1" s="1"/>
  <c r="X17" i="1"/>
  <c r="X18" i="1"/>
  <c r="R73" i="1" s="1"/>
  <c r="X23" i="1"/>
  <c r="W7" i="1"/>
  <c r="W22" i="1"/>
  <c r="W13" i="1"/>
  <c r="X9" i="1"/>
  <c r="E89" i="1" l="1"/>
  <c r="G89" i="1" s="1"/>
  <c r="C88" i="1"/>
  <c r="E88" i="1" s="1"/>
  <c r="G88" i="1" s="1"/>
  <c r="Q54" i="1"/>
  <c r="E75" i="1" s="1"/>
  <c r="J77" i="1"/>
  <c r="K77" i="1" s="1"/>
  <c r="W9" i="1"/>
  <c r="W18" i="1" l="1"/>
  <c r="Q73" i="1" s="1"/>
  <c r="W17" i="1"/>
  <c r="C92" i="1" l="1"/>
  <c r="Q72" i="1"/>
  <c r="Q77" i="1" s="1"/>
  <c r="C94" i="1" s="1"/>
  <c r="E94" i="1" s="1"/>
  <c r="G94" i="1" s="1"/>
  <c r="E92" i="1"/>
  <c r="G92" i="1" s="1"/>
  <c r="C91" i="1"/>
  <c r="E91" i="1" s="1"/>
  <c r="G91" i="1" s="1"/>
  <c r="C90" i="1"/>
  <c r="E90" i="1" s="1"/>
  <c r="G90" i="1" s="1"/>
  <c r="C93" i="1" l="1"/>
  <c r="E93" i="1" s="1"/>
  <c r="G93" i="1" s="1"/>
</calcChain>
</file>

<file path=xl/sharedStrings.xml><?xml version="1.0" encoding="utf-8"?>
<sst xmlns="http://schemas.openxmlformats.org/spreadsheetml/2006/main" count="506" uniqueCount="184">
  <si>
    <t>Standpunkt 3021A</t>
  </si>
  <si>
    <t>Obelisk</t>
  </si>
  <si>
    <t>P1</t>
  </si>
  <si>
    <t>P3</t>
  </si>
  <si>
    <t>A</t>
  </si>
  <si>
    <t>Lage 1</t>
  </si>
  <si>
    <t>Lage2</t>
  </si>
  <si>
    <t>Abl 2 red.</t>
  </si>
  <si>
    <t>Abl 1 red.</t>
  </si>
  <si>
    <t>Satzmittel</t>
  </si>
  <si>
    <t>Gesamtmittel</t>
  </si>
  <si>
    <t>Entfernung</t>
  </si>
  <si>
    <t>Standpunkt P3</t>
  </si>
  <si>
    <t>3021A</t>
  </si>
  <si>
    <t>P2</t>
  </si>
  <si>
    <t>Standpunkt P2</t>
  </si>
  <si>
    <t>C</t>
  </si>
  <si>
    <t>L</t>
  </si>
  <si>
    <t>Standpunkt P1</t>
  </si>
  <si>
    <t>J</t>
  </si>
  <si>
    <t>B</t>
  </si>
  <si>
    <t>Freie Stationierung Süd</t>
  </si>
  <si>
    <t>F</t>
  </si>
  <si>
    <t>E</t>
  </si>
  <si>
    <t>Freie Stationierung Nord</t>
  </si>
  <si>
    <t>PM</t>
  </si>
  <si>
    <t>PH</t>
  </si>
  <si>
    <t>PG</t>
  </si>
  <si>
    <t>PL</t>
  </si>
  <si>
    <t>P3021A</t>
  </si>
  <si>
    <t>s</t>
  </si>
  <si>
    <t>y</t>
  </si>
  <si>
    <t>x</t>
  </si>
  <si>
    <t>Winkelprobe:</t>
  </si>
  <si>
    <t>Abweichungsfehler:</t>
  </si>
  <si>
    <t>Abweichung pro Winkel:</t>
  </si>
  <si>
    <t xml:space="preserve">Winkel </t>
  </si>
  <si>
    <t>Wiederspruch y:</t>
  </si>
  <si>
    <t>Wiederspruch x:</t>
  </si>
  <si>
    <t>Berechnung Polygonzüge im örtlichen Koordinatensystem</t>
  </si>
  <si>
    <t>Koordinaten</t>
  </si>
  <si>
    <t>D</t>
  </si>
  <si>
    <t>G</t>
  </si>
  <si>
    <t>H</t>
  </si>
  <si>
    <t>K</t>
  </si>
  <si>
    <t>M</t>
  </si>
  <si>
    <t>winkel</t>
  </si>
  <si>
    <t>strecke</t>
  </si>
  <si>
    <t>Punkt</t>
  </si>
  <si>
    <t>Freie Stationierung</t>
  </si>
  <si>
    <t>Punkt 1</t>
  </si>
  <si>
    <t>Strecke P1-P2</t>
  </si>
  <si>
    <t>alpha</t>
  </si>
  <si>
    <t>Stationierpunkt1</t>
  </si>
  <si>
    <t>Stationierpunkt2</t>
  </si>
  <si>
    <t>FSP1</t>
  </si>
  <si>
    <t>Richtungswinkel</t>
  </si>
  <si>
    <t>t(0,1)</t>
  </si>
  <si>
    <t>t(1,2)</t>
  </si>
  <si>
    <t>t(2,3)</t>
  </si>
  <si>
    <t>t(3,0)</t>
  </si>
  <si>
    <t>Punkt 2</t>
  </si>
  <si>
    <t>Strecke P2-P3</t>
  </si>
  <si>
    <t>polares Anhängen über Punkt P3</t>
  </si>
  <si>
    <t>FSP2</t>
  </si>
  <si>
    <t>alpha(P3)</t>
  </si>
  <si>
    <t>beta (P2)</t>
  </si>
  <si>
    <t>t(P2,FSP2)</t>
  </si>
  <si>
    <t>(Wert aus Handriss -&gt; unterschiedlich zu Tabelle)</t>
  </si>
  <si>
    <t>Berechnung ausanderen Koordinatenpunkten</t>
  </si>
  <si>
    <t>von A</t>
  </si>
  <si>
    <t>von E</t>
  </si>
  <si>
    <t>Winkel alpha (A) im Dreieck AEK</t>
  </si>
  <si>
    <t>Seite zu K (aus Handriss)</t>
  </si>
  <si>
    <t>gon</t>
  </si>
  <si>
    <t>t(P0,A)</t>
  </si>
  <si>
    <t>t(A,K)</t>
  </si>
  <si>
    <t>yk</t>
  </si>
  <si>
    <t>xk</t>
  </si>
  <si>
    <t>von M</t>
  </si>
  <si>
    <t>von H</t>
  </si>
  <si>
    <t>Seite zu D (aus Handriss)</t>
  </si>
  <si>
    <t>Winkel alpha(H)</t>
  </si>
  <si>
    <t>H-M</t>
  </si>
  <si>
    <t>t(FSP2,M)</t>
  </si>
  <si>
    <t>t(M,D)</t>
  </si>
  <si>
    <t>?</t>
  </si>
  <si>
    <t>yd</t>
  </si>
  <si>
    <t>xd</t>
  </si>
  <si>
    <t>Entfernung GK-reduziert</t>
  </si>
  <si>
    <t>GK-Reduktion</t>
  </si>
  <si>
    <t>Rechtswert</t>
  </si>
  <si>
    <t>mittlere Höhe</t>
  </si>
  <si>
    <t>Ordinatenwert</t>
  </si>
  <si>
    <t>s_KorrekturWert</t>
  </si>
  <si>
    <t>Koordinaten Polygonzug</t>
  </si>
  <si>
    <t>t(Obelisk, P3021A)</t>
  </si>
  <si>
    <t>Richtungswinkel A,Obelisk aus Vektorenberechung</t>
  </si>
  <si>
    <t>OP0</t>
  </si>
  <si>
    <t>OX</t>
  </si>
  <si>
    <t>Hochwert</t>
  </si>
  <si>
    <t>T(P3021A,P1)</t>
  </si>
  <si>
    <t>T(P1,P2)</t>
  </si>
  <si>
    <t>T(P2,P3)</t>
  </si>
  <si>
    <t>T(P3,P3021A)</t>
  </si>
  <si>
    <t>Formel: yi = y(i-1) + s(i-1,i)*sin(t(i-1,i))</t>
  </si>
  <si>
    <t>Nord</t>
  </si>
  <si>
    <t>Koordinaten aus Polygonzugberechnung</t>
  </si>
  <si>
    <t>Koordinaten aus polarem Anhängen an Polygonpunkt</t>
  </si>
  <si>
    <t>von P3021A</t>
  </si>
  <si>
    <t>t(P3021A,A)</t>
  </si>
  <si>
    <t>von P1</t>
  </si>
  <si>
    <t>t(P1,B)</t>
  </si>
  <si>
    <t>t(P1,J)</t>
  </si>
  <si>
    <t>von P2</t>
  </si>
  <si>
    <t>t(P2, C)</t>
  </si>
  <si>
    <t>t(P2, L)</t>
  </si>
  <si>
    <t>Süd FSP1</t>
  </si>
  <si>
    <t>t(P3021A, FSP1)</t>
  </si>
  <si>
    <t>alpha(P3021A,FSP1)</t>
  </si>
  <si>
    <t>Nord FSP2</t>
  </si>
  <si>
    <t>alpha(P2,FSP2)</t>
  </si>
  <si>
    <t>t(P2, FSP2)</t>
  </si>
  <si>
    <t>Punktkoordinaten</t>
  </si>
  <si>
    <t>von FSP1</t>
  </si>
  <si>
    <t>t(FSP1, E)</t>
  </si>
  <si>
    <t>t(FSP1, F)</t>
  </si>
  <si>
    <t>von FSP2</t>
  </si>
  <si>
    <t>t(FSP2,H)</t>
  </si>
  <si>
    <t>t(FSP2,G)</t>
  </si>
  <si>
    <t>t(FSP2,L)</t>
  </si>
  <si>
    <t>Berechnen von Koordinatenpunkten aus Vektoren</t>
  </si>
  <si>
    <t>AK</t>
  </si>
  <si>
    <t>EK</t>
  </si>
  <si>
    <t>alpha (A)</t>
  </si>
  <si>
    <t>t(A, K)</t>
  </si>
  <si>
    <t>t(P3021, A)- alpha</t>
  </si>
  <si>
    <t>MD</t>
  </si>
  <si>
    <t>MH</t>
  </si>
  <si>
    <t>alpha(H)</t>
  </si>
  <si>
    <t>t(H, D)</t>
  </si>
  <si>
    <t>t(FSP2, H)-alpha</t>
  </si>
  <si>
    <t>HD</t>
  </si>
  <si>
    <t>Ostwert</t>
  </si>
  <si>
    <t>P3012A - P1</t>
  </si>
  <si>
    <t>P1 -P2</t>
  </si>
  <si>
    <t>P2- P3</t>
  </si>
  <si>
    <t>P3 - P321A</t>
  </si>
  <si>
    <t>Strecken</t>
  </si>
  <si>
    <t>KONTROLLBERECHNUNG</t>
  </si>
  <si>
    <t>Ringpolygonzug</t>
  </si>
  <si>
    <t>Freie Stationierungs Punkte</t>
  </si>
  <si>
    <t>Punkt1</t>
  </si>
  <si>
    <t>Winkel im Dreieck</t>
  </si>
  <si>
    <t xml:space="preserve">y </t>
  </si>
  <si>
    <t>Differenz</t>
  </si>
  <si>
    <t>Punkt2</t>
  </si>
  <si>
    <t>beta(P1)</t>
  </si>
  <si>
    <t>Strecke 1-2</t>
  </si>
  <si>
    <t>Strecke 2-3</t>
  </si>
  <si>
    <t>Streckenvergleich</t>
  </si>
  <si>
    <t>Punkte</t>
  </si>
  <si>
    <t>Strecke (gemessen)</t>
  </si>
  <si>
    <t>F,J</t>
  </si>
  <si>
    <t>J,B</t>
  </si>
  <si>
    <t>B,C</t>
  </si>
  <si>
    <t>C,L</t>
  </si>
  <si>
    <t>L,G</t>
  </si>
  <si>
    <t>G,H</t>
  </si>
  <si>
    <t>H,M</t>
  </si>
  <si>
    <t>A,K</t>
  </si>
  <si>
    <t>K,E</t>
  </si>
  <si>
    <t>E,F</t>
  </si>
  <si>
    <t>M,D</t>
  </si>
  <si>
    <t>D,A</t>
  </si>
  <si>
    <t>ds (erlaubte Abweichung)</t>
  </si>
  <si>
    <t>AE</t>
  </si>
  <si>
    <t>CG</t>
  </si>
  <si>
    <t>LH</t>
  </si>
  <si>
    <t>t(A,M)</t>
  </si>
  <si>
    <t>t(A,E)</t>
  </si>
  <si>
    <t>t(E,A)</t>
  </si>
  <si>
    <t>Winkel beta E</t>
  </si>
  <si>
    <t>t(E,K)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</si>
</sst>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  <xf numFmtId="0" fontId="3" fillId="0" borderId="0" xfId="0" applyFont="1"/>
    <xf numFmtId="0" fontId="0" fillId="5" borderId="0" xfId="0" applyFill="1"/>
    <xf numFmtId="164" fontId="0" fillId="6" borderId="0" xfId="0" applyNumberFormat="1" applyFill="1"/>
    <xf numFmtId="0" fontId="0" fillId="0" borderId="0" xfId="0" applyFill="1"/>
    <xf numFmtId="164" fontId="0" fillId="0" borderId="0" xfId="0" applyNumberFormat="1" applyFill="1"/>
    <xf numFmtId="0" fontId="5" fillId="0" borderId="0" xfId="0" applyFont="1"/>
    <xf numFmtId="0" fontId="1" fillId="2" borderId="0" xfId="0" applyFont="1" applyFill="1"/>
    <xf numFmtId="0" fontId="4" fillId="3" borderId="0" xfId="0" applyFont="1" applyFill="1"/>
    <xf numFmtId="164" fontId="4" fillId="3" borderId="0" xfId="0" applyNumberFormat="1" applyFont="1" applyFill="1"/>
    <xf numFmtId="164" fontId="0" fillId="3" borderId="0" xfId="0" applyNumberFormat="1" applyFill="1"/>
    <xf numFmtId="0" fontId="0" fillId="7" borderId="0" xfId="0" applyFill="1"/>
    <xf numFmtId="164" fontId="0" fillId="7" borderId="0" xfId="0" applyNumberFormat="1" applyFill="1"/>
    <xf numFmtId="165" fontId="0" fillId="0" borderId="0" xfId="0" applyNumberFormat="1"/>
    <xf numFmtId="165" fontId="0" fillId="6" borderId="0" xfId="0" applyNumberFormat="1" applyFill="1"/>
    <xf numFmtId="165" fontId="0" fillId="8" borderId="0" xfId="0" applyNumberFormat="1" applyFill="1"/>
    <xf numFmtId="165" fontId="0" fillId="0" borderId="0" xfId="0" applyNumberFormat="1" applyFill="1"/>
    <xf numFmtId="164" fontId="0" fillId="8" borderId="0" xfId="0" applyNumberFormat="1" applyFill="1"/>
    <xf numFmtId="164" fontId="0" fillId="9" borderId="0" xfId="0" applyNumberFormat="1" applyFill="1"/>
    <xf numFmtId="0" fontId="0" fillId="9" borderId="0" xfId="0" applyFill="1"/>
    <xf numFmtId="164" fontId="0" fillId="5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Tabelle1!$W$4:$W$29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 formatCode="0.000">
                  <c:v>75.317828093290672</c:v>
                </c:pt>
                <c:pt idx="3" formatCode="0.000">
                  <c:v>84.442221719475583</c:v>
                </c:pt>
                <c:pt idx="5" formatCode="0.000">
                  <c:v>0</c:v>
                </c:pt>
                <c:pt idx="7" formatCode="0.000">
                  <c:v>13.088619263575319</c:v>
                </c:pt>
                <c:pt idx="8" formatCode="0.000">
                  <c:v>8.664302048364835</c:v>
                </c:pt>
                <c:pt idx="9" formatCode="0.000">
                  <c:v>60.155254699332744</c:v>
                </c:pt>
                <c:pt idx="10" formatCode="0.000">
                  <c:v>64.766319218841218</c:v>
                </c:pt>
                <c:pt idx="11" formatCode="0.000">
                  <c:v>24.790949495208316</c:v>
                </c:pt>
                <c:pt idx="12" formatCode="0.000">
                  <c:v>21.203136861863506</c:v>
                </c:pt>
                <c:pt idx="13">
                  <c:v>50.101304731183944</c:v>
                </c:pt>
                <c:pt idx="14">
                  <c:v>51.361488805549023</c:v>
                </c:pt>
                <c:pt idx="16" formatCode="0.000">
                  <c:v>9.0231831486844971</c:v>
                </c:pt>
                <c:pt idx="17" formatCode="0.000">
                  <c:v>11.384981305743809</c:v>
                </c:pt>
                <c:pt idx="18" formatCode="0.000">
                  <c:v>60.524104664456075</c:v>
                </c:pt>
                <c:pt idx="19" formatCode="0.000">
                  <c:v>62.236400256803108</c:v>
                </c:pt>
                <c:pt idx="20" formatCode="0.000">
                  <c:v>64.976946477111071</c:v>
                </c:pt>
                <c:pt idx="21" formatCode="0.000">
                  <c:v>-199.80074199664847</c:v>
                </c:pt>
                <c:pt idx="23" formatCode="0.000">
                  <c:v>-14.314016515102081</c:v>
                </c:pt>
                <c:pt idx="24" formatCode="0.000">
                  <c:v>82.438958935469117</c:v>
                </c:pt>
              </c:numCache>
            </c:numRef>
          </c:xVal>
          <c:yVal>
            <c:numRef>
              <c:f>Tabelle1!$X$4:$X$29</c:f>
              <c:numCache>
                <c:formatCode>General</c:formatCode>
                <c:ptCount val="26"/>
                <c:pt idx="0">
                  <c:v>0</c:v>
                </c:pt>
                <c:pt idx="1">
                  <c:v>181.83600000000001</c:v>
                </c:pt>
                <c:pt idx="2">
                  <c:v>183.15600000000001</c:v>
                </c:pt>
                <c:pt idx="3" formatCode="0.000">
                  <c:v>8.1877278812021643</c:v>
                </c:pt>
                <c:pt idx="5" formatCode="0.000">
                  <c:v>4.0551907112629237E-4</c:v>
                </c:pt>
                <c:pt idx="7" formatCode="0.000">
                  <c:v>19.589835266616333</c:v>
                </c:pt>
                <c:pt idx="8" formatCode="0.000">
                  <c:v>169.20628400894537</c:v>
                </c:pt>
                <c:pt idx="9" formatCode="0.000">
                  <c:v>170.87693289077549</c:v>
                </c:pt>
                <c:pt idx="10" formatCode="0.000">
                  <c:v>18.462259400649806</c:v>
                </c:pt>
                <c:pt idx="11" formatCode="0.000">
                  <c:v>34.442148108617786</c:v>
                </c:pt>
                <c:pt idx="12" formatCode="0.000">
                  <c:v>155.11539191247425</c:v>
                </c:pt>
                <c:pt idx="13">
                  <c:v>156.53628803369645</c:v>
                </c:pt>
                <c:pt idx="14">
                  <c:v>35.911335052685587</c:v>
                </c:pt>
                <c:pt idx="16" formatCode="0.000">
                  <c:v>154.79155018371983</c:v>
                </c:pt>
                <c:pt idx="17" formatCode="0.000">
                  <c:v>33.737630773642707</c:v>
                </c:pt>
                <c:pt idx="18" formatCode="0.000">
                  <c:v>156.41769206716418</c:v>
                </c:pt>
                <c:pt idx="19" formatCode="0.000">
                  <c:v>156.84311166578652</c:v>
                </c:pt>
                <c:pt idx="20" formatCode="0.000">
                  <c:v>35.258571631319739</c:v>
                </c:pt>
                <c:pt idx="21" formatCode="0.000">
                  <c:v>-8.925441030487848</c:v>
                </c:pt>
                <c:pt idx="23" formatCode="0.000">
                  <c:v>114.57230599148026</c:v>
                </c:pt>
                <c:pt idx="24" formatCode="0.000">
                  <c:v>68.640199061751417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83-4CF6-ACBC-4ACA68910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831216"/>
        <c:axId val="404833184"/>
      </c:scatterChart>
      <c:valAx>
        <c:axId val="40483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833184"/>
        <c:crosses val="autoZero"/>
        <c:crossBetween val="midCat"/>
      </c:valAx>
      <c:valAx>
        <c:axId val="40483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83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GK!$S$3:$S$81</c:f>
              <c:numCache>
                <c:formatCode>General</c:formatCode>
                <c:ptCount val="79"/>
                <c:pt idx="0">
                  <c:v>32691104.289999999</c:v>
                </c:pt>
                <c:pt idx="1">
                  <c:v>32691104.289999999</c:v>
                </c:pt>
                <c:pt idx="2">
                  <c:v>32691225.013</c:v>
                </c:pt>
                <c:pt idx="6">
                  <c:v>32691046.149110068</c:v>
                </c:pt>
                <c:pt idx="7">
                  <c:v>32691058.555756066</c:v>
                </c:pt>
                <c:pt idx="8">
                  <c:v>32691232.324325249</c:v>
                </c:pt>
                <c:pt idx="9">
                  <c:v>32691225.028095227</c:v>
                </c:pt>
                <c:pt idx="15">
                  <c:v>32691208.125894014</c:v>
                </c:pt>
                <c:pt idx="18">
                  <c:v>32691060.149341226</c:v>
                </c:pt>
                <c:pt idx="21">
                  <c:v>32691074.393949252</c:v>
                </c:pt>
                <c:pt idx="25">
                  <c:v>32691067.874070495</c:v>
                </c:pt>
                <c:pt idx="28">
                  <c:v>32691082.16418593</c:v>
                </c:pt>
                <c:pt idx="34">
                  <c:v>32691109.71453901</c:v>
                </c:pt>
                <c:pt idx="38">
                  <c:v>32691172.497133248</c:v>
                </c:pt>
                <c:pt idx="44">
                  <c:v>32691195.681035489</c:v>
                </c:pt>
                <c:pt idx="47">
                  <c:v>32691076.347295664</c:v>
                </c:pt>
                <c:pt idx="52">
                  <c:v>32691201.615573071</c:v>
                </c:pt>
                <c:pt idx="55">
                  <c:v>32691199.745968465</c:v>
                </c:pt>
                <c:pt idx="58">
                  <c:v>32691080.478631593</c:v>
                </c:pt>
                <c:pt idx="61">
                  <c:v>32691083.592237521</c:v>
                </c:pt>
                <c:pt idx="70">
                  <c:v>32691193.904290069</c:v>
                </c:pt>
                <c:pt idx="78">
                  <c:v>32691218.532759439</c:v>
                </c:pt>
              </c:numCache>
            </c:numRef>
          </c:xVal>
          <c:yVal>
            <c:numRef>
              <c:f>GK!$T$3:$T$81</c:f>
              <c:numCache>
                <c:formatCode>General</c:formatCode>
                <c:ptCount val="79"/>
                <c:pt idx="0">
                  <c:v>5334182.2300000004</c:v>
                </c:pt>
                <c:pt idx="1">
                  <c:v>5334162.2300000004</c:v>
                </c:pt>
                <c:pt idx="2">
                  <c:v>5335904.7699999996</c:v>
                </c:pt>
                <c:pt idx="6">
                  <c:v>5335937.8688882738</c:v>
                </c:pt>
                <c:pt idx="7">
                  <c:v>5336012.1847437089</c:v>
                </c:pt>
                <c:pt idx="8">
                  <c:v>5335989.3449267028</c:v>
                </c:pt>
                <c:pt idx="9">
                  <c:v>5335904.7762228288</c:v>
                </c:pt>
                <c:pt idx="15">
                  <c:v>5335921.2104839645</c:v>
                </c:pt>
                <c:pt idx="18">
                  <c:v>5335944.0925546549</c:v>
                </c:pt>
                <c:pt idx="21">
                  <c:v>5335941.8217898998</c:v>
                </c:pt>
                <c:pt idx="25">
                  <c:v>5335995.0350177083</c:v>
                </c:pt>
                <c:pt idx="28">
                  <c:v>5335992.765753055</c:v>
                </c:pt>
                <c:pt idx="34">
                  <c:v>5335911.6767340647</c:v>
                </c:pt>
                <c:pt idx="38">
                  <c:v>5335998.3444818128</c:v>
                </c:pt>
                <c:pt idx="44">
                  <c:v>5335935.4588757679</c:v>
                </c:pt>
                <c:pt idx="47">
                  <c:v>5335954.0316064823</c:v>
                </c:pt>
                <c:pt idx="52">
                  <c:v>5335974.4198647374</c:v>
                </c:pt>
                <c:pt idx="55">
                  <c:v>5335962.3451219816</c:v>
                </c:pt>
                <c:pt idx="58">
                  <c:v>5335980.7254091483</c:v>
                </c:pt>
                <c:pt idx="61">
                  <c:v>5335981.3215810927</c:v>
                </c:pt>
                <c:pt idx="70">
                  <c:v>5335922.1096398355</c:v>
                </c:pt>
                <c:pt idx="78">
                  <c:v>5335961.3021047637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67-47F7-8188-808A320DD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741856"/>
        <c:axId val="317739232"/>
      </c:scatterChart>
      <c:valAx>
        <c:axId val="31774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7739232"/>
        <c:crosses val="autoZero"/>
        <c:crossBetween val="midCat"/>
      </c:valAx>
      <c:valAx>
        <c:axId val="31773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774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9.6467247043973803E-2"/>
          <c:y val="1.923107846093823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UTM!$S$3:$S$32</c:f>
              <c:numCache>
                <c:formatCode>General</c:formatCode>
                <c:ptCount val="30"/>
                <c:pt idx="0">
                  <c:v>4468045.5</c:v>
                </c:pt>
                <c:pt idx="1">
                  <c:v>4468045.5</c:v>
                </c:pt>
                <c:pt idx="2">
                  <c:v>4468179.03</c:v>
                </c:pt>
                <c:pt idx="6">
                  <c:v>4468000.2438050555</c:v>
                </c:pt>
                <c:pt idx="7">
                  <c:v>4468012.6451004166</c:v>
                </c:pt>
                <c:pt idx="8">
                  <c:v>4468186.3382023834</c:v>
                </c:pt>
                <c:pt idx="9">
                  <c:v>4468179.0451233694</c:v>
                </c:pt>
                <c:pt idx="15">
                  <c:v>4468162.1499800812</c:v>
                </c:pt>
                <c:pt idx="18">
                  <c:v>4468014.2382893637</c:v>
                </c:pt>
                <c:pt idx="21">
                  <c:v>4468028.4767091163</c:v>
                </c:pt>
                <c:pt idx="25">
                  <c:v>4468021.9595375583</c:v>
                </c:pt>
                <c:pt idx="28">
                  <c:v>4468036.2435321324</c:v>
                </c:pt>
              </c:numCache>
            </c:numRef>
          </c:xVal>
          <c:yVal>
            <c:numRef>
              <c:f>UTM!$T$3:$T$32</c:f>
              <c:numCache>
                <c:formatCode>General</c:formatCode>
                <c:ptCount val="30"/>
                <c:pt idx="0">
                  <c:v>5334182.2300000004</c:v>
                </c:pt>
                <c:pt idx="1">
                  <c:v>5334162.2300000004</c:v>
                </c:pt>
                <c:pt idx="2">
                  <c:v>5334489.3499999996</c:v>
                </c:pt>
                <c:pt idx="6">
                  <c:v>5334522.4345107619</c:v>
                </c:pt>
                <c:pt idx="7">
                  <c:v>5334596.7183158556</c:v>
                </c:pt>
                <c:pt idx="8">
                  <c:v>5334573.8884181203</c:v>
                </c:pt>
                <c:pt idx="9">
                  <c:v>5334489.3562367829</c:v>
                </c:pt>
                <c:pt idx="15">
                  <c:v>5334505.7835853081</c:v>
                </c:pt>
                <c:pt idx="18">
                  <c:v>5334528.6556224376</c:v>
                </c:pt>
                <c:pt idx="21">
                  <c:v>5334526.3857420525</c:v>
                </c:pt>
                <c:pt idx="25">
                  <c:v>5334579.5757257426</c:v>
                </c:pt>
                <c:pt idx="28">
                  <c:v>5334577.3075491264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AE-4700-9182-00F43158F838}"/>
            </c:ext>
          </c:extLst>
        </c:ser>
        <c:ser>
          <c:idx val="1"/>
          <c:order val="1"/>
          <c:tx>
            <c:strRef>
              <c:f>UTM!$S$17:$S$32</c:f>
              <c:strCache>
                <c:ptCount val="16"/>
                <c:pt idx="0">
                  <c:v>349,147</c:v>
                </c:pt>
                <c:pt idx="1">
                  <c:v>4468162,15</c:v>
                </c:pt>
                <c:pt idx="2">
                  <c:v>B</c:v>
                </c:pt>
                <c:pt idx="3">
                  <c:v>73,370</c:v>
                </c:pt>
                <c:pt idx="4">
                  <c:v>4468014,238</c:v>
                </c:pt>
                <c:pt idx="5">
                  <c:v>J</c:v>
                </c:pt>
                <c:pt idx="6">
                  <c:v>91,148</c:v>
                </c:pt>
                <c:pt idx="7">
                  <c:v>4468028,477</c:v>
                </c:pt>
                <c:pt idx="9">
                  <c:v>C</c:v>
                </c:pt>
                <c:pt idx="10">
                  <c:v>168,314</c:v>
                </c:pt>
                <c:pt idx="11">
                  <c:v>4468021,96</c:v>
                </c:pt>
                <c:pt idx="12">
                  <c:v>L</c:v>
                </c:pt>
                <c:pt idx="13">
                  <c:v>143,821</c:v>
                </c:pt>
                <c:pt idx="14">
                  <c:v>4468036,244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UTM!$S$17:$S$33</c:f>
              <c:numCache>
                <c:formatCode>General</c:formatCode>
                <c:ptCount val="17"/>
                <c:pt idx="1">
                  <c:v>4468162.1499800812</c:v>
                </c:pt>
                <c:pt idx="4">
                  <c:v>4468014.2382893637</c:v>
                </c:pt>
                <c:pt idx="7">
                  <c:v>4468028.4767091163</c:v>
                </c:pt>
                <c:pt idx="11">
                  <c:v>4468021.9595375583</c:v>
                </c:pt>
                <c:pt idx="14">
                  <c:v>4468036.2435321324</c:v>
                </c:pt>
              </c:numCache>
            </c:numRef>
          </c:xVal>
          <c:yVal>
            <c:numRef>
              <c:f>UTM!$T$17:$T$32</c:f>
              <c:numCache>
                <c:formatCode>General</c:formatCode>
                <c:ptCount val="16"/>
                <c:pt idx="1">
                  <c:v>5334505.7835853081</c:v>
                </c:pt>
                <c:pt idx="4">
                  <c:v>5334528.6556224376</c:v>
                </c:pt>
                <c:pt idx="7">
                  <c:v>5334526.3857420525</c:v>
                </c:pt>
                <c:pt idx="11">
                  <c:v>5334579.5757257426</c:v>
                </c:pt>
                <c:pt idx="14">
                  <c:v>5334577.3075491264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AE-4700-9182-00F43158F838}"/>
            </c:ext>
          </c:extLst>
        </c:ser>
        <c:ser>
          <c:idx val="2"/>
          <c:order val="2"/>
          <c:tx>
            <c:strRef>
              <c:f>GK!$R$37</c:f>
              <c:strCache>
                <c:ptCount val="1"/>
                <c:pt idx="0">
                  <c:v>FSP1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GK!$S$35:$S$42</c:f>
              <c:numCache>
                <c:formatCode>General</c:formatCode>
                <c:ptCount val="8"/>
                <c:pt idx="2">
                  <c:v>32691109.71453901</c:v>
                </c:pt>
                <c:pt idx="6">
                  <c:v>32691172.497133248</c:v>
                </c:pt>
              </c:numCache>
            </c:numRef>
          </c:xVal>
          <c:yVal>
            <c:numRef>
              <c:f>GK!$T$35:$T$42</c:f>
              <c:numCache>
                <c:formatCode>General</c:formatCode>
                <c:ptCount val="8"/>
                <c:pt idx="2">
                  <c:v>5335911.6767340647</c:v>
                </c:pt>
                <c:pt idx="6">
                  <c:v>5335998.3444818128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AE-4700-9182-00F43158F838}"/>
            </c:ext>
          </c:extLst>
        </c:ser>
        <c:ser>
          <c:idx val="3"/>
          <c:order val="3"/>
          <c:tx>
            <c:v>FSP_Punkte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GK!$S$45:$S$65</c:f>
              <c:numCache>
                <c:formatCode>General</c:formatCode>
                <c:ptCount val="21"/>
                <c:pt idx="2">
                  <c:v>32691195.681035489</c:v>
                </c:pt>
                <c:pt idx="5">
                  <c:v>32691076.347295664</c:v>
                </c:pt>
                <c:pt idx="10">
                  <c:v>32691201.615573071</c:v>
                </c:pt>
                <c:pt idx="13">
                  <c:v>32691199.745968465</c:v>
                </c:pt>
                <c:pt idx="16">
                  <c:v>32691080.478631593</c:v>
                </c:pt>
                <c:pt idx="19">
                  <c:v>32691083.592237521</c:v>
                </c:pt>
              </c:numCache>
            </c:numRef>
          </c:xVal>
          <c:yVal>
            <c:numRef>
              <c:f>GK!$T$45:$T$64</c:f>
              <c:numCache>
                <c:formatCode>General</c:formatCode>
                <c:ptCount val="20"/>
                <c:pt idx="2">
                  <c:v>5335935.4588757679</c:v>
                </c:pt>
                <c:pt idx="5">
                  <c:v>5335954.0316064823</c:v>
                </c:pt>
                <c:pt idx="10">
                  <c:v>5335974.4198647374</c:v>
                </c:pt>
                <c:pt idx="13">
                  <c:v>5335962.3451219816</c:v>
                </c:pt>
                <c:pt idx="16">
                  <c:v>5335980.7254091483</c:v>
                </c:pt>
                <c:pt idx="19">
                  <c:v>5335981.3215810927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AE-4700-9182-00F43158F838}"/>
            </c:ext>
          </c:extLst>
        </c:ser>
        <c:ser>
          <c:idx val="4"/>
          <c:order val="4"/>
          <c:tx>
            <c:v>KP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GK!$S$71:$S$93</c:f>
              <c:numCache>
                <c:formatCode>General</c:formatCode>
                <c:ptCount val="23"/>
                <c:pt idx="2">
                  <c:v>32691193.904290069</c:v>
                </c:pt>
                <c:pt idx="10">
                  <c:v>32691218.532759439</c:v>
                </c:pt>
              </c:numCache>
            </c:numRef>
          </c:xVal>
          <c:yVal>
            <c:numRef>
              <c:f>GK!$T$71:$T$93</c:f>
              <c:numCache>
                <c:formatCode>General</c:formatCode>
                <c:ptCount val="23"/>
                <c:pt idx="2">
                  <c:v>5335922.1096398355</c:v>
                </c:pt>
                <c:pt idx="10">
                  <c:v>5335961.3021047637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AE-4700-9182-00F43158F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041192"/>
        <c:axId val="412998184"/>
      </c:scatterChart>
      <c:valAx>
        <c:axId val="409041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2998184"/>
        <c:crosses val="autoZero"/>
        <c:crossBetween val="midCat"/>
      </c:valAx>
      <c:valAx>
        <c:axId val="41299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9041192"/>
        <c:crossesAt val="446800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9.6467407407407404E-2"/>
          <c:y val="1.98368487142875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UTM!$S$3:$S$32</c:f>
              <c:numCache>
                <c:formatCode>General</c:formatCode>
                <c:ptCount val="30"/>
                <c:pt idx="0">
                  <c:v>4468045.5</c:v>
                </c:pt>
                <c:pt idx="1">
                  <c:v>4468045.5</c:v>
                </c:pt>
                <c:pt idx="2">
                  <c:v>4468179.03</c:v>
                </c:pt>
                <c:pt idx="6">
                  <c:v>4468000.2438050555</c:v>
                </c:pt>
                <c:pt idx="7">
                  <c:v>4468012.6451004166</c:v>
                </c:pt>
                <c:pt idx="8">
                  <c:v>4468186.3382023834</c:v>
                </c:pt>
                <c:pt idx="9">
                  <c:v>4468179.0451233694</c:v>
                </c:pt>
                <c:pt idx="15">
                  <c:v>4468162.1499800812</c:v>
                </c:pt>
                <c:pt idx="18">
                  <c:v>4468014.2382893637</c:v>
                </c:pt>
                <c:pt idx="21">
                  <c:v>4468028.4767091163</c:v>
                </c:pt>
                <c:pt idx="25">
                  <c:v>4468021.9595375583</c:v>
                </c:pt>
                <c:pt idx="28">
                  <c:v>4468036.2435321324</c:v>
                </c:pt>
              </c:numCache>
            </c:numRef>
          </c:xVal>
          <c:yVal>
            <c:numRef>
              <c:f>UTM!$T$3:$T$32</c:f>
              <c:numCache>
                <c:formatCode>General</c:formatCode>
                <c:ptCount val="30"/>
                <c:pt idx="0">
                  <c:v>5334182.2300000004</c:v>
                </c:pt>
                <c:pt idx="1">
                  <c:v>5334162.2300000004</c:v>
                </c:pt>
                <c:pt idx="2">
                  <c:v>5334489.3499999996</c:v>
                </c:pt>
                <c:pt idx="6">
                  <c:v>5334522.4345107619</c:v>
                </c:pt>
                <c:pt idx="7">
                  <c:v>5334596.7183158556</c:v>
                </c:pt>
                <c:pt idx="8">
                  <c:v>5334573.8884181203</c:v>
                </c:pt>
                <c:pt idx="9">
                  <c:v>5334489.3562367829</c:v>
                </c:pt>
                <c:pt idx="15">
                  <c:v>5334505.7835853081</c:v>
                </c:pt>
                <c:pt idx="18">
                  <c:v>5334528.6556224376</c:v>
                </c:pt>
                <c:pt idx="21">
                  <c:v>5334526.3857420525</c:v>
                </c:pt>
                <c:pt idx="25">
                  <c:v>5334579.5757257426</c:v>
                </c:pt>
                <c:pt idx="28">
                  <c:v>5334577.3075491264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D8-43FA-8987-BA53BC13EBC5}"/>
            </c:ext>
          </c:extLst>
        </c:ser>
        <c:ser>
          <c:idx val="1"/>
          <c:order val="1"/>
          <c:tx>
            <c:strRef>
              <c:f>UTM!$S$17:$S$32</c:f>
              <c:strCache>
                <c:ptCount val="16"/>
                <c:pt idx="0">
                  <c:v>349,147</c:v>
                </c:pt>
                <c:pt idx="1">
                  <c:v>4468162,15</c:v>
                </c:pt>
                <c:pt idx="2">
                  <c:v>B</c:v>
                </c:pt>
                <c:pt idx="3">
                  <c:v>73,370</c:v>
                </c:pt>
                <c:pt idx="4">
                  <c:v>4468014,238</c:v>
                </c:pt>
                <c:pt idx="5">
                  <c:v>J</c:v>
                </c:pt>
                <c:pt idx="6">
                  <c:v>91,148</c:v>
                </c:pt>
                <c:pt idx="7">
                  <c:v>4468028,477</c:v>
                </c:pt>
                <c:pt idx="9">
                  <c:v>C</c:v>
                </c:pt>
                <c:pt idx="10">
                  <c:v>168,314</c:v>
                </c:pt>
                <c:pt idx="11">
                  <c:v>4468021,96</c:v>
                </c:pt>
                <c:pt idx="12">
                  <c:v>L</c:v>
                </c:pt>
                <c:pt idx="13">
                  <c:v>143,821</c:v>
                </c:pt>
                <c:pt idx="14">
                  <c:v>4468036,244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UTM!$S$17:$S$33</c:f>
              <c:numCache>
                <c:formatCode>General</c:formatCode>
                <c:ptCount val="17"/>
                <c:pt idx="1">
                  <c:v>4468162.1499800812</c:v>
                </c:pt>
                <c:pt idx="4">
                  <c:v>4468014.2382893637</c:v>
                </c:pt>
                <c:pt idx="7">
                  <c:v>4468028.4767091163</c:v>
                </c:pt>
                <c:pt idx="11">
                  <c:v>4468021.9595375583</c:v>
                </c:pt>
                <c:pt idx="14">
                  <c:v>4468036.2435321324</c:v>
                </c:pt>
              </c:numCache>
            </c:numRef>
          </c:xVal>
          <c:yVal>
            <c:numRef>
              <c:f>UTM!$T$17:$T$32</c:f>
              <c:numCache>
                <c:formatCode>General</c:formatCode>
                <c:ptCount val="16"/>
                <c:pt idx="1">
                  <c:v>5334505.7835853081</c:v>
                </c:pt>
                <c:pt idx="4">
                  <c:v>5334528.6556224376</c:v>
                </c:pt>
                <c:pt idx="7">
                  <c:v>5334526.3857420525</c:v>
                </c:pt>
                <c:pt idx="11">
                  <c:v>5334579.5757257426</c:v>
                </c:pt>
                <c:pt idx="14">
                  <c:v>5334577.3075491264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D8-43FA-8987-BA53BC13EBC5}"/>
            </c:ext>
          </c:extLst>
        </c:ser>
        <c:ser>
          <c:idx val="2"/>
          <c:order val="2"/>
          <c:tx>
            <c:strRef>
              <c:f>UTM!$R$37</c:f>
              <c:strCache>
                <c:ptCount val="1"/>
                <c:pt idx="0">
                  <c:v>FSP1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UTM!$S$35:$S$42</c:f>
              <c:numCache>
                <c:formatCode>General</c:formatCode>
                <c:ptCount val="8"/>
                <c:pt idx="2">
                  <c:v>4468063.7814736459</c:v>
                </c:pt>
                <c:pt idx="6">
                  <c:v>4468126.537130734</c:v>
                </c:pt>
              </c:numCache>
            </c:numRef>
          </c:xVal>
          <c:yVal>
            <c:numRef>
              <c:f>UTM!$T$35:$T$42</c:f>
              <c:numCache>
                <c:formatCode>General</c:formatCode>
                <c:ptCount val="8"/>
                <c:pt idx="2">
                  <c:v>5334496.2536910716</c:v>
                </c:pt>
                <c:pt idx="6">
                  <c:v>5334582.8840529481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D8-43FA-8987-BA53BC13EBC5}"/>
            </c:ext>
          </c:extLst>
        </c:ser>
        <c:ser>
          <c:idx val="3"/>
          <c:order val="3"/>
          <c:tx>
            <c:v>FSP_Punkte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UTM!$S$45:$S$65</c:f>
              <c:numCache>
                <c:formatCode>General</c:formatCode>
                <c:ptCount val="21"/>
                <c:pt idx="2">
                  <c:v>4468149.7108137105</c:v>
                </c:pt>
                <c:pt idx="5">
                  <c:v>4468030.4285313534</c:v>
                </c:pt>
                <c:pt idx="10">
                  <c:v>4468155.6431680107</c:v>
                </c:pt>
                <c:pt idx="13">
                  <c:v>4468153.7743125279</c:v>
                </c:pt>
                <c:pt idx="16">
                  <c:v>4468034.5584104406</c:v>
                </c:pt>
                <c:pt idx="19">
                  <c:v>4468037.6706570089</c:v>
                </c:pt>
              </c:numCache>
            </c:numRef>
          </c:xVal>
          <c:yVal>
            <c:numRef>
              <c:f>UTM!$T$45:$T$64</c:f>
              <c:numCache>
                <c:formatCode>General</c:formatCode>
                <c:ptCount val="20"/>
                <c:pt idx="2">
                  <c:v>5334520.0255950578</c:v>
                </c:pt>
                <c:pt idx="5">
                  <c:v>5334538.5903714076</c:v>
                </c:pt>
                <c:pt idx="10">
                  <c:v>5334558.9696282614</c:v>
                </c:pt>
                <c:pt idx="13">
                  <c:v>5334546.9000920253</c:v>
                </c:pt>
                <c:pt idx="16">
                  <c:v>5334565.2725932952</c:v>
                </c:pt>
                <c:pt idx="19">
                  <c:v>5334565.8685050961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D8-43FA-8987-BA53BC13EBC5}"/>
            </c:ext>
          </c:extLst>
        </c:ser>
        <c:ser>
          <c:idx val="4"/>
          <c:order val="4"/>
          <c:tx>
            <c:v>KP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UTM!$S$71:$S$93</c:f>
              <c:numCache>
                <c:formatCode>General</c:formatCode>
                <c:ptCount val="23"/>
                <c:pt idx="2">
                  <c:v>4468147.9283761382</c:v>
                </c:pt>
                <c:pt idx="10">
                  <c:v>4468172.5611035461</c:v>
                </c:pt>
              </c:numCache>
            </c:numRef>
          </c:xVal>
          <c:yVal>
            <c:numRef>
              <c:f>UTM!$T$71:$T$93</c:f>
              <c:numCache>
                <c:formatCode>General</c:formatCode>
                <c:ptCount val="23"/>
                <c:pt idx="2">
                  <c:v>5334506.6827411791</c:v>
                </c:pt>
                <c:pt idx="10">
                  <c:v>5334545.8570756055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D8-43FA-8987-BA53BC13E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041192"/>
        <c:axId val="412998184"/>
      </c:scatterChart>
      <c:valAx>
        <c:axId val="409041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2998184"/>
        <c:crosses val="autoZero"/>
        <c:crossBetween val="midCat"/>
      </c:valAx>
      <c:valAx>
        <c:axId val="41299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9041192"/>
        <c:crossesAt val="446800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134470</xdr:colOff>
      <xdr:row>1</xdr:row>
      <xdr:rowOff>133723</xdr:rowOff>
    </xdr:from>
    <xdr:to>
      <xdr:col>35</xdr:col>
      <xdr:colOff>134470</xdr:colOff>
      <xdr:row>16</xdr:row>
      <xdr:rowOff>75453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8A4C5A1-1719-4BAC-8029-E7F8B1AAD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419100</xdr:colOff>
      <xdr:row>28</xdr:row>
      <xdr:rowOff>171450</xdr:rowOff>
    </xdr:from>
    <xdr:to>
      <xdr:col>26</xdr:col>
      <xdr:colOff>523875</xdr:colOff>
      <xdr:row>46</xdr:row>
      <xdr:rowOff>152400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D4B7668-7D81-44FA-8C4A-D05D6731B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1095375</xdr:colOff>
      <xdr:row>19</xdr:row>
      <xdr:rowOff>9525</xdr:rowOff>
    </xdr:from>
    <xdr:to>
      <xdr:col>25</xdr:col>
      <xdr:colOff>369550</xdr:colOff>
      <xdr:row>38</xdr:row>
      <xdr:rowOff>115783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34AE6616-424B-4675-AF0F-5A8D20F3B8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1100348</xdr:colOff>
      <xdr:row>67</xdr:row>
      <xdr:rowOff>67779</xdr:rowOff>
    </xdr:from>
    <xdr:to>
      <xdr:col>25</xdr:col>
      <xdr:colOff>377698</xdr:colOff>
      <xdr:row>86</xdr:row>
      <xdr:rowOff>170862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8CD8888-85AD-4A81-8DBC-91DB239BB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3EB9C-B317-464D-B407-444709E96AF5}">
  <dimension ref="A1:AB97"/>
  <sheetViews>
    <sheetView tabSelected="1" topLeftCell="K82" zoomScale="85" zoomScaleNormal="85" workbookViewId="0">
      <selection activeCell="V87" sqref="V87"/>
    </sheetView>
  </sheetViews>
  <sheetFormatPr baseColWidth="10" defaultRowHeight="14.5" x14ac:dyDescent="0.35"/>
  <cols>
    <col min="1" max="1" width="21.54296875" customWidth="1"/>
    <col min="3" max="3" width="12" customWidth="1"/>
    <col min="4" max="4" width="12.90625" bestFit="1" customWidth="1"/>
    <col min="5" max="5" width="13.26953125" bestFit="1" customWidth="1"/>
    <col min="9" max="9" width="13.6328125" customWidth="1"/>
    <col min="16" max="16" width="22.54296875" customWidth="1"/>
    <col min="17" max="17" width="12.453125" bestFit="1" customWidth="1"/>
    <col min="19" max="19" width="11.90625" bestFit="1" customWidth="1"/>
    <col min="20" max="20" width="16.1796875" bestFit="1" customWidth="1"/>
    <col min="22" max="22" width="17" customWidth="1"/>
  </cols>
  <sheetData>
    <row r="1" spans="1:28" x14ac:dyDescent="0.35">
      <c r="N1" s="1" t="s">
        <v>39</v>
      </c>
    </row>
    <row r="2" spans="1:28" x14ac:dyDescent="0.35">
      <c r="F2" s="1" t="s">
        <v>8</v>
      </c>
      <c r="G2" s="1" t="s">
        <v>7</v>
      </c>
      <c r="H2" s="1" t="s">
        <v>9</v>
      </c>
      <c r="I2" s="1" t="s">
        <v>10</v>
      </c>
      <c r="J2" s="1"/>
      <c r="K2" s="1" t="s">
        <v>11</v>
      </c>
      <c r="N2" s="1"/>
      <c r="P2" s="1"/>
      <c r="Q2" s="1" t="s">
        <v>36</v>
      </c>
      <c r="R2" s="1" t="s">
        <v>30</v>
      </c>
      <c r="S2" s="1" t="s">
        <v>31</v>
      </c>
      <c r="T2" s="1" t="s">
        <v>32</v>
      </c>
      <c r="V2" s="1" t="s">
        <v>40</v>
      </c>
    </row>
    <row r="3" spans="1:28" x14ac:dyDescent="0.35">
      <c r="A3" s="1" t="s">
        <v>0</v>
      </c>
      <c r="C3" s="1" t="s">
        <v>5</v>
      </c>
      <c r="D3" s="1" t="s">
        <v>6</v>
      </c>
      <c r="W3" t="s">
        <v>31</v>
      </c>
      <c r="X3" t="s">
        <v>32</v>
      </c>
    </row>
    <row r="4" spans="1:28" x14ac:dyDescent="0.35">
      <c r="P4" t="s">
        <v>29</v>
      </c>
      <c r="Q4">
        <v>0</v>
      </c>
      <c r="S4">
        <v>0</v>
      </c>
      <c r="T4">
        <v>0</v>
      </c>
      <c r="V4" t="s">
        <v>29</v>
      </c>
      <c r="W4">
        <v>0</v>
      </c>
      <c r="X4">
        <v>0</v>
      </c>
    </row>
    <row r="5" spans="1:28" x14ac:dyDescent="0.35">
      <c r="A5">
        <v>1</v>
      </c>
      <c r="B5" t="s">
        <v>1</v>
      </c>
      <c r="C5">
        <v>0</v>
      </c>
      <c r="D5">
        <v>200</v>
      </c>
      <c r="F5">
        <v>0</v>
      </c>
      <c r="G5">
        <v>0</v>
      </c>
      <c r="H5">
        <v>0</v>
      </c>
      <c r="I5">
        <v>0</v>
      </c>
      <c r="V5" t="s">
        <v>2</v>
      </c>
      <c r="W5">
        <f>W4+S6</f>
        <v>0</v>
      </c>
      <c r="X5">
        <f>X4+T6</f>
        <v>181.83600000000001</v>
      </c>
    </row>
    <row r="6" spans="1:28" x14ac:dyDescent="0.35">
      <c r="B6" t="s">
        <v>2</v>
      </c>
      <c r="C6">
        <v>102.842</v>
      </c>
      <c r="D6">
        <v>302.83999999999997</v>
      </c>
      <c r="F6">
        <f>C6-C5</f>
        <v>102.842</v>
      </c>
      <c r="G6">
        <f>D6-D5</f>
        <v>102.83999999999997</v>
      </c>
      <c r="H6">
        <v>102.84099999999999</v>
      </c>
      <c r="I6">
        <v>102.842</v>
      </c>
      <c r="K6">
        <v>181.834</v>
      </c>
      <c r="R6">
        <v>181.83600000000001</v>
      </c>
      <c r="S6">
        <v>0</v>
      </c>
      <c r="T6">
        <f>R6</f>
        <v>181.83600000000001</v>
      </c>
      <c r="V6" t="s">
        <v>14</v>
      </c>
      <c r="W6" s="2">
        <f>W5+S11</f>
        <v>75.317828093290672</v>
      </c>
      <c r="X6">
        <f>X5+T11</f>
        <v>183.15600000000001</v>
      </c>
    </row>
    <row r="7" spans="1:28" x14ac:dyDescent="0.35">
      <c r="B7" t="s">
        <v>3</v>
      </c>
      <c r="C7">
        <v>196.685</v>
      </c>
      <c r="D7">
        <v>396.68299999999999</v>
      </c>
      <c r="F7">
        <f>C7-C5</f>
        <v>196.685</v>
      </c>
      <c r="G7">
        <f>D7-D5</f>
        <v>196.68299999999999</v>
      </c>
      <c r="H7">
        <v>196.684</v>
      </c>
      <c r="I7">
        <f>196.687</f>
        <v>196.68700000000001</v>
      </c>
      <c r="K7">
        <v>84.852000000000004</v>
      </c>
      <c r="V7" t="s">
        <v>3</v>
      </c>
      <c r="W7" s="2">
        <f>W6+S15</f>
        <v>84.442221719475583</v>
      </c>
      <c r="X7" s="2">
        <f>X6+T15</f>
        <v>8.1877278812021643</v>
      </c>
    </row>
    <row r="8" spans="1:28" x14ac:dyDescent="0.35">
      <c r="B8" t="s">
        <v>4</v>
      </c>
      <c r="C8">
        <v>140.34</v>
      </c>
      <c r="K8">
        <v>23.56</v>
      </c>
      <c r="P8" t="s">
        <v>2</v>
      </c>
      <c r="Q8">
        <v>298.88200000000001</v>
      </c>
    </row>
    <row r="9" spans="1:28" x14ac:dyDescent="0.35">
      <c r="A9">
        <v>2</v>
      </c>
      <c r="B9" t="s">
        <v>1</v>
      </c>
      <c r="C9">
        <v>259.65499999999997</v>
      </c>
      <c r="D9">
        <v>59.652999999999999</v>
      </c>
      <c r="F9">
        <v>0</v>
      </c>
      <c r="G9">
        <v>0</v>
      </c>
      <c r="H9">
        <v>0</v>
      </c>
      <c r="V9" t="s">
        <v>29</v>
      </c>
      <c r="W9" s="2">
        <f>W7+S19</f>
        <v>0</v>
      </c>
      <c r="X9" s="2">
        <f>X7+T19</f>
        <v>4.0551907112629237E-4</v>
      </c>
    </row>
    <row r="10" spans="1:28" x14ac:dyDescent="0.35">
      <c r="B10" t="s">
        <v>2</v>
      </c>
      <c r="C10">
        <v>362.49799999999999</v>
      </c>
      <c r="D10">
        <v>162.49700000000001</v>
      </c>
      <c r="F10">
        <f>C10-C9</f>
        <v>102.84300000000002</v>
      </c>
      <c r="G10">
        <f>D10-D9</f>
        <v>102.84400000000002</v>
      </c>
      <c r="H10">
        <v>102.84399999999999</v>
      </c>
      <c r="Q10">
        <f>200+Q8+P31-400+Q4</f>
        <v>98.884500000000003</v>
      </c>
      <c r="R10">
        <v>75.316999999999993</v>
      </c>
      <c r="S10" s="2">
        <f>SIN(Q10*PI()/200)*R10</f>
        <v>75.305438057401759</v>
      </c>
      <c r="T10" s="2">
        <f>COS(Q10*PI()/200)*R10</f>
        <v>1.3196544937318881</v>
      </c>
      <c r="Y10" t="s">
        <v>46</v>
      </c>
      <c r="Z10" t="s">
        <v>47</v>
      </c>
      <c r="AA10" t="s">
        <v>48</v>
      </c>
    </row>
    <row r="11" spans="1:28" x14ac:dyDescent="0.35">
      <c r="B11" t="s">
        <v>3</v>
      </c>
      <c r="C11">
        <v>56.341999999999999</v>
      </c>
      <c r="D11">
        <v>256.34500000000003</v>
      </c>
      <c r="F11">
        <f>C11-C9+400</f>
        <v>196.68700000000001</v>
      </c>
      <c r="G11">
        <f>D11-D9</f>
        <v>196.69200000000004</v>
      </c>
      <c r="H11">
        <v>196.69</v>
      </c>
      <c r="S11" s="2">
        <f>-R27*(ABS(S10)/(ABS(S18)+ABS(S14)+ABS(S10)))+S10</f>
        <v>75.317828093290672</v>
      </c>
      <c r="T11" s="4">
        <v>1.32</v>
      </c>
      <c r="V11" t="s">
        <v>4</v>
      </c>
      <c r="W11" s="2">
        <f>Z11*SIN(Y11*(PI()/200))</f>
        <v>13.088619263575319</v>
      </c>
      <c r="X11" s="2">
        <f>Z11*COS(Y11*(PI()/200))</f>
        <v>19.589835266616333</v>
      </c>
      <c r="Y11">
        <f>C8-I6</f>
        <v>37.498000000000005</v>
      </c>
      <c r="Z11">
        <f>K8</f>
        <v>23.56</v>
      </c>
      <c r="AA11" t="s">
        <v>29</v>
      </c>
    </row>
    <row r="12" spans="1:28" x14ac:dyDescent="0.35">
      <c r="P12" t="s">
        <v>14</v>
      </c>
      <c r="Q12">
        <f>400-102.211</f>
        <v>297.78899999999999</v>
      </c>
      <c r="V12" t="s">
        <v>20</v>
      </c>
      <c r="W12" s="2">
        <f>W5+SIN(Y12*(PI()/200))*Z12</f>
        <v>8.664302048364835</v>
      </c>
      <c r="X12" s="2">
        <f>X5+COS(Y12*(PI()/200))*Z12</f>
        <v>169.20628400894537</v>
      </c>
      <c r="Y12">
        <f>C37-200</f>
        <v>161.721</v>
      </c>
      <c r="Z12">
        <f>K37</f>
        <v>15.316000000000001</v>
      </c>
      <c r="AA12" t="s">
        <v>2</v>
      </c>
    </row>
    <row r="13" spans="1:28" x14ac:dyDescent="0.35">
      <c r="A13" s="1" t="s">
        <v>12</v>
      </c>
      <c r="V13" t="s">
        <v>16</v>
      </c>
      <c r="W13" s="2">
        <f>W6+SIN(Y13*(PI()/200))*Z13</f>
        <v>60.155254699332744</v>
      </c>
      <c r="X13" s="2">
        <f>X6+COS(Y13*(PI()/200))*Z13</f>
        <v>170.87693289077549</v>
      </c>
      <c r="Y13">
        <f>C27+I32-200+200-I23</f>
        <v>256.66499999999996</v>
      </c>
      <c r="Z13">
        <f>K27</f>
        <v>19.510999999999999</v>
      </c>
      <c r="AA13" t="s">
        <v>14</v>
      </c>
    </row>
    <row r="14" spans="1:28" x14ac:dyDescent="0.35">
      <c r="Q14">
        <f>200+Q12+P29-400+Q10</f>
        <v>196.68349999999998</v>
      </c>
      <c r="R14">
        <v>175.19800000000001</v>
      </c>
      <c r="S14" s="2">
        <f>SIN(Q14*PI()/200)*R14</f>
        <v>9.1228926327633619</v>
      </c>
      <c r="T14" s="2">
        <f>COS(Q14*PI()/200)*R14</f>
        <v>-174.96031559759794</v>
      </c>
      <c r="V14" s="10" t="s">
        <v>41</v>
      </c>
      <c r="W14" s="28">
        <f>Q86</f>
        <v>64.766319218841218</v>
      </c>
      <c r="X14" s="28">
        <f>Q87</f>
        <v>18.462259400649806</v>
      </c>
    </row>
    <row r="15" spans="1:28" x14ac:dyDescent="0.35">
      <c r="A15">
        <v>1</v>
      </c>
      <c r="B15" t="s">
        <v>13</v>
      </c>
      <c r="C15">
        <v>0</v>
      </c>
      <c r="D15">
        <v>200</v>
      </c>
      <c r="F15">
        <v>0</v>
      </c>
      <c r="G15">
        <v>0</v>
      </c>
      <c r="H15">
        <v>0</v>
      </c>
      <c r="I15">
        <v>0</v>
      </c>
      <c r="K15">
        <v>84.850999999999999</v>
      </c>
      <c r="S15" s="2">
        <f>-R27*(ABS(S14)/(ABS(S18)+ABS(S14)+ABS(S10)))+S14</f>
        <v>9.1243936261849061</v>
      </c>
      <c r="T15" s="2">
        <f>-R29*(ABS(T14)/(ABS(T18)+ABS(T14)+ABS(T10)))+T14</f>
        <v>-174.96827211879784</v>
      </c>
      <c r="V15" t="s">
        <v>23</v>
      </c>
      <c r="W15" s="2">
        <f>W27+Z15*SIN(Y15*(PI()/200))</f>
        <v>24.790949495208316</v>
      </c>
      <c r="X15" s="2">
        <f>X27+Z15*COS(Y15*(PI()/200))</f>
        <v>34.442148108617786</v>
      </c>
      <c r="Y15">
        <f>C43-200-R47</f>
        <v>171.0964303452306</v>
      </c>
      <c r="Z15">
        <f>K43</f>
        <v>89.162999999999997</v>
      </c>
      <c r="AA15" t="s">
        <v>55</v>
      </c>
    </row>
    <row r="16" spans="1:28" x14ac:dyDescent="0.35">
      <c r="B16" t="s">
        <v>14</v>
      </c>
      <c r="C16">
        <v>102.83799999999999</v>
      </c>
      <c r="D16">
        <v>302.83999999999997</v>
      </c>
      <c r="F16">
        <f>C16-C15</f>
        <v>102.83799999999999</v>
      </c>
      <c r="G16">
        <f>D16-D15</f>
        <v>102.83999999999997</v>
      </c>
      <c r="H16">
        <f>102.839</f>
        <v>102.839</v>
      </c>
      <c r="I16">
        <v>102.84099999999999</v>
      </c>
      <c r="K16">
        <v>175.196</v>
      </c>
      <c r="P16" t="s">
        <v>3</v>
      </c>
      <c r="Q16">
        <f>400-102.838</f>
        <v>297.16200000000003</v>
      </c>
      <c r="V16" t="s">
        <v>22</v>
      </c>
      <c r="W16" s="2">
        <f>W27+Z16*SIN(Y16*(PI()/200))</f>
        <v>21.203136861863506</v>
      </c>
      <c r="X16" s="2">
        <f>X27+Z16*COS(Y16*(PI()/200))</f>
        <v>155.11539191247425</v>
      </c>
      <c r="Y16" s="2">
        <f>C42-200-R47</f>
        <v>45.799430345230569</v>
      </c>
      <c r="Z16">
        <f>K42</f>
        <v>53.9</v>
      </c>
      <c r="AA16" t="s">
        <v>55</v>
      </c>
      <c r="AB16" t="s">
        <v>32</v>
      </c>
    </row>
    <row r="17" spans="1:28" x14ac:dyDescent="0.35">
      <c r="V17" t="s">
        <v>42</v>
      </c>
      <c r="W17">
        <f>W28+Z17*SIN((Y17-(200-Q57))*(PI()/200))</f>
        <v>50.101304731183944</v>
      </c>
      <c r="X17">
        <f>X28+Z17*COS((Y17-(200-Q57))*(PI()/200))</f>
        <v>156.53628803369645</v>
      </c>
      <c r="Y17">
        <f>C50</f>
        <v>380.26100000000002</v>
      </c>
      <c r="Z17">
        <f>K50</f>
        <v>93.656000000000006</v>
      </c>
      <c r="AA17" t="s">
        <v>64</v>
      </c>
    </row>
    <row r="18" spans="1:28" x14ac:dyDescent="0.35">
      <c r="A18">
        <v>2</v>
      </c>
      <c r="B18" t="s">
        <v>13</v>
      </c>
      <c r="C18">
        <v>146.303</v>
      </c>
      <c r="D18">
        <v>346.30700000000002</v>
      </c>
      <c r="F18">
        <v>0</v>
      </c>
      <c r="G18">
        <v>0</v>
      </c>
      <c r="H18">
        <v>0</v>
      </c>
      <c r="Q18">
        <f>200+Q16+P31-400+Q14</f>
        <v>293.84800000000001</v>
      </c>
      <c r="R18">
        <v>84.852000000000004</v>
      </c>
      <c r="S18" s="2">
        <f>SIN(Q18*PI()/200)*R18</f>
        <v>-84.456117320532201</v>
      </c>
      <c r="T18" s="2">
        <f>COS(Q18*PI()/200)*R18</f>
        <v>-8.1869500511791387</v>
      </c>
      <c r="V18" t="s">
        <v>43</v>
      </c>
      <c r="W18">
        <f>W28+Z18*SIN((Y18-(200-Q57))*(PI()/200))</f>
        <v>51.361488805549023</v>
      </c>
      <c r="X18">
        <f>X28+Z18*COS((Y18-(200-Q57))*(PI()/200))</f>
        <v>35.911335052685587</v>
      </c>
      <c r="Y18">
        <f>C49</f>
        <v>251.05699999999999</v>
      </c>
      <c r="Z18">
        <f>K49</f>
        <v>45.133000000000003</v>
      </c>
      <c r="AA18" t="s">
        <v>64</v>
      </c>
    </row>
    <row r="19" spans="1:28" x14ac:dyDescent="0.35">
      <c r="B19" t="s">
        <v>14</v>
      </c>
      <c r="C19">
        <v>249.14599999999999</v>
      </c>
      <c r="D19">
        <v>49.15</v>
      </c>
      <c r="F19">
        <f>C19-C18</f>
        <v>102.84299999999999</v>
      </c>
      <c r="G19">
        <f>D19-D18+400</f>
        <v>102.84299999999996</v>
      </c>
      <c r="H19">
        <v>102.843</v>
      </c>
      <c r="S19" s="2">
        <f>-R27*(ABS(S18)/(ABS(S18)+ABS(S14)+ABS(S10)))+S18</f>
        <v>-84.442221719475583</v>
      </c>
      <c r="T19" s="3">
        <f>-R29*(ABS(T18)/(ABS(T18)+ABS(T14)+ABS(T10)))+T18</f>
        <v>-8.187322362131038</v>
      </c>
    </row>
    <row r="20" spans="1:28" x14ac:dyDescent="0.35">
      <c r="P20" t="s">
        <v>29</v>
      </c>
      <c r="Q20">
        <f>400-93.843</f>
        <v>306.15699999999998</v>
      </c>
      <c r="S20">
        <v>0</v>
      </c>
      <c r="T20">
        <v>0</v>
      </c>
      <c r="V20" t="s">
        <v>19</v>
      </c>
      <c r="W20" s="2">
        <f>W5+SIN(Y20*(PI()/200))*Z20</f>
        <v>9.0231831486844971</v>
      </c>
      <c r="X20" s="2">
        <f>X5+COS(Y20*(PI()/200))*Z20</f>
        <v>154.79155018371983</v>
      </c>
      <c r="Y20">
        <f>C36-200</f>
        <v>179.49900000000002</v>
      </c>
      <c r="Z20">
        <f>K36</f>
        <v>28.51</v>
      </c>
      <c r="AA20" t="s">
        <v>2</v>
      </c>
    </row>
    <row r="21" spans="1:28" x14ac:dyDescent="0.35">
      <c r="A21" s="1" t="s">
        <v>15</v>
      </c>
      <c r="V21" t="s">
        <v>44</v>
      </c>
      <c r="W21" s="2">
        <f>Q68</f>
        <v>11.384981305743809</v>
      </c>
      <c r="X21" s="2">
        <f>Q69</f>
        <v>33.737630773642707</v>
      </c>
      <c r="AB21" t="s">
        <v>32</v>
      </c>
    </row>
    <row r="22" spans="1:28" x14ac:dyDescent="0.35">
      <c r="A22">
        <v>1</v>
      </c>
      <c r="B22" t="s">
        <v>3</v>
      </c>
      <c r="C22">
        <v>0</v>
      </c>
      <c r="D22">
        <v>200.00299999999999</v>
      </c>
      <c r="F22">
        <v>0</v>
      </c>
      <c r="G22">
        <v>0</v>
      </c>
      <c r="H22">
        <v>0</v>
      </c>
      <c r="I22">
        <v>0</v>
      </c>
      <c r="K22">
        <v>175.19900000000001</v>
      </c>
      <c r="Q22">
        <f>200+Q20+P31-400+Q18</f>
        <v>400.00749999999999</v>
      </c>
      <c r="S22" s="2">
        <f>S18+S14+S10+S6</f>
        <v>-2.7786630367074849E-2</v>
      </c>
      <c r="T22" s="2">
        <f>T18+T14+T10+T6</f>
        <v>8.3888449548226163E-3</v>
      </c>
      <c r="V22" t="s">
        <v>17</v>
      </c>
      <c r="W22" s="2">
        <f>W6+SIN(Y22*(PI()/200))*Z22</f>
        <v>60.524104664456075</v>
      </c>
      <c r="X22" s="2">
        <f>X6+COS(Y22*(PI()/200))*Z22</f>
        <v>156.41769206716418</v>
      </c>
      <c r="Y22">
        <f>C28+I32-200+200-I23</f>
        <v>232.17199999999997</v>
      </c>
      <c r="Z22">
        <f>K28</f>
        <v>30.558</v>
      </c>
      <c r="AA22" t="s">
        <v>14</v>
      </c>
    </row>
    <row r="23" spans="1:28" x14ac:dyDescent="0.35">
      <c r="B23" t="s">
        <v>2</v>
      </c>
      <c r="C23">
        <v>102.209</v>
      </c>
      <c r="D23">
        <v>302.21300000000002</v>
      </c>
      <c r="F23">
        <f>C23-C22</f>
        <v>102.209</v>
      </c>
      <c r="G23">
        <f>D23-D22</f>
        <v>102.21000000000004</v>
      </c>
      <c r="H23">
        <v>102.21</v>
      </c>
      <c r="I23">
        <v>102.211</v>
      </c>
      <c r="K23">
        <v>75.316999999999993</v>
      </c>
      <c r="W23" s="2">
        <f>W28+Z23*SIN((Y23-(200-Q57))*(PI()/200))</f>
        <v>62.236400256803108</v>
      </c>
      <c r="X23" s="2">
        <f>X28+Z23*COS((Y23-(200-Q57))*(PI()/200))</f>
        <v>156.84311166578652</v>
      </c>
      <c r="Y23">
        <f>C51</f>
        <v>388.37</v>
      </c>
      <c r="Z23">
        <f>K51</f>
        <v>90.486999999999995</v>
      </c>
      <c r="AA23" t="s">
        <v>64</v>
      </c>
      <c r="AB23" t="s">
        <v>32</v>
      </c>
    </row>
    <row r="24" spans="1:28" x14ac:dyDescent="0.35">
      <c r="P24" t="s">
        <v>2</v>
      </c>
      <c r="V24" t="s">
        <v>45</v>
      </c>
      <c r="W24" s="2">
        <f>W28+Z24*SIN((Y24-(200-Q57))*(PI()/200))</f>
        <v>64.976946477111071</v>
      </c>
      <c r="X24" s="2">
        <f>X28+Z24*COS((Y24-(200-Q57))*(PI()/200))</f>
        <v>35.258571631319739</v>
      </c>
      <c r="Y24" s="2">
        <f>C48-(200-Q57)</f>
        <v>233.38671001543935</v>
      </c>
      <c r="Z24">
        <f>K48</f>
        <v>37.673000000000002</v>
      </c>
      <c r="AA24" t="s">
        <v>64</v>
      </c>
    </row>
    <row r="25" spans="1:28" x14ac:dyDescent="0.35">
      <c r="A25">
        <v>2</v>
      </c>
      <c r="B25" t="s">
        <v>3</v>
      </c>
      <c r="C25">
        <v>0</v>
      </c>
      <c r="D25">
        <v>200.00399999999999</v>
      </c>
      <c r="F25">
        <v>0</v>
      </c>
      <c r="G25">
        <v>0</v>
      </c>
      <c r="H25">
        <v>0</v>
      </c>
      <c r="V25" t="s">
        <v>1</v>
      </c>
      <c r="W25" s="2">
        <f>Z25*SIN(Y25*(PI()/200))</f>
        <v>-199.80074199664847</v>
      </c>
      <c r="X25" s="2">
        <f>Z25*COS(Y25*(PI()/200))</f>
        <v>-8.925441030487848</v>
      </c>
      <c r="Y25">
        <f>400-I6</f>
        <v>297.15800000000002</v>
      </c>
      <c r="Z25">
        <f>D5</f>
        <v>200</v>
      </c>
      <c r="AA25" t="s">
        <v>29</v>
      </c>
    </row>
    <row r="26" spans="1:28" x14ac:dyDescent="0.35">
      <c r="B26" t="s">
        <v>2</v>
      </c>
      <c r="C26">
        <v>102.21299999999999</v>
      </c>
      <c r="D26">
        <v>302.21499999999997</v>
      </c>
      <c r="F26">
        <f>C26-C25</f>
        <v>102.21299999999999</v>
      </c>
      <c r="G26">
        <f>D26-D25</f>
        <v>102.21099999999998</v>
      </c>
      <c r="H26">
        <v>102.212</v>
      </c>
      <c r="P26" t="s">
        <v>33</v>
      </c>
      <c r="R26" t="s">
        <v>37</v>
      </c>
      <c r="W26" s="2"/>
      <c r="X26" s="2"/>
    </row>
    <row r="27" spans="1:28" x14ac:dyDescent="0.35">
      <c r="B27" t="s">
        <v>16</v>
      </c>
      <c r="C27">
        <v>59.994</v>
      </c>
      <c r="K27">
        <v>19.510999999999999</v>
      </c>
      <c r="P27">
        <f>Q16+Q12+Q8+Q20</f>
        <v>1199.99</v>
      </c>
      <c r="R27" s="2">
        <f>S22</f>
        <v>-2.7786630367074849E-2</v>
      </c>
      <c r="V27" t="s">
        <v>53</v>
      </c>
      <c r="W27" s="2">
        <f>Q48</f>
        <v>-14.314016515102081</v>
      </c>
      <c r="X27" s="2">
        <f>Q49</f>
        <v>114.57230599148026</v>
      </c>
    </row>
    <row r="28" spans="1:28" x14ac:dyDescent="0.35">
      <c r="B28" t="s">
        <v>17</v>
      </c>
      <c r="C28">
        <v>35.500999999999998</v>
      </c>
      <c r="K28">
        <v>30.558</v>
      </c>
      <c r="P28" t="s">
        <v>34</v>
      </c>
      <c r="R28" t="s">
        <v>38</v>
      </c>
      <c r="V28" t="s">
        <v>54</v>
      </c>
      <c r="W28" s="11">
        <f>D75</f>
        <v>82.438958935469117</v>
      </c>
      <c r="X28" s="11">
        <f>D76</f>
        <v>68.640199061751417</v>
      </c>
    </row>
    <row r="29" spans="1:28" x14ac:dyDescent="0.35">
      <c r="P29">
        <f>1200-P27</f>
        <v>9.9999999999909051E-3</v>
      </c>
      <c r="R29" s="2">
        <f>T22</f>
        <v>8.3888449548226163E-3</v>
      </c>
    </row>
    <row r="30" spans="1:28" x14ac:dyDescent="0.35">
      <c r="A30" s="1" t="s">
        <v>18</v>
      </c>
      <c r="P30" t="s">
        <v>35</v>
      </c>
    </row>
    <row r="31" spans="1:28" x14ac:dyDescent="0.35">
      <c r="A31">
        <v>1</v>
      </c>
      <c r="B31" t="s">
        <v>13</v>
      </c>
      <c r="C31">
        <v>0</v>
      </c>
      <c r="D31">
        <v>200.00299999999999</v>
      </c>
      <c r="F31">
        <v>0</v>
      </c>
      <c r="G31">
        <v>0</v>
      </c>
      <c r="H31">
        <v>0</v>
      </c>
      <c r="I31">
        <v>0</v>
      </c>
      <c r="K31">
        <v>181.839</v>
      </c>
      <c r="P31">
        <f>P29/4</f>
        <v>2.4999999999977263E-3</v>
      </c>
    </row>
    <row r="32" spans="1:28" x14ac:dyDescent="0.35">
      <c r="B32" t="s">
        <v>14</v>
      </c>
      <c r="C32">
        <v>298.88099999999997</v>
      </c>
      <c r="D32">
        <v>98.885000000000005</v>
      </c>
      <c r="F32">
        <f>C32-C31</f>
        <v>298.88099999999997</v>
      </c>
      <c r="G32">
        <f>D32-D31+400</f>
        <v>298.88200000000001</v>
      </c>
      <c r="H32">
        <v>298.88200000000001</v>
      </c>
      <c r="I32">
        <v>298.88200000000001</v>
      </c>
      <c r="K32">
        <v>75.316999999999993</v>
      </c>
    </row>
    <row r="34" spans="1:18" x14ac:dyDescent="0.35">
      <c r="A34">
        <v>2</v>
      </c>
      <c r="B34" t="s">
        <v>13</v>
      </c>
      <c r="C34">
        <v>0</v>
      </c>
      <c r="D34">
        <v>200.00399999999999</v>
      </c>
      <c r="F34">
        <v>0</v>
      </c>
      <c r="G34">
        <v>0</v>
      </c>
      <c r="H34">
        <v>0</v>
      </c>
      <c r="O34" t="s">
        <v>56</v>
      </c>
    </row>
    <row r="35" spans="1:18" x14ac:dyDescent="0.35">
      <c r="B35" t="s">
        <v>14</v>
      </c>
      <c r="C35">
        <v>298.88099999999997</v>
      </c>
      <c r="D35">
        <v>98.885000000000005</v>
      </c>
      <c r="F35">
        <f>C35-C34</f>
        <v>298.88099999999997</v>
      </c>
      <c r="G35">
        <f>D35-D34+400</f>
        <v>298.88100000000003</v>
      </c>
      <c r="H35">
        <v>298.88099999999997</v>
      </c>
      <c r="P35" t="s">
        <v>57</v>
      </c>
      <c r="Q35">
        <v>0</v>
      </c>
    </row>
    <row r="36" spans="1:18" x14ac:dyDescent="0.35">
      <c r="B36" t="s">
        <v>19</v>
      </c>
      <c r="C36">
        <v>379.49900000000002</v>
      </c>
      <c r="K36">
        <v>28.51</v>
      </c>
      <c r="P36" t="s">
        <v>58</v>
      </c>
      <c r="Q36">
        <f>Q35+200+I32-400</f>
        <v>98.882000000000005</v>
      </c>
    </row>
    <row r="37" spans="1:18" x14ac:dyDescent="0.35">
      <c r="B37" t="s">
        <v>20</v>
      </c>
      <c r="C37">
        <v>361.721</v>
      </c>
      <c r="K37">
        <v>15.316000000000001</v>
      </c>
      <c r="P37" t="s">
        <v>59</v>
      </c>
      <c r="Q37">
        <f>Q36+200+(400-I23)-400</f>
        <v>196.67100000000005</v>
      </c>
    </row>
    <row r="38" spans="1:18" x14ac:dyDescent="0.35">
      <c r="P38" t="s">
        <v>60</v>
      </c>
      <c r="Q38">
        <f>Q37+200+(400-I16)-400</f>
        <v>293.83000000000004</v>
      </c>
    </row>
    <row r="39" spans="1:18" x14ac:dyDescent="0.35">
      <c r="A39" s="1" t="s">
        <v>21</v>
      </c>
    </row>
    <row r="40" spans="1:18" x14ac:dyDescent="0.35">
      <c r="B40" t="s">
        <v>13</v>
      </c>
      <c r="C40">
        <v>0</v>
      </c>
      <c r="K40">
        <v>115.46299999999999</v>
      </c>
    </row>
    <row r="41" spans="1:18" x14ac:dyDescent="0.35">
      <c r="B41" t="s">
        <v>2</v>
      </c>
      <c r="C41">
        <v>221.26</v>
      </c>
      <c r="K41">
        <v>68.772999999999996</v>
      </c>
    </row>
    <row r="42" spans="1:18" x14ac:dyDescent="0.35">
      <c r="B42" t="s">
        <v>22</v>
      </c>
      <c r="C42">
        <v>253.71199999999999</v>
      </c>
      <c r="K42">
        <v>53.9</v>
      </c>
    </row>
    <row r="43" spans="1:18" x14ac:dyDescent="0.35">
      <c r="B43" t="s">
        <v>23</v>
      </c>
      <c r="C43">
        <v>379.00900000000001</v>
      </c>
      <c r="K43">
        <v>89.162999999999997</v>
      </c>
    </row>
    <row r="44" spans="1:18" x14ac:dyDescent="0.35">
      <c r="P44" s="1" t="s">
        <v>49</v>
      </c>
    </row>
    <row r="45" spans="1:18" x14ac:dyDescent="0.35">
      <c r="A45" s="1" t="s">
        <v>24</v>
      </c>
      <c r="P45" t="s">
        <v>50</v>
      </c>
    </row>
    <row r="46" spans="1:18" x14ac:dyDescent="0.35">
      <c r="B46" t="s">
        <v>14</v>
      </c>
      <c r="C46">
        <v>0</v>
      </c>
      <c r="K46">
        <v>114.73699999999999</v>
      </c>
      <c r="P46" t="s">
        <v>51</v>
      </c>
      <c r="Q46" s="2">
        <f>T6</f>
        <v>181.83600000000001</v>
      </c>
      <c r="R46" s="2"/>
    </row>
    <row r="47" spans="1:18" x14ac:dyDescent="0.35">
      <c r="B47" t="s">
        <v>3</v>
      </c>
      <c r="C47">
        <v>201.81</v>
      </c>
      <c r="K47">
        <v>60.475999999999999</v>
      </c>
      <c r="P47" t="s">
        <v>52</v>
      </c>
      <c r="Q47" s="2">
        <f>(SIN((400-C41)*(PI()/200))*K41)/Q46</f>
        <v>0.12397059244175258</v>
      </c>
      <c r="R47" s="2">
        <f>ASIN(Q47)*(200/PI())</f>
        <v>7.9125696547694231</v>
      </c>
    </row>
    <row r="48" spans="1:18" x14ac:dyDescent="0.35">
      <c r="B48" t="s">
        <v>25</v>
      </c>
      <c r="C48">
        <v>236.09100000000001</v>
      </c>
      <c r="K48">
        <v>37.673000000000002</v>
      </c>
      <c r="P48" t="s">
        <v>31</v>
      </c>
      <c r="Q48" s="2">
        <f>S4+K40*SIN(-R47*(PI()/200))</f>
        <v>-14.314016515102081</v>
      </c>
      <c r="R48" s="2"/>
    </row>
    <row r="49" spans="2:19" x14ac:dyDescent="0.35">
      <c r="B49" t="s">
        <v>26</v>
      </c>
      <c r="C49">
        <v>251.05699999999999</v>
      </c>
      <c r="K49">
        <v>45.133000000000003</v>
      </c>
      <c r="P49" t="s">
        <v>32</v>
      </c>
      <c r="Q49" s="2">
        <f>S4+K40*COS(-R47*(PI()/200))</f>
        <v>114.57230599148026</v>
      </c>
      <c r="R49" s="2"/>
    </row>
    <row r="50" spans="2:19" x14ac:dyDescent="0.35">
      <c r="B50" t="s">
        <v>27</v>
      </c>
      <c r="C50">
        <v>380.26100000000002</v>
      </c>
      <c r="K50">
        <v>93.656000000000006</v>
      </c>
      <c r="Q50" s="2"/>
      <c r="R50" s="2"/>
    </row>
    <row r="51" spans="2:19" x14ac:dyDescent="0.35">
      <c r="B51" t="s">
        <v>28</v>
      </c>
      <c r="C51">
        <v>388.37</v>
      </c>
      <c r="D51" t="s">
        <v>68</v>
      </c>
      <c r="K51">
        <v>90.486999999999995</v>
      </c>
      <c r="P51" t="s">
        <v>61</v>
      </c>
      <c r="Q51" s="2"/>
      <c r="R51" s="2"/>
    </row>
    <row r="52" spans="2:19" x14ac:dyDescent="0.35">
      <c r="P52" s="12" t="s">
        <v>62</v>
      </c>
      <c r="Q52" s="13">
        <f>K22</f>
        <v>175.19900000000001</v>
      </c>
      <c r="R52" s="13"/>
    </row>
    <row r="53" spans="2:19" x14ac:dyDescent="0.35">
      <c r="P53" s="12" t="s">
        <v>65</v>
      </c>
      <c r="Q53" s="13">
        <f>(SIN((400-C47)*(PI()/200))*K46)/Q52</f>
        <v>1.8617090403772883E-2</v>
      </c>
      <c r="R53" s="13">
        <f>ASIN(Q53)*(200/PI())</f>
        <v>1.1852692604995791</v>
      </c>
    </row>
    <row r="54" spans="2:19" x14ac:dyDescent="0.35">
      <c r="P54" s="12" t="s">
        <v>31</v>
      </c>
      <c r="Q54" s="13">
        <f>W7+K47*SIN(((Q37-200)+R53)*(PI()/200))</f>
        <v>82.406159279944106</v>
      </c>
      <c r="R54" s="13"/>
      <c r="S54" t="s">
        <v>63</v>
      </c>
    </row>
    <row r="55" spans="2:19" x14ac:dyDescent="0.35">
      <c r="C55" s="15" t="s">
        <v>149</v>
      </c>
      <c r="D55" s="5"/>
      <c r="P55" s="12" t="s">
        <v>32</v>
      </c>
      <c r="Q55" s="13">
        <f>X7+K47*COS(((Q37-200)+R53)*(PI()/200))</f>
        <v>68.629443820959608</v>
      </c>
      <c r="R55" s="13"/>
      <c r="S55">
        <f>X7+K47*COS(((Q37-200)-R53)*(PI()/200))</f>
        <v>68.511748122389605</v>
      </c>
    </row>
    <row r="56" spans="2:19" x14ac:dyDescent="0.35">
      <c r="C56" s="14" t="s">
        <v>150</v>
      </c>
      <c r="P56" s="12" t="s">
        <v>66</v>
      </c>
      <c r="Q56" s="13">
        <f>(SIN((400-C47)*(PI()/200))*K47)/Q52</f>
        <v>9.8127644897336424E-3</v>
      </c>
      <c r="R56" s="13">
        <f>ASIN(Q56)*(200/PI())</f>
        <v>0.62471001543931237</v>
      </c>
    </row>
    <row r="57" spans="2:19" x14ac:dyDescent="0.35">
      <c r="P57" s="12" t="s">
        <v>67</v>
      </c>
      <c r="Q57" s="13">
        <f>Q36+200+(400-I23)+R56-400</f>
        <v>197.29571001543934</v>
      </c>
      <c r="R57" s="13"/>
    </row>
    <row r="58" spans="2:19" x14ac:dyDescent="0.35">
      <c r="C58" t="s">
        <v>148</v>
      </c>
    </row>
    <row r="59" spans="2:19" x14ac:dyDescent="0.35">
      <c r="C59" t="s">
        <v>144</v>
      </c>
      <c r="D59">
        <f>K6-K31</f>
        <v>-4.9999999999954525E-3</v>
      </c>
    </row>
    <row r="60" spans="2:19" x14ac:dyDescent="0.35">
      <c r="C60" t="s">
        <v>145</v>
      </c>
      <c r="D60">
        <f>K32-K23</f>
        <v>0</v>
      </c>
      <c r="P60" s="1" t="s">
        <v>69</v>
      </c>
    </row>
    <row r="61" spans="2:19" x14ac:dyDescent="0.35">
      <c r="C61" t="s">
        <v>146</v>
      </c>
      <c r="D61">
        <f>K22-K16</f>
        <v>3.0000000000143245E-3</v>
      </c>
    </row>
    <row r="62" spans="2:19" x14ac:dyDescent="0.35">
      <c r="C62" t="s">
        <v>147</v>
      </c>
      <c r="D62">
        <f>K15-K7</f>
        <v>-1.0000000000047748E-3</v>
      </c>
      <c r="P62" t="s">
        <v>44</v>
      </c>
      <c r="Q62" t="s">
        <v>31</v>
      </c>
      <c r="R62" t="s">
        <v>32</v>
      </c>
      <c r="S62" t="s">
        <v>73</v>
      </c>
    </row>
    <row r="63" spans="2:19" x14ac:dyDescent="0.35">
      <c r="P63" t="s">
        <v>70</v>
      </c>
      <c r="Q63">
        <f>W11</f>
        <v>13.088619263575319</v>
      </c>
      <c r="R63" s="2">
        <f>X11</f>
        <v>19.589835266616333</v>
      </c>
      <c r="S63">
        <v>14.25</v>
      </c>
    </row>
    <row r="64" spans="2:19" x14ac:dyDescent="0.35">
      <c r="C64" s="14" t="s">
        <v>151</v>
      </c>
      <c r="P64" t="s">
        <v>71</v>
      </c>
      <c r="Q64" s="2">
        <f>W15</f>
        <v>24.790949495208316</v>
      </c>
      <c r="R64" s="2">
        <f>X15</f>
        <v>34.442148108617786</v>
      </c>
      <c r="S64">
        <v>12.22</v>
      </c>
    </row>
    <row r="65" spans="3:20" x14ac:dyDescent="0.35">
      <c r="P65" t="s">
        <v>72</v>
      </c>
      <c r="Q65">
        <f>ATAN(S64/S63)*(200/PI())</f>
        <v>45.12726318413641</v>
      </c>
      <c r="R65" t="s">
        <v>74</v>
      </c>
    </row>
    <row r="66" spans="3:20" x14ac:dyDescent="0.35">
      <c r="C66" s="9" t="s">
        <v>152</v>
      </c>
      <c r="G66" t="s">
        <v>153</v>
      </c>
      <c r="P66" t="s">
        <v>75</v>
      </c>
      <c r="Q66">
        <f>Y11</f>
        <v>37.498000000000005</v>
      </c>
      <c r="R66" t="s">
        <v>74</v>
      </c>
    </row>
    <row r="67" spans="3:20" x14ac:dyDescent="0.35">
      <c r="C67" t="s">
        <v>157</v>
      </c>
      <c r="D67" s="2">
        <f>(SIN((400-C41)*(PI()/200))*K40)/Q46</f>
        <v>0.20813424621729573</v>
      </c>
      <c r="E67" s="2">
        <f>ASIN(D67)*(200/PI())</f>
        <v>13.347818529140827</v>
      </c>
      <c r="G67" s="2">
        <f>(400-C41)+E67+R47</f>
        <v>200.00038818391025</v>
      </c>
      <c r="P67" t="s">
        <v>76</v>
      </c>
      <c r="Q67">
        <f>400-(Q65-Q66)</f>
        <v>392.37073681586361</v>
      </c>
      <c r="R67">
        <f>Q66-Q65+400</f>
        <v>392.37073681586361</v>
      </c>
    </row>
    <row r="68" spans="3:20" x14ac:dyDescent="0.35">
      <c r="D68" s="2"/>
      <c r="E68" s="2" t="s">
        <v>155</v>
      </c>
      <c r="P68" t="s">
        <v>77</v>
      </c>
      <c r="Q68">
        <f>Q63+S63*SIN(Q67*(PI()/200))</f>
        <v>11.384981305743809</v>
      </c>
      <c r="R68">
        <f>Q63+S63*SIN(Q67*(PI()/200))</f>
        <v>11.384981305743809</v>
      </c>
    </row>
    <row r="69" spans="3:20" x14ac:dyDescent="0.35">
      <c r="C69" t="s">
        <v>154</v>
      </c>
      <c r="D69" s="2">
        <f>W5+K41*SIN((200+E67)*(PI()/200))</f>
        <v>-14.314016515102075</v>
      </c>
      <c r="E69" s="2">
        <f>Q48-D69</f>
        <v>0</v>
      </c>
      <c r="P69" t="s">
        <v>78</v>
      </c>
      <c r="Q69">
        <f>R63+S63*COS(Q67*(PI()/200))</f>
        <v>33.737630773642707</v>
      </c>
      <c r="R69">
        <f>R63+S63*COS(Q67*(PI()/200))</f>
        <v>33.737630773642707</v>
      </c>
    </row>
    <row r="70" spans="3:20" x14ac:dyDescent="0.35">
      <c r="C70" t="s">
        <v>32</v>
      </c>
      <c r="D70">
        <f>X5+K41*COS((200+E67)*(PI()/200))</f>
        <v>114.56911022348824</v>
      </c>
      <c r="E70" s="2">
        <f>Q49-D70</f>
        <v>3.1957679920253668E-3</v>
      </c>
    </row>
    <row r="71" spans="3:20" x14ac:dyDescent="0.35">
      <c r="P71" t="s">
        <v>41</v>
      </c>
      <c r="Q71" t="s">
        <v>31</v>
      </c>
      <c r="R71" t="s">
        <v>32</v>
      </c>
      <c r="S71" t="s">
        <v>81</v>
      </c>
    </row>
    <row r="72" spans="3:20" x14ac:dyDescent="0.35">
      <c r="C72" s="9" t="s">
        <v>156</v>
      </c>
      <c r="G72" t="s">
        <v>153</v>
      </c>
      <c r="P72" t="s">
        <v>79</v>
      </c>
      <c r="Q72" s="2">
        <f>W24</f>
        <v>64.976946477111071</v>
      </c>
      <c r="R72" s="2">
        <f>X24</f>
        <v>35.258571631319739</v>
      </c>
      <c r="S72">
        <v>14.35</v>
      </c>
    </row>
    <row r="73" spans="3:20" x14ac:dyDescent="0.35">
      <c r="C73" t="s">
        <v>66</v>
      </c>
      <c r="D73" s="2">
        <f>(SIN((400-C47)*(PI()/200))*K47)/Q52</f>
        <v>9.8127644897336424E-3</v>
      </c>
      <c r="E73" s="2">
        <f>ASIN(D73)*(200/PI())</f>
        <v>0.62471001543931237</v>
      </c>
      <c r="G73" s="2">
        <f>E73+R53+(400-C47)</f>
        <v>199.9999792759389</v>
      </c>
      <c r="P73" t="s">
        <v>80</v>
      </c>
      <c r="Q73">
        <f>W18</f>
        <v>51.361488805549023</v>
      </c>
      <c r="R73">
        <f>X18</f>
        <v>35.911335052685587</v>
      </c>
      <c r="S73" t="s">
        <v>83</v>
      </c>
      <c r="T73">
        <v>12.17</v>
      </c>
    </row>
    <row r="74" spans="3:20" x14ac:dyDescent="0.35">
      <c r="E74" t="s">
        <v>155</v>
      </c>
      <c r="P74" t="s">
        <v>82</v>
      </c>
      <c r="Q74">
        <f>ATAN(S72/T73)*(200/PI())</f>
        <v>55.221409395296327</v>
      </c>
    </row>
    <row r="75" spans="3:20" x14ac:dyDescent="0.35">
      <c r="C75" t="s">
        <v>31</v>
      </c>
      <c r="D75" s="12">
        <f>W6+K46*SIN((Q37-E73)*(PI()/200))</f>
        <v>82.438958935469117</v>
      </c>
      <c r="E75" s="13">
        <f>Q54-D75</f>
        <v>-3.2799655525010962E-2</v>
      </c>
      <c r="I75" s="10" t="s">
        <v>156</v>
      </c>
      <c r="P75" t="s">
        <v>84</v>
      </c>
      <c r="Q75">
        <f>Y24</f>
        <v>233.38671001543935</v>
      </c>
    </row>
    <row r="76" spans="3:20" x14ac:dyDescent="0.35">
      <c r="C76" t="s">
        <v>32</v>
      </c>
      <c r="D76" s="12">
        <f>X6+K46*COS((Q37-E73)*(PI()/200))</f>
        <v>68.640199061751417</v>
      </c>
      <c r="E76" s="2">
        <f>Q55-D76</f>
        <v>-1.0755240791809229E-2</v>
      </c>
      <c r="I76" t="s">
        <v>158</v>
      </c>
      <c r="J76" s="2">
        <f>((W5-W6)^2+(X5-X6)^2)^0.5</f>
        <v>75.3293941877305</v>
      </c>
      <c r="K76" s="2">
        <f>J76-K23</f>
        <v>1.2394187730507156E-2</v>
      </c>
      <c r="P76" t="s">
        <v>85</v>
      </c>
      <c r="Q76">
        <f>Q75-(90/2)</f>
        <v>188.38671001543935</v>
      </c>
      <c r="R76" t="s">
        <v>86</v>
      </c>
    </row>
    <row r="77" spans="3:20" x14ac:dyDescent="0.35">
      <c r="I77" t="s">
        <v>159</v>
      </c>
      <c r="J77" s="2">
        <f>((W7-W6)^2+(X7-X6)^2)^0.5</f>
        <v>175.20602388982877</v>
      </c>
      <c r="K77" s="2">
        <f>J77-K22</f>
        <v>7.0238898287584561E-3</v>
      </c>
      <c r="P77" t="s">
        <v>87</v>
      </c>
      <c r="Q77">
        <f>Q72+S72*SIN(Q76*(PI()/200))</f>
        <v>67.58019522127131</v>
      </c>
    </row>
    <row r="78" spans="3:20" x14ac:dyDescent="0.35">
      <c r="P78" t="s">
        <v>88</v>
      </c>
      <c r="Q78">
        <f>R72+S72*COS(Q76*(PI()/200))</f>
        <v>21.146676082669014</v>
      </c>
    </row>
    <row r="79" spans="3:20" x14ac:dyDescent="0.35">
      <c r="C79" s="14" t="s">
        <v>160</v>
      </c>
    </row>
    <row r="80" spans="3:20" x14ac:dyDescent="0.35">
      <c r="P80" t="s">
        <v>41</v>
      </c>
      <c r="Q80" t="s">
        <v>31</v>
      </c>
      <c r="R80" t="s">
        <v>32</v>
      </c>
    </row>
    <row r="81" spans="2:20" x14ac:dyDescent="0.35">
      <c r="B81" t="s">
        <v>161</v>
      </c>
      <c r="C81" t="s">
        <v>40</v>
      </c>
      <c r="D81" t="s">
        <v>162</v>
      </c>
      <c r="P81" t="s">
        <v>70</v>
      </c>
      <c r="Q81" s="2">
        <f>W11</f>
        <v>13.088619263575319</v>
      </c>
      <c r="R81" s="2">
        <f>X11</f>
        <v>19.589835266616333</v>
      </c>
      <c r="S81">
        <v>51.69</v>
      </c>
    </row>
    <row r="82" spans="2:20" x14ac:dyDescent="0.35">
      <c r="F82" t="s">
        <v>175</v>
      </c>
      <c r="P82" t="s">
        <v>79</v>
      </c>
      <c r="Q82" s="2">
        <f>W24</f>
        <v>64.976946477111071</v>
      </c>
      <c r="R82" s="2">
        <f>X24</f>
        <v>35.258571631319739</v>
      </c>
      <c r="S82">
        <v>14.35</v>
      </c>
      <c r="T82">
        <f>(S81^2+S82^2)^0.5</f>
        <v>53.644930794996839</v>
      </c>
    </row>
    <row r="83" spans="2:20" x14ac:dyDescent="0.35">
      <c r="B83" t="s">
        <v>170</v>
      </c>
      <c r="C83" s="2">
        <f>((W11-W21)^2+(X11-X21)^2)^0.5</f>
        <v>14.249999999999998</v>
      </c>
      <c r="D83">
        <v>14.25</v>
      </c>
      <c r="E83" s="2">
        <f t="shared" ref="E83:E84" si="0">D83-C83</f>
        <v>0</v>
      </c>
      <c r="F83" s="21">
        <f>0.008*(D83)^0.5+0.0004*D83+0.03</f>
        <v>6.5899337741083003E-2</v>
      </c>
      <c r="G83" s="21">
        <f>F83-ABS(E83)</f>
        <v>6.5899337741083003E-2</v>
      </c>
      <c r="P83" t="s">
        <v>72</v>
      </c>
      <c r="Q83">
        <f>ATAN(S82/S81)*(200/PI())</f>
        <v>17.239483599205755</v>
      </c>
      <c r="R83" t="s">
        <v>74</v>
      </c>
    </row>
    <row r="84" spans="2:20" x14ac:dyDescent="0.35">
      <c r="B84" s="16" t="s">
        <v>171</v>
      </c>
      <c r="C84" s="17">
        <f>((W15-W21)^2+(X15-X21)^2)^0.5</f>
        <v>13.424467504233258</v>
      </c>
      <c r="D84" s="16">
        <v>12.22</v>
      </c>
      <c r="E84" s="17">
        <f>D84-C84</f>
        <v>-1.2044675042332571</v>
      </c>
      <c r="F84" s="21">
        <f t="shared" ref="F84:F94" si="1">0.008*(D84)^0.5+0.0004*D84+0.03</f>
        <v>6.2853693268717661E-2</v>
      </c>
      <c r="G84" s="22">
        <f t="shared" ref="G84:G94" si="2">F84-ABS(E84)</f>
        <v>-1.1416138109645395</v>
      </c>
      <c r="I84" s="27" t="s">
        <v>176</v>
      </c>
      <c r="J84" s="26">
        <f>((W15-W11)^2+(X15-X11)^2)^0.5</f>
        <v>18.908615221820792</v>
      </c>
      <c r="K84" s="27">
        <f>((D83)^2+(D84)^2)^0.5</f>
        <v>18.772077668707851</v>
      </c>
      <c r="L84" s="26">
        <f>J84-K84</f>
        <v>0.13653755311294091</v>
      </c>
      <c r="P84" t="s">
        <v>75</v>
      </c>
      <c r="Q84">
        <f>Y11</f>
        <v>37.498000000000005</v>
      </c>
      <c r="R84" t="s">
        <v>74</v>
      </c>
    </row>
    <row r="85" spans="2:20" x14ac:dyDescent="0.35">
      <c r="B85" t="s">
        <v>172</v>
      </c>
      <c r="C85" s="2">
        <f>((W15-W16)^2+(X15-X16)^2)^0.5</f>
        <v>120.72656778703258</v>
      </c>
      <c r="D85">
        <v>120.83</v>
      </c>
      <c r="E85" s="2">
        <f>D85-C85</f>
        <v>0.10343221296741945</v>
      </c>
      <c r="F85" s="21">
        <f t="shared" si="1"/>
        <v>0.16627016008991771</v>
      </c>
      <c r="G85" s="21">
        <f t="shared" si="2"/>
        <v>6.2837947122498267E-2</v>
      </c>
      <c r="P85" t="s">
        <v>179</v>
      </c>
      <c r="Q85">
        <f>ACOS(R85*(PI()/200))*(200/PI())</f>
        <v>84.1493615059956</v>
      </c>
      <c r="R85">
        <f>(1/T82)+R82-R81</f>
        <v>15.687377455020432</v>
      </c>
    </row>
    <row r="86" spans="2:20" x14ac:dyDescent="0.35">
      <c r="B86" t="s">
        <v>163</v>
      </c>
      <c r="C86" s="2">
        <f>((W20-W16)^2+(X20-X16)^2)^0.5</f>
        <v>12.18425811941235</v>
      </c>
      <c r="D86">
        <v>12.22</v>
      </c>
      <c r="E86" s="2">
        <f t="shared" ref="E86:E94" si="3">D86-C86</f>
        <v>3.5741880587650598E-2</v>
      </c>
      <c r="F86" s="21">
        <f t="shared" si="1"/>
        <v>6.2853693268717661E-2</v>
      </c>
      <c r="G86" s="21">
        <f t="shared" si="2"/>
        <v>2.7111812681067063E-2</v>
      </c>
      <c r="P86" t="s">
        <v>77</v>
      </c>
      <c r="Q86">
        <f>Q81+S81*SIN((Q85+Q83)*(PI()/200))</f>
        <v>64.766319218841218</v>
      </c>
      <c r="R86">
        <f>Q81+S81*SIN(Q85*(PI()/200))</f>
        <v>63.184704476811405</v>
      </c>
    </row>
    <row r="87" spans="2:20" x14ac:dyDescent="0.35">
      <c r="B87" t="s">
        <v>164</v>
      </c>
      <c r="C87" s="2">
        <f>((W20-W12)^2+(X20-X12)^2)^0.5</f>
        <v>14.419200633054107</v>
      </c>
      <c r="D87">
        <v>14.57</v>
      </c>
      <c r="E87" s="2">
        <f>D87-C87</f>
        <v>0.15079936694589335</v>
      </c>
      <c r="F87" s="21">
        <f t="shared" si="1"/>
        <v>6.63645354943877E-2</v>
      </c>
      <c r="G87" s="23">
        <f t="shared" si="2"/>
        <v>-8.4434831451505654E-2</v>
      </c>
      <c r="P87" t="s">
        <v>78</v>
      </c>
      <c r="Q87">
        <f>R81+S81*COS((Q85+Q83)*(PI()/200))</f>
        <v>18.462259400649806</v>
      </c>
      <c r="R87">
        <f>R81+S81*COS(Q85*(PI()/200))</f>
        <v>32.327117013841232</v>
      </c>
    </row>
    <row r="88" spans="2:20" x14ac:dyDescent="0.35">
      <c r="B88" t="s">
        <v>165</v>
      </c>
      <c r="C88" s="2">
        <f>((W13-W12)^2+(X13-X12)^2)^0.5</f>
        <v>51.518048027759939</v>
      </c>
      <c r="D88">
        <v>51.52</v>
      </c>
      <c r="E88" s="2">
        <f t="shared" si="3"/>
        <v>1.9519722400644923E-3</v>
      </c>
      <c r="F88" s="21">
        <f t="shared" si="1"/>
        <v>0.10802994702376435</v>
      </c>
      <c r="G88" s="21">
        <f t="shared" si="2"/>
        <v>0.10607797478369986</v>
      </c>
    </row>
    <row r="89" spans="2:20" x14ac:dyDescent="0.35">
      <c r="B89" t="s">
        <v>166</v>
      </c>
      <c r="C89" s="2">
        <f>((W13-W22)^2+(X13-X22)^2)^0.5</f>
        <v>14.463944672597423</v>
      </c>
      <c r="D89">
        <v>14.51</v>
      </c>
      <c r="E89" s="2">
        <f t="shared" si="3"/>
        <v>4.6055327402577007E-2</v>
      </c>
      <c r="F89" s="21">
        <f t="shared" si="1"/>
        <v>6.6277595127585451E-2</v>
      </c>
      <c r="G89" s="21">
        <f t="shared" si="2"/>
        <v>2.0222267725008444E-2</v>
      </c>
      <c r="I89" t="s">
        <v>177</v>
      </c>
      <c r="J89" s="2">
        <f>((W13-W17)^2+(X13-X17)^2)^0.5</f>
        <v>17.513880348994817</v>
      </c>
      <c r="K89">
        <f>((D89)^2+(D90)^2)^0.5</f>
        <v>18.938030520621727</v>
      </c>
      <c r="L89" s="2">
        <f>K89-J89</f>
        <v>1.4241501716269092</v>
      </c>
      <c r="P89" t="s">
        <v>44</v>
      </c>
      <c r="Q89" t="s">
        <v>31</v>
      </c>
      <c r="R89" t="s">
        <v>32</v>
      </c>
    </row>
    <row r="90" spans="2:20" x14ac:dyDescent="0.35">
      <c r="B90" s="6" t="s">
        <v>167</v>
      </c>
      <c r="C90" s="18">
        <f>((W17-W22)^2+(X17-X22)^2)^0.5</f>
        <v>10.423474634319176</v>
      </c>
      <c r="D90" s="6">
        <v>12.17</v>
      </c>
      <c r="E90" s="18">
        <f t="shared" si="3"/>
        <v>1.7465253656808244</v>
      </c>
      <c r="F90" s="21">
        <f t="shared" si="1"/>
        <v>6.2776421668019847E-2</v>
      </c>
      <c r="G90" s="22">
        <f t="shared" si="2"/>
        <v>-1.6837489440128046</v>
      </c>
      <c r="I90" t="s">
        <v>178</v>
      </c>
      <c r="J90" s="2">
        <f>((W18-W22)^2+(X18-X22)^2)^0.5</f>
        <v>120.85419152962329</v>
      </c>
      <c r="K90">
        <f>((D91)^2+(D90)^2)^0.5</f>
        <v>121.41148586521787</v>
      </c>
      <c r="L90" s="2">
        <f>K90-J90</f>
        <v>0.55729433559457675</v>
      </c>
      <c r="P90" t="s">
        <v>70</v>
      </c>
      <c r="Q90" s="2">
        <f>W11</f>
        <v>13.088619263575319</v>
      </c>
      <c r="R90" s="2">
        <f>X11</f>
        <v>19.589835266616333</v>
      </c>
      <c r="S90">
        <v>14.25</v>
      </c>
    </row>
    <row r="91" spans="2:20" x14ac:dyDescent="0.35">
      <c r="B91" t="s">
        <v>168</v>
      </c>
      <c r="C91" s="2">
        <f>((W17-W18)^2+(X17-X18)^2)^0.5</f>
        <v>120.63153545227037</v>
      </c>
      <c r="D91">
        <v>120.8</v>
      </c>
      <c r="E91" s="2">
        <f>D91-C91</f>
        <v>0.16846454772962716</v>
      </c>
      <c r="F91" s="21">
        <f t="shared" si="1"/>
        <v>0.16624724264981816</v>
      </c>
      <c r="G91" s="23">
        <f t="shared" si="2"/>
        <v>-2.2173050798089955E-3</v>
      </c>
      <c r="P91" t="s">
        <v>71</v>
      </c>
      <c r="Q91" s="2">
        <f>W15</f>
        <v>24.790949495208316</v>
      </c>
      <c r="R91" s="2">
        <f>X15</f>
        <v>34.442148108617786</v>
      </c>
      <c r="S91">
        <v>12.22</v>
      </c>
      <c r="T91">
        <f>(S90^2+S91^2)^0.5</f>
        <v>18.772077668707851</v>
      </c>
    </row>
    <row r="92" spans="2:20" x14ac:dyDescent="0.35">
      <c r="B92" s="6" t="s">
        <v>169</v>
      </c>
      <c r="C92" s="18">
        <f>((W24-W18)^2+(X24-X18)^2)^0.5</f>
        <v>13.631096349537373</v>
      </c>
      <c r="D92" s="6">
        <v>12.17</v>
      </c>
      <c r="E92" s="18">
        <f t="shared" si="3"/>
        <v>-1.4610963495373728</v>
      </c>
      <c r="F92" s="21">
        <f t="shared" si="1"/>
        <v>6.2776421668019847E-2</v>
      </c>
      <c r="G92" s="22">
        <f t="shared" si="2"/>
        <v>-1.398319927869353</v>
      </c>
      <c r="P92" t="s">
        <v>72</v>
      </c>
      <c r="Q92">
        <f>ATAN(S91/S90)*(200/PI())</f>
        <v>45.12726318413641</v>
      </c>
      <c r="R92" t="s">
        <v>74</v>
      </c>
      <c r="S92" t="s">
        <v>182</v>
      </c>
      <c r="T92">
        <f>ATAN(S90/S91)*(200/PI())</f>
        <v>54.87273681586359</v>
      </c>
    </row>
    <row r="93" spans="2:20" x14ac:dyDescent="0.35">
      <c r="B93" t="s">
        <v>173</v>
      </c>
      <c r="C93" s="2">
        <f>((W24-W14)^2+(X24-X14)^2)^0.5</f>
        <v>16.797632821087578</v>
      </c>
      <c r="D93">
        <v>14.35</v>
      </c>
      <c r="E93" s="2">
        <f>D93-C93</f>
        <v>-2.4476328210875788</v>
      </c>
      <c r="F93" s="21">
        <f t="shared" si="1"/>
        <v>6.6045115079801292E-2</v>
      </c>
      <c r="G93" s="21">
        <f t="shared" si="2"/>
        <v>-2.3815877060077777</v>
      </c>
      <c r="P93" t="s">
        <v>183</v>
      </c>
      <c r="Q93">
        <f>Q97+T92</f>
        <v>339.82749295693134</v>
      </c>
    </row>
    <row r="94" spans="2:20" x14ac:dyDescent="0.35">
      <c r="B94" s="12" t="s">
        <v>174</v>
      </c>
      <c r="C94" s="13">
        <f>((W11-W14)^2+(X11-X14)^2)^0.5</f>
        <v>51.69</v>
      </c>
      <c r="D94" s="12">
        <v>51.69</v>
      </c>
      <c r="E94" s="13">
        <f t="shared" si="3"/>
        <v>0</v>
      </c>
      <c r="F94" s="21">
        <f t="shared" si="1"/>
        <v>0.10819260629765981</v>
      </c>
      <c r="G94" s="24">
        <f t="shared" si="2"/>
        <v>0.10819260629765981</v>
      </c>
      <c r="P94" t="s">
        <v>180</v>
      </c>
      <c r="Q94">
        <f>ACOS(R94*(PI()/200))*(200/PI())</f>
        <v>84.954756141067691</v>
      </c>
      <c r="R94">
        <f>(1/T91)+R91-R90</f>
        <v>14.905583450489665</v>
      </c>
    </row>
    <row r="95" spans="2:20" x14ac:dyDescent="0.35">
      <c r="P95" t="s">
        <v>77</v>
      </c>
      <c r="Q95">
        <f>Q91+S91*SIN(Q93*(PI()/200))</f>
        <v>14.885334837709912</v>
      </c>
      <c r="R95">
        <f>Q90+S90*SIN(Q94*(PI()/200))</f>
        <v>26.94252295511248</v>
      </c>
    </row>
    <row r="96" spans="2:20" x14ac:dyDescent="0.35">
      <c r="P96" t="s">
        <v>78</v>
      </c>
      <c r="Q96">
        <f>R91+S91*COS(Q93*(PI()/200))</f>
        <v>41.598068612449055</v>
      </c>
      <c r="R96">
        <f>R90+S90*COS(Q94*(PI()/200))</f>
        <v>22.926278358535196</v>
      </c>
    </row>
    <row r="97" spans="16:18" x14ac:dyDescent="0.35">
      <c r="P97" t="s">
        <v>181</v>
      </c>
      <c r="Q97">
        <f>ACOS(R94*(PI()/200))*(200/PI())+200</f>
        <v>284.95475614106772</v>
      </c>
      <c r="R97">
        <f>(1/T91)+R90-R91</f>
        <v>-14.799042233513244</v>
      </c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98FD4-8551-4684-AFF3-F1ED8813F6D1}">
  <dimension ref="A2:X81"/>
  <sheetViews>
    <sheetView topLeftCell="A22" zoomScaleNormal="100" workbookViewId="0">
      <selection activeCell="N10" sqref="N10"/>
    </sheetView>
  </sheetViews>
  <sheetFormatPr baseColWidth="10" defaultRowHeight="14.5" x14ac:dyDescent="0.35"/>
  <cols>
    <col min="4" max="4" width="12.26953125" bestFit="1" customWidth="1"/>
    <col min="6" max="6" width="12.90625" bestFit="1" customWidth="1"/>
    <col min="8" max="8" width="13.90625" bestFit="1" customWidth="1"/>
    <col min="12" max="12" width="12.26953125" bestFit="1" customWidth="1"/>
    <col min="15" max="15" width="15.08984375" customWidth="1"/>
    <col min="17" max="17" width="16.08984375" customWidth="1"/>
    <col min="19" max="19" width="11.81640625" bestFit="1" customWidth="1"/>
    <col min="21" max="21" width="15.36328125" customWidth="1"/>
    <col min="22" max="22" width="16.26953125" customWidth="1"/>
  </cols>
  <sheetData>
    <row r="2" spans="1:24" x14ac:dyDescent="0.35">
      <c r="F2" s="1" t="s">
        <v>8</v>
      </c>
      <c r="G2" s="1" t="s">
        <v>7</v>
      </c>
      <c r="H2" s="1" t="s">
        <v>9</v>
      </c>
      <c r="I2" s="1" t="s">
        <v>10</v>
      </c>
      <c r="J2" s="1"/>
      <c r="K2" s="1" t="s">
        <v>11</v>
      </c>
      <c r="L2" s="1" t="s">
        <v>89</v>
      </c>
      <c r="O2" s="5" t="s">
        <v>90</v>
      </c>
      <c r="P2" s="5"/>
      <c r="R2" s="6" t="s">
        <v>40</v>
      </c>
      <c r="S2" s="6" t="s">
        <v>143</v>
      </c>
      <c r="T2" s="6" t="s">
        <v>100</v>
      </c>
      <c r="V2" t="s">
        <v>95</v>
      </c>
    </row>
    <row r="3" spans="1:24" x14ac:dyDescent="0.35">
      <c r="A3" s="1" t="s">
        <v>0</v>
      </c>
      <c r="C3" s="1" t="s">
        <v>5</v>
      </c>
      <c r="D3" s="1" t="s">
        <v>6</v>
      </c>
      <c r="P3">
        <v>6380000</v>
      </c>
      <c r="R3" t="s">
        <v>106</v>
      </c>
      <c r="S3">
        <f>S4</f>
        <v>32691104.289999999</v>
      </c>
      <c r="T3">
        <f>T4+20</f>
        <v>5334182.2300000004</v>
      </c>
    </row>
    <row r="4" spans="1:24" x14ac:dyDescent="0.35">
      <c r="O4" t="s">
        <v>92</v>
      </c>
      <c r="P4">
        <v>515</v>
      </c>
      <c r="R4" t="s">
        <v>1</v>
      </c>
      <c r="S4">
        <v>32691104.289999999</v>
      </c>
      <c r="T4">
        <v>5334162.2300000004</v>
      </c>
      <c r="V4" s="7" t="s">
        <v>56</v>
      </c>
    </row>
    <row r="5" spans="1:24" x14ac:dyDescent="0.35">
      <c r="A5">
        <v>1</v>
      </c>
      <c r="B5" t="s">
        <v>1</v>
      </c>
      <c r="C5">
        <v>0</v>
      </c>
      <c r="D5">
        <v>200</v>
      </c>
      <c r="F5">
        <v>0</v>
      </c>
      <c r="G5">
        <v>0</v>
      </c>
      <c r="H5">
        <v>0</v>
      </c>
      <c r="I5">
        <v>0</v>
      </c>
      <c r="O5" t="s">
        <v>93</v>
      </c>
      <c r="P5">
        <f>S5-32500000</f>
        <v>191225.01300000027</v>
      </c>
      <c r="R5" t="s">
        <v>29</v>
      </c>
      <c r="S5">
        <v>32691225.013</v>
      </c>
      <c r="T5">
        <v>5335904.7699999996</v>
      </c>
    </row>
    <row r="6" spans="1:24" x14ac:dyDescent="0.35">
      <c r="B6" t="s">
        <v>2</v>
      </c>
      <c r="C6">
        <v>102.842</v>
      </c>
      <c r="D6">
        <v>302.83999999999997</v>
      </c>
      <c r="F6">
        <f>C6-C5</f>
        <v>102.842</v>
      </c>
      <c r="G6">
        <f>D6-D5</f>
        <v>102.83999999999997</v>
      </c>
      <c r="H6">
        <v>102.84099999999999</v>
      </c>
      <c r="I6">
        <v>102.842</v>
      </c>
      <c r="K6">
        <v>181.834</v>
      </c>
      <c r="L6" s="2">
        <f>K6*P6+K6-0.0004</f>
        <v>181.90059792833327</v>
      </c>
      <c r="O6" t="s">
        <v>94</v>
      </c>
      <c r="P6">
        <f>((P5^2)/(2*P3^2))-(P4/P3)</f>
        <v>3.6845655011313606E-4</v>
      </c>
      <c r="V6" t="s">
        <v>97</v>
      </c>
    </row>
    <row r="7" spans="1:24" x14ac:dyDescent="0.35">
      <c r="B7" t="s">
        <v>3</v>
      </c>
      <c r="C7">
        <v>196.685</v>
      </c>
      <c r="D7">
        <v>396.68299999999999</v>
      </c>
      <c r="F7">
        <f>C7-C5</f>
        <v>196.685</v>
      </c>
      <c r="G7">
        <f>D7-D5</f>
        <v>196.68299999999999</v>
      </c>
      <c r="H7">
        <v>196.684</v>
      </c>
      <c r="I7">
        <f>196.687</f>
        <v>196.68700000000001</v>
      </c>
      <c r="K7">
        <v>84.852000000000004</v>
      </c>
      <c r="L7" s="2">
        <f>K7*P6+K7-0.0004</f>
        <v>84.882864275190201</v>
      </c>
      <c r="R7" s="8" t="s">
        <v>107</v>
      </c>
      <c r="V7" t="s">
        <v>98</v>
      </c>
      <c r="W7">
        <f>S5-S4</f>
        <v>120.72300000116229</v>
      </c>
      <c r="X7">
        <f>T5-T4</f>
        <v>1742.5399999991059</v>
      </c>
    </row>
    <row r="8" spans="1:24" x14ac:dyDescent="0.35">
      <c r="B8" t="s">
        <v>4</v>
      </c>
      <c r="C8">
        <v>140.34</v>
      </c>
      <c r="K8">
        <v>23.56</v>
      </c>
      <c r="L8" s="2">
        <f>K8*P6+K8-0.0004</f>
        <v>23.568280836320664</v>
      </c>
      <c r="R8" s="8" t="s">
        <v>105</v>
      </c>
      <c r="V8" t="s">
        <v>99</v>
      </c>
      <c r="W8" s="2">
        <v>0</v>
      </c>
      <c r="X8">
        <v>1</v>
      </c>
    </row>
    <row r="9" spans="1:24" x14ac:dyDescent="0.35">
      <c r="A9">
        <v>2</v>
      </c>
      <c r="B9" t="s">
        <v>1</v>
      </c>
      <c r="C9">
        <v>259.65499999999997</v>
      </c>
      <c r="D9">
        <v>59.652999999999999</v>
      </c>
      <c r="F9">
        <v>0</v>
      </c>
      <c r="G9">
        <v>0</v>
      </c>
      <c r="H9">
        <v>0</v>
      </c>
      <c r="L9" s="2"/>
      <c r="R9" t="s">
        <v>2</v>
      </c>
      <c r="S9">
        <f>S5+L6*SIN(W11*(PI()/200))</f>
        <v>32691046.149110068</v>
      </c>
      <c r="T9">
        <f>T5+L6*COS(W11*(PI()/200))</f>
        <v>5335937.8688882738</v>
      </c>
      <c r="W9" s="2"/>
    </row>
    <row r="10" spans="1:24" x14ac:dyDescent="0.35">
      <c r="B10" t="s">
        <v>2</v>
      </c>
      <c r="C10">
        <v>362.49799999999999</v>
      </c>
      <c r="D10">
        <v>162.49700000000001</v>
      </c>
      <c r="F10">
        <f>C10-C9</f>
        <v>102.84300000000002</v>
      </c>
      <c r="G10">
        <f>D10-D9</f>
        <v>102.84400000000002</v>
      </c>
      <c r="H10">
        <v>102.84399999999999</v>
      </c>
      <c r="L10" s="2"/>
      <c r="R10" t="s">
        <v>14</v>
      </c>
      <c r="S10">
        <f>S9+L32*SIN(W12*(PI()/200))</f>
        <v>32691058.555756066</v>
      </c>
      <c r="T10">
        <f>T9+L32*COS(W12*(PI()/200))</f>
        <v>5336012.1847437089</v>
      </c>
      <c r="V10" t="s">
        <v>96</v>
      </c>
      <c r="W10" s="2">
        <f>ACOS((W7*W8+X7*X8)/((W7^2+X7^2)^0.5*(X8)^0.5))*(400/PI())</f>
        <v>8.8069188424111822</v>
      </c>
      <c r="X10">
        <f>ACOS((W7*W8+X7*X8)/((W7^2+X7^2)^0.5*(X8)^0.5))*(400/PI())</f>
        <v>8.8069188424111822</v>
      </c>
    </row>
    <row r="11" spans="1:24" x14ac:dyDescent="0.35">
      <c r="B11" t="s">
        <v>3</v>
      </c>
      <c r="C11">
        <v>56.341999999999999</v>
      </c>
      <c r="D11">
        <v>256.34500000000003</v>
      </c>
      <c r="F11">
        <f>C11-C9+400</f>
        <v>196.68700000000001</v>
      </c>
      <c r="G11">
        <f>D11-D9</f>
        <v>196.69200000000004</v>
      </c>
      <c r="H11">
        <v>196.69</v>
      </c>
      <c r="L11" s="2"/>
      <c r="R11" t="s">
        <v>3</v>
      </c>
      <c r="S11">
        <f>S10+L22*SIN(W13*(PI()/200))</f>
        <v>32691232.324325249</v>
      </c>
      <c r="T11">
        <f>T10+L22*COS(W13*(PI()/200))</f>
        <v>5335989.3449267028</v>
      </c>
      <c r="V11" t="s">
        <v>101</v>
      </c>
      <c r="W11" s="2">
        <f>W10+200+(I6)</f>
        <v>311.64891884241121</v>
      </c>
    </row>
    <row r="12" spans="1:24" x14ac:dyDescent="0.35">
      <c r="L12" s="2"/>
      <c r="R12" t="s">
        <v>29</v>
      </c>
      <c r="S12">
        <f>S11+L7*SIN(W14*(PI()/200))</f>
        <v>32691225.028095227</v>
      </c>
      <c r="T12">
        <f>T11+L7*COS(W14*(PI()/200))</f>
        <v>5335904.7762228288</v>
      </c>
      <c r="V12" t="s">
        <v>102</v>
      </c>
      <c r="W12" s="2">
        <f>200+W11+I32-400-400</f>
        <v>10.530918842411211</v>
      </c>
    </row>
    <row r="13" spans="1:24" x14ac:dyDescent="0.35">
      <c r="A13" s="1" t="s">
        <v>12</v>
      </c>
      <c r="L13" s="2"/>
      <c r="V13" t="s">
        <v>103</v>
      </c>
      <c r="W13" s="2">
        <f>200+W12+(400-I23)-400</f>
        <v>108.3199188424112</v>
      </c>
    </row>
    <row r="14" spans="1:24" x14ac:dyDescent="0.35">
      <c r="L14" s="2"/>
      <c r="V14" t="s">
        <v>104</v>
      </c>
      <c r="W14" s="2">
        <f>W13+200+(400-I16)-400</f>
        <v>205.47891884241119</v>
      </c>
    </row>
    <row r="15" spans="1:24" x14ac:dyDescent="0.35">
      <c r="A15">
        <v>1</v>
      </c>
      <c r="B15" t="s">
        <v>13</v>
      </c>
      <c r="C15">
        <v>0</v>
      </c>
      <c r="D15">
        <v>200</v>
      </c>
      <c r="F15">
        <v>0</v>
      </c>
      <c r="G15">
        <v>0</v>
      </c>
      <c r="H15">
        <v>0</v>
      </c>
      <c r="I15">
        <v>0</v>
      </c>
      <c r="K15">
        <v>84.850999999999999</v>
      </c>
      <c r="L15" s="2">
        <f>K15*P6+K15-0.0004</f>
        <v>84.881863906733656</v>
      </c>
      <c r="R15" s="8" t="s">
        <v>108</v>
      </c>
    </row>
    <row r="16" spans="1:24" x14ac:dyDescent="0.35">
      <c r="B16" t="s">
        <v>14</v>
      </c>
      <c r="C16">
        <v>102.83799999999999</v>
      </c>
      <c r="D16">
        <v>302.83999999999997</v>
      </c>
      <c r="F16">
        <f>C16-C15</f>
        <v>102.83799999999999</v>
      </c>
      <c r="G16">
        <f>D16-D15</f>
        <v>102.83999999999997</v>
      </c>
      <c r="H16">
        <f>102.839</f>
        <v>102.839</v>
      </c>
      <c r="I16">
        <v>102.84099999999999</v>
      </c>
      <c r="K16">
        <v>175.196</v>
      </c>
      <c r="L16" s="2">
        <f>K16*P6+K16-0.0004</f>
        <v>175.26015211375361</v>
      </c>
      <c r="Q16" s="9" t="s">
        <v>109</v>
      </c>
      <c r="R16" t="s">
        <v>4</v>
      </c>
    </row>
    <row r="17" spans="1:20" x14ac:dyDescent="0.35">
      <c r="Q17" t="s">
        <v>110</v>
      </c>
      <c r="R17" s="2">
        <f>W10+200+C8</f>
        <v>349.1469188424112</v>
      </c>
    </row>
    <row r="18" spans="1:20" x14ac:dyDescent="0.35">
      <c r="A18">
        <v>2</v>
      </c>
      <c r="B18" t="s">
        <v>13</v>
      </c>
      <c r="C18">
        <v>146.303</v>
      </c>
      <c r="D18">
        <v>346.30700000000002</v>
      </c>
      <c r="F18">
        <v>0</v>
      </c>
      <c r="G18">
        <v>0</v>
      </c>
      <c r="H18">
        <v>0</v>
      </c>
      <c r="S18">
        <f>S5+L8*SIN(R17*(PI()/200))</f>
        <v>32691208.125894014</v>
      </c>
      <c r="T18">
        <f>T5+L8*COS(R17*(PI()/200))</f>
        <v>5335921.2104839645</v>
      </c>
    </row>
    <row r="19" spans="1:20" x14ac:dyDescent="0.35">
      <c r="B19" t="s">
        <v>14</v>
      </c>
      <c r="C19">
        <v>249.14599999999999</v>
      </c>
      <c r="D19">
        <v>49.15</v>
      </c>
      <c r="F19">
        <f>C19-C18</f>
        <v>102.84299999999999</v>
      </c>
      <c r="G19">
        <f>D19-D18+400</f>
        <v>102.84299999999996</v>
      </c>
      <c r="H19">
        <v>102.843</v>
      </c>
      <c r="Q19" s="9" t="s">
        <v>111</v>
      </c>
      <c r="R19" t="s">
        <v>20</v>
      </c>
    </row>
    <row r="20" spans="1:20" x14ac:dyDescent="0.35">
      <c r="Q20" t="s">
        <v>112</v>
      </c>
      <c r="R20" s="2">
        <f>W11+200+C37-400-400</f>
        <v>73.369918842411153</v>
      </c>
    </row>
    <row r="21" spans="1:20" x14ac:dyDescent="0.35">
      <c r="A21" s="1" t="s">
        <v>15</v>
      </c>
      <c r="S21">
        <f>S9+L37*SIN(R20*(PI()/200))</f>
        <v>32691060.149341226</v>
      </c>
      <c r="T21">
        <f>T9+L37*COS(R20*(PI()/200))</f>
        <v>5335944.0925546549</v>
      </c>
    </row>
    <row r="22" spans="1:20" x14ac:dyDescent="0.35">
      <c r="A22">
        <v>1</v>
      </c>
      <c r="B22" t="s">
        <v>3</v>
      </c>
      <c r="C22">
        <v>0</v>
      </c>
      <c r="D22">
        <v>200.00299999999999</v>
      </c>
      <c r="F22">
        <v>0</v>
      </c>
      <c r="G22">
        <v>0</v>
      </c>
      <c r="H22">
        <v>0</v>
      </c>
      <c r="I22">
        <v>0</v>
      </c>
      <c r="K22">
        <v>175.19900000000001</v>
      </c>
      <c r="L22" s="2">
        <f>K22*P6+K22-0.0004</f>
        <v>175.26315321912327</v>
      </c>
      <c r="R22" t="s">
        <v>19</v>
      </c>
    </row>
    <row r="23" spans="1:20" x14ac:dyDescent="0.35">
      <c r="B23" t="s">
        <v>2</v>
      </c>
      <c r="C23">
        <v>102.209</v>
      </c>
      <c r="D23">
        <v>302.21300000000002</v>
      </c>
      <c r="F23">
        <f>C23-C22</f>
        <v>102.209</v>
      </c>
      <c r="G23">
        <f>D23-D22</f>
        <v>102.21000000000004</v>
      </c>
      <c r="H23">
        <v>102.21</v>
      </c>
      <c r="I23">
        <v>102.211</v>
      </c>
      <c r="K23">
        <v>75.316999999999993</v>
      </c>
      <c r="L23" s="2">
        <f>K23*P6+K23-0.0004</f>
        <v>75.344351041984865</v>
      </c>
      <c r="Q23" t="s">
        <v>113</v>
      </c>
      <c r="R23" s="2">
        <f>W11+200+C36-400-400</f>
        <v>91.147918842411173</v>
      </c>
    </row>
    <row r="24" spans="1:20" x14ac:dyDescent="0.35">
      <c r="L24" s="2"/>
      <c r="S24">
        <f>S9+L36*SIN(R23*(PI()/200))</f>
        <v>32691074.393949252</v>
      </c>
      <c r="T24">
        <f>T9+L36*COS(R23*(PI()/200))</f>
        <v>5335941.8217898998</v>
      </c>
    </row>
    <row r="25" spans="1:20" x14ac:dyDescent="0.35">
      <c r="A25">
        <v>2</v>
      </c>
      <c r="B25" t="s">
        <v>3</v>
      </c>
      <c r="C25">
        <v>0</v>
      </c>
      <c r="D25">
        <v>200.00399999999999</v>
      </c>
      <c r="F25">
        <v>0</v>
      </c>
      <c r="G25">
        <v>0</v>
      </c>
      <c r="H25">
        <v>0</v>
      </c>
      <c r="L25" s="2"/>
    </row>
    <row r="26" spans="1:20" x14ac:dyDescent="0.35">
      <c r="B26" t="s">
        <v>2</v>
      </c>
      <c r="C26">
        <v>102.21299999999999</v>
      </c>
      <c r="D26">
        <v>302.21499999999997</v>
      </c>
      <c r="F26">
        <f>C26-C25</f>
        <v>102.21299999999999</v>
      </c>
      <c r="G26">
        <f>D26-D25</f>
        <v>102.21099999999998</v>
      </c>
      <c r="H26">
        <v>102.212</v>
      </c>
      <c r="L26" s="2"/>
      <c r="Q26" s="9" t="s">
        <v>114</v>
      </c>
      <c r="R26" t="s">
        <v>16</v>
      </c>
    </row>
    <row r="27" spans="1:20" x14ac:dyDescent="0.35">
      <c r="B27" t="s">
        <v>16</v>
      </c>
      <c r="C27">
        <v>59.994</v>
      </c>
      <c r="K27">
        <v>19.510999999999999</v>
      </c>
      <c r="L27" s="2">
        <f>K27*P6+K27-0.0004</f>
        <v>19.517788955749257</v>
      </c>
      <c r="Q27" t="s">
        <v>115</v>
      </c>
      <c r="R27" s="2">
        <f>W12+200+(400-I23+C27)-400</f>
        <v>168.31391884241123</v>
      </c>
    </row>
    <row r="28" spans="1:20" x14ac:dyDescent="0.35">
      <c r="B28" t="s">
        <v>17</v>
      </c>
      <c r="C28">
        <v>35.500999999999998</v>
      </c>
      <c r="K28">
        <v>30.558</v>
      </c>
      <c r="L28" s="2">
        <f>K28*P6+K28-0.0004</f>
        <v>30.568859295258356</v>
      </c>
      <c r="S28">
        <f>S10+L27*SIN(R27*(PI()/200))</f>
        <v>32691067.874070495</v>
      </c>
      <c r="T28">
        <f>T10+L27*COS(R27*(PI()/200))</f>
        <v>5335995.0350177083</v>
      </c>
    </row>
    <row r="29" spans="1:20" x14ac:dyDescent="0.35">
      <c r="L29" s="2"/>
      <c r="R29" t="s">
        <v>17</v>
      </c>
    </row>
    <row r="30" spans="1:20" x14ac:dyDescent="0.35">
      <c r="A30" s="1" t="s">
        <v>18</v>
      </c>
      <c r="L30" s="2"/>
      <c r="Q30" t="s">
        <v>116</v>
      </c>
      <c r="R30" s="2">
        <f>W12+200+(400-I23+C28)-400</f>
        <v>143.82091884241117</v>
      </c>
    </row>
    <row r="31" spans="1:20" x14ac:dyDescent="0.35">
      <c r="A31">
        <v>1</v>
      </c>
      <c r="B31" t="s">
        <v>13</v>
      </c>
      <c r="C31">
        <v>0</v>
      </c>
      <c r="D31">
        <v>200.00299999999999</v>
      </c>
      <c r="F31">
        <v>0</v>
      </c>
      <c r="G31">
        <v>0</v>
      </c>
      <c r="H31">
        <v>0</v>
      </c>
      <c r="I31">
        <v>0</v>
      </c>
      <c r="K31">
        <v>181.839</v>
      </c>
      <c r="L31" s="2">
        <f>K31*P6+K31-0.0004</f>
        <v>181.90559977061602</v>
      </c>
      <c r="S31">
        <f>S10+L28*SIN(R30*(PI()/200))</f>
        <v>32691082.16418593</v>
      </c>
      <c r="T31">
        <f>T10+L28*COS(R30*(PI()/200))</f>
        <v>5335992.765753055</v>
      </c>
    </row>
    <row r="32" spans="1:20" x14ac:dyDescent="0.35">
      <c r="B32" t="s">
        <v>14</v>
      </c>
      <c r="C32">
        <v>298.88099999999997</v>
      </c>
      <c r="D32">
        <v>98.885000000000005</v>
      </c>
      <c r="F32">
        <f>C32-C31</f>
        <v>298.88099999999997</v>
      </c>
      <c r="G32">
        <f>D32-D31+400</f>
        <v>298.88200000000001</v>
      </c>
      <c r="H32">
        <v>298.88200000000001</v>
      </c>
      <c r="I32">
        <v>298.88200000000001</v>
      </c>
      <c r="K32">
        <v>75.316999999999993</v>
      </c>
      <c r="L32" s="2">
        <f>K32*P6+K32-0.0004</f>
        <v>75.344351041984865</v>
      </c>
    </row>
    <row r="33" spans="1:20" x14ac:dyDescent="0.35">
      <c r="P33" s="8" t="s">
        <v>49</v>
      </c>
    </row>
    <row r="34" spans="1:20" x14ac:dyDescent="0.35">
      <c r="A34">
        <v>2</v>
      </c>
      <c r="B34" t="s">
        <v>13</v>
      </c>
      <c r="C34">
        <v>0</v>
      </c>
      <c r="D34">
        <v>200.00399999999999</v>
      </c>
      <c r="F34">
        <v>0</v>
      </c>
      <c r="G34">
        <v>0</v>
      </c>
      <c r="H34">
        <v>0</v>
      </c>
      <c r="P34" s="9" t="s">
        <v>117</v>
      </c>
      <c r="Q34" t="s">
        <v>119</v>
      </c>
    </row>
    <row r="35" spans="1:20" x14ac:dyDescent="0.35">
      <c r="B35" t="s">
        <v>14</v>
      </c>
      <c r="C35">
        <v>298.88099999999997</v>
      </c>
      <c r="D35">
        <v>98.885000000000005</v>
      </c>
      <c r="F35">
        <f>C35-C34</f>
        <v>298.88099999999997</v>
      </c>
      <c r="G35">
        <f>D35-D34+400</f>
        <v>298.88100000000003</v>
      </c>
      <c r="H35">
        <v>298.88099999999997</v>
      </c>
      <c r="Q35">
        <f>(SIN(400-C41)*L41)/L6</f>
        <v>0.12283815875270812</v>
      </c>
      <c r="R35">
        <f>ASIN(Q35)*(200/PI())</f>
        <v>7.8399213936518812</v>
      </c>
    </row>
    <row r="36" spans="1:20" x14ac:dyDescent="0.35">
      <c r="B36" t="s">
        <v>19</v>
      </c>
      <c r="C36">
        <v>379.49900000000002</v>
      </c>
      <c r="K36">
        <v>28.51</v>
      </c>
      <c r="L36" s="2">
        <f>K36*P6+K36-0.0004</f>
        <v>28.520104696243727</v>
      </c>
      <c r="Q36" t="s">
        <v>118</v>
      </c>
      <c r="R36" s="2">
        <f>W11-R35</f>
        <v>303.80899744875933</v>
      </c>
    </row>
    <row r="37" spans="1:20" x14ac:dyDescent="0.35">
      <c r="B37" t="s">
        <v>20</v>
      </c>
      <c r="C37">
        <v>361.721</v>
      </c>
      <c r="K37">
        <v>15.316000000000001</v>
      </c>
      <c r="L37" s="2">
        <f>K37*P6+K37-0.0004</f>
        <v>15.321243280521532</v>
      </c>
      <c r="R37" t="s">
        <v>55</v>
      </c>
      <c r="S37">
        <f>S5+L40*SIN(R36*(PI()/200))</f>
        <v>32691109.71453901</v>
      </c>
      <c r="T37">
        <f>T5+L40*COS(R36*(PI()/200))</f>
        <v>5335911.6767340647</v>
      </c>
    </row>
    <row r="38" spans="1:20" x14ac:dyDescent="0.35">
      <c r="L38" s="2"/>
      <c r="P38" s="9" t="s">
        <v>120</v>
      </c>
      <c r="Q38" t="s">
        <v>121</v>
      </c>
    </row>
    <row r="39" spans="1:20" x14ac:dyDescent="0.35">
      <c r="A39" s="1" t="s">
        <v>21</v>
      </c>
      <c r="L39" s="2"/>
      <c r="Q39">
        <f>(SIN((400-C47)*(PI()/200))*L47)/L22</f>
        <v>9.8127220054614207E-3</v>
      </c>
      <c r="R39">
        <f>ASIN(Q39)*(200/PI())</f>
        <v>0.62470731067631735</v>
      </c>
    </row>
    <row r="40" spans="1:20" x14ac:dyDescent="0.35">
      <c r="B40" t="s">
        <v>13</v>
      </c>
      <c r="C40">
        <v>0</v>
      </c>
      <c r="K40">
        <v>115.46299999999999</v>
      </c>
      <c r="L40" s="2">
        <f>K40*P6+K40-0.0004</f>
        <v>115.5051430986457</v>
      </c>
      <c r="Q40" t="s">
        <v>122</v>
      </c>
      <c r="R40" s="2">
        <f>W13-R39</f>
        <v>107.69521153173488</v>
      </c>
    </row>
    <row r="41" spans="1:20" x14ac:dyDescent="0.35">
      <c r="B41" t="s">
        <v>2</v>
      </c>
      <c r="C41">
        <v>221.26</v>
      </c>
      <c r="K41">
        <v>68.772999999999996</v>
      </c>
      <c r="L41" s="2">
        <f>K41*P6+K41-0.0004</f>
        <v>68.797939862320931</v>
      </c>
      <c r="R41" t="s">
        <v>64</v>
      </c>
      <c r="S41">
        <f>S10+L46*SIN(R40*(PI()/200))</f>
        <v>32691172.497133248</v>
      </c>
      <c r="T41">
        <f>T10+L46*COS(R40*(PI()/200))</f>
        <v>5335998.3444818128</v>
      </c>
    </row>
    <row r="42" spans="1:20" x14ac:dyDescent="0.35">
      <c r="B42" t="s">
        <v>22</v>
      </c>
      <c r="C42">
        <v>253.71199999999999</v>
      </c>
      <c r="K42">
        <v>53.9</v>
      </c>
      <c r="L42" s="2">
        <f>K42*P6+K42-0.0004</f>
        <v>53.919459808051094</v>
      </c>
    </row>
    <row r="43" spans="1:20" x14ac:dyDescent="0.35">
      <c r="B43" t="s">
        <v>23</v>
      </c>
      <c r="C43">
        <v>379.00900000000001</v>
      </c>
      <c r="K43">
        <v>89.162999999999997</v>
      </c>
      <c r="L43" s="2">
        <f>K43*P6+K43-0.0004</f>
        <v>89.195452691377739</v>
      </c>
      <c r="P43" s="8" t="s">
        <v>123</v>
      </c>
    </row>
    <row r="44" spans="1:20" x14ac:dyDescent="0.35">
      <c r="L44" s="2"/>
      <c r="Q44" s="9" t="s">
        <v>124</v>
      </c>
    </row>
    <row r="45" spans="1:20" x14ac:dyDescent="0.35">
      <c r="A45" s="1" t="s">
        <v>24</v>
      </c>
      <c r="L45" s="2"/>
      <c r="R45" t="s">
        <v>23</v>
      </c>
    </row>
    <row r="46" spans="1:20" x14ac:dyDescent="0.35">
      <c r="B46" t="s">
        <v>14</v>
      </c>
      <c r="C46">
        <v>0</v>
      </c>
      <c r="K46">
        <v>114.73699999999999</v>
      </c>
      <c r="L46" s="2">
        <f>K46*P6+K46-0.0004</f>
        <v>114.77887559919033</v>
      </c>
      <c r="Q46" t="s">
        <v>125</v>
      </c>
      <c r="R46" s="2">
        <f>R36+200+C43-400-400</f>
        <v>82.817997448759343</v>
      </c>
    </row>
    <row r="47" spans="1:20" x14ac:dyDescent="0.35">
      <c r="B47" t="s">
        <v>3</v>
      </c>
      <c r="C47">
        <v>201.81</v>
      </c>
      <c r="K47">
        <v>60.475999999999999</v>
      </c>
      <c r="L47" s="2">
        <f>K47*P6+K47-0.0004</f>
        <v>60.497882778324644</v>
      </c>
      <c r="S47">
        <f>S37+L43*SIN(R46*(PI()/200))</f>
        <v>32691195.681035489</v>
      </c>
      <c r="T47">
        <f>T37+L43*COS(R46*(PI()/200))</f>
        <v>5335935.4588757679</v>
      </c>
    </row>
    <row r="48" spans="1:20" x14ac:dyDescent="0.35">
      <c r="B48" t="s">
        <v>25</v>
      </c>
      <c r="C48">
        <v>236.09100000000001</v>
      </c>
      <c r="K48">
        <v>37.673000000000002</v>
      </c>
      <c r="L48" s="2">
        <f>K48*P6+K48-0.0004</f>
        <v>37.686480863612417</v>
      </c>
      <c r="R48" t="s">
        <v>22</v>
      </c>
    </row>
    <row r="49" spans="2:23" x14ac:dyDescent="0.35">
      <c r="B49" t="s">
        <v>26</v>
      </c>
      <c r="C49">
        <v>251.05699999999999</v>
      </c>
      <c r="K49">
        <v>45.133000000000003</v>
      </c>
      <c r="L49" s="2">
        <f>K49*P6+K49-0.0004</f>
        <v>45.14922954947626</v>
      </c>
      <c r="Q49" t="s">
        <v>126</v>
      </c>
      <c r="R49" s="2">
        <f>R36+200+C42-400</f>
        <v>357.52099744875932</v>
      </c>
    </row>
    <row r="50" spans="2:23" x14ac:dyDescent="0.35">
      <c r="B50" t="s">
        <v>27</v>
      </c>
      <c r="C50">
        <v>380.26100000000002</v>
      </c>
      <c r="K50">
        <v>93.656000000000006</v>
      </c>
      <c r="L50" s="2">
        <f>K50*P6+K50-0.0004</f>
        <v>93.690108166657396</v>
      </c>
      <c r="S50">
        <f>S37+L42*SIN(R49*(PI()/200))</f>
        <v>32691076.347295664</v>
      </c>
      <c r="T50">
        <f>T37+L42*COS(R49*(PI()/200))</f>
        <v>5335954.0316064823</v>
      </c>
    </row>
    <row r="51" spans="2:23" x14ac:dyDescent="0.35">
      <c r="B51" t="s">
        <v>28</v>
      </c>
      <c r="C51">
        <v>388.37</v>
      </c>
      <c r="D51" t="s">
        <v>68</v>
      </c>
      <c r="K51">
        <v>90.486999999999995</v>
      </c>
      <c r="L51" s="2">
        <f>K51*P6+K51-0.0004</f>
        <v>90.519940527850082</v>
      </c>
    </row>
    <row r="52" spans="2:23" x14ac:dyDescent="0.35">
      <c r="Q52" s="9" t="s">
        <v>127</v>
      </c>
    </row>
    <row r="53" spans="2:23" x14ac:dyDescent="0.35">
      <c r="R53" t="s">
        <v>45</v>
      </c>
    </row>
    <row r="54" spans="2:23" x14ac:dyDescent="0.35">
      <c r="Q54" t="s">
        <v>84</v>
      </c>
      <c r="R54" s="2">
        <f>R40+200+C48-400</f>
        <v>143.78621153173492</v>
      </c>
    </row>
    <row r="55" spans="2:23" x14ac:dyDescent="0.35">
      <c r="S55">
        <f>S41+L48*SIN(R54*(PI()/200))</f>
        <v>32691201.615573071</v>
      </c>
      <c r="T55">
        <f>T41+L48*COS(R54*(PI()/200))</f>
        <v>5335974.4198647374</v>
      </c>
    </row>
    <row r="56" spans="2:23" x14ac:dyDescent="0.35">
      <c r="R56" t="s">
        <v>43</v>
      </c>
    </row>
    <row r="57" spans="2:23" x14ac:dyDescent="0.35">
      <c r="Q57" t="s">
        <v>128</v>
      </c>
      <c r="R57" s="2">
        <f>R40+200+C49-400</f>
        <v>158.75221153173493</v>
      </c>
    </row>
    <row r="58" spans="2:23" x14ac:dyDescent="0.35">
      <c r="S58">
        <f>S41+L49*SIN(R57*(PI()/200))</f>
        <v>32691199.745968465</v>
      </c>
      <c r="T58">
        <f>T41+L49*COS(R57*(PI()/200))</f>
        <v>5335962.3451219816</v>
      </c>
    </row>
    <row r="59" spans="2:23" x14ac:dyDescent="0.35">
      <c r="R59" t="s">
        <v>42</v>
      </c>
    </row>
    <row r="60" spans="2:23" x14ac:dyDescent="0.35">
      <c r="D60" s="14" t="s">
        <v>160</v>
      </c>
      <c r="Q60" t="s">
        <v>129</v>
      </c>
      <c r="R60" s="2">
        <f>R40+200+C50-400</f>
        <v>287.95621153173488</v>
      </c>
    </row>
    <row r="61" spans="2:23" x14ac:dyDescent="0.35">
      <c r="S61">
        <f>S41+L50*SIN(R60*(PI()/200))</f>
        <v>32691080.478631593</v>
      </c>
      <c r="T61">
        <f>T41+L50*COS(R60*(PI()/200))</f>
        <v>5335980.7254091483</v>
      </c>
    </row>
    <row r="62" spans="2:23" x14ac:dyDescent="0.35">
      <c r="C62" t="s">
        <v>161</v>
      </c>
      <c r="D62" t="s">
        <v>40</v>
      </c>
      <c r="E62" t="s">
        <v>162</v>
      </c>
      <c r="R62" t="s">
        <v>17</v>
      </c>
    </row>
    <row r="63" spans="2:23" x14ac:dyDescent="0.35">
      <c r="G63" t="s">
        <v>175</v>
      </c>
      <c r="Q63" t="s">
        <v>130</v>
      </c>
      <c r="R63" s="2">
        <f>R40+200+C51-400</f>
        <v>296.06521153173492</v>
      </c>
    </row>
    <row r="64" spans="2:23" x14ac:dyDescent="0.35">
      <c r="C64" t="s">
        <v>170</v>
      </c>
      <c r="D64" s="2">
        <f>((T73-T18)^2+(S73-S18)^2)^0.5</f>
        <v>14.250000001610616</v>
      </c>
      <c r="E64">
        <v>14.25</v>
      </c>
      <c r="F64" s="2">
        <f t="shared" ref="F64:F70" si="0">E64-D64</f>
        <v>-1.6106156408568495E-9</v>
      </c>
      <c r="G64" s="21">
        <f>0.008*(E64)^0.5+0.0004*E64+0.03</f>
        <v>6.5899337741083003E-2</v>
      </c>
      <c r="H64" s="21">
        <f>G64-ABS(F64)</f>
        <v>6.5899336130467362E-2</v>
      </c>
      <c r="S64">
        <f>S41+L51*SIN(R60*(PI()/200))</f>
        <v>32691083.592237521</v>
      </c>
      <c r="T64">
        <f>T41+L51*COS(R60*(PI()/200))</f>
        <v>5335981.3215810927</v>
      </c>
      <c r="U64">
        <f>S31</f>
        <v>32691082.16418593</v>
      </c>
      <c r="V64">
        <f>T31</f>
        <v>5335992.765753055</v>
      </c>
      <c r="W64" t="s">
        <v>32</v>
      </c>
    </row>
    <row r="65" spans="3:20" x14ac:dyDescent="0.35">
      <c r="C65" s="16" t="s">
        <v>171</v>
      </c>
      <c r="D65" s="17">
        <f>((T73-T47)^2+(S73-S47)^2)^0.5</f>
        <v>13.466956755876975</v>
      </c>
      <c r="E65" s="16">
        <v>12.22</v>
      </c>
      <c r="F65" s="17">
        <f t="shared" si="0"/>
        <v>-1.2469567558769743</v>
      </c>
      <c r="G65" s="21">
        <f t="shared" ref="G65:G75" si="1">0.008*(E65)^0.5+0.0004*E65+0.03</f>
        <v>6.2853693268717661E-2</v>
      </c>
      <c r="H65" s="22">
        <f t="shared" ref="H65:H75" si="2">G65-ABS(F65)</f>
        <v>-1.1841030626082567</v>
      </c>
    </row>
    <row r="66" spans="3:20" x14ac:dyDescent="0.35">
      <c r="C66" t="s">
        <v>172</v>
      </c>
      <c r="D66" s="2">
        <f>((S47-S50)^2+(T47-T50)^2)^0.5</f>
        <v>120.7703928399479</v>
      </c>
      <c r="E66">
        <v>120.83</v>
      </c>
      <c r="F66" s="2">
        <f t="shared" si="0"/>
        <v>5.9607160052095765E-2</v>
      </c>
      <c r="G66" s="21">
        <f t="shared" si="1"/>
        <v>0.16627016008991771</v>
      </c>
      <c r="H66" s="21">
        <f t="shared" si="2"/>
        <v>0.10666300003782195</v>
      </c>
      <c r="P66" t="s">
        <v>131</v>
      </c>
    </row>
    <row r="67" spans="3:20" x14ac:dyDescent="0.35">
      <c r="C67" t="s">
        <v>163</v>
      </c>
      <c r="D67" s="2">
        <f>((S24-S50)^2+(T24-T50)^2)^0.5</f>
        <v>12.365079182360498</v>
      </c>
      <c r="E67">
        <v>12.22</v>
      </c>
      <c r="F67" s="2">
        <f t="shared" si="0"/>
        <v>-0.14507918236049733</v>
      </c>
      <c r="G67" s="21">
        <f t="shared" si="1"/>
        <v>6.2853693268717661E-2</v>
      </c>
      <c r="H67" s="23">
        <f>G67-ABS(F67)</f>
        <v>-8.2225489091779666E-2</v>
      </c>
    </row>
    <row r="68" spans="3:20" x14ac:dyDescent="0.35">
      <c r="C68" t="s">
        <v>164</v>
      </c>
      <c r="D68" s="2">
        <f>((S24-S21)^2+(T24-T21)^2)^0.5</f>
        <v>14.424466381369534</v>
      </c>
      <c r="E68">
        <v>14.57</v>
      </c>
      <c r="F68" s="2">
        <f t="shared" si="0"/>
        <v>0.14553361863046632</v>
      </c>
      <c r="G68" s="21">
        <f t="shared" si="1"/>
        <v>6.63645354943877E-2</v>
      </c>
      <c r="H68" s="23">
        <f>G68-ABS(F68)</f>
        <v>-7.9169083136078622E-2</v>
      </c>
      <c r="P68" t="s">
        <v>44</v>
      </c>
    </row>
    <row r="69" spans="3:20" x14ac:dyDescent="0.35">
      <c r="C69" t="s">
        <v>165</v>
      </c>
      <c r="D69" s="2">
        <f>((S28-S21)^2+(T28-T21)^2)^0.5</f>
        <v>51.524809405148389</v>
      </c>
      <c r="E69">
        <v>51.52</v>
      </c>
      <c r="F69" s="2">
        <f t="shared" si="0"/>
        <v>-4.8094051483857925E-3</v>
      </c>
      <c r="G69" s="21">
        <f t="shared" si="1"/>
        <v>0.10802994702376435</v>
      </c>
      <c r="H69" s="21">
        <f>G69-ABS(F69)</f>
        <v>0.10322054187537856</v>
      </c>
      <c r="P69" t="s">
        <v>132</v>
      </c>
      <c r="Q69">
        <v>14.25</v>
      </c>
    </row>
    <row r="70" spans="3:20" x14ac:dyDescent="0.35">
      <c r="C70" t="s">
        <v>166</v>
      </c>
      <c r="D70" s="2">
        <f>((S28-S31)^2+(T28-T31)^2)^0.5</f>
        <v>14.469172789182094</v>
      </c>
      <c r="E70">
        <v>14.51</v>
      </c>
      <c r="F70" s="2">
        <f t="shared" si="0"/>
        <v>4.0827210817905524E-2</v>
      </c>
      <c r="G70" s="21">
        <f t="shared" si="1"/>
        <v>6.6277595127585451E-2</v>
      </c>
      <c r="H70" s="21">
        <f>G70-ABS(F70)</f>
        <v>2.5450384309679927E-2</v>
      </c>
      <c r="P70" t="s">
        <v>133</v>
      </c>
      <c r="Q70">
        <f>12.22</f>
        <v>12.22</v>
      </c>
    </row>
    <row r="71" spans="3:20" x14ac:dyDescent="0.35">
      <c r="C71" s="12" t="s">
        <v>167</v>
      </c>
      <c r="D71" s="13">
        <f>((S61-S31)^2+(T61-T31)^2)^0.5</f>
        <v>12.157753691142897</v>
      </c>
      <c r="E71" s="12">
        <v>12.17</v>
      </c>
      <c r="F71" s="13">
        <f t="shared" ref="F71:F75" si="3">E71-D71</f>
        <v>1.2246308857102761E-2</v>
      </c>
      <c r="G71" s="21">
        <f t="shared" si="1"/>
        <v>6.2776421668019847E-2</v>
      </c>
      <c r="H71" s="24">
        <f t="shared" si="2"/>
        <v>5.0530112810917086E-2</v>
      </c>
      <c r="P71" t="s">
        <v>134</v>
      </c>
      <c r="Q71">
        <f>ATAN(Q70/Q69)*(200/PI())</f>
        <v>45.12726318413641</v>
      </c>
    </row>
    <row r="72" spans="3:20" x14ac:dyDescent="0.35">
      <c r="C72" s="12" t="s">
        <v>168</v>
      </c>
      <c r="D72" s="13">
        <f>((S61-S58)^2+(T61-T58)^2)^0.5</f>
        <v>120.67531893781634</v>
      </c>
      <c r="E72" s="12">
        <v>120.8</v>
      </c>
      <c r="F72" s="13">
        <f>E72-D72</f>
        <v>0.12468106218365449</v>
      </c>
      <c r="G72" s="21">
        <f t="shared" si="1"/>
        <v>0.16624724264981816</v>
      </c>
      <c r="H72" s="24">
        <f t="shared" si="2"/>
        <v>4.1566180466163671E-2</v>
      </c>
      <c r="P72" t="s">
        <v>135</v>
      </c>
      <c r="Q72" s="2" t="s">
        <v>136</v>
      </c>
      <c r="R72" s="2">
        <f>R17-Q71</f>
        <v>304.01965565827481</v>
      </c>
    </row>
    <row r="73" spans="3:20" x14ac:dyDescent="0.35">
      <c r="C73" s="12" t="s">
        <v>169</v>
      </c>
      <c r="D73" s="13">
        <f>((S55-S58)^2+(T55-T58)^2)^0.5</f>
        <v>12.218626518699654</v>
      </c>
      <c r="E73" s="12">
        <v>12.17</v>
      </c>
      <c r="F73" s="13">
        <f t="shared" si="3"/>
        <v>-4.8626518699654397E-2</v>
      </c>
      <c r="G73" s="21">
        <f t="shared" si="1"/>
        <v>6.2776421668019847E-2</v>
      </c>
      <c r="H73" s="24">
        <f t="shared" si="2"/>
        <v>1.4149902968365449E-2</v>
      </c>
      <c r="S73">
        <f>S18+Q69*SIN(R72*(PI()/200))</f>
        <v>32691193.904290069</v>
      </c>
      <c r="T73">
        <f>T18+Q69*COS(R72*(PI()/200))</f>
        <v>5335922.1096398355</v>
      </c>
    </row>
    <row r="74" spans="3:20" x14ac:dyDescent="0.35">
      <c r="C74" s="19" t="s">
        <v>173</v>
      </c>
      <c r="D74" s="20">
        <f>((S55-S81)^2+(T55-T81)^2)^0.5</f>
        <v>21.407167522749091</v>
      </c>
      <c r="E74" s="19">
        <v>14.35</v>
      </c>
      <c r="F74" s="20">
        <f>E74-D74</f>
        <v>-7.0571675227490918</v>
      </c>
      <c r="G74" s="21">
        <f t="shared" si="1"/>
        <v>6.6045115079801292E-2</v>
      </c>
      <c r="H74" s="22">
        <f t="shared" si="2"/>
        <v>-6.9911224076692902</v>
      </c>
    </row>
    <row r="75" spans="3:20" x14ac:dyDescent="0.35">
      <c r="C75" s="19" t="s">
        <v>174</v>
      </c>
      <c r="D75" s="20">
        <f>((S18-S81)^2+(T18-T81)^2)^0.5</f>
        <v>41.420295825666322</v>
      </c>
      <c r="E75" s="19">
        <v>51.69</v>
      </c>
      <c r="F75" s="18">
        <f t="shared" si="3"/>
        <v>10.269704174333675</v>
      </c>
      <c r="G75" s="21">
        <f t="shared" si="1"/>
        <v>0.10819260629765981</v>
      </c>
      <c r="H75" s="22">
        <f t="shared" si="2"/>
        <v>-10.161511568036016</v>
      </c>
      <c r="P75" t="s">
        <v>41</v>
      </c>
    </row>
    <row r="76" spans="3:20" x14ac:dyDescent="0.35">
      <c r="P76" t="s">
        <v>137</v>
      </c>
      <c r="Q76">
        <v>14.35</v>
      </c>
    </row>
    <row r="77" spans="3:20" x14ac:dyDescent="0.35">
      <c r="P77" t="s">
        <v>138</v>
      </c>
      <c r="Q77">
        <v>12.17</v>
      </c>
    </row>
    <row r="78" spans="3:20" x14ac:dyDescent="0.35">
      <c r="P78" t="s">
        <v>139</v>
      </c>
      <c r="Q78">
        <f>ATAN(Q76/Q77)*(200/PI())</f>
        <v>55.221409395296327</v>
      </c>
    </row>
    <row r="79" spans="3:20" x14ac:dyDescent="0.35">
      <c r="P79" t="s">
        <v>140</v>
      </c>
      <c r="Q79" t="s">
        <v>141</v>
      </c>
      <c r="R79" s="2">
        <f>R57-Q78</f>
        <v>103.53080213643861</v>
      </c>
    </row>
    <row r="80" spans="3:20" x14ac:dyDescent="0.35">
      <c r="P80" t="s">
        <v>142</v>
      </c>
      <c r="Q80">
        <f>(Q76^2+Q77^2)^0.5</f>
        <v>18.815722149309071</v>
      </c>
    </row>
    <row r="81" spans="19:20" x14ac:dyDescent="0.35">
      <c r="S81">
        <f>S58+Q80*SIN(R79*(PI()/200))</f>
        <v>32691218.532759439</v>
      </c>
      <c r="T81">
        <f>T58+Q80*COS(R79*(PI()/200))</f>
        <v>5335961.3021047637</v>
      </c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31327-E1C9-4DF2-884D-F315D8715444}">
  <dimension ref="A2:X81"/>
  <sheetViews>
    <sheetView topLeftCell="I58" zoomScaleNormal="100" workbookViewId="0">
      <selection activeCell="M25" sqref="M25"/>
    </sheetView>
  </sheetViews>
  <sheetFormatPr baseColWidth="10" defaultRowHeight="14.5" x14ac:dyDescent="0.35"/>
  <cols>
    <col min="7" max="7" width="11.81640625" bestFit="1" customWidth="1"/>
    <col min="12" max="12" width="12.26953125" bestFit="1" customWidth="1"/>
    <col min="15" max="15" width="15.08984375" customWidth="1"/>
    <col min="16" max="16" width="12.453125" bestFit="1" customWidth="1"/>
    <col min="17" max="17" width="16.08984375" customWidth="1"/>
    <col min="21" max="21" width="15.36328125" customWidth="1"/>
    <col min="22" max="22" width="16.26953125" customWidth="1"/>
  </cols>
  <sheetData>
    <row r="2" spans="1:24" x14ac:dyDescent="0.35">
      <c r="F2" s="1" t="s">
        <v>8</v>
      </c>
      <c r="G2" s="1" t="s">
        <v>7</v>
      </c>
      <c r="H2" s="1" t="s">
        <v>9</v>
      </c>
      <c r="I2" s="1" t="s">
        <v>10</v>
      </c>
      <c r="J2" s="1"/>
      <c r="K2" s="1" t="s">
        <v>11</v>
      </c>
      <c r="L2" s="1" t="s">
        <v>89</v>
      </c>
      <c r="O2" s="5" t="s">
        <v>90</v>
      </c>
      <c r="P2" s="5"/>
      <c r="R2" s="6" t="s">
        <v>40</v>
      </c>
      <c r="S2" s="6" t="s">
        <v>91</v>
      </c>
      <c r="T2" s="6" t="s">
        <v>100</v>
      </c>
      <c r="V2" t="s">
        <v>95</v>
      </c>
    </row>
    <row r="3" spans="1:24" x14ac:dyDescent="0.35">
      <c r="A3" s="1" t="s">
        <v>0</v>
      </c>
      <c r="C3" s="1" t="s">
        <v>5</v>
      </c>
      <c r="D3" s="1" t="s">
        <v>6</v>
      </c>
      <c r="P3">
        <v>6380000</v>
      </c>
      <c r="R3" t="s">
        <v>106</v>
      </c>
      <c r="S3">
        <f>S4</f>
        <v>4468045.5</v>
      </c>
      <c r="T3">
        <f>T4+20</f>
        <v>5334182.2300000004</v>
      </c>
    </row>
    <row r="4" spans="1:24" x14ac:dyDescent="0.35">
      <c r="O4" t="s">
        <v>92</v>
      </c>
      <c r="P4">
        <v>515</v>
      </c>
      <c r="R4" t="s">
        <v>1</v>
      </c>
      <c r="S4">
        <v>4468045.5</v>
      </c>
      <c r="T4">
        <v>5334162.2300000004</v>
      </c>
      <c r="V4" s="7" t="s">
        <v>56</v>
      </c>
    </row>
    <row r="5" spans="1:24" x14ac:dyDescent="0.35">
      <c r="A5">
        <v>1</v>
      </c>
      <c r="B5" t="s">
        <v>1</v>
      </c>
      <c r="C5">
        <v>0</v>
      </c>
      <c r="D5">
        <v>200</v>
      </c>
      <c r="F5">
        <v>0</v>
      </c>
      <c r="G5">
        <v>0</v>
      </c>
      <c r="H5">
        <v>0</v>
      </c>
      <c r="I5">
        <v>0</v>
      </c>
      <c r="O5" t="s">
        <v>93</v>
      </c>
      <c r="P5">
        <f>S5-4500000</f>
        <v>-31820.969999999739</v>
      </c>
      <c r="R5" t="s">
        <v>29</v>
      </c>
      <c r="S5">
        <v>4468179.03</v>
      </c>
      <c r="T5">
        <v>5334489.3499999996</v>
      </c>
    </row>
    <row r="6" spans="1:24" x14ac:dyDescent="0.35">
      <c r="B6" t="s">
        <v>2</v>
      </c>
      <c r="C6">
        <v>102.842</v>
      </c>
      <c r="D6">
        <v>302.83999999999997</v>
      </c>
      <c r="F6">
        <f>C6-C5</f>
        <v>102.842</v>
      </c>
      <c r="G6">
        <f>D6-D5</f>
        <v>102.83999999999997</v>
      </c>
      <c r="H6">
        <v>102.84099999999999</v>
      </c>
      <c r="I6">
        <v>102.842</v>
      </c>
      <c r="K6">
        <v>181.834</v>
      </c>
      <c r="L6" s="2">
        <f>K6*P6+K6</f>
        <v>181.82158385404369</v>
      </c>
      <c r="O6" t="s">
        <v>94</v>
      </c>
      <c r="P6" s="4">
        <f>((P5^2)/(2*P3^2))-(P4/P3)</f>
        <v>-6.828286215076401E-5</v>
      </c>
      <c r="V6" t="s">
        <v>97</v>
      </c>
    </row>
    <row r="7" spans="1:24" x14ac:dyDescent="0.35">
      <c r="B7" t="s">
        <v>3</v>
      </c>
      <c r="C7">
        <v>196.685</v>
      </c>
      <c r="D7">
        <v>396.68299999999999</v>
      </c>
      <c r="F7">
        <f>C7-C5</f>
        <v>196.685</v>
      </c>
      <c r="G7">
        <f>D7-D5</f>
        <v>196.68299999999999</v>
      </c>
      <c r="H7">
        <v>196.684</v>
      </c>
      <c r="I7">
        <f>196.687</f>
        <v>196.68700000000001</v>
      </c>
      <c r="K7">
        <v>84.852000000000004</v>
      </c>
      <c r="L7" s="2">
        <f>K7*P6+K7</f>
        <v>84.846206062580791</v>
      </c>
      <c r="R7" s="8" t="s">
        <v>107</v>
      </c>
      <c r="V7" t="s">
        <v>98</v>
      </c>
      <c r="W7">
        <f>S5-S4</f>
        <v>133.53000000026077</v>
      </c>
      <c r="X7">
        <f>T5-T4</f>
        <v>327.11999999918044</v>
      </c>
    </row>
    <row r="8" spans="1:24" x14ac:dyDescent="0.35">
      <c r="B8" t="s">
        <v>4</v>
      </c>
      <c r="C8">
        <v>140.34</v>
      </c>
      <c r="K8">
        <v>23.56</v>
      </c>
      <c r="L8" s="2">
        <f>K8*P6+K8</f>
        <v>23.558391255767727</v>
      </c>
      <c r="R8" s="8" t="s">
        <v>105</v>
      </c>
      <c r="V8" t="s">
        <v>99</v>
      </c>
      <c r="W8" s="2">
        <v>0</v>
      </c>
      <c r="X8">
        <v>1</v>
      </c>
    </row>
    <row r="9" spans="1:24" x14ac:dyDescent="0.35">
      <c r="A9">
        <v>2</v>
      </c>
      <c r="B9" t="s">
        <v>1</v>
      </c>
      <c r="C9">
        <v>259.65499999999997</v>
      </c>
      <c r="D9">
        <v>59.652999999999999</v>
      </c>
      <c r="F9">
        <v>0</v>
      </c>
      <c r="G9">
        <v>0</v>
      </c>
      <c r="H9">
        <v>0</v>
      </c>
      <c r="L9" s="2"/>
      <c r="R9" t="s">
        <v>2</v>
      </c>
      <c r="S9">
        <f>S5+L6*SIN(W11*(PI()/200))</f>
        <v>4468000.2438050555</v>
      </c>
      <c r="T9">
        <f>T5+L6*COS(W11*(PI()/200))</f>
        <v>5334522.4345107619</v>
      </c>
      <c r="W9" s="2"/>
    </row>
    <row r="10" spans="1:24" x14ac:dyDescent="0.35">
      <c r="B10" t="s">
        <v>2</v>
      </c>
      <c r="C10">
        <v>362.49799999999999</v>
      </c>
      <c r="D10">
        <v>162.49700000000001</v>
      </c>
      <c r="F10">
        <f>C10-C9</f>
        <v>102.84300000000002</v>
      </c>
      <c r="G10">
        <f>D10-D9</f>
        <v>102.84400000000002</v>
      </c>
      <c r="H10">
        <v>102.84399999999999</v>
      </c>
      <c r="L10" s="2"/>
      <c r="R10" t="s">
        <v>14</v>
      </c>
      <c r="S10">
        <f>S9+L32*SIN(W12*(PI()/200))</f>
        <v>4468012.6451004166</v>
      </c>
      <c r="T10">
        <f>T9+L32*COS(W12*(PI()/200))</f>
        <v>5334596.7183158556</v>
      </c>
      <c r="V10" t="s">
        <v>96</v>
      </c>
      <c r="W10" s="2">
        <f>GK!W10</f>
        <v>8.8069188424111822</v>
      </c>
      <c r="X10">
        <f>ACOS((W7*W8+X7*X8)/((W7^2+X7^2)^0.5*(X8)^0.5))*(400/PI())</f>
        <v>49.344944510235905</v>
      </c>
    </row>
    <row r="11" spans="1:24" x14ac:dyDescent="0.35">
      <c r="B11" t="s">
        <v>3</v>
      </c>
      <c r="C11">
        <v>56.341999999999999</v>
      </c>
      <c r="D11">
        <v>256.34500000000003</v>
      </c>
      <c r="F11">
        <f>C11-C9+400</f>
        <v>196.68700000000001</v>
      </c>
      <c r="G11">
        <f>D11-D9</f>
        <v>196.69200000000004</v>
      </c>
      <c r="H11">
        <v>196.69</v>
      </c>
      <c r="L11" s="2"/>
      <c r="R11" t="s">
        <v>3</v>
      </c>
      <c r="S11">
        <f>S10+L22*SIN(W13*(PI()/200))</f>
        <v>4468186.3382023834</v>
      </c>
      <c r="T11">
        <f>T10+L22*COS(W13*(PI()/200))</f>
        <v>5334573.8884181203</v>
      </c>
      <c r="V11" t="s">
        <v>101</v>
      </c>
      <c r="W11" s="2">
        <f>W10+200+(I6)</f>
        <v>311.64891884241121</v>
      </c>
    </row>
    <row r="12" spans="1:24" x14ac:dyDescent="0.35">
      <c r="L12" s="2"/>
      <c r="R12" t="s">
        <v>29</v>
      </c>
      <c r="S12">
        <f>S11+L7*SIN(W14*(PI()/200))</f>
        <v>4468179.0451233694</v>
      </c>
      <c r="T12">
        <f>T11+L7*COS(W14*(PI()/200))</f>
        <v>5334489.3562367829</v>
      </c>
      <c r="V12" t="s">
        <v>102</v>
      </c>
      <c r="W12" s="2">
        <f>200+W11+I32-400-400</f>
        <v>10.530918842411211</v>
      </c>
    </row>
    <row r="13" spans="1:24" x14ac:dyDescent="0.35">
      <c r="A13" s="1" t="s">
        <v>12</v>
      </c>
      <c r="L13" s="2"/>
      <c r="V13" t="s">
        <v>103</v>
      </c>
      <c r="W13" s="2">
        <f>200+W12+(400-I23)-400</f>
        <v>108.3199188424112</v>
      </c>
    </row>
    <row r="14" spans="1:24" x14ac:dyDescent="0.35">
      <c r="L14" s="2"/>
      <c r="V14" t="s">
        <v>104</v>
      </c>
      <c r="W14" s="2">
        <f>W13+200+(400-I16)-400</f>
        <v>205.47891884241119</v>
      </c>
    </row>
    <row r="15" spans="1:24" x14ac:dyDescent="0.35">
      <c r="A15">
        <v>1</v>
      </c>
      <c r="B15" t="s">
        <v>13</v>
      </c>
      <c r="C15">
        <v>0</v>
      </c>
      <c r="D15">
        <v>200</v>
      </c>
      <c r="F15">
        <v>0</v>
      </c>
      <c r="G15">
        <v>0</v>
      </c>
      <c r="H15">
        <v>0</v>
      </c>
      <c r="I15">
        <v>0</v>
      </c>
      <c r="K15">
        <v>84.850999999999999</v>
      </c>
      <c r="L15" s="2">
        <f>K15*P6+K15</f>
        <v>84.845206130863644</v>
      </c>
      <c r="R15" s="8" t="s">
        <v>108</v>
      </c>
    </row>
    <row r="16" spans="1:24" x14ac:dyDescent="0.35">
      <c r="B16" t="s">
        <v>14</v>
      </c>
      <c r="C16">
        <v>102.83799999999999</v>
      </c>
      <c r="D16">
        <v>302.83999999999997</v>
      </c>
      <c r="F16">
        <f>C16-C15</f>
        <v>102.83799999999999</v>
      </c>
      <c r="G16">
        <f>D16-D15</f>
        <v>102.83999999999997</v>
      </c>
      <c r="H16">
        <f>102.839</f>
        <v>102.839</v>
      </c>
      <c r="I16">
        <v>102.84099999999999</v>
      </c>
      <c r="K16">
        <v>175.196</v>
      </c>
      <c r="L16" s="2">
        <f>K16*P6+K16</f>
        <v>175.18403711568263</v>
      </c>
      <c r="Q16" s="9" t="s">
        <v>109</v>
      </c>
      <c r="R16" t="s">
        <v>4</v>
      </c>
    </row>
    <row r="17" spans="1:20" x14ac:dyDescent="0.35">
      <c r="Q17" t="s">
        <v>110</v>
      </c>
      <c r="R17" s="2">
        <f>W10+200+C8</f>
        <v>349.1469188424112</v>
      </c>
    </row>
    <row r="18" spans="1:20" x14ac:dyDescent="0.35">
      <c r="A18">
        <v>2</v>
      </c>
      <c r="B18" t="s">
        <v>13</v>
      </c>
      <c r="C18">
        <v>146.303</v>
      </c>
      <c r="D18">
        <v>346.30700000000002</v>
      </c>
      <c r="F18">
        <v>0</v>
      </c>
      <c r="G18">
        <v>0</v>
      </c>
      <c r="H18">
        <v>0</v>
      </c>
      <c r="S18">
        <f>S5+L8*SIN(R17*(PI()/200))</f>
        <v>4468162.1499800812</v>
      </c>
      <c r="T18">
        <f>T5+L8*COS(R17*(PI()/200))</f>
        <v>5334505.7835853081</v>
      </c>
    </row>
    <row r="19" spans="1:20" x14ac:dyDescent="0.35">
      <c r="B19" t="s">
        <v>14</v>
      </c>
      <c r="C19">
        <v>249.14599999999999</v>
      </c>
      <c r="D19">
        <v>49.15</v>
      </c>
      <c r="F19">
        <f>C19-C18</f>
        <v>102.84299999999999</v>
      </c>
      <c r="G19">
        <f>D19-D18+400</f>
        <v>102.84299999999996</v>
      </c>
      <c r="H19">
        <v>102.843</v>
      </c>
      <c r="Q19" s="9" t="s">
        <v>111</v>
      </c>
      <c r="R19" t="s">
        <v>20</v>
      </c>
    </row>
    <row r="20" spans="1:20" x14ac:dyDescent="0.35">
      <c r="Q20" t="s">
        <v>112</v>
      </c>
      <c r="R20" s="2">
        <f>W11+200+C37-400-400</f>
        <v>73.369918842411153</v>
      </c>
    </row>
    <row r="21" spans="1:20" x14ac:dyDescent="0.35">
      <c r="A21" s="1" t="s">
        <v>15</v>
      </c>
      <c r="S21">
        <f>S9+L37*SIN(R20*(PI()/200))</f>
        <v>4468014.2382893637</v>
      </c>
      <c r="T21">
        <f>T9+L37*COS(R20*(PI()/200))</f>
        <v>5334528.6556224376</v>
      </c>
    </row>
    <row r="22" spans="1:20" x14ac:dyDescent="0.35">
      <c r="A22">
        <v>1</v>
      </c>
      <c r="B22" t="s">
        <v>3</v>
      </c>
      <c r="C22">
        <v>0</v>
      </c>
      <c r="D22">
        <v>200.00299999999999</v>
      </c>
      <c r="F22">
        <v>0</v>
      </c>
      <c r="G22">
        <v>0</v>
      </c>
      <c r="H22">
        <v>0</v>
      </c>
      <c r="I22">
        <v>0</v>
      </c>
      <c r="K22">
        <v>175.19900000000001</v>
      </c>
      <c r="L22" s="2">
        <f>K22*P6+K22</f>
        <v>175.18703691083405</v>
      </c>
      <c r="R22" t="s">
        <v>19</v>
      </c>
    </row>
    <row r="23" spans="1:20" x14ac:dyDescent="0.35">
      <c r="B23" t="s">
        <v>2</v>
      </c>
      <c r="C23">
        <v>102.209</v>
      </c>
      <c r="D23">
        <v>302.21300000000002</v>
      </c>
      <c r="F23">
        <f>C23-C22</f>
        <v>102.209</v>
      </c>
      <c r="G23">
        <f>D23-D22</f>
        <v>102.21000000000004</v>
      </c>
      <c r="H23">
        <v>102.21</v>
      </c>
      <c r="I23">
        <v>102.211</v>
      </c>
      <c r="K23">
        <v>75.316999999999993</v>
      </c>
      <c r="L23" s="2">
        <f>K23*P6+K23</f>
        <v>75.311857139671389</v>
      </c>
      <c r="Q23" t="s">
        <v>113</v>
      </c>
      <c r="R23" s="2">
        <f>W11+200+C36-400-400</f>
        <v>91.147918842411173</v>
      </c>
    </row>
    <row r="24" spans="1:20" x14ac:dyDescent="0.35">
      <c r="L24" s="2"/>
      <c r="S24">
        <f>S9+L36*SIN(R23*(PI()/200))</f>
        <v>4468028.4767091163</v>
      </c>
      <c r="T24">
        <f>T9+L36*COS(R23*(PI()/200))</f>
        <v>5334526.3857420525</v>
      </c>
    </row>
    <row r="25" spans="1:20" x14ac:dyDescent="0.35">
      <c r="A25">
        <v>2</v>
      </c>
      <c r="B25" t="s">
        <v>3</v>
      </c>
      <c r="C25">
        <v>0</v>
      </c>
      <c r="D25">
        <v>200.00399999999999</v>
      </c>
      <c r="F25">
        <v>0</v>
      </c>
      <c r="G25">
        <v>0</v>
      </c>
      <c r="H25">
        <v>0</v>
      </c>
      <c r="L25" s="2"/>
    </row>
    <row r="26" spans="1:20" x14ac:dyDescent="0.35">
      <c r="B26" t="s">
        <v>2</v>
      </c>
      <c r="C26">
        <v>102.21299999999999</v>
      </c>
      <c r="D26">
        <v>302.21499999999997</v>
      </c>
      <c r="F26">
        <f>C26-C25</f>
        <v>102.21299999999999</v>
      </c>
      <c r="G26">
        <f>D26-D25</f>
        <v>102.21099999999998</v>
      </c>
      <c r="H26">
        <v>102.212</v>
      </c>
      <c r="L26" s="2"/>
      <c r="Q26" s="9" t="s">
        <v>114</v>
      </c>
      <c r="R26" t="s">
        <v>16</v>
      </c>
    </row>
    <row r="27" spans="1:20" x14ac:dyDescent="0.35">
      <c r="B27" t="s">
        <v>16</v>
      </c>
      <c r="C27">
        <v>59.994</v>
      </c>
      <c r="K27">
        <v>19.510999999999999</v>
      </c>
      <c r="L27" s="2">
        <f>K27*P6+K27</f>
        <v>19.509667733076576</v>
      </c>
      <c r="Q27" t="s">
        <v>115</v>
      </c>
      <c r="R27" s="2">
        <f>W12+200+(400-I23+C27)-400</f>
        <v>168.31391884241123</v>
      </c>
    </row>
    <row r="28" spans="1:20" x14ac:dyDescent="0.35">
      <c r="B28" t="s">
        <v>17</v>
      </c>
      <c r="C28">
        <v>35.500999999999998</v>
      </c>
      <c r="K28">
        <v>30.558</v>
      </c>
      <c r="L28" s="2">
        <f>K28*P6+K28</f>
        <v>30.555913412298398</v>
      </c>
      <c r="S28">
        <f>S10+L27*SIN(R27*(PI()/200))</f>
        <v>4468021.9595375583</v>
      </c>
      <c r="T28">
        <f>T10+L27*COS(R27*(PI()/200))</f>
        <v>5334579.5757257426</v>
      </c>
    </row>
    <row r="29" spans="1:20" x14ac:dyDescent="0.35">
      <c r="L29" s="2"/>
      <c r="R29" t="s">
        <v>17</v>
      </c>
    </row>
    <row r="30" spans="1:20" x14ac:dyDescent="0.35">
      <c r="A30" s="1" t="s">
        <v>18</v>
      </c>
      <c r="L30" s="2"/>
      <c r="Q30" t="s">
        <v>116</v>
      </c>
      <c r="R30" s="2">
        <f>W12+200+(400-I23+C28)-400</f>
        <v>143.82091884241117</v>
      </c>
    </row>
    <row r="31" spans="1:20" x14ac:dyDescent="0.35">
      <c r="A31">
        <v>1</v>
      </c>
      <c r="B31" t="s">
        <v>13</v>
      </c>
      <c r="C31">
        <v>0</v>
      </c>
      <c r="D31">
        <v>200.00299999999999</v>
      </c>
      <c r="F31">
        <v>0</v>
      </c>
      <c r="G31">
        <v>0</v>
      </c>
      <c r="H31">
        <v>0</v>
      </c>
      <c r="I31">
        <v>0</v>
      </c>
      <c r="K31">
        <v>181.839</v>
      </c>
      <c r="L31" s="2">
        <f>K31*P6+K31</f>
        <v>181.82658351262936</v>
      </c>
      <c r="S31">
        <f>S10+L28*SIN(R30*(PI()/200))</f>
        <v>4468036.2435321324</v>
      </c>
      <c r="T31">
        <f>T10+L28*COS(R30*(PI()/200))</f>
        <v>5334577.3075491264</v>
      </c>
    </row>
    <row r="32" spans="1:20" x14ac:dyDescent="0.35">
      <c r="B32" t="s">
        <v>14</v>
      </c>
      <c r="C32">
        <v>298.88099999999997</v>
      </c>
      <c r="D32">
        <v>98.885000000000005</v>
      </c>
      <c r="F32">
        <f>C32-C31</f>
        <v>298.88099999999997</v>
      </c>
      <c r="G32">
        <f>D32-D31+400</f>
        <v>298.88200000000001</v>
      </c>
      <c r="H32">
        <v>298.88200000000001</v>
      </c>
      <c r="I32">
        <v>298.88200000000001</v>
      </c>
      <c r="K32">
        <v>75.316999999999993</v>
      </c>
      <c r="L32" s="2">
        <f>K32*P6+K32</f>
        <v>75.311857139671389</v>
      </c>
    </row>
    <row r="33" spans="1:20" x14ac:dyDescent="0.35">
      <c r="P33" s="8" t="s">
        <v>49</v>
      </c>
    </row>
    <row r="34" spans="1:20" x14ac:dyDescent="0.35">
      <c r="A34">
        <v>2</v>
      </c>
      <c r="B34" t="s">
        <v>13</v>
      </c>
      <c r="C34">
        <v>0</v>
      </c>
      <c r="D34">
        <v>200.00399999999999</v>
      </c>
      <c r="F34">
        <v>0</v>
      </c>
      <c r="G34">
        <v>0</v>
      </c>
      <c r="H34">
        <v>0</v>
      </c>
      <c r="P34" s="9" t="s">
        <v>117</v>
      </c>
      <c r="Q34" t="s">
        <v>119</v>
      </c>
    </row>
    <row r="35" spans="1:20" x14ac:dyDescent="0.35">
      <c r="B35" t="s">
        <v>14</v>
      </c>
      <c r="C35">
        <v>298.88099999999997</v>
      </c>
      <c r="D35">
        <v>98.885000000000005</v>
      </c>
      <c r="F35">
        <f>C35-C34</f>
        <v>298.88099999999997</v>
      </c>
      <c r="G35">
        <f>D35-D34+400</f>
        <v>298.88100000000003</v>
      </c>
      <c r="H35">
        <v>298.88099999999997</v>
      </c>
      <c r="Q35">
        <f>(SIN(400-C41)*L41)/L6</f>
        <v>0.12283860282695272</v>
      </c>
      <c r="R35">
        <f>ASIN(Q35)*(200/PI())</f>
        <v>7.8399498800325658</v>
      </c>
    </row>
    <row r="36" spans="1:20" x14ac:dyDescent="0.35">
      <c r="B36" t="s">
        <v>19</v>
      </c>
      <c r="C36">
        <v>379.49900000000002</v>
      </c>
      <c r="K36">
        <v>28.51</v>
      </c>
      <c r="L36" s="2">
        <f>K36*P6+K36</f>
        <v>28.508053255600082</v>
      </c>
      <c r="Q36" t="s">
        <v>118</v>
      </c>
      <c r="R36" s="2">
        <f>W11-R35</f>
        <v>303.80896896237863</v>
      </c>
    </row>
    <row r="37" spans="1:20" x14ac:dyDescent="0.35">
      <c r="B37" t="s">
        <v>20</v>
      </c>
      <c r="C37">
        <v>361.721</v>
      </c>
      <c r="K37">
        <v>15.316000000000001</v>
      </c>
      <c r="L37" s="2">
        <f>K37*P6+K37</f>
        <v>15.3149541796833</v>
      </c>
      <c r="R37" t="s">
        <v>55</v>
      </c>
      <c r="S37">
        <f>S5+L40*SIN(R36*(PI()/200))</f>
        <v>4468063.7814736459</v>
      </c>
      <c r="T37">
        <f>T5+L40*COS(R36*(PI()/200))</f>
        <v>5334496.2536910716</v>
      </c>
    </row>
    <row r="38" spans="1:20" x14ac:dyDescent="0.35">
      <c r="L38" s="2"/>
      <c r="P38" s="9" t="s">
        <v>120</v>
      </c>
      <c r="Q38" t="s">
        <v>121</v>
      </c>
    </row>
    <row r="39" spans="1:20" x14ac:dyDescent="0.35">
      <c r="A39" s="1" t="s">
        <v>21</v>
      </c>
      <c r="L39" s="2"/>
      <c r="Q39">
        <f>(SIN((400-C47)*(PI()/200))*L47)/L22</f>
        <v>9.8127644897336424E-3</v>
      </c>
      <c r="R39">
        <f>ASIN(Q39)*(200/PI())</f>
        <v>0.62471001543931237</v>
      </c>
    </row>
    <row r="40" spans="1:20" x14ac:dyDescent="0.35">
      <c r="B40" t="s">
        <v>13</v>
      </c>
      <c r="C40">
        <v>0</v>
      </c>
      <c r="K40">
        <v>115.46299999999999</v>
      </c>
      <c r="L40" s="2">
        <f>K40*P6+K40</f>
        <v>115.45511585588748</v>
      </c>
      <c r="Q40" t="s">
        <v>122</v>
      </c>
      <c r="R40" s="2">
        <f>W13-R39</f>
        <v>107.69520882697188</v>
      </c>
    </row>
    <row r="41" spans="1:20" x14ac:dyDescent="0.35">
      <c r="B41" t="s">
        <v>2</v>
      </c>
      <c r="C41">
        <v>221.26</v>
      </c>
      <c r="K41">
        <v>68.772999999999996</v>
      </c>
      <c r="L41" s="2">
        <f>K41*P6+K41</f>
        <v>68.768303982721307</v>
      </c>
      <c r="R41" t="s">
        <v>64</v>
      </c>
      <c r="S41">
        <f>S10+L46*SIN(R40*(PI()/200))</f>
        <v>4468126.537130734</v>
      </c>
      <c r="T41">
        <f>T10+L46*COS(R40*(PI()/200))</f>
        <v>5334582.8840529481</v>
      </c>
    </row>
    <row r="42" spans="1:20" x14ac:dyDescent="0.35">
      <c r="B42" t="s">
        <v>22</v>
      </c>
      <c r="C42">
        <v>253.71199999999999</v>
      </c>
      <c r="K42">
        <v>53.9</v>
      </c>
      <c r="L42" s="2">
        <f>K42*P6+K42</f>
        <v>53.896319553730073</v>
      </c>
    </row>
    <row r="43" spans="1:20" x14ac:dyDescent="0.35">
      <c r="B43" t="s">
        <v>23</v>
      </c>
      <c r="C43">
        <v>379.00900000000001</v>
      </c>
      <c r="K43">
        <v>89.162999999999997</v>
      </c>
      <c r="L43" s="2">
        <f>K43*P6+K43</f>
        <v>89.156911695162052</v>
      </c>
      <c r="P43" s="8" t="s">
        <v>123</v>
      </c>
    </row>
    <row r="44" spans="1:20" x14ac:dyDescent="0.35">
      <c r="L44" s="2"/>
      <c r="Q44" s="9" t="s">
        <v>124</v>
      </c>
    </row>
    <row r="45" spans="1:20" x14ac:dyDescent="0.35">
      <c r="A45" s="1" t="s">
        <v>24</v>
      </c>
      <c r="L45" s="2"/>
      <c r="R45" t="s">
        <v>23</v>
      </c>
    </row>
    <row r="46" spans="1:20" x14ac:dyDescent="0.35">
      <c r="B46" t="s">
        <v>14</v>
      </c>
      <c r="C46">
        <v>0</v>
      </c>
      <c r="K46">
        <v>114.73699999999999</v>
      </c>
      <c r="L46" s="2">
        <f>K46*P6+K46</f>
        <v>114.7291654292454</v>
      </c>
      <c r="Q46" t="s">
        <v>125</v>
      </c>
      <c r="R46" s="2">
        <f>R36+200+C43-400-400</f>
        <v>82.8179689623787</v>
      </c>
    </row>
    <row r="47" spans="1:20" x14ac:dyDescent="0.35">
      <c r="B47" t="s">
        <v>3</v>
      </c>
      <c r="C47">
        <v>201.81</v>
      </c>
      <c r="K47">
        <v>60.475999999999999</v>
      </c>
      <c r="L47" s="2">
        <f>K47*P6+K47</f>
        <v>60.471870525628567</v>
      </c>
      <c r="S47">
        <f>S37+L43*SIN(R46*(PI()/200))</f>
        <v>4468149.7108137105</v>
      </c>
      <c r="T47">
        <f>T37+L43*COS(R46*(PI()/200))</f>
        <v>5334520.0255950578</v>
      </c>
    </row>
    <row r="48" spans="1:20" x14ac:dyDescent="0.35">
      <c r="B48" t="s">
        <v>25</v>
      </c>
      <c r="C48">
        <v>236.09100000000001</v>
      </c>
      <c r="K48">
        <v>37.673000000000002</v>
      </c>
      <c r="L48" s="2">
        <f>K48*P6+K48</f>
        <v>37.670427579734195</v>
      </c>
      <c r="R48" t="s">
        <v>22</v>
      </c>
    </row>
    <row r="49" spans="2:23" x14ac:dyDescent="0.35">
      <c r="B49" t="s">
        <v>26</v>
      </c>
      <c r="C49">
        <v>251.05699999999999</v>
      </c>
      <c r="K49">
        <v>45.133000000000003</v>
      </c>
      <c r="L49" s="2">
        <f>K49*P6+K49</f>
        <v>45.129918189582554</v>
      </c>
      <c r="Q49" t="s">
        <v>126</v>
      </c>
      <c r="R49" s="2">
        <f>R36+200+C42-400</f>
        <v>357.52096896237867</v>
      </c>
    </row>
    <row r="50" spans="2:23" x14ac:dyDescent="0.35">
      <c r="B50" t="s">
        <v>27</v>
      </c>
      <c r="C50">
        <v>380.26100000000002</v>
      </c>
      <c r="K50">
        <v>93.656000000000006</v>
      </c>
      <c r="L50" s="2">
        <f>K50*P6+K50</f>
        <v>93.649604900262418</v>
      </c>
      <c r="S50">
        <f>S37+L42*SIN(R49*(PI()/200))</f>
        <v>4468030.4285313534</v>
      </c>
      <c r="T50">
        <f>T37+L42*COS(R49*(PI()/200))</f>
        <v>5334538.5903714076</v>
      </c>
    </row>
    <row r="51" spans="2:23" x14ac:dyDescent="0.35">
      <c r="B51" t="s">
        <v>28</v>
      </c>
      <c r="C51">
        <v>388.37</v>
      </c>
      <c r="D51" t="s">
        <v>68</v>
      </c>
      <c r="K51">
        <v>90.486999999999995</v>
      </c>
      <c r="L51" s="2">
        <f>K51*P6+K51</f>
        <v>90.480821288652564</v>
      </c>
    </row>
    <row r="52" spans="2:23" x14ac:dyDescent="0.35">
      <c r="Q52" s="9" t="s">
        <v>127</v>
      </c>
    </row>
    <row r="53" spans="2:23" x14ac:dyDescent="0.35">
      <c r="R53" t="s">
        <v>45</v>
      </c>
    </row>
    <row r="54" spans="2:23" x14ac:dyDescent="0.35">
      <c r="Q54" t="s">
        <v>84</v>
      </c>
      <c r="R54" s="2">
        <f>R40+200+C48-400</f>
        <v>143.78620882697192</v>
      </c>
    </row>
    <row r="55" spans="2:23" x14ac:dyDescent="0.35">
      <c r="S55">
        <f>S41+L48*SIN(R54*(PI()/200))</f>
        <v>4468155.6431680107</v>
      </c>
      <c r="T55">
        <f>T41+L48*COS(R54*(PI()/200))</f>
        <v>5334558.9696282614</v>
      </c>
    </row>
    <row r="56" spans="2:23" x14ac:dyDescent="0.35">
      <c r="R56" t="s">
        <v>43</v>
      </c>
    </row>
    <row r="57" spans="2:23" x14ac:dyDescent="0.35">
      <c r="Q57" t="s">
        <v>128</v>
      </c>
      <c r="R57" s="2">
        <f>R40+200+C49-400</f>
        <v>158.75220882697192</v>
      </c>
    </row>
    <row r="58" spans="2:23" x14ac:dyDescent="0.35">
      <c r="S58">
        <f>S41+L49*SIN(R57*(PI()/200))</f>
        <v>4468153.7743125279</v>
      </c>
      <c r="T58">
        <f>T41+L49*COS(R57*(PI()/200))</f>
        <v>5334546.9000920253</v>
      </c>
    </row>
    <row r="59" spans="2:23" x14ac:dyDescent="0.35">
      <c r="R59" t="s">
        <v>42</v>
      </c>
    </row>
    <row r="60" spans="2:23" x14ac:dyDescent="0.35">
      <c r="D60" t="s">
        <v>160</v>
      </c>
      <c r="Q60" t="s">
        <v>129</v>
      </c>
      <c r="R60" s="2">
        <f>R40+200+C50-400</f>
        <v>287.95620882697199</v>
      </c>
    </row>
    <row r="61" spans="2:23" x14ac:dyDescent="0.35">
      <c r="S61">
        <f>S41+L50*SIN(R60*(PI()/200))</f>
        <v>4468034.5584104406</v>
      </c>
      <c r="T61">
        <f>T41+L50*COS(R60*(PI()/200))</f>
        <v>5334565.2725932952</v>
      </c>
    </row>
    <row r="62" spans="2:23" x14ac:dyDescent="0.35">
      <c r="C62" t="s">
        <v>161</v>
      </c>
      <c r="D62" t="s">
        <v>40</v>
      </c>
      <c r="E62" t="s">
        <v>162</v>
      </c>
      <c r="R62" t="s">
        <v>17</v>
      </c>
    </row>
    <row r="63" spans="2:23" x14ac:dyDescent="0.35">
      <c r="H63" t="s">
        <v>175</v>
      </c>
      <c r="Q63" t="s">
        <v>130</v>
      </c>
      <c r="R63" s="2">
        <f>R40+200+C51-400</f>
        <v>296.06520882697191</v>
      </c>
    </row>
    <row r="64" spans="2:23" x14ac:dyDescent="0.35">
      <c r="C64" t="s">
        <v>170</v>
      </c>
      <c r="D64" s="2">
        <f>((T73-T18)^2+(S73-S18)^2)^0.5</f>
        <v>14.249999999751683</v>
      </c>
      <c r="E64" s="2">
        <v>14.25</v>
      </c>
      <c r="F64" s="2">
        <f>E64*P6+E64</f>
        <v>14.249026969214352</v>
      </c>
      <c r="G64" s="2">
        <f>F64-D64</f>
        <v>-9.7303053733099887E-4</v>
      </c>
      <c r="H64" s="2">
        <f t="shared" ref="H64:H75" si="0">0.008*(E64)^0.5+0.0004*E64+0.03</f>
        <v>6.5899337741083003E-2</v>
      </c>
      <c r="I64" s="2">
        <f>H64-ABS(G64)</f>
        <v>6.4926307203752004E-2</v>
      </c>
      <c r="S64">
        <f>S41+L51*SIN(R60*(PI()/200))</f>
        <v>4468037.6706570089</v>
      </c>
      <c r="T64">
        <f>T41+L51*COS(R60*(PI()/200))</f>
        <v>5334565.8685050961</v>
      </c>
      <c r="U64">
        <f>S31</f>
        <v>4468036.2435321324</v>
      </c>
      <c r="V64">
        <f>T31</f>
        <v>5334577.3075491264</v>
      </c>
      <c r="W64" t="s">
        <v>32</v>
      </c>
    </row>
    <row r="65" spans="3:20" x14ac:dyDescent="0.35">
      <c r="C65" t="s">
        <v>171</v>
      </c>
      <c r="D65" s="2">
        <f>((T73-T47)^2+(S73-S47)^2)^0.5</f>
        <v>13.461383039098177</v>
      </c>
      <c r="E65" s="2">
        <v>12.22</v>
      </c>
      <c r="F65" s="2">
        <f>E65*P6+E65</f>
        <v>12.219165583424518</v>
      </c>
      <c r="G65" s="2">
        <f t="shared" ref="G65:G75" si="1">F65-D65</f>
        <v>-1.2422174556736589</v>
      </c>
      <c r="H65" s="2">
        <f t="shared" si="0"/>
        <v>6.2853693268717661E-2</v>
      </c>
      <c r="I65" s="11">
        <f t="shared" ref="I65:I75" si="2">H65-ABS(G65)</f>
        <v>-1.1793637624049413</v>
      </c>
    </row>
    <row r="66" spans="3:20" x14ac:dyDescent="0.35">
      <c r="C66" t="s">
        <v>172</v>
      </c>
      <c r="D66" s="2">
        <f>((S47-S50)^2+(T47-T50)^2)^0.5</f>
        <v>120.7183242314044</v>
      </c>
      <c r="E66" s="2">
        <v>120.83</v>
      </c>
      <c r="F66" s="2">
        <f>E66*P6+E66</f>
        <v>120.82174938176632</v>
      </c>
      <c r="G66" s="2">
        <f t="shared" si="1"/>
        <v>0.10342515036192879</v>
      </c>
      <c r="H66" s="2">
        <f t="shared" si="0"/>
        <v>0.16627016008991771</v>
      </c>
      <c r="I66" s="2">
        <f t="shared" si="2"/>
        <v>6.2845009727988926E-2</v>
      </c>
      <c r="P66" t="s">
        <v>131</v>
      </c>
    </row>
    <row r="67" spans="3:20" x14ac:dyDescent="0.35">
      <c r="C67" t="s">
        <v>163</v>
      </c>
      <c r="D67" s="2">
        <f>((S24-S50)^2+(T24-T50)^2)^0.5</f>
        <v>12.359716329305529</v>
      </c>
      <c r="E67" s="2">
        <v>12.22</v>
      </c>
      <c r="F67" s="2">
        <f>E67*P6+E67</f>
        <v>12.219165583424518</v>
      </c>
      <c r="G67" s="2">
        <f t="shared" si="1"/>
        <v>-0.14055074588101135</v>
      </c>
      <c r="H67" s="2">
        <f t="shared" si="0"/>
        <v>6.2853693268717661E-2</v>
      </c>
      <c r="I67" s="25">
        <f>H67-ABS(G67)</f>
        <v>-7.7697052612293691E-2</v>
      </c>
    </row>
    <row r="68" spans="3:20" x14ac:dyDescent="0.35">
      <c r="C68" t="s">
        <v>164</v>
      </c>
      <c r="D68" s="2">
        <f>((S24-S21)^2+(T24-T21)^2)^0.5</f>
        <v>14.418216048220161</v>
      </c>
      <c r="E68" s="2">
        <v>14.57</v>
      </c>
      <c r="F68" s="2">
        <f>E68*P6+E68</f>
        <v>14.569005118698463</v>
      </c>
      <c r="G68" s="2">
        <f t="shared" si="1"/>
        <v>0.15078907047830192</v>
      </c>
      <c r="H68" s="2">
        <f t="shared" si="0"/>
        <v>6.63645354943877E-2</v>
      </c>
      <c r="I68" s="25">
        <f>H68-ABS(G68)</f>
        <v>-8.4424534983914223E-2</v>
      </c>
      <c r="P68" t="s">
        <v>44</v>
      </c>
    </row>
    <row r="69" spans="3:20" x14ac:dyDescent="0.35">
      <c r="C69" t="s">
        <v>165</v>
      </c>
      <c r="D69" s="2">
        <f>((S28-S21)^2+(T28-T21)^2)^0.5</f>
        <v>51.502180480792113</v>
      </c>
      <c r="E69" s="2">
        <v>51.52</v>
      </c>
      <c r="F69" s="2">
        <f>E69*P6+E69</f>
        <v>51.516482066941997</v>
      </c>
      <c r="G69" s="2">
        <f t="shared" si="1"/>
        <v>1.430158614988386E-2</v>
      </c>
      <c r="H69" s="2">
        <f t="shared" si="0"/>
        <v>0.10802994702376435</v>
      </c>
      <c r="I69" s="2">
        <f>H69-ABS(G69)</f>
        <v>9.3728360873880492E-2</v>
      </c>
      <c r="P69" t="s">
        <v>132</v>
      </c>
      <c r="Q69">
        <v>14.25</v>
      </c>
    </row>
    <row r="70" spans="3:20" x14ac:dyDescent="0.35">
      <c r="C70" t="s">
        <v>166</v>
      </c>
      <c r="D70" s="2">
        <f>((S28-S31)^2+(T28-T31)^2)^0.5</f>
        <v>14.462957033575469</v>
      </c>
      <c r="E70" s="2">
        <v>14.51</v>
      </c>
      <c r="F70" s="2">
        <f>E70*P6+E70</f>
        <v>14.509009215670192</v>
      </c>
      <c r="G70" s="2">
        <f t="shared" si="1"/>
        <v>4.6052182094722838E-2</v>
      </c>
      <c r="H70" s="2">
        <f t="shared" si="0"/>
        <v>6.6277595127585451E-2</v>
      </c>
      <c r="I70" s="2">
        <f>H70-ABS(G70)</f>
        <v>2.0225413032862613E-2</v>
      </c>
      <c r="P70" t="s">
        <v>133</v>
      </c>
      <c r="Q70">
        <f>12.22</f>
        <v>12.22</v>
      </c>
    </row>
    <row r="71" spans="3:20" x14ac:dyDescent="0.35">
      <c r="C71" t="s">
        <v>167</v>
      </c>
      <c r="D71" s="2">
        <f>((S61-S31)^2+(T61-T31)^2)^0.5</f>
        <v>12.152357671502884</v>
      </c>
      <c r="E71" s="2">
        <v>12.17</v>
      </c>
      <c r="F71" s="2">
        <f>E71*P6+E71</f>
        <v>12.169168997567626</v>
      </c>
      <c r="G71" s="2">
        <f t="shared" si="1"/>
        <v>1.6811326064742005E-2</v>
      </c>
      <c r="H71" s="2">
        <f t="shared" si="0"/>
        <v>6.2776421668019847E-2</v>
      </c>
      <c r="I71" s="2">
        <f t="shared" si="2"/>
        <v>4.5965095603277842E-2</v>
      </c>
      <c r="P71" t="s">
        <v>134</v>
      </c>
      <c r="Q71">
        <f>ATAN(Q70/Q69)*(200/PI())</f>
        <v>45.12726318413641</v>
      </c>
    </row>
    <row r="72" spans="3:20" x14ac:dyDescent="0.35">
      <c r="C72" t="s">
        <v>168</v>
      </c>
      <c r="D72" s="2">
        <f>((S61-S58)^2+(T61-T58)^2)^0.5</f>
        <v>120.62329838549687</v>
      </c>
      <c r="E72" s="2">
        <v>120.8</v>
      </c>
      <c r="F72" s="2">
        <f>E72*P6+E72</f>
        <v>120.79175143025219</v>
      </c>
      <c r="G72" s="2">
        <f t="shared" si="1"/>
        <v>0.1684530447553243</v>
      </c>
      <c r="H72" s="2">
        <f t="shared" si="0"/>
        <v>0.16624724264981816</v>
      </c>
      <c r="I72" s="26">
        <f t="shared" si="2"/>
        <v>-2.2058021055061383E-3</v>
      </c>
      <c r="P72" t="s">
        <v>135</v>
      </c>
      <c r="Q72" s="2" t="s">
        <v>136</v>
      </c>
      <c r="R72" s="2">
        <f>R17-Q71</f>
        <v>304.01965565827481</v>
      </c>
    </row>
    <row r="73" spans="3:20" x14ac:dyDescent="0.35">
      <c r="C73" t="s">
        <v>169</v>
      </c>
      <c r="D73" s="2">
        <f>((S55-S58)^2+(T55-T58)^2)^0.5</f>
        <v>12.213366684532508</v>
      </c>
      <c r="E73" s="2">
        <v>12.17</v>
      </c>
      <c r="F73" s="2">
        <f>E73*P6+E73</f>
        <v>12.169168997567626</v>
      </c>
      <c r="G73" s="2">
        <f t="shared" si="1"/>
        <v>-4.419768696488191E-2</v>
      </c>
      <c r="H73" s="2">
        <f t="shared" si="0"/>
        <v>6.2776421668019847E-2</v>
      </c>
      <c r="I73" s="2">
        <f t="shared" si="2"/>
        <v>1.8578734703137936E-2</v>
      </c>
      <c r="S73">
        <f>S18+Q69*SIN(R72*(PI()/200))</f>
        <v>4468147.9283761382</v>
      </c>
      <c r="T73">
        <f>T18+Q69*COS(R72*(PI()/200))</f>
        <v>5334506.6827411791</v>
      </c>
    </row>
    <row r="74" spans="3:20" x14ac:dyDescent="0.35">
      <c r="C74" t="s">
        <v>173</v>
      </c>
      <c r="D74" s="2">
        <f>((S55-S81)^2+(T55-T81)^2)^0.5</f>
        <v>21.404569136744705</v>
      </c>
      <c r="E74" s="2">
        <v>14.35</v>
      </c>
      <c r="F74" s="2">
        <f>E74*P6+E74</f>
        <v>14.349020140928136</v>
      </c>
      <c r="G74" s="2">
        <f t="shared" si="1"/>
        <v>-7.0555489958165687</v>
      </c>
      <c r="H74" s="2">
        <f t="shared" si="0"/>
        <v>6.6045115079801292E-2</v>
      </c>
      <c r="I74" s="11">
        <f t="shared" si="2"/>
        <v>-6.9895038807367671</v>
      </c>
    </row>
    <row r="75" spans="3:20" x14ac:dyDescent="0.35">
      <c r="C75" t="s">
        <v>174</v>
      </c>
      <c r="D75" s="2">
        <f>((S18-S81)^2+(T18-T81)^2)^0.5</f>
        <v>41.403817655105044</v>
      </c>
      <c r="E75" s="2">
        <v>51.69</v>
      </c>
      <c r="F75" s="2">
        <f>E75*P6+E75</f>
        <v>51.686470458855425</v>
      </c>
      <c r="G75" s="2">
        <f t="shared" si="1"/>
        <v>10.282652803750381</v>
      </c>
      <c r="H75" s="2">
        <f t="shared" si="0"/>
        <v>0.10819260629765981</v>
      </c>
      <c r="I75" s="11">
        <f t="shared" si="2"/>
        <v>-10.174460197452721</v>
      </c>
      <c r="P75" t="s">
        <v>41</v>
      </c>
    </row>
    <row r="76" spans="3:20" x14ac:dyDescent="0.35">
      <c r="P76" t="s">
        <v>137</v>
      </c>
      <c r="Q76">
        <v>14.35</v>
      </c>
    </row>
    <row r="77" spans="3:20" x14ac:dyDescent="0.35">
      <c r="P77" t="s">
        <v>138</v>
      </c>
      <c r="Q77">
        <v>12.17</v>
      </c>
    </row>
    <row r="78" spans="3:20" x14ac:dyDescent="0.35">
      <c r="P78" t="s">
        <v>139</v>
      </c>
      <c r="Q78">
        <f>ATAN(Q76/Q77)*(200/PI())</f>
        <v>55.221409395296327</v>
      </c>
    </row>
    <row r="79" spans="3:20" x14ac:dyDescent="0.35">
      <c r="P79" t="s">
        <v>140</v>
      </c>
      <c r="Q79" t="s">
        <v>141</v>
      </c>
      <c r="R79" s="2">
        <f>R57-Q78</f>
        <v>103.5307994316756</v>
      </c>
    </row>
    <row r="80" spans="3:20" x14ac:dyDescent="0.35">
      <c r="P80" t="s">
        <v>142</v>
      </c>
      <c r="Q80">
        <f>(Q76^2+Q77^2)^0.5</f>
        <v>18.815722149309071</v>
      </c>
    </row>
    <row r="81" spans="19:20" x14ac:dyDescent="0.35">
      <c r="S81">
        <f>S58+Q80*SIN(R79*(PI()/200))</f>
        <v>4468172.5611035461</v>
      </c>
      <c r="T81">
        <f>T58+Q80*COS(R79*(PI()/200))</f>
        <v>5334545.8570756055</v>
      </c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GK</vt:lpstr>
      <vt:lpstr>UTM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Birgit</dc:creator>
  <cp:lastModifiedBy>Birgit</cp:lastModifiedBy>
  <dcterms:created xsi:type="dcterms:W3CDTF">2020-11-29T14:07:58Z</dcterms:created>
  <dcterms:modified xsi:type="dcterms:W3CDTF">2020-12-05T00:17:37Z</dcterms:modified>
</cp:coreProperties>
</file>