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MA" sheetId="1" r:id="rId3"/>
  </sheets>
  <definedNames/>
  <calcPr/>
</workbook>
</file>

<file path=xl/sharedStrings.xml><?xml version="1.0" encoding="utf-8"?>
<sst xmlns="http://schemas.openxmlformats.org/spreadsheetml/2006/main" count="22" uniqueCount="22">
  <si>
    <t>Nodes</t>
  </si>
  <si>
    <t>TTS (seconds) -1P</t>
  </si>
  <si>
    <t>Efficiency -1P</t>
  </si>
  <si>
    <t>Throughput (Mbps) -1P</t>
  </si>
  <si>
    <t>TTS (seconds) -NP</t>
  </si>
  <si>
    <t>Efficiency -NP</t>
  </si>
  <si>
    <t>Throughput (Mbps) -NP</t>
  </si>
  <si>
    <t>N/A</t>
  </si>
  <si>
    <t>TTS (seconds) -0.1P</t>
  </si>
  <si>
    <t>Efficiency -0.1P</t>
  </si>
  <si>
    <t>Throughput (Mbps) -0.1P</t>
  </si>
  <si>
    <t>TTS (seconds) -0.5P</t>
  </si>
  <si>
    <t>Efficiency -0.5P</t>
  </si>
  <si>
    <t>Throughput (Mbps) -0.5P</t>
  </si>
  <si>
    <t>TTS (seconds) -0.7P</t>
  </si>
  <si>
    <t>Efficiency -0.7P</t>
  </si>
  <si>
    <t>Throughput (Mbps) -0.7P</t>
  </si>
  <si>
    <t>Forwarding Delay PerPacket -1P</t>
  </si>
  <si>
    <t>Forwarding Delay PerPacket -NP</t>
  </si>
  <si>
    <t>Forwarding Delay PerPacket -0.1P</t>
  </si>
  <si>
    <t>Forwarding Delay PerPacket -0.5P</t>
  </si>
  <si>
    <t>Forwarding Delay PerPacket -0.7P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</si>
</sst>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Efficiency Vs Number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CSMA!$F$1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CSMA!$F$2:$F$1002</c:f>
              <c:numCache/>
            </c:numRef>
          </c:val>
          <c:smooth val="0"/>
        </c:ser>
        <c:ser>
          <c:idx val="1"/>
          <c:order val="1"/>
          <c:tx>
            <c:strRef>
              <c:f>CSMA!$J$1</c:f>
            </c:strRef>
          </c:tx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CSMA!$J$2:$J$1002</c:f>
              <c:numCache/>
            </c:numRef>
          </c:val>
          <c:smooth val="0"/>
        </c:ser>
        <c:ser>
          <c:idx val="2"/>
          <c:order val="2"/>
          <c:tx>
            <c:strRef>
              <c:f>CSMA!$N$1</c:f>
            </c:strRef>
          </c:tx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CSMA!$N$2:$N$1002</c:f>
              <c:numCache/>
            </c:numRef>
          </c:val>
          <c:smooth val="0"/>
        </c:ser>
        <c:ser>
          <c:idx val="3"/>
          <c:order val="3"/>
          <c:tx>
            <c:strRef>
              <c:f>CSMA!$R$1</c:f>
            </c:strRef>
          </c:tx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CSMA!$R$2:$R$1002</c:f>
              <c:numCache/>
            </c:numRef>
          </c:val>
          <c:smooth val="0"/>
        </c:ser>
        <c:ser>
          <c:idx val="4"/>
          <c:order val="4"/>
          <c:tx>
            <c:strRef>
              <c:f>CSMA!$C$1</c:f>
            </c:strRef>
          </c:tx>
          <c:marker>
            <c:symbol val="circle"/>
            <c:size val="7"/>
            <c:spPr>
              <a:solidFill>
                <a:srgbClr val="A64D79"/>
              </a:solidFill>
              <a:ln cmpd="sng">
                <a:solidFill>
                  <a:srgbClr val="A64D79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CSMA!$C$2:$C$1002</c:f>
              <c:numCache/>
            </c:numRef>
          </c:val>
          <c:smooth val="0"/>
        </c:ser>
        <c:axId val="131490971"/>
        <c:axId val="772638856"/>
      </c:lineChart>
      <c:catAx>
        <c:axId val="131490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772638856"/>
      </c:catAx>
      <c:valAx>
        <c:axId val="772638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49097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Throughput (Mbps) Vs Number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CSMA!$G$1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CSMA!$G$2:$G$1002</c:f>
              <c:numCache/>
            </c:numRef>
          </c:val>
          <c:smooth val="0"/>
        </c:ser>
        <c:ser>
          <c:idx val="1"/>
          <c:order val="1"/>
          <c:tx>
            <c:strRef>
              <c:f>CSMA!$K$1</c:f>
            </c:strRef>
          </c:tx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CSMA!$K$2:$K$1002</c:f>
              <c:numCache/>
            </c:numRef>
          </c:val>
          <c:smooth val="0"/>
        </c:ser>
        <c:ser>
          <c:idx val="2"/>
          <c:order val="2"/>
          <c:tx>
            <c:strRef>
              <c:f>CSMA!$O$1</c:f>
            </c:strRef>
          </c:tx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CSMA!$O$2:$O$1002</c:f>
              <c:numCache/>
            </c:numRef>
          </c:val>
          <c:smooth val="0"/>
        </c:ser>
        <c:ser>
          <c:idx val="3"/>
          <c:order val="3"/>
          <c:tx>
            <c:strRef>
              <c:f>CSMA!$S$1</c:f>
            </c:strRef>
          </c:tx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CSMA!$S$2:$S$1002</c:f>
              <c:numCache/>
            </c:numRef>
          </c:val>
          <c:smooth val="0"/>
        </c:ser>
        <c:ser>
          <c:idx val="4"/>
          <c:order val="4"/>
          <c:tx>
            <c:strRef>
              <c:f>CSMA!$D$1</c:f>
            </c:strRef>
          </c:tx>
          <c:marker>
            <c:symbol val="circle"/>
            <c:size val="7"/>
            <c:spPr>
              <a:solidFill>
                <a:srgbClr val="A64D79"/>
              </a:solidFill>
              <a:ln cmpd="sng">
                <a:solidFill>
                  <a:srgbClr val="A64D79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CSMA!$D$2:$D$1002</c:f>
              <c:numCache/>
            </c:numRef>
          </c:val>
          <c:smooth val="0"/>
        </c:ser>
        <c:axId val="1521887044"/>
        <c:axId val="2077617196"/>
      </c:lineChart>
      <c:catAx>
        <c:axId val="1521887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2077617196"/>
      </c:catAx>
      <c:valAx>
        <c:axId val="2077617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Throughput(Mbps)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1887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TTS Vs Number of Nodes</a:t>
            </a:r>
          </a:p>
        </c:rich>
      </c:tx>
      <c:overlay val="0"/>
    </c:title>
    <c:plotArea>
      <c:layout>
        <c:manualLayout>
          <c:xMode val="edge"/>
          <c:yMode val="edge"/>
          <c:x val="0.1544288429054054"/>
          <c:y val="0.23632578176216157"/>
          <c:w val="0.7997753612987988"/>
          <c:h val="0.5866623772530329"/>
        </c:manualLayout>
      </c:layout>
      <c:lineChart>
        <c:ser>
          <c:idx val="0"/>
          <c:order val="0"/>
          <c:tx>
            <c:strRef>
              <c:f>CSMA!$E$1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CSMA!$E$2:$E$1002</c:f>
              <c:numCache/>
            </c:numRef>
          </c:val>
          <c:smooth val="0"/>
        </c:ser>
        <c:ser>
          <c:idx val="1"/>
          <c:order val="1"/>
          <c:tx>
            <c:strRef>
              <c:f>CSMA!$I$1</c:f>
            </c:strRef>
          </c:tx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CSMA!$I$2:$I$1002</c:f>
              <c:numCache/>
            </c:numRef>
          </c:val>
          <c:smooth val="0"/>
        </c:ser>
        <c:ser>
          <c:idx val="2"/>
          <c:order val="2"/>
          <c:tx>
            <c:strRef>
              <c:f>CSMA!$M$1</c:f>
            </c:strRef>
          </c:tx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CSMA!$M$2:$M$1002</c:f>
              <c:numCache/>
            </c:numRef>
          </c:val>
          <c:smooth val="0"/>
        </c:ser>
        <c:ser>
          <c:idx val="3"/>
          <c:order val="3"/>
          <c:tx>
            <c:strRef>
              <c:f>CSMA!$Q$1</c:f>
            </c:strRef>
          </c:tx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CSMA!$Q$2:$Q$1002</c:f>
              <c:numCache/>
            </c:numRef>
          </c:val>
          <c:smooth val="0"/>
        </c:ser>
        <c:ser>
          <c:idx val="4"/>
          <c:order val="4"/>
          <c:tx>
            <c:strRef>
              <c:f>CSMA!$B$1</c:f>
            </c:strRef>
          </c:tx>
          <c:marker>
            <c:symbol val="circle"/>
            <c:size val="7"/>
            <c:spPr>
              <a:solidFill>
                <a:srgbClr val="A64D79"/>
              </a:solidFill>
              <a:ln cmpd="sng">
                <a:solidFill>
                  <a:srgbClr val="A64D79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CSMA!$B$2:$B$1002</c:f>
              <c:numCache/>
            </c:numRef>
          </c:val>
          <c:smooth val="0"/>
        </c:ser>
        <c:axId val="2142464785"/>
        <c:axId val="2059260193"/>
      </c:lineChart>
      <c:catAx>
        <c:axId val="2142464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2059260193"/>
      </c:catAx>
      <c:valAx>
        <c:axId val="2059260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TTS(Seconds)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2464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Forwarding Delay Vs Number of Nodes</a:t>
            </a:r>
          </a:p>
        </c:rich>
      </c:tx>
      <c:overlay val="0"/>
    </c:title>
    <c:plotArea>
      <c:layout>
        <c:manualLayout>
          <c:xMode val="edge"/>
          <c:yMode val="edge"/>
          <c:x val="0.1544288429054054"/>
          <c:y val="0.23632578176216157"/>
          <c:w val="0.7997753612987988"/>
          <c:h val="0.5866623772530329"/>
        </c:manualLayout>
      </c:layout>
      <c:lineChart>
        <c:ser>
          <c:idx val="0"/>
          <c:order val="0"/>
          <c:tx>
            <c:strRef>
              <c:f>CSMA!$U$1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CSMA!$U$2:$U$1002</c:f>
              <c:numCache/>
            </c:numRef>
          </c:val>
          <c:smooth val="0"/>
        </c:ser>
        <c:ser>
          <c:idx val="1"/>
          <c:order val="1"/>
          <c:tx>
            <c:strRef>
              <c:f>CSMA!$V$1</c:f>
            </c:strRef>
          </c:tx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CSMA!$V$2:$V$1002</c:f>
              <c:numCache/>
            </c:numRef>
          </c:val>
          <c:smooth val="0"/>
        </c:ser>
        <c:ser>
          <c:idx val="2"/>
          <c:order val="2"/>
          <c:tx>
            <c:strRef>
              <c:f>CSMA!$W$1</c:f>
            </c:strRef>
          </c:tx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CSMA!$W$2:$W$1002</c:f>
              <c:numCache/>
            </c:numRef>
          </c:val>
          <c:smooth val="0"/>
        </c:ser>
        <c:ser>
          <c:idx val="3"/>
          <c:order val="3"/>
          <c:tx>
            <c:strRef>
              <c:f>CSMA!$X$1</c:f>
            </c:strRef>
          </c:tx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CSMA!$X$2:$X$1002</c:f>
              <c:numCache/>
            </c:numRef>
          </c:val>
          <c:smooth val="0"/>
        </c:ser>
        <c:ser>
          <c:idx val="4"/>
          <c:order val="4"/>
          <c:tx>
            <c:strRef>
              <c:f>CSMA!$T$1</c:f>
            </c:strRef>
          </c:tx>
          <c:marker>
            <c:symbol val="circle"/>
            <c:size val="7"/>
            <c:spPr>
              <a:solidFill>
                <a:srgbClr val="A64D79"/>
              </a:solidFill>
              <a:ln cmpd="sng">
                <a:solidFill>
                  <a:srgbClr val="A64D79"/>
                </a:solidFill>
              </a:ln>
            </c:spPr>
          </c:marker>
          <c:cat>
            <c:strRef>
              <c:f>CSMA!$A$2:$A$1002</c:f>
            </c:strRef>
          </c:cat>
          <c:val>
            <c:numRef>
              <c:f>CSMA!$T$2:$T$1002</c:f>
              <c:numCache/>
            </c:numRef>
          </c:val>
          <c:smooth val="0"/>
        </c:ser>
        <c:axId val="204460669"/>
        <c:axId val="553822750"/>
      </c:lineChart>
      <c:catAx>
        <c:axId val="204460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553822750"/>
      </c:catAx>
      <c:valAx>
        <c:axId val="553822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Delay Per Packet (Milliseconds)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46066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38</xdr:row>
      <xdr:rowOff>171450</xdr:rowOff>
    </xdr:from>
    <xdr:ext cx="6343650" cy="4572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1123950</xdr:colOff>
      <xdr:row>20</xdr:row>
      <xdr:rowOff>47625</xdr:rowOff>
    </xdr:from>
    <xdr:ext cx="6343650" cy="4572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219075</xdr:colOff>
      <xdr:row>14</xdr:row>
      <xdr:rowOff>180975</xdr:rowOff>
    </xdr:from>
    <xdr:ext cx="6515100" cy="4629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152400</xdr:colOff>
      <xdr:row>38</xdr:row>
      <xdr:rowOff>171450</xdr:rowOff>
    </xdr:from>
    <xdr:ext cx="6515100" cy="46291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7.71"/>
    <col customWidth="1" min="3" max="3" width="13.29"/>
    <col customWidth="1" min="4" max="4" width="21.43"/>
    <col customWidth="1" min="5" max="5" width="18.0"/>
    <col customWidth="1" min="7" max="7" width="20.57"/>
    <col customWidth="1" hidden="1" min="8" max="8" width="17.0"/>
    <col customWidth="1" min="9" max="9" width="17.14"/>
    <col customWidth="1" min="11" max="11" width="24.14"/>
    <col hidden="1" min="12" max="12" width="14.43"/>
    <col customWidth="1" min="13" max="13" width="19.0"/>
    <col customWidth="1" min="15" max="15" width="24.0"/>
    <col hidden="1" min="16" max="16" width="14.43"/>
    <col customWidth="1" min="17" max="17" width="19.0"/>
    <col customWidth="1" min="19" max="19" width="23.43"/>
    <col customWidth="1" min="20" max="20" width="31.0"/>
    <col customWidth="1" min="21" max="21" width="29.71"/>
    <col customWidth="1" min="22" max="22" width="29.86"/>
    <col customWidth="1" min="23" max="23" width="33.43"/>
    <col customWidth="1" min="24" max="24" width="3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N1" s="1" t="s">
        <v>12</v>
      </c>
      <c r="O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AB1" s="1"/>
    </row>
    <row r="2">
      <c r="A2" s="1">
        <v>1.0</v>
      </c>
      <c r="B2" s="2">
        <v>0.214876999999999</v>
      </c>
      <c r="C2" s="2">
        <v>1.0</v>
      </c>
      <c r="D2" s="2">
        <v>0.407451704928866</v>
      </c>
      <c r="E2" s="2">
        <v>0.33149</v>
      </c>
      <c r="F2" s="2">
        <v>1.0</v>
      </c>
      <c r="G2" s="2">
        <v>0.234577211982261</v>
      </c>
      <c r="H2" s="1"/>
      <c r="I2" s="2">
        <v>0.910377</v>
      </c>
      <c r="J2" s="2">
        <v>1.0</v>
      </c>
      <c r="K2" s="2">
        <v>0.0924494680570639</v>
      </c>
      <c r="L2" s="3"/>
      <c r="M2" s="2">
        <v>0.260569999999999</v>
      </c>
      <c r="N2" s="2">
        <v>1.0</v>
      </c>
      <c r="O2" s="2">
        <v>0.305054304025789</v>
      </c>
      <c r="P2" s="3"/>
      <c r="Q2" s="2">
        <v>0.223553</v>
      </c>
      <c r="R2" s="2">
        <v>1.0</v>
      </c>
      <c r="S2" s="2">
        <v>0.35556668888362</v>
      </c>
      <c r="T2" s="3">
        <f t="shared" ref="T2:T12" si="1">B2/(142*A2*C2)*10^3</f>
        <v>1.51321831</v>
      </c>
      <c r="U2" s="3">
        <f t="shared" ref="U2:U12" si="2">E2/(142*A2*F2)*10^3</f>
        <v>2.33443662</v>
      </c>
      <c r="V2" s="3">
        <f t="shared" ref="V2:V12" si="3">I2/(142*A2*J2)*10^3</f>
        <v>6.411105634</v>
      </c>
      <c r="W2" s="3">
        <f t="shared" ref="W2:W12" si="4">M2/(142*A2*N2)*10^3</f>
        <v>1.835</v>
      </c>
      <c r="X2" s="3">
        <f t="shared" ref="X2:X12" si="5">Q2/(142*A2*R2)*10^3</f>
        <v>1.574316901</v>
      </c>
      <c r="Y2" s="3"/>
      <c r="AB2" s="1"/>
    </row>
    <row r="3">
      <c r="A3" s="1">
        <v>5.0</v>
      </c>
      <c r="B3" s="2">
        <f>+1.077511</f>
        <v>1.077511</v>
      </c>
      <c r="C3" s="2">
        <f>+0.4389465</f>
        <v>0.4389465</v>
      </c>
      <c r="D3" s="2">
        <f>+0.2940109</f>
        <v>0.2940109</v>
      </c>
      <c r="E3" s="2">
        <f>+1.155433</f>
        <v>1.155433</v>
      </c>
      <c r="F3" s="2">
        <f>+0.8764479</f>
        <v>0.8764479</v>
      </c>
      <c r="G3" s="2">
        <f>+0.3394883</f>
        <v>0.3394883</v>
      </c>
      <c r="H3" s="2">
        <f>+2957692</f>
        <v>2957692</v>
      </c>
      <c r="I3" s="2">
        <f t="shared" ref="I3:I12" si="6">H3*10^(-6)</f>
        <v>2.957692</v>
      </c>
      <c r="J3" s="2">
        <f>+0.8755074</f>
        <v>0.8755074</v>
      </c>
      <c r="K3" s="2">
        <f>+0.1260009</f>
        <v>0.1260009</v>
      </c>
      <c r="L3" s="2">
        <f>+1132311</f>
        <v>1132311</v>
      </c>
      <c r="M3" s="2">
        <f t="shared" ref="M3:M12" si="7">L3*10^(-6)</f>
        <v>1.132311</v>
      </c>
      <c r="N3" s="2">
        <f>+0.4788732</f>
        <v>0.4788732</v>
      </c>
      <c r="O3" s="2">
        <f>+0.2940252</f>
        <v>0.2940252</v>
      </c>
      <c r="P3" s="2">
        <f>+1901895</f>
        <v>1901895</v>
      </c>
      <c r="Q3" s="2">
        <f t="shared" ref="Q3:Q12" si="8">P3*10^(-6)</f>
        <v>1.901895</v>
      </c>
      <c r="R3" s="2">
        <f>+0.490818</f>
        <v>0.490818</v>
      </c>
      <c r="S3" s="2">
        <f>+0.1780792</f>
        <v>0.1780792</v>
      </c>
      <c r="T3" s="3">
        <f t="shared" si="1"/>
        <v>3.457417081</v>
      </c>
      <c r="U3" s="3">
        <f t="shared" si="2"/>
        <v>1.856779419</v>
      </c>
      <c r="V3" s="3">
        <f t="shared" si="3"/>
        <v>4.758113273</v>
      </c>
      <c r="W3" s="3">
        <f t="shared" si="4"/>
        <v>3.330326745</v>
      </c>
      <c r="X3" s="3">
        <f t="shared" si="5"/>
        <v>5.457675456</v>
      </c>
      <c r="Y3" s="3"/>
    </row>
    <row r="4">
      <c r="A4" s="1">
        <v>10.0</v>
      </c>
      <c r="B4" s="2">
        <f>+2.405482</f>
        <v>2.405482</v>
      </c>
      <c r="C4" s="2">
        <f>+0.3457592</f>
        <v>0.3457592</v>
      </c>
      <c r="D4" s="2">
        <f>+0.242087</f>
        <v>0.242087</v>
      </c>
      <c r="E4" s="2">
        <f>+2.288043</f>
        <v>2.288043</v>
      </c>
      <c r="F4" s="2">
        <f>+0.7669441</f>
        <v>0.7669441</v>
      </c>
      <c r="G4" s="2">
        <f>+0.3247491</f>
        <v>0.3247491</v>
      </c>
      <c r="H4" s="2">
        <f>+3127832</f>
        <v>3127832</v>
      </c>
      <c r="I4" s="2">
        <f t="shared" si="6"/>
        <v>3.127832</v>
      </c>
      <c r="J4" s="2">
        <f>+0.5888569</f>
        <v>0.5888569</v>
      </c>
      <c r="K4" s="2">
        <f>+0.2257717</f>
        <v>0.2257717</v>
      </c>
      <c r="L4" s="2">
        <f>+2745301</f>
        <v>2745301</v>
      </c>
      <c r="M4" s="2">
        <f t="shared" si="7"/>
        <v>2.745301</v>
      </c>
      <c r="N4" s="2">
        <f>+0.4216535</f>
        <v>0.4216535</v>
      </c>
      <c r="O4" s="2">
        <f>+0.2247098</f>
        <v>0.2247098</v>
      </c>
      <c r="P4" s="2">
        <f>+2126386</f>
        <v>2126386</v>
      </c>
      <c r="Q4" s="2">
        <f t="shared" si="8"/>
        <v>2.126386</v>
      </c>
      <c r="R4" s="2">
        <f>+0.3303815</f>
        <v>0.3303815</v>
      </c>
      <c r="S4" s="2">
        <f>+0.2627557</f>
        <v>0.2627557</v>
      </c>
      <c r="T4" s="3">
        <f t="shared" si="1"/>
        <v>4.899367561</v>
      </c>
      <c r="U4" s="3">
        <f t="shared" si="2"/>
        <v>2.100932633</v>
      </c>
      <c r="V4" s="3">
        <f t="shared" si="3"/>
        <v>3.740634765</v>
      </c>
      <c r="W4" s="3">
        <f t="shared" si="4"/>
        <v>4.585069407</v>
      </c>
      <c r="X4" s="3">
        <f t="shared" si="5"/>
        <v>4.532502363</v>
      </c>
      <c r="Y4" s="3"/>
    </row>
    <row r="5">
      <c r="A5" s="1">
        <v>20.0</v>
      </c>
      <c r="B5" s="2">
        <f>+4.748199</f>
        <v>4.748199</v>
      </c>
      <c r="C5" s="2">
        <f>+0.2008446</f>
        <v>0.2008446</v>
      </c>
      <c r="D5" s="2">
        <f>+0.1846325</f>
        <v>0.1846325</v>
      </c>
      <c r="E5" s="2">
        <f>+4.422793</f>
        <v>4.422793</v>
      </c>
      <c r="F5" s="2">
        <f>+0.6852468</f>
        <v>0.6852468</v>
      </c>
      <c r="G5" s="2">
        <f>+0.3218093</f>
        <v>0.3218093</v>
      </c>
      <c r="H5" s="2">
        <f>+6594172</f>
        <v>6594172</v>
      </c>
      <c r="I5" s="2">
        <f t="shared" si="6"/>
        <v>6.594172</v>
      </c>
      <c r="J5" s="2">
        <f>+0.3758254</f>
        <v>0.3758254</v>
      </c>
      <c r="K5" s="2">
        <f>+0.1789799</f>
        <v>0.1789799</v>
      </c>
      <c r="L5" s="2">
        <f>+5697631</f>
        <v>5697631</v>
      </c>
      <c r="M5" s="2">
        <f t="shared" si="7"/>
        <v>5.697631</v>
      </c>
      <c r="N5" s="2">
        <f>+0.2541283</f>
        <v>0.2541283</v>
      </c>
      <c r="O5" s="2">
        <f>+0.1758036</f>
        <v>0.1758036</v>
      </c>
      <c r="P5" s="2">
        <f>+4529780</f>
        <v>4529780</v>
      </c>
      <c r="Q5" s="2">
        <f t="shared" si="8"/>
        <v>4.52978</v>
      </c>
      <c r="R5" s="2">
        <f>+0.2494605</f>
        <v>0.2494605</v>
      </c>
      <c r="S5" s="2">
        <f>+0.2204928</f>
        <v>0.2204928</v>
      </c>
      <c r="T5" s="3">
        <f t="shared" si="1"/>
        <v>8.324351545</v>
      </c>
      <c r="U5" s="3">
        <f t="shared" si="2"/>
        <v>2.272643198</v>
      </c>
      <c r="V5" s="3">
        <f t="shared" si="3"/>
        <v>6.178112361</v>
      </c>
      <c r="W5" s="3">
        <f t="shared" si="4"/>
        <v>7.894469442</v>
      </c>
      <c r="X5" s="3">
        <f t="shared" si="5"/>
        <v>6.393769586</v>
      </c>
      <c r="Y5" s="3"/>
    </row>
    <row r="6">
      <c r="A6" s="1">
        <v>30.0</v>
      </c>
      <c r="B6" s="2">
        <f>+6.970837</f>
        <v>6.970837</v>
      </c>
      <c r="C6" s="2">
        <f>+0.1851697</f>
        <v>0.1851697</v>
      </c>
      <c r="D6" s="2">
        <f>+0.1834385</f>
        <v>0.1834385</v>
      </c>
      <c r="E6" s="2">
        <f>+6.349255</f>
        <v>6.349255</v>
      </c>
      <c r="F6" s="2">
        <f>+0.6388049</f>
        <v>0.6388049</v>
      </c>
      <c r="G6" s="2">
        <f>+0.3258637</f>
        <v>0.3258637</v>
      </c>
      <c r="H6" s="2">
        <f>+9540519</f>
        <v>9540519</v>
      </c>
      <c r="I6" s="2">
        <f t="shared" si="6"/>
        <v>9.540519</v>
      </c>
      <c r="J6" s="2">
        <f>+0.2894896</f>
        <v>0.2894896</v>
      </c>
      <c r="K6" s="2">
        <f>+0.1732736</f>
        <v>0.1732736</v>
      </c>
      <c r="L6" s="2">
        <f>+7228385</f>
        <v>7228385</v>
      </c>
      <c r="M6" s="2">
        <f t="shared" si="7"/>
        <v>7.228385</v>
      </c>
      <c r="N6" s="2">
        <f>+0.1973507</f>
        <v>0.1973507</v>
      </c>
      <c r="O6" s="2">
        <f>+0.1863852</f>
        <v>0.1863852</v>
      </c>
      <c r="P6" s="2">
        <f>+7426035</f>
        <v>7426035</v>
      </c>
      <c r="Q6" s="2">
        <f t="shared" si="8"/>
        <v>7.426035</v>
      </c>
      <c r="R6" s="2">
        <f>+0.1752327</f>
        <v>0.1752327</v>
      </c>
      <c r="S6" s="2">
        <f>+0.1679281</f>
        <v>0.1679281</v>
      </c>
      <c r="T6" s="3">
        <f t="shared" si="1"/>
        <v>8.837011204</v>
      </c>
      <c r="U6" s="3">
        <f t="shared" si="2"/>
        <v>2.3331622</v>
      </c>
      <c r="V6" s="3">
        <f t="shared" si="3"/>
        <v>7.736231114</v>
      </c>
      <c r="W6" s="3">
        <f t="shared" si="4"/>
        <v>8.597912197</v>
      </c>
      <c r="X6" s="3">
        <f t="shared" si="5"/>
        <v>9.947918991</v>
      </c>
      <c r="Y6" s="3"/>
    </row>
    <row r="7">
      <c r="A7" s="1">
        <v>50.0</v>
      </c>
      <c r="B7" s="2">
        <f>+10.95236</f>
        <v>10.95236</v>
      </c>
      <c r="C7" s="2">
        <f>+0.1368795</f>
        <v>0.1368795</v>
      </c>
      <c r="D7" s="2">
        <f>+0.1680821</f>
        <v>0.1680821</v>
      </c>
      <c r="E7" s="2">
        <f>+10.35533</f>
        <v>10.35533</v>
      </c>
      <c r="F7" s="2">
        <f>+0.4879258</f>
        <v>0.4879258</v>
      </c>
      <c r="G7" s="2">
        <f>+0.3012015</f>
        <v>0.3012015</v>
      </c>
      <c r="H7" s="2">
        <f>+17146810</f>
        <v>17146810</v>
      </c>
      <c r="I7" s="2">
        <f t="shared" si="6"/>
        <v>17.14681</v>
      </c>
      <c r="J7" s="2">
        <f>+0.2034374</f>
        <v>0.2034374</v>
      </c>
      <c r="K7" s="2">
        <f>+0.1387696</f>
        <v>0.1387696</v>
      </c>
      <c r="L7" s="2">
        <f>+18539260</f>
        <v>18539260</v>
      </c>
      <c r="M7" s="2">
        <f t="shared" si="7"/>
        <v>18.53926</v>
      </c>
      <c r="N7" s="2">
        <f>+0.1489487</f>
        <v>0.1489487</v>
      </c>
      <c r="O7" s="2">
        <f>+0.101907</f>
        <v>0.101907</v>
      </c>
      <c r="P7" s="2">
        <f>+11043850</f>
        <v>11043850</v>
      </c>
      <c r="Q7" s="2">
        <f t="shared" si="8"/>
        <v>11.04385</v>
      </c>
      <c r="R7" s="2">
        <f>+0.1488047</f>
        <v>0.1488047</v>
      </c>
      <c r="S7" s="2">
        <f>+0.1720617</f>
        <v>0.1720617</v>
      </c>
      <c r="T7" s="3">
        <f t="shared" si="1"/>
        <v>11.26966358</v>
      </c>
      <c r="U7" s="3">
        <f t="shared" si="2"/>
        <v>2.989178238</v>
      </c>
      <c r="V7" s="3">
        <f t="shared" si="3"/>
        <v>11.8711882</v>
      </c>
      <c r="W7" s="3">
        <f t="shared" si="4"/>
        <v>17.53062216</v>
      </c>
      <c r="X7" s="3">
        <f t="shared" si="5"/>
        <v>10.45310955</v>
      </c>
      <c r="Y7" s="3"/>
    </row>
    <row r="8">
      <c r="A8" s="1">
        <v>75.0</v>
      </c>
      <c r="B8" s="2">
        <f>+15.07695</f>
        <v>15.07695</v>
      </c>
      <c r="C8" s="2">
        <f>+0.1067243</f>
        <v>0.1067243</v>
      </c>
      <c r="D8" s="2">
        <f>+0.161412</f>
        <v>0.161412</v>
      </c>
      <c r="E8" s="2">
        <f>+15.10596</f>
        <v>15.10596</v>
      </c>
      <c r="F8" s="2">
        <f>+0.4030945</f>
        <v>0.4030945</v>
      </c>
      <c r="G8" s="2">
        <f>+0.2870856</f>
        <v>0.2870856</v>
      </c>
      <c r="H8" s="2">
        <f>+21908150</f>
        <v>21908150</v>
      </c>
      <c r="I8" s="2">
        <f t="shared" si="6"/>
        <v>21.90815</v>
      </c>
      <c r="J8" s="2">
        <f>+0.156965</f>
        <v>0.156965</v>
      </c>
      <c r="K8" s="2">
        <f>+0.1511504</f>
        <v>0.1511504</v>
      </c>
      <c r="L8" s="2">
        <f>+16558210</f>
        <v>16558210</v>
      </c>
      <c r="M8" s="2">
        <f t="shared" si="7"/>
        <v>16.55821</v>
      </c>
      <c r="N8" s="2">
        <f>+0.1148467</f>
        <v>0.1148467</v>
      </c>
      <c r="O8" s="2">
        <f>+0.155669</f>
        <v>0.155669</v>
      </c>
      <c r="P8" s="2">
        <f>+16319460</f>
        <v>16319460</v>
      </c>
      <c r="Q8" s="2">
        <f t="shared" si="8"/>
        <v>16.31946</v>
      </c>
      <c r="R8" s="2">
        <f>+0.1077627</f>
        <v>0.1077627</v>
      </c>
      <c r="S8" s="2">
        <f>+0.1464049</f>
        <v>0.1464049</v>
      </c>
      <c r="T8" s="3">
        <f t="shared" si="1"/>
        <v>13.26479589</v>
      </c>
      <c r="U8" s="3">
        <f t="shared" si="2"/>
        <v>3.518777855</v>
      </c>
      <c r="V8" s="3">
        <f t="shared" si="3"/>
        <v>13.10549031</v>
      </c>
      <c r="W8" s="3">
        <f t="shared" si="4"/>
        <v>13.5377116</v>
      </c>
      <c r="X8" s="3">
        <f t="shared" si="5"/>
        <v>14.21961089</v>
      </c>
      <c r="Y8" s="3"/>
    </row>
    <row r="9">
      <c r="A9" s="1">
        <v>100.0</v>
      </c>
      <c r="B9" s="2">
        <f>+20.43738</f>
        <v>20.43738</v>
      </c>
      <c r="C9" s="2">
        <f>+0.0916059</f>
        <v>0.0916059</v>
      </c>
      <c r="D9" s="2">
        <f>+0.145174</f>
        <v>0.145174</v>
      </c>
      <c r="E9" s="2">
        <f>+19.62764</f>
        <v>19.62764</v>
      </c>
      <c r="F9" s="2">
        <f>+0.3457192</f>
        <v>0.3457192</v>
      </c>
      <c r="G9" s="2">
        <f>+0.2711311</f>
        <v>0.2711311</v>
      </c>
      <c r="H9" s="2">
        <f>+30493690</f>
        <v>30493690</v>
      </c>
      <c r="I9" s="2">
        <f t="shared" si="6"/>
        <v>30.49369</v>
      </c>
      <c r="J9" s="2">
        <f>+0.126831</f>
        <v>0.126831</v>
      </c>
      <c r="K9" s="2">
        <f>+0.1303541</f>
        <v>0.1303541</v>
      </c>
      <c r="L9" s="2">
        <f>+20587220</f>
        <v>20587220</v>
      </c>
      <c r="M9" s="2">
        <f t="shared" si="7"/>
        <v>20.58722</v>
      </c>
      <c r="N9" s="2">
        <f>+0.09391155</f>
        <v>0.09391155</v>
      </c>
      <c r="O9" s="2">
        <f>+0.1438376</f>
        <v>0.1438376</v>
      </c>
      <c r="P9" s="2">
        <f>+21496730</f>
        <v>21496730</v>
      </c>
      <c r="Q9" s="2">
        <f t="shared" si="8"/>
        <v>21.49673</v>
      </c>
      <c r="R9" s="2">
        <f>+0.09206627</f>
        <v>0.09206627</v>
      </c>
      <c r="S9" s="2">
        <f>+0.1381806</f>
        <v>0.1381806</v>
      </c>
      <c r="T9" s="3">
        <f t="shared" si="1"/>
        <v>15.71134733</v>
      </c>
      <c r="U9" s="3">
        <f t="shared" si="2"/>
        <v>3.998123821</v>
      </c>
      <c r="V9" s="3">
        <f t="shared" si="3"/>
        <v>16.9315306</v>
      </c>
      <c r="W9" s="3">
        <f t="shared" si="4"/>
        <v>15.43797568</v>
      </c>
      <c r="X9" s="3">
        <f t="shared" si="5"/>
        <v>16.44309284</v>
      </c>
      <c r="Y9" s="3"/>
    </row>
    <row r="10">
      <c r="A10" s="1">
        <v>250.0</v>
      </c>
      <c r="B10" s="2">
        <f>+44.51429</f>
        <v>44.51429</v>
      </c>
      <c r="C10" s="2">
        <f>+0.04266033</f>
        <v>0.04266033</v>
      </c>
      <c r="D10" s="2">
        <f>+0.103375</f>
        <v>0.103375</v>
      </c>
      <c r="E10" s="2">
        <f>+46.30328</f>
        <v>46.30328</v>
      </c>
      <c r="F10" s="2">
        <f>+0.1738411</f>
        <v>0.1738411</v>
      </c>
      <c r="G10" s="2">
        <f>+0.2037627</f>
        <v>0.2037627</v>
      </c>
      <c r="H10" s="2">
        <f>+73223370</f>
        <v>73223370</v>
      </c>
      <c r="I10" s="2">
        <f t="shared" si="6"/>
        <v>73.22337</v>
      </c>
      <c r="J10" s="2">
        <f>+0.04820705</f>
        <v>0.04820705</v>
      </c>
      <c r="K10" s="2">
        <f>+0.0742268</f>
        <v>0.0742268</v>
      </c>
      <c r="L10" s="2">
        <f>+53979230</f>
        <v>53979230</v>
      </c>
      <c r="M10" s="2">
        <f t="shared" si="7"/>
        <v>53.97923</v>
      </c>
      <c r="N10" s="2">
        <f>+0.04318445</f>
        <v>0.04318445</v>
      </c>
      <c r="O10" s="2">
        <f>+0.0876924</f>
        <v>0.0876924</v>
      </c>
      <c r="P10" s="2">
        <f>+49372950</f>
        <v>49372950</v>
      </c>
      <c r="Q10" s="2">
        <f t="shared" si="8"/>
        <v>49.37295</v>
      </c>
      <c r="R10" s="2">
        <f>+0.04018599</f>
        <v>0.04018599</v>
      </c>
      <c r="S10" s="2">
        <f>+0.08913059</f>
        <v>0.08913059</v>
      </c>
      <c r="T10" s="3">
        <f t="shared" si="1"/>
        <v>29.39320118</v>
      </c>
      <c r="U10" s="3">
        <f t="shared" si="2"/>
        <v>7.502930817</v>
      </c>
      <c r="V10" s="3">
        <f t="shared" si="3"/>
        <v>42.7868982</v>
      </c>
      <c r="W10" s="3">
        <f t="shared" si="4"/>
        <v>35.21039842</v>
      </c>
      <c r="X10" s="3">
        <f t="shared" si="5"/>
        <v>34.60876101</v>
      </c>
      <c r="Y10" s="3"/>
    </row>
    <row r="11">
      <c r="A11" s="1">
        <v>500.0</v>
      </c>
      <c r="B11" s="2">
        <f>+81.27459</f>
        <v>81.27459</v>
      </c>
      <c r="C11" s="2">
        <f>+0.02165424</f>
        <v>0.02165424</v>
      </c>
      <c r="D11" s="2">
        <f>+0.06971566</f>
        <v>0.06971566</v>
      </c>
      <c r="E11" s="2">
        <f>+79.14287</f>
        <v>79.14287</v>
      </c>
      <c r="F11" s="2">
        <f>+0.08187079</f>
        <v>0.08187079</v>
      </c>
      <c r="G11" s="2">
        <f>+0.14497</f>
        <v>0.14497</v>
      </c>
      <c r="H11" s="2">
        <f>+112747800</f>
        <v>112747800</v>
      </c>
      <c r="I11" s="2">
        <f t="shared" si="6"/>
        <v>112.7478</v>
      </c>
      <c r="J11" s="2">
        <f>+0.01992655</f>
        <v>0.01992655</v>
      </c>
      <c r="K11" s="2">
        <f>+0.04496209</f>
        <v>0.04496209</v>
      </c>
      <c r="L11" s="2">
        <f>+90224760</f>
        <v>90224760</v>
      </c>
      <c r="M11" s="2">
        <f t="shared" si="7"/>
        <v>90.22476</v>
      </c>
      <c r="N11" s="2">
        <f>+0.02049126</f>
        <v>0.02049126</v>
      </c>
      <c r="O11" s="2">
        <f>+0.06082091</f>
        <v>0.06082091</v>
      </c>
      <c r="P11" s="2">
        <f>+85054380</f>
        <v>85054380</v>
      </c>
      <c r="Q11" s="2">
        <f t="shared" si="8"/>
        <v>85.05438</v>
      </c>
      <c r="R11" s="2">
        <f>+0.02043975</f>
        <v>0.02043975</v>
      </c>
      <c r="S11" s="2">
        <f>+0.06376645</f>
        <v>0.06376645</v>
      </c>
      <c r="T11" s="3">
        <f t="shared" si="1"/>
        <v>52.86320532</v>
      </c>
      <c r="U11" s="3">
        <f t="shared" si="2"/>
        <v>13.6152138</v>
      </c>
      <c r="V11" s="3">
        <f t="shared" si="3"/>
        <v>79.69252997</v>
      </c>
      <c r="W11" s="3">
        <f t="shared" si="4"/>
        <v>62.01528201</v>
      </c>
      <c r="X11" s="3">
        <f t="shared" si="5"/>
        <v>58.60878994</v>
      </c>
      <c r="Y11" s="3"/>
    </row>
    <row r="12">
      <c r="A12" s="1">
        <v>1000.0</v>
      </c>
      <c r="B12" s="2">
        <f>+152.7122</f>
        <v>152.7122</v>
      </c>
      <c r="C12" s="2">
        <f>+0.007962627</f>
        <v>0.007962627</v>
      </c>
      <c r="D12" s="2">
        <f>+0.03193208</f>
        <v>0.03193208</v>
      </c>
      <c r="E12" s="2">
        <f>+142.0905</f>
        <v>142.0905</v>
      </c>
      <c r="F12" s="2">
        <f>+0.02905058</f>
        <v>0.02905058</v>
      </c>
      <c r="G12" s="2">
        <f>+0.08217363</f>
        <v>0.08217363</v>
      </c>
      <c r="H12" s="2">
        <f>+251315400</f>
        <v>251315400</v>
      </c>
      <c r="I12" s="2">
        <f t="shared" si="6"/>
        <v>251.3154</v>
      </c>
      <c r="J12" s="2">
        <f>+0.01114937</f>
        <v>0.01114937</v>
      </c>
      <c r="K12" s="2">
        <f>+0.03332482</f>
        <v>0.03332482</v>
      </c>
      <c r="L12" s="2">
        <f>+142876800</f>
        <v>142876800</v>
      </c>
      <c r="M12" s="2">
        <f t="shared" si="7"/>
        <v>142.8768</v>
      </c>
      <c r="N12" s="2">
        <f>+0.009129802</f>
        <v>0.009129802</v>
      </c>
      <c r="O12" s="2">
        <f>+0.04011691</f>
        <v>0.04011691</v>
      </c>
      <c r="P12" s="2">
        <f>+138257500</f>
        <v>138257500</v>
      </c>
      <c r="Q12" s="2">
        <f t="shared" si="8"/>
        <v>138.2575</v>
      </c>
      <c r="R12" s="2">
        <f>+0.008725822</f>
        <v>0.008725822</v>
      </c>
      <c r="S12" s="2">
        <f>+0.03808684</f>
        <v>0.03808684</v>
      </c>
      <c r="T12" s="3">
        <f t="shared" si="1"/>
        <v>135.0607065</v>
      </c>
      <c r="U12" s="3">
        <f t="shared" si="2"/>
        <v>34.44465907</v>
      </c>
      <c r="V12" s="3">
        <f t="shared" si="3"/>
        <v>158.7378265</v>
      </c>
      <c r="W12" s="3">
        <f t="shared" si="4"/>
        <v>110.2077184</v>
      </c>
      <c r="X12" s="3">
        <f t="shared" si="5"/>
        <v>111.5819651</v>
      </c>
      <c r="Y12" s="3"/>
    </row>
    <row r="13">
      <c r="T13" s="1"/>
    </row>
    <row r="16">
      <c r="C16" s="2"/>
      <c r="D16" s="2"/>
      <c r="E16" s="2"/>
    </row>
    <row r="17">
      <c r="C17" s="2"/>
      <c r="D17" s="2"/>
      <c r="E17" s="2"/>
    </row>
    <row r="18">
      <c r="C18" s="2"/>
      <c r="D18" s="2"/>
      <c r="E18" s="2"/>
    </row>
    <row r="19">
      <c r="C19" s="2"/>
      <c r="D19" s="2"/>
      <c r="E19" s="2"/>
    </row>
    <row r="20">
      <c r="C20" s="2"/>
      <c r="D20" s="2"/>
      <c r="E20" s="2"/>
    </row>
    <row r="21">
      <c r="C21" s="2"/>
      <c r="D21" s="2"/>
      <c r="E21" s="2"/>
    </row>
    <row r="22">
      <c r="C22" s="2"/>
      <c r="D22" s="2"/>
      <c r="E22" s="2"/>
    </row>
    <row r="23">
      <c r="C23" s="2"/>
      <c r="D23" s="2"/>
      <c r="E23" s="2"/>
    </row>
    <row r="24">
      <c r="C24" s="2"/>
      <c r="D24" s="2"/>
      <c r="E24" s="2"/>
    </row>
    <row r="25">
      <c r="C25" s="2"/>
      <c r="D25" s="2"/>
      <c r="E25" s="2"/>
    </row>
    <row r="26">
      <c r="C26" s="2"/>
      <c r="D26" s="2"/>
      <c r="E26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