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7March2022 Phi Only/"/>
    </mc:Choice>
  </mc:AlternateContent>
  <xr:revisionPtr revIDLastSave="0" documentId="13_ncr:1_{B1AF73A2-53A2-0441-838C-A140E4855DA1}" xr6:coauthVersionLast="47" xr6:coauthVersionMax="47" xr10:uidLastSave="{00000000-0000-0000-0000-000000000000}"/>
  <bookViews>
    <workbookView xWindow="0" yWindow="500" windowWidth="28800" windowHeight="15800" xr2:uid="{914117F9-A907-6F4A-B779-E620D87C7EBF}"/>
  </bookViews>
  <sheets>
    <sheet name="PFU" sheetId="2" r:id="rId1"/>
    <sheet name="CF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" i="2" l="1"/>
  <c r="G58" i="2"/>
  <c r="G55" i="2"/>
  <c r="G52" i="2"/>
  <c r="G49" i="2"/>
  <c r="G44" i="2"/>
  <c r="G41" i="2"/>
  <c r="G38" i="2"/>
  <c r="G35" i="2"/>
  <c r="G16" i="2"/>
  <c r="G13" i="2"/>
  <c r="G10" i="2"/>
  <c r="G7" i="2"/>
  <c r="C52" i="2"/>
  <c r="Y2" i="2" a="1"/>
  <c r="Y2" i="2" s="1"/>
  <c r="K54" i="1"/>
  <c r="K55" i="1"/>
  <c r="L55" i="1"/>
  <c r="L54" i="1"/>
  <c r="H60" i="1"/>
  <c r="G63" i="1"/>
  <c r="K58" i="1"/>
  <c r="K57" i="1"/>
  <c r="K56" i="1"/>
  <c r="K53" i="1"/>
  <c r="H63" i="1"/>
  <c r="G60" i="1"/>
  <c r="G57" i="1"/>
  <c r="G54" i="1"/>
  <c r="F69" i="1"/>
  <c r="F68" i="1"/>
  <c r="F67" i="1"/>
  <c r="F65" i="1"/>
  <c r="F64" i="1"/>
  <c r="F63" i="1"/>
  <c r="F62" i="1"/>
  <c r="F61" i="1"/>
  <c r="F60" i="1"/>
  <c r="F59" i="1"/>
  <c r="F58" i="1"/>
  <c r="F57" i="1"/>
  <c r="E69" i="1"/>
  <c r="E68" i="1"/>
  <c r="E66" i="1"/>
  <c r="E65" i="1"/>
  <c r="E64" i="1"/>
  <c r="E63" i="1"/>
  <c r="E62" i="1"/>
  <c r="E61" i="1"/>
  <c r="E60" i="1"/>
  <c r="E56" i="1"/>
  <c r="E55" i="1"/>
  <c r="E54" i="1"/>
  <c r="U22" i="1"/>
  <c r="U21" i="1"/>
  <c r="U19" i="1"/>
  <c r="U20" i="1"/>
  <c r="B12" i="2"/>
  <c r="B45" i="2"/>
  <c r="C46" i="2"/>
  <c r="C45" i="2"/>
  <c r="C44" i="2"/>
  <c r="C43" i="2"/>
  <c r="C42" i="2"/>
  <c r="C41" i="2"/>
  <c r="C40" i="2"/>
  <c r="C39" i="2"/>
  <c r="C38" i="2"/>
  <c r="C37" i="2"/>
  <c r="C36" i="2"/>
  <c r="C35" i="2"/>
  <c r="B43" i="2"/>
  <c r="B42" i="2"/>
  <c r="C57" i="2"/>
  <c r="C56" i="2"/>
  <c r="C54" i="2"/>
  <c r="C53" i="2"/>
  <c r="C51" i="2"/>
  <c r="C50" i="2"/>
  <c r="C49" i="2"/>
  <c r="C55" i="2"/>
  <c r="C58" i="2"/>
  <c r="C59" i="2"/>
  <c r="C60" i="2"/>
  <c r="B60" i="2"/>
  <c r="B59" i="2"/>
  <c r="B58" i="2"/>
  <c r="B57" i="2"/>
  <c r="B56" i="2"/>
  <c r="B55" i="2"/>
  <c r="B54" i="2"/>
  <c r="B53" i="2"/>
  <c r="B52" i="2"/>
  <c r="D52" i="2" s="1"/>
  <c r="AB6" i="2" s="1"/>
  <c r="B51" i="2"/>
  <c r="B50" i="2"/>
  <c r="B49" i="2"/>
  <c r="C28" i="2"/>
  <c r="C30" i="2"/>
  <c r="C31" i="2"/>
  <c r="C32" i="2"/>
  <c r="C27" i="2"/>
  <c r="C29" i="2"/>
  <c r="C26" i="2"/>
  <c r="C25" i="2"/>
  <c r="C24" i="2"/>
  <c r="C23" i="2"/>
  <c r="C22" i="2"/>
  <c r="C21" i="2"/>
  <c r="M49" i="1"/>
  <c r="N49" i="1" s="1"/>
  <c r="L49" i="1"/>
  <c r="M48" i="1"/>
  <c r="N48" i="1"/>
  <c r="V15" i="1" s="1"/>
  <c r="L48" i="1"/>
  <c r="M47" i="1"/>
  <c r="N47" i="1" s="1"/>
  <c r="L46" i="1"/>
  <c r="M45" i="1"/>
  <c r="L45" i="1"/>
  <c r="M44" i="1"/>
  <c r="N44" i="1" s="1"/>
  <c r="L44" i="1"/>
  <c r="M43" i="1"/>
  <c r="L43" i="1"/>
  <c r="M42" i="1"/>
  <c r="L42" i="1"/>
  <c r="M41" i="1"/>
  <c r="L41" i="1"/>
  <c r="M40" i="1"/>
  <c r="N40" i="1"/>
  <c r="L40" i="1"/>
  <c r="M39" i="1"/>
  <c r="M38" i="1"/>
  <c r="M37" i="1"/>
  <c r="N37" i="1" s="1"/>
  <c r="L36" i="1"/>
  <c r="L35" i="1"/>
  <c r="L34" i="1"/>
  <c r="N34" i="1" s="1"/>
  <c r="B2" i="2"/>
  <c r="B46" i="2"/>
  <c r="B44" i="2"/>
  <c r="B41" i="2"/>
  <c r="D41" i="2" s="1"/>
  <c r="AE5" i="2" s="1"/>
  <c r="B40" i="2"/>
  <c r="B39" i="2"/>
  <c r="B38" i="2"/>
  <c r="B37" i="2"/>
  <c r="B36" i="2"/>
  <c r="B35" i="2"/>
  <c r="M31" i="1"/>
  <c r="L30" i="1"/>
  <c r="L29" i="1"/>
  <c r="P29" i="1" s="1"/>
  <c r="V4" i="1" s="1"/>
  <c r="M29" i="1"/>
  <c r="M28" i="1"/>
  <c r="P28" i="1" s="1"/>
  <c r="L27" i="1"/>
  <c r="C49" i="1"/>
  <c r="B49" i="1"/>
  <c r="C48" i="1"/>
  <c r="B48" i="1"/>
  <c r="C47" i="1"/>
  <c r="D47" i="1" s="1"/>
  <c r="C45" i="1"/>
  <c r="C44" i="1"/>
  <c r="C43" i="1"/>
  <c r="B45" i="1"/>
  <c r="B44" i="1"/>
  <c r="D44" i="1" s="1"/>
  <c r="B43" i="1"/>
  <c r="C42" i="1"/>
  <c r="C41" i="1"/>
  <c r="C40" i="1"/>
  <c r="B42" i="1"/>
  <c r="B41" i="1"/>
  <c r="B40" i="1"/>
  <c r="D40" i="1"/>
  <c r="C39" i="1"/>
  <c r="C38" i="1"/>
  <c r="D38" i="1" s="1"/>
  <c r="C37" i="1"/>
  <c r="B46" i="1"/>
  <c r="D46" i="1" s="1"/>
  <c r="U13" i="1" s="1"/>
  <c r="B36" i="1"/>
  <c r="B35" i="1"/>
  <c r="B34" i="1"/>
  <c r="D34" i="1" s="1"/>
  <c r="B4" i="2"/>
  <c r="B3" i="2"/>
  <c r="C4" i="2"/>
  <c r="C3" i="2"/>
  <c r="C2" i="2"/>
  <c r="B32" i="2"/>
  <c r="B31" i="2"/>
  <c r="B30" i="2"/>
  <c r="B29" i="2"/>
  <c r="B28" i="2"/>
  <c r="B27" i="2"/>
  <c r="B26" i="2"/>
  <c r="B25" i="2"/>
  <c r="B24" i="2"/>
  <c r="B22" i="2"/>
  <c r="B23" i="2"/>
  <c r="B21" i="2"/>
  <c r="V13" i="1"/>
  <c r="U2" i="1"/>
  <c r="C31" i="1"/>
  <c r="B30" i="1"/>
  <c r="C29" i="1"/>
  <c r="B29" i="1"/>
  <c r="C28" i="1"/>
  <c r="F28" i="1" s="1"/>
  <c r="B27" i="1"/>
  <c r="N46" i="1"/>
  <c r="N45" i="1"/>
  <c r="S43" i="1"/>
  <c r="R43" i="1"/>
  <c r="N42" i="1"/>
  <c r="N41" i="1"/>
  <c r="S40" i="1"/>
  <c r="R40" i="1"/>
  <c r="N39" i="1"/>
  <c r="N38" i="1"/>
  <c r="S37" i="1"/>
  <c r="R37" i="1"/>
  <c r="N36" i="1"/>
  <c r="N35" i="1"/>
  <c r="S34" i="1"/>
  <c r="R34" i="1"/>
  <c r="P30" i="1"/>
  <c r="U5" i="1" s="1"/>
  <c r="P27" i="1"/>
  <c r="V2" i="1" s="1"/>
  <c r="L2" i="1"/>
  <c r="M24" i="1"/>
  <c r="L24" i="1"/>
  <c r="M23" i="1"/>
  <c r="L23" i="1"/>
  <c r="M20" i="1"/>
  <c r="N20" i="1" s="1"/>
  <c r="M19" i="1"/>
  <c r="N19" i="1" s="1"/>
  <c r="M18" i="1"/>
  <c r="L18" i="1"/>
  <c r="L20" i="1"/>
  <c r="L19" i="1"/>
  <c r="M17" i="1"/>
  <c r="M16" i="1"/>
  <c r="M15" i="1"/>
  <c r="L17" i="1"/>
  <c r="L16" i="1"/>
  <c r="N16" i="1" s="1"/>
  <c r="L15" i="1"/>
  <c r="M22" i="1"/>
  <c r="N22" i="1" s="1"/>
  <c r="M14" i="1"/>
  <c r="M13" i="1"/>
  <c r="N13" i="1" s="1"/>
  <c r="M12" i="1"/>
  <c r="N12" i="1" s="1"/>
  <c r="L21" i="1"/>
  <c r="L11" i="1"/>
  <c r="L10" i="1"/>
  <c r="N10" i="1" s="1"/>
  <c r="L9" i="1"/>
  <c r="N9" i="1" s="1"/>
  <c r="D49" i="1"/>
  <c r="D45" i="1"/>
  <c r="I43" i="1"/>
  <c r="H43" i="1"/>
  <c r="I40" i="1"/>
  <c r="H40" i="1"/>
  <c r="D39" i="1"/>
  <c r="I37" i="1"/>
  <c r="H37" i="1"/>
  <c r="D37" i="1"/>
  <c r="D36" i="1"/>
  <c r="D35" i="1"/>
  <c r="I34" i="1"/>
  <c r="H34" i="1"/>
  <c r="F30" i="1"/>
  <c r="F27" i="1"/>
  <c r="N21" i="1"/>
  <c r="S18" i="1"/>
  <c r="R18" i="1"/>
  <c r="N17" i="1"/>
  <c r="S15" i="1"/>
  <c r="R15" i="1"/>
  <c r="N14" i="1"/>
  <c r="S12" i="1"/>
  <c r="R12" i="1"/>
  <c r="N11" i="1"/>
  <c r="S9" i="1"/>
  <c r="R9" i="1"/>
  <c r="I18" i="1"/>
  <c r="I15" i="1"/>
  <c r="I12" i="1"/>
  <c r="I9" i="1"/>
  <c r="H18" i="1"/>
  <c r="H12" i="1"/>
  <c r="H15" i="1"/>
  <c r="G12" i="1"/>
  <c r="H9" i="1"/>
  <c r="M6" i="1"/>
  <c r="L5" i="1"/>
  <c r="M3" i="1"/>
  <c r="P3" i="1" s="1"/>
  <c r="M4" i="1"/>
  <c r="L4" i="1"/>
  <c r="P2" i="1"/>
  <c r="C24" i="1"/>
  <c r="C20" i="1"/>
  <c r="C19" i="1"/>
  <c r="C18" i="1"/>
  <c r="B20" i="1"/>
  <c r="B24" i="1"/>
  <c r="B19" i="1"/>
  <c r="B18" i="1"/>
  <c r="C17" i="1"/>
  <c r="C16" i="1"/>
  <c r="C15" i="1"/>
  <c r="C23" i="1"/>
  <c r="B23" i="1"/>
  <c r="B17" i="1"/>
  <c r="B16" i="1"/>
  <c r="B15" i="1"/>
  <c r="C22" i="1"/>
  <c r="D22" i="1" s="1"/>
  <c r="C14" i="1"/>
  <c r="D14" i="1" s="1"/>
  <c r="C13" i="1"/>
  <c r="D13" i="1" s="1"/>
  <c r="C12" i="1"/>
  <c r="D12" i="1" s="1"/>
  <c r="F12" i="1" s="1"/>
  <c r="B11" i="1"/>
  <c r="D11" i="1" s="1"/>
  <c r="B10" i="1"/>
  <c r="D10" i="1" s="1"/>
  <c r="B9" i="1"/>
  <c r="D9" i="1" s="1"/>
  <c r="B21" i="1"/>
  <c r="D21" i="1" s="1"/>
  <c r="C6" i="1"/>
  <c r="B5" i="1"/>
  <c r="F5" i="1" s="1"/>
  <c r="C4" i="1"/>
  <c r="B4" i="1"/>
  <c r="C3" i="1"/>
  <c r="F3" i="1" s="1"/>
  <c r="B2" i="1"/>
  <c r="F2" i="1" s="1"/>
  <c r="C18" i="2"/>
  <c r="C17" i="2"/>
  <c r="C16" i="2"/>
  <c r="B18" i="2"/>
  <c r="B17" i="2"/>
  <c r="B16" i="2"/>
  <c r="C15" i="2"/>
  <c r="C14" i="2"/>
  <c r="C13" i="2"/>
  <c r="B15" i="2"/>
  <c r="B14" i="2"/>
  <c r="B13" i="2"/>
  <c r="C12" i="2"/>
  <c r="C11" i="2"/>
  <c r="C10" i="2"/>
  <c r="B11" i="2"/>
  <c r="B10" i="2"/>
  <c r="C9" i="2"/>
  <c r="C8" i="2"/>
  <c r="C7" i="2"/>
  <c r="B8" i="2"/>
  <c r="B9" i="2"/>
  <c r="B7" i="2"/>
  <c r="D45" i="2" l="1"/>
  <c r="AI5" i="2" s="1"/>
  <c r="D40" i="2"/>
  <c r="AD5" i="2" s="1"/>
  <c r="D8" i="2"/>
  <c r="Z4" i="2" s="1"/>
  <c r="D58" i="2"/>
  <c r="AH6" i="2" s="1"/>
  <c r="D30" i="2"/>
  <c r="D24" i="2"/>
  <c r="D44" i="2"/>
  <c r="AH5" i="2" s="1"/>
  <c r="D26" i="2"/>
  <c r="F24" i="2" s="1"/>
  <c r="T4" i="2" s="1"/>
  <c r="D7" i="2"/>
  <c r="Y4" i="2" s="1"/>
  <c r="D27" i="2"/>
  <c r="D36" i="2"/>
  <c r="Z5" i="2" s="1"/>
  <c r="D60" i="2"/>
  <c r="AJ6" i="2" s="1"/>
  <c r="D9" i="2"/>
  <c r="AA4" i="2" s="1"/>
  <c r="D3" i="2"/>
  <c r="D43" i="2"/>
  <c r="AG5" i="2" s="1"/>
  <c r="D29" i="2"/>
  <c r="E27" i="2" s="1"/>
  <c r="O5" i="2" s="1"/>
  <c r="D4" i="2"/>
  <c r="D56" i="2"/>
  <c r="AF6" i="2" s="1"/>
  <c r="D55" i="2"/>
  <c r="AE6" i="2" s="1"/>
  <c r="D50" i="2"/>
  <c r="Z6" i="2" s="1"/>
  <c r="D31" i="2"/>
  <c r="D53" i="2"/>
  <c r="AC6" i="2" s="1"/>
  <c r="D54" i="2"/>
  <c r="AD6" i="2" s="1"/>
  <c r="D37" i="2"/>
  <c r="D57" i="2"/>
  <c r="D25" i="2"/>
  <c r="D2" i="2"/>
  <c r="D46" i="2"/>
  <c r="AJ5" i="2" s="1"/>
  <c r="D42" i="2"/>
  <c r="D35" i="2"/>
  <c r="Y5" i="2" s="1"/>
  <c r="D51" i="2"/>
  <c r="D59" i="2"/>
  <c r="D28" i="2"/>
  <c r="D32" i="2"/>
  <c r="D23" i="2"/>
  <c r="D22" i="2"/>
  <c r="D21" i="2"/>
  <c r="D39" i="2"/>
  <c r="AC5" i="2" s="1"/>
  <c r="D38" i="2"/>
  <c r="V16" i="1"/>
  <c r="U14" i="1"/>
  <c r="V14" i="1"/>
  <c r="N43" i="1"/>
  <c r="Q43" i="1" s="1"/>
  <c r="P40" i="1"/>
  <c r="Q40" i="1"/>
  <c r="Q37" i="1"/>
  <c r="P37" i="1"/>
  <c r="Q34" i="1"/>
  <c r="V5" i="1"/>
  <c r="U4" i="1"/>
  <c r="U3" i="1"/>
  <c r="V3" i="1"/>
  <c r="U16" i="1"/>
  <c r="D48" i="1"/>
  <c r="U15" i="1" s="1"/>
  <c r="D43" i="1"/>
  <c r="G43" i="1"/>
  <c r="F43" i="1"/>
  <c r="D42" i="1"/>
  <c r="D41" i="1"/>
  <c r="G40" i="1"/>
  <c r="F40" i="1"/>
  <c r="G37" i="1"/>
  <c r="F37" i="1"/>
  <c r="U10" i="1" s="1"/>
  <c r="V10" i="1"/>
  <c r="F34" i="1"/>
  <c r="F29" i="1"/>
  <c r="P34" i="1"/>
  <c r="V9" i="1" s="1"/>
  <c r="P43" i="1"/>
  <c r="N24" i="1"/>
  <c r="N23" i="1"/>
  <c r="N18" i="1"/>
  <c r="Q18" i="1" s="1"/>
  <c r="N15" i="1"/>
  <c r="Q15" i="1" s="1"/>
  <c r="G34" i="1"/>
  <c r="Q9" i="1"/>
  <c r="P9" i="1"/>
  <c r="Q12" i="1"/>
  <c r="P12" i="1"/>
  <c r="P15" i="1"/>
  <c r="G9" i="1"/>
  <c r="P4" i="1"/>
  <c r="F9" i="1"/>
  <c r="F4" i="1"/>
  <c r="D11" i="2"/>
  <c r="AC4" i="2" s="1"/>
  <c r="D15" i="2"/>
  <c r="AG4" i="2" s="1"/>
  <c r="D19" i="1"/>
  <c r="D18" i="1"/>
  <c r="D24" i="1"/>
  <c r="P5" i="1"/>
  <c r="D20" i="1"/>
  <c r="D17" i="1"/>
  <c r="D16" i="1"/>
  <c r="D15" i="1"/>
  <c r="D23" i="1"/>
  <c r="D18" i="2"/>
  <c r="AJ4" i="2" s="1"/>
  <c r="D17" i="2"/>
  <c r="AI4" i="2" s="1"/>
  <c r="D16" i="2"/>
  <c r="AH4" i="2" s="1"/>
  <c r="D14" i="2"/>
  <c r="AF4" i="2" s="1"/>
  <c r="D13" i="2"/>
  <c r="AE4" i="2" s="1"/>
  <c r="D12" i="2"/>
  <c r="AD4" i="2" s="1"/>
  <c r="D10" i="2"/>
  <c r="AB4" i="2" s="1"/>
  <c r="F27" i="2" l="1"/>
  <c r="T5" i="2" s="1"/>
  <c r="F44" i="2"/>
  <c r="U6" i="2" s="1"/>
  <c r="E24" i="2"/>
  <c r="O4" i="2" s="1"/>
  <c r="F7" i="2"/>
  <c r="S3" i="2" s="1"/>
  <c r="E7" i="2"/>
  <c r="N3" i="2" s="1"/>
  <c r="F30" i="2"/>
  <c r="T6" i="2" s="1"/>
  <c r="E21" i="2"/>
  <c r="O3" i="2" s="1"/>
  <c r="F58" i="2"/>
  <c r="V6" i="2" s="1"/>
  <c r="AI6" i="2"/>
  <c r="E49" i="2"/>
  <c r="Q3" i="2" s="1"/>
  <c r="AA6" i="2"/>
  <c r="F35" i="2"/>
  <c r="U3" i="2" s="1"/>
  <c r="AA5" i="2"/>
  <c r="E52" i="2"/>
  <c r="Q4" i="2" s="1"/>
  <c r="E55" i="2"/>
  <c r="Q5" i="2" s="1"/>
  <c r="AG6" i="2"/>
  <c r="E41" i="2"/>
  <c r="P5" i="2" s="1"/>
  <c r="AF5" i="2"/>
  <c r="F41" i="2"/>
  <c r="U5" i="2" s="1"/>
  <c r="F52" i="2"/>
  <c r="V4" i="2" s="1"/>
  <c r="F49" i="2"/>
  <c r="V3" i="2" s="1"/>
  <c r="Y6" i="2"/>
  <c r="E38" i="2"/>
  <c r="P4" i="2" s="1"/>
  <c r="AB5" i="2"/>
  <c r="E44" i="2"/>
  <c r="P6" i="2" s="1"/>
  <c r="E58" i="2"/>
  <c r="Q6" i="2" s="1"/>
  <c r="F55" i="2"/>
  <c r="V5" i="2" s="1"/>
  <c r="E35" i="2"/>
  <c r="P3" i="2" s="1"/>
  <c r="E30" i="2"/>
  <c r="O6" i="2" s="1"/>
  <c r="F21" i="2"/>
  <c r="T3" i="2" s="1"/>
  <c r="F38" i="2"/>
  <c r="U4" i="2" s="1"/>
  <c r="U9" i="1"/>
  <c r="U12" i="1"/>
  <c r="V12" i="1"/>
  <c r="V11" i="1"/>
  <c r="U11" i="1"/>
  <c r="F2" i="2"/>
  <c r="E2" i="2"/>
  <c r="P18" i="1"/>
  <c r="G15" i="1"/>
  <c r="F15" i="1"/>
  <c r="G18" i="1"/>
  <c r="F18" i="1"/>
  <c r="E16" i="2"/>
  <c r="N6" i="2" s="1"/>
  <c r="F16" i="2"/>
  <c r="S6" i="2" s="1"/>
  <c r="E10" i="2"/>
  <c r="N4" i="2" s="1"/>
  <c r="F10" i="2"/>
  <c r="S4" i="2" s="1"/>
  <c r="E13" i="2"/>
  <c r="N5" i="2" s="1"/>
  <c r="F13" i="2"/>
  <c r="S5" i="2" s="1"/>
  <c r="M4" i="2" l="1"/>
  <c r="AJ3" i="2"/>
  <c r="AB3" i="2"/>
  <c r="AI3" i="2"/>
  <c r="AA3" i="2"/>
  <c r="Y3" i="2"/>
  <c r="AC3" i="2"/>
  <c r="AH3" i="2"/>
  <c r="Z3" i="2"/>
  <c r="AG3" i="2"/>
  <c r="AF3" i="2"/>
  <c r="AE3" i="2"/>
  <c r="AD3" i="2"/>
  <c r="N11" i="2" a="1"/>
  <c r="N11" i="2" s="1"/>
  <c r="R6" i="2"/>
  <c r="T11" i="2" s="1" a="1"/>
  <c r="T11" i="2" s="1"/>
  <c r="R5" i="2"/>
  <c r="S11" i="2" s="1" a="1"/>
  <c r="S11" i="2" s="1"/>
  <c r="R3" i="2"/>
  <c r="Q11" i="2" s="1" a="1"/>
  <c r="Q11" i="2" s="1"/>
  <c r="R4" i="2"/>
  <c r="R11" i="2" s="1" a="1"/>
  <c r="R11" i="2" s="1"/>
  <c r="M3" i="2"/>
  <c r="M11" i="2" s="1" a="1"/>
  <c r="M11" i="2" s="1"/>
  <c r="M6" i="2"/>
  <c r="P11" i="2" s="1" a="1"/>
  <c r="P11" i="2" s="1"/>
  <c r="M5" i="2"/>
  <c r="O11" i="2" s="1" a="1"/>
  <c r="O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<sst xmlns="http://schemas.openxmlformats.org/spreadsheetml/2006/main" count="325" uniqueCount="51">
  <si>
    <t>E</t>
  </si>
  <si>
    <t>S</t>
  </si>
  <si>
    <t>Start</t>
  </si>
  <si>
    <t>E1</t>
  </si>
  <si>
    <t>E2</t>
  </si>
  <si>
    <t>E3</t>
  </si>
  <si>
    <t>S1</t>
  </si>
  <si>
    <t>S2</t>
  </si>
  <si>
    <t>S3</t>
  </si>
  <si>
    <t>Coop1</t>
  </si>
  <si>
    <t>Coop2</t>
  </si>
  <si>
    <t>Coop3</t>
  </si>
  <si>
    <t>Comp1</t>
  </si>
  <si>
    <t>Comp2</t>
  </si>
  <si>
    <t>Comp3</t>
  </si>
  <si>
    <t>First 24</t>
  </si>
  <si>
    <t>Second 24</t>
  </si>
  <si>
    <t>Third 24</t>
  </si>
  <si>
    <t>EOP (E/S)</t>
  </si>
  <si>
    <t>Average</t>
  </si>
  <si>
    <t>STDEV</t>
  </si>
  <si>
    <t>Coop</t>
  </si>
  <si>
    <t>E Comp</t>
  </si>
  <si>
    <t>S Comp</t>
  </si>
  <si>
    <t>% E of community</t>
  </si>
  <si>
    <t>E control</t>
  </si>
  <si>
    <t>S control</t>
  </si>
  <si>
    <t>Coop Control</t>
  </si>
  <si>
    <t>Comp Control</t>
  </si>
  <si>
    <t>Condition</t>
  </si>
  <si>
    <t>Comp</t>
  </si>
  <si>
    <t>Average EOP</t>
  </si>
  <si>
    <t>STDEV EOP</t>
  </si>
  <si>
    <t>OD600</t>
  </si>
  <si>
    <t>Average %</t>
  </si>
  <si>
    <t>STDEV %</t>
  </si>
  <si>
    <t>Average OD600</t>
  </si>
  <si>
    <t>STDEV OD600</t>
  </si>
  <si>
    <t>Fourth 24</t>
  </si>
  <si>
    <t xml:space="preserve">Start </t>
  </si>
  <si>
    <t>End</t>
  </si>
  <si>
    <t xml:space="preserve">S </t>
  </si>
  <si>
    <t>Coop control</t>
  </si>
  <si>
    <t>Comp control</t>
  </si>
  <si>
    <t>Time</t>
  </si>
  <si>
    <t>Unreliable</t>
  </si>
  <si>
    <t>Netchange</t>
  </si>
  <si>
    <t>Raw CFUs</t>
  </si>
  <si>
    <t>Monoculture</t>
  </si>
  <si>
    <t>Monoculture Control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</si>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</sst>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PFU!$M$17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PFU!$M$18:$M$21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215714.28571428577</c:v>
                </c:pt>
                <c:pt idx="2">
                  <c:v>177027.77777777778</c:v>
                </c:pt>
                <c:pt idx="3">
                  <c:v>803541.66666666663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D-714C-9B40-592223CAD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6800"/>
        <c:axId val="1479306464"/>
      </c:scatterChart>
      <c:valAx>
        <c:axId val="14845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06464"/>
        <c:crosses val="autoZero"/>
        <c:crossBetween val="midCat"/>
      </c:valAx>
      <c:valAx>
        <c:axId val="14793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PFU!$N$17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PFU!$N$18:$N$21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0.75638087153367284</c:v>
                </c:pt>
                <c:pt idx="2">
                  <c:v>0.47823261858349575</c:v>
                </c:pt>
                <c:pt idx="3">
                  <c:v>0.45671296296296299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C6-564E-9C02-DF7FEC86C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409632"/>
        <c:axId val="1497873728"/>
      </c:scatterChart>
      <c:valAx>
        <c:axId val="14804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873728"/>
        <c:crosses val="autoZero"/>
        <c:crossBetween val="midCat"/>
      </c:valAx>
      <c:valAx>
        <c:axId val="14978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PFU!$O$17</c:f>
              <c:strCache>
                <c:ptCount val="1"/>
                <c:pt idx="0">
                  <c:v>Coop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PFU!$O$18:$O$21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1.7207357859531776</c:v>
                </c:pt>
                <c:pt idx="2">
                  <c:v>1.3550724637681162</c:v>
                </c:pt>
                <c:pt idx="3">
                  <c:v>3.2222222222222228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4-0748-B3CF-D6C48B7C5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295136"/>
        <c:axId val="1483877536"/>
      </c:scatterChart>
      <c:valAx>
        <c:axId val="14222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77536"/>
        <c:crosses val="autoZero"/>
        <c:crossBetween val="midCat"/>
      </c:valAx>
      <c:valAx>
        <c:axId val="14838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PFU!$P$17</c:f>
              <c:strCache>
                <c:ptCount val="1"/>
                <c:pt idx="0">
                  <c:v>Comp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PFU!$P$18:$P$21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4.1074074074074076</c:v>
                </c:pt>
                <c:pt idx="2">
                  <c:v>4.4648148148148143</c:v>
                </c:pt>
                <c:pt idx="3">
                  <c:v>4.2048611111111116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09-F140-9F6A-84427D8B1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158000"/>
        <c:axId val="1499008912"/>
      </c:scatterChart>
      <c:valAx>
        <c:axId val="149415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08912"/>
        <c:crosses val="autoZero"/>
        <c:crossBetween val="midCat"/>
      </c:valAx>
      <c:valAx>
        <c:axId val="14990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5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 monoculture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PFU!$Y$2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PFU!$X$3:$X$6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PFU!$Y$3:$Y$6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405000.00000000006</c:v>
                </c:pt>
                <c:pt idx="2">
                  <c:v>233333.33333333334</c:v>
                </c:pt>
                <c:pt idx="3">
                  <c:v>50625.000000000007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D-F541-94EE-40C527CD5E83}"/>
            </c:ext>
          </c:extLst>
        </c:ser>
        <c:ser>
          <c:idx val="1"/>
          <c:order val="1"/>
          <c:tx>
            <c:strRef>
              <c:f>PFU!$Z$2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PFU!$X$3:$X$6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PFU!$Z$3:$Z$6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17142.857142857141</c:v>
                </c:pt>
                <c:pt idx="2">
                  <c:v>108750.00000000001</c:v>
                </c:pt>
                <c:pt idx="3">
                  <c:v>759999.99999999988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ED-F541-94EE-40C527CD5E83}"/>
            </c:ext>
          </c:extLst>
        </c:ser>
        <c:ser>
          <c:idx val="2"/>
          <c:order val="2"/>
          <c:tx>
            <c:strRef>
              <c:f>PFU!$AA$2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PFU!$X$3:$X$6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PFU!$AA$3:$AA$6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225000.00000000003</c:v>
                </c:pt>
                <c:pt idx="2">
                  <c:v>189000</c:v>
                </c:pt>
                <c:pt idx="3">
                  <c:v>1600000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ED-F541-94EE-40C527CD5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252944"/>
        <c:axId val="1478447248"/>
      </c:scatterChart>
      <c:valAx>
        <c:axId val="149725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447248"/>
        <c:crosses val="autoZero"/>
        <c:crossBetween val="midCat"/>
      </c:valAx>
      <c:valAx>
        <c:axId val="14784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5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monoculture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PFU!$AG$8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PFU!$AF$9:$AF$12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PFU!$AG$9:$AG$12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0.94736842105263153</c:v>
                </c:pt>
                <c:pt idx="2">
                  <c:v>0.84210526315789469</c:v>
                </c:pt>
                <c:pt idx="3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67-FA4F-B494-E9067B090539}"/>
            </c:ext>
          </c:extLst>
        </c:ser>
        <c:ser>
          <c:idx val="1"/>
          <c:order val="1"/>
          <c:tx>
            <c:strRef>
              <c:f>PFU!$AH$8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PFU!$AF$9:$AF$12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PFU!$AH$9:$AH$12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0.22499999999999998</c:v>
                </c:pt>
                <c:pt idx="2">
                  <c:v>9.2592592592592601E-2</c:v>
                </c:pt>
                <c:pt idx="3">
                  <c:v>0.10625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67-FA4F-B494-E9067B090539}"/>
            </c:ext>
          </c:extLst>
        </c:ser>
        <c:ser>
          <c:idx val="2"/>
          <c:order val="2"/>
          <c:tx>
            <c:strRef>
              <c:f>PFU!$AI$8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PFU!$AF$9:$AF$12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PFU!$AI$9:$AI$12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1.096774193548387</c:v>
                </c:pt>
                <c:pt idx="2">
                  <c:v>0.5</c:v>
                </c:pt>
                <c:pt idx="3">
                  <c:v>0.16388888888888889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67-FA4F-B494-E9067B09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730864"/>
        <c:axId val="1533576128"/>
      </c:scatterChart>
      <c:valAx>
        <c:axId val="153373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576128"/>
        <c:crosses val="autoZero"/>
        <c:crossBetween val="midCat"/>
      </c:valAx>
      <c:valAx>
        <c:axId val="15335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3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Cooperative coculture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PFU!$AG$13</c:f>
              <c:strCache>
                <c:ptCount val="1"/>
                <c:pt idx="0">
                  <c:v>Coop1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PFU!$AF$14:$AF$17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PFU!$AG$14:$AG$17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2.9230769230769234</c:v>
                </c:pt>
                <c:pt idx="2">
                  <c:v>3.0000000000000004</c:v>
                </c:pt>
                <c:pt idx="3">
                  <c:v>7.3333333333333339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0C-BA49-A3F1-FFDEADF6B72E}"/>
            </c:ext>
          </c:extLst>
        </c:ser>
        <c:ser>
          <c:idx val="1"/>
          <c:order val="1"/>
          <c:tx>
            <c:strRef>
              <c:f>PFU!$AH$13</c:f>
              <c:strCache>
                <c:ptCount val="1"/>
                <c:pt idx="0">
                  <c:v>Coop2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PFU!$AF$14:$AF$17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PFU!$AH$14:$AH$17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1.2391304347826089</c:v>
                </c:pt>
                <c:pt idx="2">
                  <c:v>0.5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0C-BA49-A3F1-FFDEADF6B72E}"/>
            </c:ext>
          </c:extLst>
        </c:ser>
        <c:ser>
          <c:idx val="2"/>
          <c:order val="2"/>
          <c:tx>
            <c:strRef>
              <c:f>PFU!$AI$13</c:f>
              <c:strCache>
                <c:ptCount val="1"/>
                <c:pt idx="0">
                  <c:v>Coop3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PFU!$AF$14:$AF$17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PFU!$AI$14:$AI$17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1</c:v>
                </c:pt>
                <c:pt idx="2">
                  <c:v>0.56521739130434778</c:v>
                </c:pt>
                <c:pt idx="3">
                  <c:v>1.3333333333333335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0C-BA49-A3F1-FFDEADF6B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606848"/>
        <c:axId val="1526770480"/>
      </c:scatterChart>
      <c:valAx>
        <c:axId val="152760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70480"/>
        <c:crosses val="autoZero"/>
        <c:crossBetween val="midCat"/>
      </c:valAx>
      <c:valAx>
        <c:axId val="15267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0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</a:t>
            </a:r>
            <a:r>
              <a:rPr lang="en-US" baseline="0"/>
              <a:t> Coculture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PFU!$AG$18</c:f>
              <c:strCache>
                <c:ptCount val="1"/>
                <c:pt idx="0">
                  <c:v>Comp1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PFU!$AF$19:$AF$22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PFU!$AG$19:$AG$22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2.0555555555555558</c:v>
                </c:pt>
                <c:pt idx="2">
                  <c:v>2.6999999999999997</c:v>
                </c:pt>
                <c:pt idx="3">
                  <c:v>9.6666666666666679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E2-6A48-B007-C9728511C7CB}"/>
            </c:ext>
          </c:extLst>
        </c:ser>
        <c:ser>
          <c:idx val="1"/>
          <c:order val="1"/>
          <c:tx>
            <c:strRef>
              <c:f>PFU!$AH$18</c:f>
              <c:strCache>
                <c:ptCount val="1"/>
                <c:pt idx="0">
                  <c:v>Comp2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PFU!$AF$19:$AF$22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PFU!$AH$19:$AH$22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7.1</c:v>
                </c:pt>
                <c:pt idx="2">
                  <c:v>6.25</c:v>
                </c:pt>
                <c:pt idx="3">
                  <c:v>1.6666666666666667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E2-6A48-B007-C9728511C7CB}"/>
            </c:ext>
          </c:extLst>
        </c:ser>
        <c:ser>
          <c:idx val="2"/>
          <c:order val="2"/>
          <c:tx>
            <c:strRef>
              <c:f>PFU!$AI$18</c:f>
              <c:strCache>
                <c:ptCount val="1"/>
                <c:pt idx="0">
                  <c:v>Comp3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PFU!$AF$19:$AF$22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PFU!$AI$19:$AI$22</c:f>
              <c:numCache>
                <c:formatCode>General</c:formatCode>
                <c:ptCount val="4"/>
                <c:pt idx="0">
                  <c:v>0.30696661828737298</c:v>
                </c:pt>
                <c:pt idx="1">
                  <c:v>3.166666666666667</c:v>
                </c:pt>
                <c:pt idx="2">
                  <c:v>4.4444444444444446</c:v>
                </c:pt>
                <c:pt idx="3">
                  <c:v>1.28125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E2-6A48-B007-C9728511C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287008"/>
        <c:axId val="1497633872"/>
      </c:scatterChart>
      <c:valAx>
        <c:axId val="147828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33872"/>
        <c:crosses val="autoZero"/>
        <c:crossBetween val="midCat"/>
      </c:valAx>
      <c:valAx>
        <c:axId val="14976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28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Starting CFUs (3 transfers)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CFU!$U$1</c:f>
              <c:strCache>
                <c:ptCount val="1"/>
                <c:pt idx="0">
                  <c:v>Average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CFU!$T$2:$T$5</c:f>
              <c:strCache>
                <c:ptCount val="4"/>
                <c:pt idx="0">
                  <c:v>E</c:v>
                </c:pt>
                <c:pt idx="1">
                  <c:v>S</c:v>
                </c:pt>
                <c:pt idx="2">
                  <c:v>Coop</c:v>
                </c:pt>
                <c:pt idx="3">
                  <c:v>Comp</c:v>
                </c:pt>
              </c:strCache>
            </c:strRef>
          </c:cat>
          <c:val>
            <c:numRef>
              <c:f>CFU!$U$2:$U$5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0.61089743589743584</c:v>
                </c:pt>
                <c:pt idx="3">
                  <c:v>0.45555555555555555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C-2748-9BED-06AA2EEA0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614463"/>
        <c:axId val="307616959"/>
      </c:barChart>
      <c:catAx>
        <c:axId val="30761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16959"/>
        <c:crosses val="autoZero"/>
        <c:auto val="1"/>
        <c:lblAlgn val="ctr"/>
        <c:lblOffset val="100"/>
        <c:noMultiLvlLbl val="0"/>
      </c:catAx>
      <c:valAx>
        <c:axId val="3076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Perent E. coli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1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Final CFUs (3</a:t>
            </a:r>
            <a:r>
              <a:rPr lang="en-US" baseline="0"/>
              <a:t> transfers)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CFU!$U$8</c:f>
              <c:strCache>
                <c:ptCount val="1"/>
                <c:pt idx="0">
                  <c:v>Average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CFU!$T$9:$T$16</c:f>
              <c:strCache>
                <c:ptCount val="8"/>
                <c:pt idx="0">
                  <c:v>E</c:v>
                </c:pt>
                <c:pt idx="1">
                  <c:v>S </c:v>
                </c:pt>
                <c:pt idx="2">
                  <c:v>Coop</c:v>
                </c:pt>
                <c:pt idx="3">
                  <c:v>Comp</c:v>
                </c:pt>
                <c:pt idx="4">
                  <c:v>E control</c:v>
                </c:pt>
                <c:pt idx="5">
                  <c:v>S control</c:v>
                </c:pt>
                <c:pt idx="6">
                  <c:v>Coop control</c:v>
                </c:pt>
                <c:pt idx="7">
                  <c:v>Comp control</c:v>
                </c:pt>
              </c:strCache>
            </c:strRef>
          </c:cat>
          <c:val>
            <c:numRef>
              <c:f>CFU!$U$9:$U$16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0.54470623859235467</c:v>
                </c:pt>
                <c:pt idx="3">
                  <c:v>0.79695700254910773</c:v>
                </c:pt>
                <c:pt idx="4">
                  <c:v>1</c:v>
                </c:pt>
                <c:pt idx="5">
                  <c:v>0</c:v>
                </c:pt>
                <c:pt idx="6">
                  <c:v>0.66117216117216127</c:v>
                </c:pt>
                <c:pt idx="7">
                  <c:v>0.32434640522875818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6-CA4E-AFB6-BD65F8114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019679"/>
        <c:axId val="340068239"/>
      </c:barChart>
      <c:catAx>
        <c:axId val="30701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Condition (with or without phage)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8239"/>
        <c:crosses val="autoZero"/>
        <c:auto val="1"/>
        <c:lblAlgn val="ctr"/>
        <c:lblOffset val="100"/>
        <c:noMultiLvlLbl val="0"/>
      </c:catAx>
      <c:valAx>
        <c:axId val="340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E. coli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Change</a:t>
            </a:r>
            <a:r>
              <a:rPr lang="en-US" baseline="0"/>
              <a:t> in Percent 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CFU!$U$18</c:f>
              <c:strCache>
                <c:ptCount val="1"/>
                <c:pt idx="0">
                  <c:v>Average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CFU!$T$19:$T$22</c:f>
              <c:strCache>
                <c:ptCount val="4"/>
                <c:pt idx="0">
                  <c:v>Coop</c:v>
                </c:pt>
                <c:pt idx="1">
                  <c:v>Comp</c:v>
                </c:pt>
                <c:pt idx="2">
                  <c:v>Coop control</c:v>
                </c:pt>
                <c:pt idx="3">
                  <c:v>Comp control</c:v>
                </c:pt>
              </c:strCache>
            </c:strRef>
          </c:cat>
          <c:val>
            <c:numRef>
              <c:f>CFU!$U$19:$U$22</c:f>
              <c:numCache>
                <c:formatCode>General</c:formatCode>
                <c:ptCount val="4"/>
                <c:pt idx="0">
                  <c:v>-6.6191197305081162E-2</c:v>
                </c:pt>
                <c:pt idx="1">
                  <c:v>0.34140144699355218</c:v>
                </c:pt>
                <c:pt idx="2">
                  <c:v>5.0274725274725429E-2</c:v>
                </c:pt>
                <c:pt idx="3">
                  <c:v>-0.13120915032679736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5-5944-AA41-5C43C35DE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683696"/>
        <c:axId val="1380019296"/>
      </c:barChart>
      <c:catAx>
        <c:axId val="149768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19296"/>
        <c:crosses val="autoZero"/>
        <c:auto val="1"/>
        <c:lblAlgn val="ctr"/>
        <c:lblOffset val="100"/>
        <c:noMultiLvlLbl val="0"/>
      </c:catAx>
      <c:valAx>
        <c:axId val="13800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8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</a:t>
            </a:r>
            <a:r>
              <a:rPr lang="en-US" baseline="0"/>
              <a:t> CFUs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CFU!$K$52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CFU!$J$53:$J$58</c:f>
              <c:strCache>
                <c:ptCount val="6"/>
                <c:pt idx="0">
                  <c:v>Monoculture</c:v>
                </c:pt>
                <c:pt idx="1">
                  <c:v>Coop</c:v>
                </c:pt>
                <c:pt idx="2">
                  <c:v>Comp</c:v>
                </c:pt>
                <c:pt idx="3">
                  <c:v>Monoculture Control</c:v>
                </c:pt>
                <c:pt idx="4">
                  <c:v>Coop control</c:v>
                </c:pt>
                <c:pt idx="5">
                  <c:v>Comp control</c:v>
                </c:pt>
              </c:strCache>
            </c:strRef>
          </c:cat>
          <c:val>
            <c:numRef>
              <c:f>CFU!$K$53:$K$58</c:f>
              <c:numCache>
                <c:formatCode>General</c:formatCode>
                <c:ptCount val="6"/>
                <c:pt idx="0">
                  <c:v>806083333.33333337</c:v>
                </c:pt>
                <c:pt idx="1">
                  <c:v>18360416.666666668</c:v>
                </c:pt>
                <c:pt idx="2">
                  <c:v>551888888.88888884</c:v>
                </c:pt>
                <c:pt idx="3">
                  <c:v>800000000</c:v>
                </c:pt>
                <c:pt idx="4">
                  <c:v>1291666666.6666665</c:v>
                </c:pt>
                <c:pt idx="5">
                  <c:v>916666666.66666675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5B4A-BCD6-71126A62019F}"/>
            </c:ext>
          </c:extLst>
        </c:ser>
        <c:ser>
          <c:idx val="1"/>
          <c:order val="1"/>
          <c:tx>
            <c:strRef>
              <c:f>CFU!$L$52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CFU!$J$53:$J$58</c:f>
              <c:strCache>
                <c:ptCount val="6"/>
                <c:pt idx="0">
                  <c:v>Monoculture</c:v>
                </c:pt>
                <c:pt idx="1">
                  <c:v>Coop</c:v>
                </c:pt>
                <c:pt idx="2">
                  <c:v>Comp</c:v>
                </c:pt>
                <c:pt idx="3">
                  <c:v>Monoculture Control</c:v>
                </c:pt>
                <c:pt idx="4">
                  <c:v>Coop control</c:v>
                </c:pt>
                <c:pt idx="5">
                  <c:v>Comp control</c:v>
                </c:pt>
              </c:strCache>
            </c:strRef>
          </c:cat>
          <c:val>
            <c:numRef>
              <c:f>CFU!$L$53:$L$58</c:f>
              <c:numCache>
                <c:formatCode>General</c:formatCode>
                <c:ptCount val="6"/>
                <c:pt idx="0">
                  <c:v>516790972.22222215</c:v>
                </c:pt>
                <c:pt idx="1">
                  <c:v>5577638.888888889</c:v>
                </c:pt>
                <c:pt idx="2">
                  <c:v>172222222.22222224</c:v>
                </c:pt>
                <c:pt idx="3">
                  <c:v>3916666666.6666665</c:v>
                </c:pt>
                <c:pt idx="4">
                  <c:v>583333333.33333325</c:v>
                </c:pt>
                <c:pt idx="5">
                  <c:v>1916666666.6666665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0-5B4A-BCD6-71126A62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303344"/>
        <c:axId val="1497509696"/>
      </c:barChart>
      <c:catAx>
        <c:axId val="14983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09696"/>
        <c:crosses val="autoZero"/>
        <c:auto val="1"/>
        <c:lblAlgn val="ctr"/>
        <c:lblOffset val="100"/>
        <c:noMultiLvlLbl val="0"/>
      </c:catAx>
      <c:valAx>
        <c:axId val="14975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3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679450</xdr:colOff>
      <xdr:row>22</xdr:row>
      <xdr:rowOff>19050</xdr:rowOff>
    </xdr:from>
    <xdr:to>
      <xdr:col>16</xdr:col>
      <xdr:colOff>298450</xdr:colOff>
      <xdr:row>35</xdr:row>
      <xdr:rowOff>120650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4BD6709-24E8-324A-BB9D-49B0C162C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22</xdr:row>
      <xdr:rowOff>31750</xdr:rowOff>
    </xdr:from>
    <xdr:to>
      <xdr:col>22</xdr:col>
      <xdr:colOff>57150</xdr:colOff>
      <xdr:row>35</xdr:row>
      <xdr:rowOff>133350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2E7C45A-9618-D447-A922-11BBB2225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704850</xdr:colOff>
      <xdr:row>36</xdr:row>
      <xdr:rowOff>82550</xdr:rowOff>
    </xdr:from>
    <xdr:to>
      <xdr:col>16</xdr:col>
      <xdr:colOff>323850</xdr:colOff>
      <xdr:row>49</xdr:row>
      <xdr:rowOff>184150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0DBF202-6A12-3F40-8504-64E0884CC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438150</xdr:colOff>
      <xdr:row>36</xdr:row>
      <xdr:rowOff>95250</xdr:rowOff>
    </xdr:from>
    <xdr:to>
      <xdr:col>22</xdr:col>
      <xdr:colOff>57150</xdr:colOff>
      <xdr:row>49</xdr:row>
      <xdr:rowOff>196850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E43D4C5-4524-0D4E-8F1F-85FD35AF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812800</xdr:colOff>
      <xdr:row>32</xdr:row>
      <xdr:rowOff>107950</xdr:rowOff>
    </xdr:from>
    <xdr:to>
      <xdr:col>34</xdr:col>
      <xdr:colOff>431800</xdr:colOff>
      <xdr:row>46</xdr:row>
      <xdr:rowOff>6350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895989A-4B2D-A44F-84F1-63CE1998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292100</xdr:colOff>
      <xdr:row>32</xdr:row>
      <xdr:rowOff>133350</xdr:rowOff>
    </xdr:from>
    <xdr:to>
      <xdr:col>28</xdr:col>
      <xdr:colOff>635000</xdr:colOff>
      <xdr:row>46</xdr:row>
      <xdr:rowOff>31750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47AFD26-B29B-0640-950E-D68736E6B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304800</xdr:colOff>
      <xdr:row>47</xdr:row>
      <xdr:rowOff>107950</xdr:rowOff>
    </xdr:from>
    <xdr:to>
      <xdr:col>28</xdr:col>
      <xdr:colOff>647700</xdr:colOff>
      <xdr:row>61</xdr:row>
      <xdr:rowOff>6350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C0FB89D-F2C8-A247-A709-CCA3A5E00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787400</xdr:colOff>
      <xdr:row>47</xdr:row>
      <xdr:rowOff>133350</xdr:rowOff>
    </xdr:from>
    <xdr:to>
      <xdr:col>34</xdr:col>
      <xdr:colOff>406400</xdr:colOff>
      <xdr:row>61</xdr:row>
      <xdr:rowOff>31750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B8B57F2-748D-FD40-8079-22E255DF2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273050</xdr:colOff>
      <xdr:row>0</xdr:row>
      <xdr:rowOff>101600</xdr:rowOff>
    </xdr:from>
    <xdr:to>
      <xdr:col>28</xdr:col>
      <xdr:colOff>717550</xdr:colOff>
      <xdr:row>11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358BE-546C-F642-92DF-A97363486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254000</xdr:colOff>
      <xdr:row>14</xdr:row>
      <xdr:rowOff>152400</xdr:rowOff>
    </xdr:from>
    <xdr:to>
      <xdr:col>27</xdr:col>
      <xdr:colOff>698500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0B56D-9CF4-634D-B497-348560108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361950</xdr:colOff>
      <xdr:row>15</xdr:row>
      <xdr:rowOff>133350</xdr:rowOff>
    </xdr:from>
    <xdr:to>
      <xdr:col>33</xdr:col>
      <xdr:colOff>806450</xdr:colOff>
      <xdr:row>27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2D1E65-6A24-5546-9380-39D38105C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806450</xdr:colOff>
      <xdr:row>56</xdr:row>
      <xdr:rowOff>184150</xdr:rowOff>
    </xdr:from>
    <xdr:to>
      <xdr:col>18</xdr:col>
      <xdr:colOff>323850</xdr:colOff>
      <xdr:row>70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6811EC-CE22-6D47-9E7C-6409BB264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D6A6-7035-A441-9B74-F1AC12FAA4EC}">
  <dimension ref="A1:AJ60"/>
  <sheetViews>
    <sheetView tabSelected="1" topLeftCell="A38" workbookViewId="0">
      <selection activeCell="C53" sqref="C53"/>
    </sheetView>
  </sheetViews>
  <sheetFormatPr baseColWidth="10" defaultRowHeight="16" x14ac:dyDescent="0.2"/>
  <cols>
    <col min="2" max="3" width="12.1640625" bestFit="1" customWidth="1"/>
    <col min="25" max="25" width="12.1640625" bestFit="1" customWidth="1"/>
  </cols>
  <sheetData>
    <row r="1" spans="1:36" x14ac:dyDescent="0.2">
      <c r="A1" t="s">
        <v>2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M1" s="18" t="s">
        <v>31</v>
      </c>
      <c r="N1" s="18"/>
      <c r="O1" s="18"/>
      <c r="P1" s="18"/>
      <c r="R1" s="19" t="s">
        <v>32</v>
      </c>
      <c r="S1" s="19"/>
      <c r="T1" s="19"/>
      <c r="U1" s="19"/>
    </row>
    <row r="2" spans="1:36" x14ac:dyDescent="0.2">
      <c r="A2">
        <v>1</v>
      </c>
      <c r="B2">
        <f>AVERAGE(2,2,2)/(0.1*10^0)</f>
        <v>20</v>
      </c>
      <c r="C2">
        <f>AVERAGE(18,15,20)/(0.1*10^0)</f>
        <v>176.66666666666666</v>
      </c>
      <c r="D2">
        <f>B2/C2</f>
        <v>0.11320754716981132</v>
      </c>
      <c r="E2">
        <f>AVERAGE(D2:D4)</f>
        <v>0.30696661828737298</v>
      </c>
      <c r="F2">
        <f>STDEV(D2:D4)</f>
        <v>0.19339724755133617</v>
      </c>
      <c r="L2" t="s">
        <v>29</v>
      </c>
      <c r="M2">
        <v>0</v>
      </c>
      <c r="N2">
        <v>1</v>
      </c>
      <c r="O2">
        <v>2</v>
      </c>
      <c r="P2">
        <v>3</v>
      </c>
      <c r="Q2">
        <v>4</v>
      </c>
      <c r="R2">
        <v>0</v>
      </c>
      <c r="S2">
        <v>1</v>
      </c>
      <c r="T2">
        <v>2</v>
      </c>
      <c r="U2">
        <v>3</v>
      </c>
      <c r="V2">
        <v>4</v>
      </c>
      <c r="Y2" t="str" cm="1">
        <f t="array" ref="Y2:AJ2">TRANSPOSE(A7:A18)</f>
        <v>E1</v>
      </c>
      <c r="Z2" t="str">
        <v>E2</v>
      </c>
      <c r="AA2" t="str">
        <v>E3</v>
      </c>
      <c r="AB2" t="str">
        <v>S1</v>
      </c>
      <c r="AC2" t="str">
        <v>S2</v>
      </c>
      <c r="AD2" t="str">
        <v>S3</v>
      </c>
      <c r="AE2" t="str">
        <v>Coop1</v>
      </c>
      <c r="AF2" t="str">
        <v>Coop2</v>
      </c>
      <c r="AG2" t="str">
        <v>Coop3</v>
      </c>
      <c r="AH2" t="str">
        <v>Comp1</v>
      </c>
      <c r="AI2" t="str">
        <v>Comp2</v>
      </c>
      <c r="AJ2" t="str">
        <v>Comp3</v>
      </c>
    </row>
    <row r="3" spans="1:36" x14ac:dyDescent="0.2">
      <c r="A3">
        <v>2</v>
      </c>
      <c r="B3">
        <f>AVERAGE(2,2,1)/(0.1*10^0)</f>
        <v>16.666666666666668</v>
      </c>
      <c r="C3">
        <f>AVERAGE(1,1,8)/(0.1*10^0)</f>
        <v>33.333333333333336</v>
      </c>
      <c r="D3">
        <f t="shared" ref="D3:D4" si="0">B3/C3</f>
        <v>0.5</v>
      </c>
      <c r="L3" t="s">
        <v>0</v>
      </c>
      <c r="M3">
        <f>$E$2</f>
        <v>0.30696661828737298</v>
      </c>
      <c r="N3">
        <f>E7</f>
        <v>215714.28571428577</v>
      </c>
      <c r="O3">
        <f>E21</f>
        <v>9031.6205533596858</v>
      </c>
      <c r="P3">
        <f>E35</f>
        <v>177027.77777777778</v>
      </c>
      <c r="Q3">
        <f>E49</f>
        <v>803541.66666666663</v>
      </c>
      <c r="R3">
        <f>F2</f>
        <v>0.19339724755133617</v>
      </c>
      <c r="S3">
        <f>F7</f>
        <v>194095.2322538436</v>
      </c>
      <c r="T3">
        <f>F21</f>
        <v>5592.1171555808451</v>
      </c>
      <c r="U3">
        <f>F35</f>
        <v>63148.652517807692</v>
      </c>
      <c r="V3">
        <f>F49</f>
        <v>775604.68681431608</v>
      </c>
      <c r="X3">
        <v>0</v>
      </c>
      <c r="Y3">
        <f t="shared" ref="Y3:AJ3" si="1">$E$2</f>
        <v>0.30696661828737298</v>
      </c>
      <c r="Z3">
        <f t="shared" si="1"/>
        <v>0.30696661828737298</v>
      </c>
      <c r="AA3">
        <f t="shared" si="1"/>
        <v>0.30696661828737298</v>
      </c>
      <c r="AB3">
        <f t="shared" si="1"/>
        <v>0.30696661828737298</v>
      </c>
      <c r="AC3">
        <f t="shared" si="1"/>
        <v>0.30696661828737298</v>
      </c>
      <c r="AD3">
        <f t="shared" si="1"/>
        <v>0.30696661828737298</v>
      </c>
      <c r="AE3">
        <f t="shared" si="1"/>
        <v>0.30696661828737298</v>
      </c>
      <c r="AF3">
        <f t="shared" si="1"/>
        <v>0.30696661828737298</v>
      </c>
      <c r="AG3">
        <f t="shared" si="1"/>
        <v>0.30696661828737298</v>
      </c>
      <c r="AH3">
        <f t="shared" si="1"/>
        <v>0.30696661828737298</v>
      </c>
      <c r="AI3">
        <f t="shared" si="1"/>
        <v>0.30696661828737298</v>
      </c>
      <c r="AJ3">
        <f t="shared" si="1"/>
        <v>0.30696661828737298</v>
      </c>
    </row>
    <row r="4" spans="1:36" x14ac:dyDescent="0.2">
      <c r="A4">
        <v>3</v>
      </c>
      <c r="B4">
        <f>AVERAGE(1,2,1)/(0.1*10^0)</f>
        <v>13.333333333333332</v>
      </c>
      <c r="C4">
        <f>AVERAGE(6,4,3)/(0.1*10^0)</f>
        <v>43.333333333333329</v>
      </c>
      <c r="D4">
        <f t="shared" si="0"/>
        <v>0.30769230769230771</v>
      </c>
      <c r="L4" t="s">
        <v>1</v>
      </c>
      <c r="M4">
        <f t="shared" ref="M4:M6" si="2">$E$2</f>
        <v>0.30696661828737298</v>
      </c>
      <c r="N4">
        <f>E10</f>
        <v>0.75638087153367284</v>
      </c>
      <c r="O4">
        <f>E24</f>
        <v>0.16666666666666666</v>
      </c>
      <c r="P4">
        <f>E38</f>
        <v>0.47823261858349575</v>
      </c>
      <c r="Q4">
        <f>E52</f>
        <v>0.12671296296296297</v>
      </c>
      <c r="R4">
        <f>F2</f>
        <v>0.19339724755133617</v>
      </c>
      <c r="S4">
        <f>F10</f>
        <v>0.46621319606771938</v>
      </c>
      <c r="T4">
        <f>F24</f>
        <v>0.1</v>
      </c>
      <c r="U4">
        <f>F38</f>
        <v>0.37523016270654658</v>
      </c>
      <c r="V4">
        <f>F52</f>
        <v>3.2249848469991987E-2</v>
      </c>
      <c r="X4">
        <v>1</v>
      </c>
      <c r="Y4">
        <f>D7</f>
        <v>405000.00000000006</v>
      </c>
      <c r="Z4">
        <f>$D8</f>
        <v>17142.857142857141</v>
      </c>
      <c r="AA4">
        <f>$D9</f>
        <v>225000.00000000003</v>
      </c>
      <c r="AB4">
        <f>$D10</f>
        <v>0.94736842105263153</v>
      </c>
      <c r="AC4">
        <f>$D11</f>
        <v>0.22499999999999998</v>
      </c>
      <c r="AD4">
        <f>$D12</f>
        <v>1.096774193548387</v>
      </c>
      <c r="AE4">
        <f>$D13</f>
        <v>2.9230769230769234</v>
      </c>
      <c r="AF4">
        <f>$D14</f>
        <v>1.2391304347826089</v>
      </c>
      <c r="AG4">
        <f>$D15</f>
        <v>1</v>
      </c>
      <c r="AH4">
        <f>$D16</f>
        <v>2.0555555555555558</v>
      </c>
      <c r="AI4">
        <f>$D17</f>
        <v>7.1</v>
      </c>
      <c r="AJ4">
        <f>$D18</f>
        <v>3.166666666666667</v>
      </c>
    </row>
    <row r="5" spans="1:36" x14ac:dyDescent="0.2">
      <c r="L5" t="s">
        <v>21</v>
      </c>
      <c r="M5">
        <f t="shared" si="2"/>
        <v>0.30696661828737298</v>
      </c>
      <c r="N5">
        <f>E13</f>
        <v>1.7207357859531776</v>
      </c>
      <c r="O5">
        <f>E27</f>
        <v>1.4666666666666668</v>
      </c>
      <c r="P5">
        <f>E41</f>
        <v>1.3550724637681162</v>
      </c>
      <c r="Q5">
        <f>E55</f>
        <v>3.2222222222222228</v>
      </c>
      <c r="R5">
        <f>F2</f>
        <v>0.19339724755133617</v>
      </c>
      <c r="S5">
        <f>F13</f>
        <v>1.0481001854426157</v>
      </c>
      <c r="T5">
        <f>F27</f>
        <v>0.6110100926607781</v>
      </c>
      <c r="U5">
        <f>F41</f>
        <v>1.4249222001999127</v>
      </c>
      <c r="V5">
        <f>F55</f>
        <v>3.5642255405212091</v>
      </c>
      <c r="X5">
        <v>3</v>
      </c>
      <c r="Y5">
        <f>D35</f>
        <v>233333.33333333334</v>
      </c>
      <c r="Z5">
        <f>$D36</f>
        <v>108750.00000000001</v>
      </c>
      <c r="AA5">
        <f>$D37</f>
        <v>189000</v>
      </c>
      <c r="AB5">
        <f>$D38</f>
        <v>0.84210526315789469</v>
      </c>
      <c r="AC5">
        <f>$D39</f>
        <v>9.2592592592592601E-2</v>
      </c>
      <c r="AD5">
        <f>$D40</f>
        <v>0.5</v>
      </c>
      <c r="AE5">
        <f>$D41</f>
        <v>3.0000000000000004</v>
      </c>
      <c r="AF5">
        <f>$D42</f>
        <v>0.5</v>
      </c>
      <c r="AG5">
        <f>$D43</f>
        <v>0.56521739130434778</v>
      </c>
      <c r="AH5">
        <f>$D44</f>
        <v>2.6999999999999997</v>
      </c>
      <c r="AI5">
        <f>$D45</f>
        <v>6.25</v>
      </c>
      <c r="AJ5">
        <f>$D46</f>
        <v>4.4444444444444446</v>
      </c>
    </row>
    <row r="6" spans="1:36" x14ac:dyDescent="0.2">
      <c r="A6" t="s">
        <v>15</v>
      </c>
      <c r="B6" t="s">
        <v>0</v>
      </c>
      <c r="C6" t="s">
        <v>1</v>
      </c>
      <c r="D6" t="s">
        <v>18</v>
      </c>
      <c r="E6" t="s">
        <v>19</v>
      </c>
      <c r="F6" t="s">
        <v>20</v>
      </c>
      <c r="G6" t="s">
        <v>46</v>
      </c>
      <c r="L6" t="s">
        <v>30</v>
      </c>
      <c r="M6">
        <f t="shared" si="2"/>
        <v>0.30696661828737298</v>
      </c>
      <c r="N6">
        <f>E16</f>
        <v>4.1074074074074076</v>
      </c>
      <c r="O6">
        <f>E30</f>
        <v>1.4472222222222222</v>
      </c>
      <c r="P6">
        <f>E44</f>
        <v>4.4648148148148143</v>
      </c>
      <c r="Q6">
        <f>E58</f>
        <v>4.2048611111111116</v>
      </c>
      <c r="R6">
        <f>F2</f>
        <v>0.19339724755133617</v>
      </c>
      <c r="S6">
        <f>F16</f>
        <v>2.6505376424866482</v>
      </c>
      <c r="T6">
        <f>F30</f>
        <v>0.37641707561535342</v>
      </c>
      <c r="U6">
        <f>F44</f>
        <v>1.7750876637484048</v>
      </c>
      <c r="V6">
        <f>F58</f>
        <v>4.7339863167059608</v>
      </c>
      <c r="X6">
        <v>4</v>
      </c>
      <c r="Y6">
        <f>D49</f>
        <v>50625.000000000007</v>
      </c>
      <c r="Z6">
        <f>$D50</f>
        <v>759999.99999999988</v>
      </c>
      <c r="AA6">
        <f>$D51</f>
        <v>1600000</v>
      </c>
      <c r="AB6">
        <f>$D52</f>
        <v>0.11</v>
      </c>
      <c r="AC6">
        <f>$D53</f>
        <v>0.10625</v>
      </c>
      <c r="AD6">
        <f>$D54</f>
        <v>0.16388888888888889</v>
      </c>
      <c r="AE6">
        <f>$D55</f>
        <v>7.3333333333333339</v>
      </c>
      <c r="AF6">
        <f>$D56</f>
        <v>1</v>
      </c>
      <c r="AG6">
        <f>$D57</f>
        <v>1.3333333333333335</v>
      </c>
      <c r="AH6">
        <f>$D58</f>
        <v>9.6666666666666679</v>
      </c>
      <c r="AI6">
        <f>$D59</f>
        <v>1.6666666666666667</v>
      </c>
      <c r="AJ6">
        <f>$D60</f>
        <v>1.28125</v>
      </c>
    </row>
    <row r="7" spans="1:36" x14ac:dyDescent="0.2">
      <c r="A7" t="s">
        <v>3</v>
      </c>
      <c r="B7">
        <f>AVERAGE(27,32,22)/(0.002*10^-6)</f>
        <v>13500000000</v>
      </c>
      <c r="C7">
        <f>AVERAGE(0,1,1)/(0.002*10^-2)</f>
        <v>33333.333333333328</v>
      </c>
      <c r="D7">
        <f>B7/C7</f>
        <v>405000.00000000006</v>
      </c>
      <c r="E7">
        <f>AVERAGE(D7:D9)</f>
        <v>215714.28571428577</v>
      </c>
      <c r="F7">
        <f>STDEV(D7:D9)</f>
        <v>194095.2322538436</v>
      </c>
      <c r="G7">
        <f>E7-E2</f>
        <v>215713.97874766748</v>
      </c>
    </row>
    <row r="8" spans="1:36" x14ac:dyDescent="0.2">
      <c r="A8" t="s">
        <v>4</v>
      </c>
      <c r="B8">
        <f>AVERAGE(8,9,7)/(0.002*10^-6)</f>
        <v>3999999999.9999995</v>
      </c>
      <c r="C8">
        <f>AVERAGE(12,1,1)/(0.002*10^-2)</f>
        <v>233333.33333333334</v>
      </c>
      <c r="D8">
        <f t="shared" ref="D8:D18" si="3">B8/C8</f>
        <v>17142.857142857141</v>
      </c>
      <c r="AG8" t="s">
        <v>6</v>
      </c>
      <c r="AH8" t="s">
        <v>7</v>
      </c>
      <c r="AI8" t="s">
        <v>8</v>
      </c>
    </row>
    <row r="9" spans="1:36" x14ac:dyDescent="0.2">
      <c r="A9" t="s">
        <v>5</v>
      </c>
      <c r="B9">
        <f>AVERAGE(11,12,22)/(0.002*10^-6)</f>
        <v>7500000000</v>
      </c>
      <c r="C9">
        <f>AVERAGE(0,1,1)/(0.002*10^-2)</f>
        <v>33333.333333333328</v>
      </c>
      <c r="D9">
        <f t="shared" si="3"/>
        <v>225000.00000000003</v>
      </c>
      <c r="M9" s="18" t="s">
        <v>31</v>
      </c>
      <c r="N9" s="18"/>
      <c r="O9" s="18"/>
      <c r="P9" s="18"/>
      <c r="R9" s="19" t="s">
        <v>32</v>
      </c>
      <c r="S9" s="19"/>
      <c r="T9" s="19"/>
      <c r="U9" s="19"/>
      <c r="AF9">
        <v>0</v>
      </c>
      <c r="AG9">
        <v>0.30696661828737298</v>
      </c>
      <c r="AH9">
        <v>0.30696661828737298</v>
      </c>
      <c r="AI9">
        <v>0.30696661828737298</v>
      </c>
    </row>
    <row r="10" spans="1:36" ht="17" x14ac:dyDescent="0.2">
      <c r="A10" t="s">
        <v>6</v>
      </c>
      <c r="B10">
        <f>AVERAGE(16,16,22)/(0.002*10^-6)</f>
        <v>9000000000</v>
      </c>
      <c r="C10">
        <f>AVERAGE(19,16,22)/(0.002*10^-6)</f>
        <v>9500000000</v>
      </c>
      <c r="D10">
        <f t="shared" si="3"/>
        <v>0.94736842105263153</v>
      </c>
      <c r="E10">
        <f>AVERAGE(D10:D12)</f>
        <v>0.75638087153367284</v>
      </c>
      <c r="F10">
        <f>STDEV(D10:D12)</f>
        <v>0.46621319606771938</v>
      </c>
      <c r="G10">
        <f>E10-E2</f>
        <v>0.44941425324629986</v>
      </c>
      <c r="L10" s="15" t="s">
        <v>44</v>
      </c>
      <c r="M10" t="s">
        <v>0</v>
      </c>
      <c r="N10" t="s">
        <v>1</v>
      </c>
      <c r="O10" t="s">
        <v>21</v>
      </c>
      <c r="P10" t="s">
        <v>30</v>
      </c>
      <c r="Q10" t="s">
        <v>0</v>
      </c>
      <c r="R10" t="s">
        <v>1</v>
      </c>
      <c r="S10" t="s">
        <v>21</v>
      </c>
      <c r="T10" t="s">
        <v>30</v>
      </c>
      <c r="AF10">
        <v>1</v>
      </c>
      <c r="AG10">
        <v>0.94736842105263153</v>
      </c>
      <c r="AH10">
        <v>0.22499999999999998</v>
      </c>
      <c r="AI10">
        <v>1.096774193548387</v>
      </c>
    </row>
    <row r="11" spans="1:36" x14ac:dyDescent="0.2">
      <c r="A11" t="s">
        <v>7</v>
      </c>
      <c r="B11">
        <f>AVERAGE(1,4,4)/(0.002*10^-6)</f>
        <v>1500000000</v>
      </c>
      <c r="C11">
        <f>AVERAGE(14,16,10)/(0.002*10^-6)</f>
        <v>6666666666.666667</v>
      </c>
      <c r="D11">
        <f t="shared" si="3"/>
        <v>0.22499999999999998</v>
      </c>
      <c r="L11" s="15">
        <v>0</v>
      </c>
      <c r="M11" cm="1">
        <f t="array" ref="M11:M15">TRANSPOSE(M3:Q3)</f>
        <v>0.30696661828737298</v>
      </c>
      <c r="N11" cm="1">
        <f t="array" ref="N11:N15">TRANSPOSE(M4:Q4)</f>
        <v>0.30696661828737298</v>
      </c>
      <c r="O11" cm="1">
        <f t="array" ref="O11:O15">TRANSPOSE(M5:Q5)</f>
        <v>0.30696661828737298</v>
      </c>
      <c r="P11" cm="1">
        <f t="array" ref="P11:P15">TRANSPOSE(M6:Q6)</f>
        <v>0.30696661828737298</v>
      </c>
      <c r="Q11" cm="1">
        <f t="array" ref="Q11:Q15">TRANSPOSE(R3:V3)</f>
        <v>0.19339724755133617</v>
      </c>
      <c r="R11" cm="1">
        <f t="array" ref="R11:R15">TRANSPOSE(R4:V4)</f>
        <v>0.19339724755133617</v>
      </c>
      <c r="S11" cm="1">
        <f t="array" ref="S11:S15">TRANSPOSE(R5:V5)</f>
        <v>0.19339724755133617</v>
      </c>
      <c r="T11" cm="1">
        <f t="array" ref="T11:T15">TRANSPOSE(R6:V6)</f>
        <v>0.19339724755133617</v>
      </c>
      <c r="AF11">
        <v>3</v>
      </c>
      <c r="AG11">
        <v>0.84210526315789469</v>
      </c>
      <c r="AH11">
        <v>9.2592592592592601E-2</v>
      </c>
      <c r="AI11">
        <v>0.5</v>
      </c>
    </row>
    <row r="12" spans="1:36" x14ac:dyDescent="0.2">
      <c r="A12" t="s">
        <v>8</v>
      </c>
      <c r="B12">
        <f>AVERAGE(12,12,10)/(0.002*10^-6)</f>
        <v>5666666666.666667</v>
      </c>
      <c r="C12">
        <f>AVERAGE(12,10,9)/(0.002*10^-6)</f>
        <v>5166666666.666667</v>
      </c>
      <c r="D12">
        <f t="shared" si="3"/>
        <v>1.096774193548387</v>
      </c>
      <c r="L12">
        <v>1</v>
      </c>
      <c r="M12">
        <v>215714.28571428577</v>
      </c>
      <c r="N12">
        <v>0.75638087153367284</v>
      </c>
      <c r="O12">
        <v>1.7207357859531776</v>
      </c>
      <c r="P12">
        <v>4.1074074074074076</v>
      </c>
      <c r="Q12">
        <v>194095.2322538436</v>
      </c>
      <c r="R12">
        <v>0.46621319606771938</v>
      </c>
      <c r="S12">
        <v>1.0481001854426157</v>
      </c>
      <c r="T12">
        <v>2.6505376424866482</v>
      </c>
      <c r="AF12">
        <v>4</v>
      </c>
      <c r="AG12">
        <v>0.11</v>
      </c>
      <c r="AH12">
        <v>0.10625</v>
      </c>
      <c r="AI12">
        <v>0.16388888888888889</v>
      </c>
    </row>
    <row r="13" spans="1:36" x14ac:dyDescent="0.2">
      <c r="A13" t="s">
        <v>9</v>
      </c>
      <c r="B13">
        <f>AVERAGE(10,12,16)/(0.002*10^-6)</f>
        <v>6333333333.333333</v>
      </c>
      <c r="C13">
        <f>AVERAGE(4,3,6)/(0.002*10^-6)</f>
        <v>2166666666.6666665</v>
      </c>
      <c r="D13">
        <f t="shared" si="3"/>
        <v>2.9230769230769234</v>
      </c>
      <c r="E13">
        <f>AVERAGE(D13:D15)</f>
        <v>1.7207357859531776</v>
      </c>
      <c r="F13">
        <f>STDEV(D13:D15)</f>
        <v>1.0481001854426157</v>
      </c>
      <c r="G13">
        <f>E13-E2</f>
        <v>1.4137691676658046</v>
      </c>
      <c r="L13">
        <v>2</v>
      </c>
      <c r="M13">
        <v>9031.6205533596858</v>
      </c>
      <c r="N13">
        <v>0.16666666666666666</v>
      </c>
      <c r="O13">
        <v>1.4666666666666668</v>
      </c>
      <c r="P13">
        <v>1.4472222222222222</v>
      </c>
      <c r="Q13">
        <v>5592.1171555808451</v>
      </c>
      <c r="R13">
        <v>0.1</v>
      </c>
      <c r="S13">
        <v>0.6110100926607781</v>
      </c>
      <c r="T13">
        <v>0.37641707561535342</v>
      </c>
      <c r="AG13" t="s">
        <v>9</v>
      </c>
      <c r="AH13" t="s">
        <v>10</v>
      </c>
      <c r="AI13" t="s">
        <v>11</v>
      </c>
    </row>
    <row r="14" spans="1:36" x14ac:dyDescent="0.2">
      <c r="A14" t="s">
        <v>10</v>
      </c>
      <c r="B14">
        <f>AVERAGE(21,18,18)/(0.002*10^-6)</f>
        <v>9500000000</v>
      </c>
      <c r="C14">
        <f>AVERAGE(11,20,15)/(0.002*10^-6)</f>
        <v>7666666666.666666</v>
      </c>
      <c r="D14">
        <f t="shared" si="3"/>
        <v>1.2391304347826089</v>
      </c>
      <c r="L14">
        <v>3</v>
      </c>
      <c r="M14">
        <v>177027.77777777778</v>
      </c>
      <c r="N14">
        <v>0.47823261858349575</v>
      </c>
      <c r="O14">
        <v>1.3550724637681162</v>
      </c>
      <c r="P14">
        <v>4.4648148148148143</v>
      </c>
      <c r="Q14">
        <v>63148.652517807692</v>
      </c>
      <c r="R14">
        <v>0.37523016270654658</v>
      </c>
      <c r="S14">
        <v>1.4249222001999127</v>
      </c>
      <c r="T14">
        <v>1.7750876637484048</v>
      </c>
      <c r="AF14">
        <v>0</v>
      </c>
      <c r="AG14">
        <v>0.30696661828737298</v>
      </c>
      <c r="AH14">
        <v>0.30696661828737298</v>
      </c>
      <c r="AI14">
        <v>0.30696661828737298</v>
      </c>
    </row>
    <row r="15" spans="1:36" x14ac:dyDescent="0.2">
      <c r="A15" t="s">
        <v>11</v>
      </c>
      <c r="B15">
        <f>AVERAGE(12,12,14)/(0.002*10^-6)</f>
        <v>6333333333.333333</v>
      </c>
      <c r="C15">
        <f>AVERAGE(9,9,20)/(0.002*10^-6)</f>
        <v>6333333333.333333</v>
      </c>
      <c r="D15">
        <f t="shared" si="3"/>
        <v>1</v>
      </c>
      <c r="L15">
        <v>4</v>
      </c>
      <c r="M15">
        <v>803541.66666666663</v>
      </c>
      <c r="N15">
        <v>0.12671296296296297</v>
      </c>
      <c r="O15">
        <v>3.2222222222222228</v>
      </c>
      <c r="P15">
        <v>4.2048611111111116</v>
      </c>
      <c r="Q15">
        <v>775604.68681431608</v>
      </c>
      <c r="R15">
        <v>3.2249848469991987E-2</v>
      </c>
      <c r="S15">
        <v>3.5642255405212091</v>
      </c>
      <c r="T15">
        <v>4.7339863167059608</v>
      </c>
      <c r="AF15">
        <v>1</v>
      </c>
      <c r="AG15">
        <v>2.9230769230769234</v>
      </c>
      <c r="AH15">
        <v>1.2391304347826089</v>
      </c>
      <c r="AI15">
        <v>1</v>
      </c>
    </row>
    <row r="16" spans="1:36" x14ac:dyDescent="0.2">
      <c r="A16" t="s">
        <v>12</v>
      </c>
      <c r="B16">
        <f>AVERAGE(21,31,22)/(0.002*10^-6)</f>
        <v>12333333333.333334</v>
      </c>
      <c r="C16">
        <f>AVERAGE(9,12,15)/(0.002*10^-6)</f>
        <v>6000000000</v>
      </c>
      <c r="D16">
        <f t="shared" si="3"/>
        <v>2.0555555555555558</v>
      </c>
      <c r="E16">
        <f>AVERAGE(D16:D18)</f>
        <v>4.1074074074074076</v>
      </c>
      <c r="F16">
        <f>STDEV(D16:D18)</f>
        <v>2.6505376424866482</v>
      </c>
      <c r="G16">
        <f>E16-E2</f>
        <v>3.8004407891200347</v>
      </c>
      <c r="AF16">
        <v>3</v>
      </c>
      <c r="AG16">
        <v>3.0000000000000004</v>
      </c>
      <c r="AH16">
        <v>0.5</v>
      </c>
      <c r="AI16">
        <v>0.56521739130434778</v>
      </c>
    </row>
    <row r="17" spans="1:35" x14ac:dyDescent="0.2">
      <c r="A17" t="s">
        <v>13</v>
      </c>
      <c r="B17">
        <f>AVERAGE(25,24,22)/(0.002*10^-6)</f>
        <v>11833333333.333334</v>
      </c>
      <c r="C17">
        <f>AVERAGE(4,4,2)/(0.002*10^-6)</f>
        <v>1666666666.6666667</v>
      </c>
      <c r="D17">
        <f t="shared" si="3"/>
        <v>7.1</v>
      </c>
      <c r="L17" t="s">
        <v>44</v>
      </c>
      <c r="M17" t="s">
        <v>0</v>
      </c>
      <c r="N17" t="s">
        <v>1</v>
      </c>
      <c r="O17" t="s">
        <v>21</v>
      </c>
      <c r="P17" t="s">
        <v>30</v>
      </c>
      <c r="Q17" t="s">
        <v>0</v>
      </c>
      <c r="R17" t="s">
        <v>1</v>
      </c>
      <c r="S17" t="s">
        <v>21</v>
      </c>
      <c r="T17" t="s">
        <v>30</v>
      </c>
      <c r="AF17">
        <v>4</v>
      </c>
      <c r="AG17">
        <v>7.3333333333333339</v>
      </c>
      <c r="AH17">
        <v>1</v>
      </c>
      <c r="AI17">
        <v>1.3333333333333335</v>
      </c>
    </row>
    <row r="18" spans="1:35" x14ac:dyDescent="0.2">
      <c r="A18" t="s">
        <v>14</v>
      </c>
      <c r="B18">
        <f>AVERAGE(11,12,15)/(0.002*10^-6)</f>
        <v>6333333333.333333</v>
      </c>
      <c r="C18">
        <f>AVERAGE(4,3,5)/(0.002*10^-6)</f>
        <v>1999999999.9999998</v>
      </c>
      <c r="D18">
        <f t="shared" si="3"/>
        <v>3.166666666666667</v>
      </c>
      <c r="L18">
        <v>0</v>
      </c>
      <c r="M18">
        <v>0.30696661828737298</v>
      </c>
      <c r="N18">
        <v>0.30696661828737298</v>
      </c>
      <c r="O18">
        <v>0.30696661828737298</v>
      </c>
      <c r="P18">
        <v>0.30696661828737298</v>
      </c>
      <c r="Q18">
        <v>0.19339724755133617</v>
      </c>
      <c r="R18">
        <v>0.19339724755133617</v>
      </c>
      <c r="S18">
        <v>0.19339724755133617</v>
      </c>
      <c r="T18">
        <v>0.19339724755133617</v>
      </c>
      <c r="AG18" t="s">
        <v>12</v>
      </c>
      <c r="AH18" t="s">
        <v>13</v>
      </c>
      <c r="AI18" t="s">
        <v>14</v>
      </c>
    </row>
    <row r="19" spans="1:35" x14ac:dyDescent="0.2">
      <c r="L19">
        <v>1</v>
      </c>
      <c r="M19">
        <v>215714.28571428577</v>
      </c>
      <c r="N19">
        <v>0.75638087153367284</v>
      </c>
      <c r="O19">
        <v>1.7207357859531776</v>
      </c>
      <c r="P19">
        <v>4.1074074074074076</v>
      </c>
      <c r="Q19">
        <v>194095.2322538436</v>
      </c>
      <c r="R19">
        <v>0.46621319606771938</v>
      </c>
      <c r="S19">
        <v>1.0481001854426157</v>
      </c>
      <c r="T19">
        <v>2.6505376424866482</v>
      </c>
      <c r="AF19">
        <v>0</v>
      </c>
      <c r="AG19">
        <v>0.30696661828737298</v>
      </c>
      <c r="AH19">
        <v>0.30696661828737298</v>
      </c>
      <c r="AI19">
        <v>0.30696661828737298</v>
      </c>
    </row>
    <row r="20" spans="1:35" x14ac:dyDescent="0.2">
      <c r="A20" s="17" t="s">
        <v>16</v>
      </c>
      <c r="B20" s="17" t="s">
        <v>0</v>
      </c>
      <c r="C20" s="17" t="s">
        <v>1</v>
      </c>
      <c r="D20" s="17" t="s">
        <v>18</v>
      </c>
      <c r="E20" s="17" t="s">
        <v>19</v>
      </c>
      <c r="F20" s="17" t="s">
        <v>20</v>
      </c>
      <c r="G20" s="17" t="s">
        <v>45</v>
      </c>
      <c r="H20" s="17"/>
      <c r="I20" s="17"/>
      <c r="L20">
        <v>3</v>
      </c>
      <c r="M20">
        <v>177027.77777777778</v>
      </c>
      <c r="N20">
        <v>0.47823261858349575</v>
      </c>
      <c r="O20">
        <v>1.3550724637681162</v>
      </c>
      <c r="P20">
        <v>4.4648148148148143</v>
      </c>
      <c r="Q20">
        <v>63148.652517807692</v>
      </c>
      <c r="R20">
        <v>0.37523016270654658</v>
      </c>
      <c r="S20">
        <v>1.4249222001999127</v>
      </c>
      <c r="T20">
        <v>1.7750876637484048</v>
      </c>
      <c r="AF20">
        <v>1</v>
      </c>
      <c r="AG20">
        <v>2.0555555555555558</v>
      </c>
      <c r="AH20">
        <v>7.1</v>
      </c>
      <c r="AI20">
        <v>3.166666666666667</v>
      </c>
    </row>
    <row r="21" spans="1:35" x14ac:dyDescent="0.2">
      <c r="A21" s="17" t="s">
        <v>3</v>
      </c>
      <c r="B21" s="17">
        <f>AVERAGE(14,10,3)/(0.002*10^-6)</f>
        <v>4500000000</v>
      </c>
      <c r="C21" s="17">
        <f>2*AVERAGE(1,4,4)/(0.002*10^-2)</f>
        <v>300000</v>
      </c>
      <c r="D21" s="17">
        <f>B21/C21</f>
        <v>15000</v>
      </c>
      <c r="E21" s="17">
        <f>AVERAGE(D21:D23)</f>
        <v>9031.6205533596858</v>
      </c>
      <c r="F21" s="17">
        <f>STDEV(D21:D23)</f>
        <v>5592.1171555808451</v>
      </c>
      <c r="L21">
        <v>4</v>
      </c>
      <c r="M21">
        <v>803541.66666666663</v>
      </c>
      <c r="N21">
        <v>0.45671296296296299</v>
      </c>
      <c r="O21">
        <v>3.2222222222222228</v>
      </c>
      <c r="P21">
        <v>4.2048611111111116</v>
      </c>
      <c r="Q21">
        <v>775604.68681431608</v>
      </c>
      <c r="R21">
        <v>0.55784784609515536</v>
      </c>
      <c r="S21">
        <v>3.5642255405212091</v>
      </c>
      <c r="T21">
        <v>4.7339863167059608</v>
      </c>
      <c r="AF21">
        <v>3</v>
      </c>
      <c r="AG21">
        <v>2.6999999999999997</v>
      </c>
      <c r="AH21">
        <v>6.25</v>
      </c>
      <c r="AI21">
        <v>4.4444444444444446</v>
      </c>
    </row>
    <row r="22" spans="1:35" x14ac:dyDescent="0.2">
      <c r="A22" s="17" t="s">
        <v>4</v>
      </c>
      <c r="B22" s="17">
        <f>AVERAGE(5,9,4)/(0.002*10^-6)</f>
        <v>3000000000</v>
      </c>
      <c r="C22" s="17">
        <f>2*AVERAGE(4,3,4)/(0.002*10^-2)</f>
        <v>366666.66666666663</v>
      </c>
      <c r="D22" s="17">
        <f t="shared" ref="D22:D32" si="4">B22/C22</f>
        <v>8181.8181818181829</v>
      </c>
      <c r="E22" s="17"/>
      <c r="F22" s="17"/>
      <c r="AF22">
        <v>4</v>
      </c>
      <c r="AG22">
        <v>9.6666666666666679</v>
      </c>
      <c r="AH22">
        <v>1.6666666666666667</v>
      </c>
      <c r="AI22">
        <v>1.28125</v>
      </c>
    </row>
    <row r="23" spans="1:35" x14ac:dyDescent="0.2">
      <c r="A23" s="17" t="s">
        <v>5</v>
      </c>
      <c r="B23" s="17">
        <f>AVERAGE(8,5,5)/(0.002*10^-6)</f>
        <v>3000000000</v>
      </c>
      <c r="C23" s="17">
        <f>2*AVERAGE(0,11,12)/(0.002*10^-2)</f>
        <v>766666.66666666663</v>
      </c>
      <c r="D23" s="17">
        <f t="shared" si="4"/>
        <v>3913.04347826087</v>
      </c>
      <c r="E23" s="17"/>
      <c r="F23" s="17"/>
    </row>
    <row r="24" spans="1:35" x14ac:dyDescent="0.2">
      <c r="A24" s="17" t="s">
        <v>6</v>
      </c>
      <c r="B24" s="17">
        <f>AVERAGE(6,8,6)/(0.002*10^-5)</f>
        <v>333333333.33333331</v>
      </c>
      <c r="C24" s="17">
        <f>2*AVERAGE(3,2,1)/(0.002*10^-6)</f>
        <v>1999999999.9999998</v>
      </c>
      <c r="D24" s="17">
        <f t="shared" si="4"/>
        <v>0.16666666666666669</v>
      </c>
      <c r="E24" s="17">
        <f>AVERAGE(D24:D26)</f>
        <v>0.16666666666666666</v>
      </c>
      <c r="F24" s="17">
        <f>STDEV(D24:D26)</f>
        <v>0.1</v>
      </c>
    </row>
    <row r="25" spans="1:35" x14ac:dyDescent="0.2">
      <c r="A25" s="17" t="s">
        <v>7</v>
      </c>
      <c r="B25" s="17">
        <f>AVERAGE(3,1,0)/(0.002*10^-5)</f>
        <v>66666666.666666664</v>
      </c>
      <c r="C25" s="17">
        <f>2*AVERAGE(1,1,1)/(0.002*10^-6)</f>
        <v>999999999.99999988</v>
      </c>
      <c r="D25" s="17">
        <f t="shared" si="4"/>
        <v>6.6666666666666666E-2</v>
      </c>
      <c r="E25" s="17"/>
      <c r="F25" s="17"/>
    </row>
    <row r="26" spans="1:35" x14ac:dyDescent="0.2">
      <c r="A26" s="17" t="s">
        <v>8</v>
      </c>
      <c r="B26" s="17">
        <f>AVERAGE(9,3,4)/(0.002*10^-5)</f>
        <v>266666666.66666666</v>
      </c>
      <c r="C26" s="17">
        <f>2*AVERAGE(1,1,1)/(0.002*10^-6)</f>
        <v>999999999.99999988</v>
      </c>
      <c r="D26" s="17">
        <f t="shared" si="4"/>
        <v>0.26666666666666666</v>
      </c>
      <c r="E26" s="17"/>
      <c r="F26" s="17"/>
    </row>
    <row r="27" spans="1:35" x14ac:dyDescent="0.2">
      <c r="A27" s="17" t="s">
        <v>9</v>
      </c>
      <c r="B27" s="17">
        <f>AVERAGE(4,3,1)/(0.002*10^-6)</f>
        <v>1333333333.3333333</v>
      </c>
      <c r="C27" s="17">
        <f>2*AVERAGE(2,1,2)/(0.002*10^-6)</f>
        <v>1666666666.6666667</v>
      </c>
      <c r="D27" s="17">
        <f t="shared" si="4"/>
        <v>0.79999999999999993</v>
      </c>
      <c r="E27" s="17">
        <f>AVERAGE(D27:D29)</f>
        <v>1.4666666666666668</v>
      </c>
      <c r="F27" s="17">
        <f>STDEV(D27:D29)</f>
        <v>0.6110100926607781</v>
      </c>
    </row>
    <row r="28" spans="1:35" x14ac:dyDescent="0.2">
      <c r="A28" s="17" t="s">
        <v>10</v>
      </c>
      <c r="B28" s="17">
        <f>AVERAGE(5,6,5)/(0.002*10^-6)</f>
        <v>2666666666.6666665</v>
      </c>
      <c r="C28" s="17">
        <f>2*AVERAGE(1,2,2)/(0.002*10^-6)</f>
        <v>1666666666.6666667</v>
      </c>
      <c r="D28" s="17">
        <f t="shared" si="4"/>
        <v>1.5999999999999999</v>
      </c>
      <c r="E28" s="17"/>
      <c r="F28" s="17"/>
    </row>
    <row r="29" spans="1:35" x14ac:dyDescent="0.2">
      <c r="A29" s="17" t="s">
        <v>11</v>
      </c>
      <c r="B29" s="17">
        <f>AVERAGE(3,6,3)/(0.002*10^-6)</f>
        <v>1999999999.9999998</v>
      </c>
      <c r="C29" s="17">
        <f>2*AVERAGE(1,1,1)/(0.002*10^-6)</f>
        <v>999999999.99999988</v>
      </c>
      <c r="D29" s="17">
        <f t="shared" si="4"/>
        <v>2</v>
      </c>
      <c r="E29" s="17"/>
      <c r="F29" s="17"/>
    </row>
    <row r="30" spans="1:35" x14ac:dyDescent="0.2">
      <c r="A30" s="17" t="s">
        <v>12</v>
      </c>
      <c r="B30" s="17">
        <f>AVERAGE(4,4,7)/(0.002*10^-6)</f>
        <v>2500000000</v>
      </c>
      <c r="C30" s="17">
        <f>2*AVERAGE(1,2,1)/(0.002*10^-6)</f>
        <v>1333333333.3333333</v>
      </c>
      <c r="D30" s="17">
        <f t="shared" si="4"/>
        <v>1.8750000000000002</v>
      </c>
      <c r="E30" s="17">
        <f>AVERAGE(D30:D32)</f>
        <v>1.4472222222222222</v>
      </c>
      <c r="F30" s="17">
        <f>STDEV(D30:D32)</f>
        <v>0.37641707561535342</v>
      </c>
    </row>
    <row r="31" spans="1:35" x14ac:dyDescent="0.2">
      <c r="A31" s="17" t="s">
        <v>13</v>
      </c>
      <c r="B31" s="17">
        <f>AVERAGE(5,4,4)/(0.002*10^-6)</f>
        <v>2166666666.6666665</v>
      </c>
      <c r="C31" s="17">
        <f>2*AVERAGE(2,2,1)/(0.002*10^-6)</f>
        <v>1666666666.6666667</v>
      </c>
      <c r="D31" s="17">
        <f t="shared" si="4"/>
        <v>1.2999999999999998</v>
      </c>
      <c r="E31" s="17"/>
      <c r="F31" s="17"/>
    </row>
    <row r="32" spans="1:35" x14ac:dyDescent="0.2">
      <c r="A32" s="17" t="s">
        <v>14</v>
      </c>
      <c r="B32" s="17">
        <f>AVERAGE(3,2,2)/(0.002*10^-6)</f>
        <v>1166666666.6666667</v>
      </c>
      <c r="C32" s="17">
        <f>2*AVERAGE(1,1,1)/(0.002*10^-6)</f>
        <v>999999999.99999988</v>
      </c>
      <c r="D32" s="17">
        <f t="shared" si="4"/>
        <v>1.166666666666667</v>
      </c>
      <c r="E32" s="17"/>
      <c r="F32" s="17"/>
    </row>
    <row r="34" spans="1:7" x14ac:dyDescent="0.2">
      <c r="A34" t="s">
        <v>17</v>
      </c>
      <c r="B34" t="s">
        <v>0</v>
      </c>
      <c r="C34" t="s">
        <v>1</v>
      </c>
      <c r="D34" t="s">
        <v>18</v>
      </c>
      <c r="E34" t="s">
        <v>19</v>
      </c>
      <c r="F34" t="s">
        <v>20</v>
      </c>
      <c r="G34" t="s">
        <v>50</v>
      </c>
    </row>
    <row r="35" spans="1:7" x14ac:dyDescent="0.2">
      <c r="A35" t="s">
        <v>3</v>
      </c>
      <c r="B35">
        <f>AVERAGE(110,95,75)/(0.002*10^-6)</f>
        <v>46666666666.666664</v>
      </c>
      <c r="C35">
        <f>AVERAGE(1,7,4)/(0.002*10^-2)</f>
        <v>199999.99999999997</v>
      </c>
      <c r="D35">
        <f>B35/C35</f>
        <v>233333.33333333334</v>
      </c>
      <c r="E35">
        <f>AVERAGE(D35:D37)</f>
        <v>177027.77777777778</v>
      </c>
      <c r="F35">
        <f>STDEV(D35:D37)</f>
        <v>63148.652517807692</v>
      </c>
      <c r="G35">
        <f>E35-E2</f>
        <v>177027.4708111595</v>
      </c>
    </row>
    <row r="36" spans="1:7" x14ac:dyDescent="0.2">
      <c r="A36" t="s">
        <v>4</v>
      </c>
      <c r="B36">
        <f>AVERAGE(25,30,32)/(0.002*10^-6)</f>
        <v>14500000000</v>
      </c>
      <c r="C36">
        <f>AVERAGE(3,1,4)/(0.002*10^-2)</f>
        <v>133333.33333333331</v>
      </c>
      <c r="D36">
        <f t="shared" ref="D36:D45" si="5">B36/C36</f>
        <v>108750.00000000001</v>
      </c>
    </row>
    <row r="37" spans="1:7" x14ac:dyDescent="0.2">
      <c r="A37" t="s">
        <v>5</v>
      </c>
      <c r="B37">
        <f>AVERAGE(62,55,72)/(0.002*10^-6)</f>
        <v>31499999999.999996</v>
      </c>
      <c r="C37">
        <f>AVERAGE(1,5,4)/(0.002*10^-2)</f>
        <v>166666.66666666666</v>
      </c>
      <c r="D37">
        <f t="shared" si="5"/>
        <v>189000</v>
      </c>
    </row>
    <row r="38" spans="1:7" x14ac:dyDescent="0.2">
      <c r="A38" t="s">
        <v>6</v>
      </c>
      <c r="B38">
        <f>AVERAGE(6,6,4)/(0.002*10^-6)</f>
        <v>2666666666.6666665</v>
      </c>
      <c r="C38">
        <f>AVERAGE(6,5,8)/(0.002*10^-6)</f>
        <v>3166666666.6666665</v>
      </c>
      <c r="D38">
        <f t="shared" si="5"/>
        <v>0.84210526315789469</v>
      </c>
      <c r="E38">
        <f>AVERAGE(D38:D40)</f>
        <v>0.47823261858349575</v>
      </c>
      <c r="F38">
        <f>STDEV(D38:D40)</f>
        <v>0.37523016270654658</v>
      </c>
      <c r="G38">
        <f>E38-E2</f>
        <v>0.17126600029612277</v>
      </c>
    </row>
    <row r="39" spans="1:7" x14ac:dyDescent="0.2">
      <c r="A39" t="s">
        <v>7</v>
      </c>
      <c r="B39">
        <f>AVERAGE(1,1,3)/(0.002*10^-6)</f>
        <v>833333333.33333337</v>
      </c>
      <c r="C39">
        <f>AVERAGE(18,19,17)/(0.002*10^-6)</f>
        <v>9000000000</v>
      </c>
      <c r="D39">
        <f t="shared" si="5"/>
        <v>9.2592592592592601E-2</v>
      </c>
    </row>
    <row r="40" spans="1:7" x14ac:dyDescent="0.2">
      <c r="A40" t="s">
        <v>8</v>
      </c>
      <c r="B40">
        <f>AVERAGE(3,1,6)/(0.002*10^-6)</f>
        <v>1666666666.6666667</v>
      </c>
      <c r="C40">
        <f>AVERAGE(6,6,8)/(0.002*10^-6)</f>
        <v>3333333333.3333335</v>
      </c>
      <c r="D40">
        <f t="shared" si="5"/>
        <v>0.5</v>
      </c>
    </row>
    <row r="41" spans="1:7" x14ac:dyDescent="0.2">
      <c r="A41" t="s">
        <v>9</v>
      </c>
      <c r="B41">
        <f>AVERAGE(6,2,1)/(0.002*10^-6)</f>
        <v>1500000000</v>
      </c>
      <c r="C41">
        <f>AVERAGE(0,1,2)/(0.002*10^-6)</f>
        <v>499999999.99999994</v>
      </c>
      <c r="D41">
        <f t="shared" si="5"/>
        <v>3.0000000000000004</v>
      </c>
      <c r="E41">
        <f>AVERAGE(D41:D43)</f>
        <v>1.3550724637681162</v>
      </c>
      <c r="F41">
        <f>STDEV(D41:D43)</f>
        <v>1.4249222001999127</v>
      </c>
      <c r="G41">
        <f>E41-E2</f>
        <v>1.0481058454807433</v>
      </c>
    </row>
    <row r="42" spans="1:7" x14ac:dyDescent="0.2">
      <c r="A42" t="s">
        <v>10</v>
      </c>
      <c r="B42">
        <f>AVERAGE(5,1,1)/(0.002*10^-6)</f>
        <v>1166666666.6666667</v>
      </c>
      <c r="C42">
        <f>AVERAGE(6,3,5)/(0.002*10^-6)</f>
        <v>2333333333.3333335</v>
      </c>
      <c r="D42">
        <f t="shared" si="5"/>
        <v>0.5</v>
      </c>
    </row>
    <row r="43" spans="1:7" x14ac:dyDescent="0.2">
      <c r="A43" t="s">
        <v>11</v>
      </c>
      <c r="B43">
        <f>AVERAGE(5,5,3)/(0.002*10^-6)</f>
        <v>2166666666.6666665</v>
      </c>
      <c r="C43">
        <f>AVERAGE(6,7,10)/(0.002*10^-6)</f>
        <v>3833333333.333333</v>
      </c>
      <c r="D43">
        <f t="shared" si="5"/>
        <v>0.56521739130434778</v>
      </c>
    </row>
    <row r="44" spans="1:7" x14ac:dyDescent="0.2">
      <c r="A44" t="s">
        <v>12</v>
      </c>
      <c r="B44">
        <f>AVERAGE(7,12,8)/(0.002*10^-6)</f>
        <v>4500000000</v>
      </c>
      <c r="C44">
        <f>AVERAGE(5,1,4)/(0.002*10^-6)</f>
        <v>1666666666.6666667</v>
      </c>
      <c r="D44">
        <f t="shared" si="5"/>
        <v>2.6999999999999997</v>
      </c>
      <c r="E44">
        <f>AVERAGE(D44:D46)</f>
        <v>4.4648148148148143</v>
      </c>
      <c r="F44">
        <f>STDEV(D44:D46)</f>
        <v>1.7750876637484048</v>
      </c>
      <c r="G44">
        <f>E44-E2</f>
        <v>4.157848196527441</v>
      </c>
    </row>
    <row r="45" spans="1:7" x14ac:dyDescent="0.2">
      <c r="A45" t="s">
        <v>13</v>
      </c>
      <c r="B45">
        <f>AVERAGE(13,25,12)/(0.002*10^-6)</f>
        <v>8333333333.333333</v>
      </c>
      <c r="C45">
        <f>AVERAGE(1,3,4)/(0.002*10^-6)</f>
        <v>1333333333.3333333</v>
      </c>
      <c r="D45">
        <f t="shared" si="5"/>
        <v>6.25</v>
      </c>
    </row>
    <row r="46" spans="1:7" x14ac:dyDescent="0.2">
      <c r="A46" t="s">
        <v>14</v>
      </c>
      <c r="B46">
        <f>AVERAGE(10,19,11)/(0.002*10^-6)</f>
        <v>6666666666.666667</v>
      </c>
      <c r="C46">
        <f>AVERAGE(2,3,4)/(0.002*10^-6)</f>
        <v>1500000000</v>
      </c>
      <c r="D46">
        <f>B46/C46</f>
        <v>4.4444444444444446</v>
      </c>
    </row>
    <row r="48" spans="1:7" x14ac:dyDescent="0.2">
      <c r="A48" t="s">
        <v>38</v>
      </c>
      <c r="B48" t="s">
        <v>0</v>
      </c>
      <c r="C48" t="s">
        <v>1</v>
      </c>
      <c r="D48" t="s">
        <v>18</v>
      </c>
      <c r="E48" t="s">
        <v>19</v>
      </c>
      <c r="F48" t="s">
        <v>20</v>
      </c>
      <c r="G48" t="s">
        <v>50</v>
      </c>
    </row>
    <row r="49" spans="1:7" x14ac:dyDescent="0.2">
      <c r="A49" t="s">
        <v>3</v>
      </c>
      <c r="B49">
        <f>AVERAGE(26,27,28)/(0.002*10^-6)</f>
        <v>13500000000</v>
      </c>
      <c r="C49">
        <f>AVERAGE(6,5,5)/(0.002*10^-2)</f>
        <v>266666.66666666663</v>
      </c>
      <c r="D49">
        <f>B49/C49</f>
        <v>50625.000000000007</v>
      </c>
      <c r="E49">
        <f>AVERAGE(D49:D51)</f>
        <v>803541.66666666663</v>
      </c>
      <c r="F49">
        <f>STDEV(D49:D51)</f>
        <v>775604.68681431608</v>
      </c>
      <c r="G49">
        <f>E49-E2</f>
        <v>803541.35970004834</v>
      </c>
    </row>
    <row r="50" spans="1:7" x14ac:dyDescent="0.2">
      <c r="A50" t="s">
        <v>4</v>
      </c>
      <c r="B50">
        <f>AVERAGE(9,15,14)/(0.002*10^-6)</f>
        <v>6333333333.333333</v>
      </c>
      <c r="C50">
        <f>AVERAGE(2,1,2)/(0.002*10^-1)</f>
        <v>8333.3333333333339</v>
      </c>
      <c r="D50">
        <f t="shared" ref="D50:D60" si="6">B50/C50</f>
        <v>759999.99999999988</v>
      </c>
    </row>
    <row r="51" spans="1:7" x14ac:dyDescent="0.2">
      <c r="A51" t="s">
        <v>5</v>
      </c>
      <c r="B51">
        <f>AVERAGE(11,9,12)/(0.002*10^-6)</f>
        <v>5333333333.333333</v>
      </c>
      <c r="C51">
        <f>AVERAGE(1,1,0)/(0.002*10^-1)</f>
        <v>3333.333333333333</v>
      </c>
      <c r="D51">
        <f t="shared" si="6"/>
        <v>1600000</v>
      </c>
    </row>
    <row r="52" spans="1:7" x14ac:dyDescent="0.2">
      <c r="A52" t="s">
        <v>6</v>
      </c>
      <c r="B52">
        <f>AVERAGE(10,15,8)/(0.002*10^-5)</f>
        <v>550000000</v>
      </c>
      <c r="C52">
        <f>AVERAGE(10,10,10)/(0.002*10^-6)</f>
        <v>5000000000</v>
      </c>
      <c r="D52">
        <f t="shared" si="6"/>
        <v>0.11</v>
      </c>
      <c r="E52">
        <f>AVERAGE(D52:D54)</f>
        <v>0.12671296296296297</v>
      </c>
      <c r="F52">
        <f>STDEV(D52:D54)</f>
        <v>3.2249848469991987E-2</v>
      </c>
      <c r="G52">
        <f>E52-E2</f>
        <v>-0.18025365532441001</v>
      </c>
    </row>
    <row r="53" spans="1:7" x14ac:dyDescent="0.2">
      <c r="A53" t="s">
        <v>7</v>
      </c>
      <c r="B53">
        <f>AVERAGE(7,5,5)/(0.002*10^-5)</f>
        <v>283333333.33333331</v>
      </c>
      <c r="C53">
        <f>AVERAGE(4,9,3)/(0.002*10^-6)</f>
        <v>2666666666.6666665</v>
      </c>
      <c r="D53">
        <f t="shared" si="6"/>
        <v>0.10625</v>
      </c>
    </row>
    <row r="54" spans="1:7" x14ac:dyDescent="0.2">
      <c r="A54" t="s">
        <v>8</v>
      </c>
      <c r="B54">
        <f>AVERAGE(18,23,18)/(0.002*10^-5)</f>
        <v>983333333.33333337</v>
      </c>
      <c r="C54">
        <f>AVERAGE(12,11,13)/(0.002*10^-6)</f>
        <v>6000000000</v>
      </c>
      <c r="D54">
        <f t="shared" si="6"/>
        <v>0.16388888888888889</v>
      </c>
    </row>
    <row r="55" spans="1:7" x14ac:dyDescent="0.2">
      <c r="A55" t="s">
        <v>9</v>
      </c>
      <c r="B55">
        <f>AVERAGE(6,3,13)/(0.002*10^-6)</f>
        <v>3666666666.6666665</v>
      </c>
      <c r="C55">
        <f>AVERAGE(1,1,1)/(0.002*10^-6)</f>
        <v>499999999.99999994</v>
      </c>
      <c r="D55">
        <f t="shared" si="6"/>
        <v>7.3333333333333339</v>
      </c>
      <c r="E55">
        <f>AVERAGE(D55:D57)</f>
        <v>3.2222222222222228</v>
      </c>
      <c r="F55">
        <f>STDEV(D55:D57)</f>
        <v>3.5642255405212091</v>
      </c>
      <c r="G55">
        <f>E55-E2</f>
        <v>2.9152556039348498</v>
      </c>
    </row>
    <row r="56" spans="1:7" x14ac:dyDescent="0.2">
      <c r="A56" t="s">
        <v>10</v>
      </c>
      <c r="B56">
        <f>AVERAGE(20,13,16)/(0.002*10^-6)</f>
        <v>8166666666.666666</v>
      </c>
      <c r="C56">
        <f>AVERAGE(14,14,21)/(0.002*10^-6)</f>
        <v>8166666666.666666</v>
      </c>
      <c r="D56">
        <f t="shared" si="6"/>
        <v>1</v>
      </c>
    </row>
    <row r="57" spans="1:7" x14ac:dyDescent="0.2">
      <c r="A57" t="s">
        <v>11</v>
      </c>
      <c r="B57">
        <f>AVERAGE(0,5,3)/(0.002*10^-6)</f>
        <v>1333333333.3333333</v>
      </c>
      <c r="C57">
        <f>AVERAGE(3,2,1)/(0.002*10^-6)</f>
        <v>999999999.99999988</v>
      </c>
      <c r="D57">
        <f t="shared" si="6"/>
        <v>1.3333333333333335</v>
      </c>
    </row>
    <row r="58" spans="1:7" x14ac:dyDescent="0.2">
      <c r="A58" t="s">
        <v>12</v>
      </c>
      <c r="B58">
        <f>AVERAGE(9,11,9)/(0.002*10^-6)</f>
        <v>4833333333.333333</v>
      </c>
      <c r="C58">
        <f>AVERAGE(1,1,1)/(0.002*10^-6)</f>
        <v>499999999.99999994</v>
      </c>
      <c r="D58">
        <f t="shared" si="6"/>
        <v>9.6666666666666679</v>
      </c>
      <c r="E58">
        <f>AVERAGE(D58:D60)</f>
        <v>4.2048611111111116</v>
      </c>
      <c r="F58">
        <f>STDEV(D58:D60)</f>
        <v>4.7339863167059608</v>
      </c>
      <c r="G58">
        <f>E58-E2</f>
        <v>3.8978944928237387</v>
      </c>
    </row>
    <row r="59" spans="1:7" x14ac:dyDescent="0.2">
      <c r="A59" t="s">
        <v>13</v>
      </c>
      <c r="B59">
        <f>AVERAGE(6,11,13)/(0.002*10^-6)</f>
        <v>5000000000</v>
      </c>
      <c r="C59">
        <f>AVERAGE(4,5,9)/(0.002*10^-6)</f>
        <v>3000000000</v>
      </c>
      <c r="D59">
        <f t="shared" si="6"/>
        <v>1.6666666666666667</v>
      </c>
    </row>
    <row r="60" spans="1:7" x14ac:dyDescent="0.2">
      <c r="A60" t="s">
        <v>14</v>
      </c>
      <c r="B60">
        <f>AVERAGE(0,19,22)/(0.002*10^-6)</f>
        <v>6833333333.333333</v>
      </c>
      <c r="C60">
        <f>AVERAGE(12,9,11)/(0.002*10^-6)</f>
        <v>5333333333.333333</v>
      </c>
      <c r="D60">
        <f t="shared" si="6"/>
        <v>1.28125</v>
      </c>
    </row>
  </sheetData>
  <mergeCells count="4">
    <mergeCell ref="M1:P1"/>
    <mergeCell ref="R1:U1"/>
    <mergeCell ref="M9:P9"/>
    <mergeCell ref="R9:U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23BD-06F2-AF4E-AAF6-76CB248D3103}">
  <dimension ref="A1:V69"/>
  <sheetViews>
    <sheetView topLeftCell="A49" workbookViewId="0">
      <selection activeCell="K55" sqref="K55"/>
    </sheetView>
  </sheetViews>
  <sheetFormatPr baseColWidth="10" defaultRowHeight="16" x14ac:dyDescent="0.2"/>
  <cols>
    <col min="2" max="2" width="12.1640625" bestFit="1" customWidth="1"/>
    <col min="3" max="3" width="11.1640625" bestFit="1" customWidth="1"/>
    <col min="5" max="5" width="11.1640625" bestFit="1" customWidth="1"/>
    <col min="11" max="11" width="11.1640625" bestFit="1" customWidth="1"/>
    <col min="12" max="13" width="12.1640625" bestFit="1" customWidth="1"/>
  </cols>
  <sheetData>
    <row r="1" spans="1:22" ht="34" x14ac:dyDescent="0.2">
      <c r="A1" s="1" t="s">
        <v>2</v>
      </c>
      <c r="B1" s="2" t="s">
        <v>0</v>
      </c>
      <c r="C1" s="2" t="s">
        <v>1</v>
      </c>
      <c r="D1" s="2" t="s">
        <v>33</v>
      </c>
      <c r="F1" s="2" t="s">
        <v>24</v>
      </c>
      <c r="H1" s="3"/>
      <c r="I1" s="4"/>
      <c r="K1" s="1" t="s">
        <v>2</v>
      </c>
      <c r="L1" s="2" t="s">
        <v>0</v>
      </c>
      <c r="M1" s="2" t="s">
        <v>1</v>
      </c>
      <c r="N1" s="2" t="s">
        <v>33</v>
      </c>
      <c r="O1" s="3"/>
      <c r="P1" s="2" t="s">
        <v>24</v>
      </c>
      <c r="Q1" s="3"/>
      <c r="R1" s="3"/>
      <c r="S1" s="4"/>
      <c r="T1" t="s">
        <v>39</v>
      </c>
      <c r="U1" t="s">
        <v>34</v>
      </c>
      <c r="V1" t="s">
        <v>35</v>
      </c>
    </row>
    <row r="2" spans="1:22" x14ac:dyDescent="0.2">
      <c r="A2" s="5" t="s">
        <v>0</v>
      </c>
      <c r="B2" s="6">
        <f>AVERAGE(8,11,7)/(0.002*10^-3)</f>
        <v>4333333.333333333</v>
      </c>
      <c r="C2" s="6"/>
      <c r="D2" s="6">
        <v>0.38200000000000001</v>
      </c>
      <c r="E2" s="6" t="s">
        <v>0</v>
      </c>
      <c r="F2" s="6">
        <f>B2/(B2+C2)</f>
        <v>1</v>
      </c>
      <c r="H2" s="6"/>
      <c r="I2" s="7"/>
      <c r="K2" s="5" t="s">
        <v>0</v>
      </c>
      <c r="L2" s="6">
        <f>AVERAGE(1,2,2)/(0.002*10^-5)</f>
        <v>83333333.333333328</v>
      </c>
      <c r="M2" s="6"/>
      <c r="N2" s="6">
        <v>0.46100000000000002</v>
      </c>
      <c r="O2" s="6" t="s">
        <v>0</v>
      </c>
      <c r="P2" s="6">
        <f>L2/(L2+M2)</f>
        <v>1</v>
      </c>
      <c r="Q2" s="6"/>
      <c r="R2" s="6"/>
      <c r="S2" s="7"/>
      <c r="T2" t="s">
        <v>0</v>
      </c>
      <c r="U2">
        <f>AVERAGE(F2,P2,P27,F27)</f>
        <v>1</v>
      </c>
      <c r="V2">
        <f>STDEV(F2,P2,F27,P27)</f>
        <v>0</v>
      </c>
    </row>
    <row r="3" spans="1:22" x14ac:dyDescent="0.2">
      <c r="A3" s="5" t="s">
        <v>1</v>
      </c>
      <c r="B3" s="6"/>
      <c r="C3" s="6">
        <f>AVERAGE(5,4,8)/(0.002*10^-4)</f>
        <v>28333333.333333332</v>
      </c>
      <c r="D3" s="6">
        <v>0.36799999999999999</v>
      </c>
      <c r="E3" s="6" t="s">
        <v>1</v>
      </c>
      <c r="F3" s="6">
        <f>B3/(C3+B3)</f>
        <v>0</v>
      </c>
      <c r="H3" s="6"/>
      <c r="I3" s="7"/>
      <c r="K3" s="5" t="s">
        <v>1</v>
      </c>
      <c r="L3" s="6"/>
      <c r="M3" s="6">
        <f>AVERAGE(11,12,9)/(0.002*10^-3)</f>
        <v>5333333.333333333</v>
      </c>
      <c r="N3" s="6">
        <v>0.58199999999999996</v>
      </c>
      <c r="O3" s="6" t="s">
        <v>1</v>
      </c>
      <c r="P3" s="6">
        <f>L3/(M3+L3)</f>
        <v>0</v>
      </c>
      <c r="Q3" s="6"/>
      <c r="R3" s="6"/>
      <c r="S3" s="7"/>
      <c r="T3" t="s">
        <v>1</v>
      </c>
      <c r="U3">
        <f>AVERAGE(F3,P3,F28,P28)</f>
        <v>0</v>
      </c>
      <c r="V3">
        <f t="shared" ref="V3:V5" si="0">STDEV(F3,P3,F28,P28)</f>
        <v>0</v>
      </c>
    </row>
    <row r="4" spans="1:22" x14ac:dyDescent="0.2">
      <c r="A4" s="5" t="s">
        <v>21</v>
      </c>
      <c r="B4" s="6">
        <f>AVERAGE(1,1,4)/(0.002*10^-5)</f>
        <v>100000000</v>
      </c>
      <c r="C4" s="6">
        <f>AVERAGE(2,0,1)/(0.002*10^-5)</f>
        <v>50000000</v>
      </c>
      <c r="D4" s="6">
        <v>0.216</v>
      </c>
      <c r="E4" s="6" t="s">
        <v>21</v>
      </c>
      <c r="F4" s="6">
        <f>B4/(C4+B4)</f>
        <v>0.66666666666666663</v>
      </c>
      <c r="H4" s="6"/>
      <c r="I4" s="7"/>
      <c r="K4" s="5" t="s">
        <v>21</v>
      </c>
      <c r="L4" s="6">
        <f>AVERAGE(1,3,3)/(0.002*10^-4)</f>
        <v>11666666.666666666</v>
      </c>
      <c r="M4" s="6">
        <f>AVERAGE(3,0,0)/(0.002*10^-4)</f>
        <v>5000000</v>
      </c>
      <c r="N4" s="6">
        <v>0.152</v>
      </c>
      <c r="O4" s="6" t="s">
        <v>21</v>
      </c>
      <c r="P4" s="6">
        <f>L4/(M4+L4)</f>
        <v>0.7</v>
      </c>
      <c r="Q4" s="6"/>
      <c r="R4" s="6"/>
      <c r="S4" s="7"/>
      <c r="T4" t="s">
        <v>21</v>
      </c>
      <c r="U4">
        <f>AVERAGE(F4,P4,F29,P29)</f>
        <v>0.61089743589743584</v>
      </c>
      <c r="V4">
        <f t="shared" si="0"/>
        <v>8.4741553177747633E-2</v>
      </c>
    </row>
    <row r="5" spans="1:22" x14ac:dyDescent="0.2">
      <c r="A5" s="5" t="s">
        <v>22</v>
      </c>
      <c r="B5" s="6">
        <f>AVERAGE(1,0,1)/(0.002*10^-4)</f>
        <v>3333333.333333333</v>
      </c>
      <c r="C5" s="6"/>
      <c r="D5" s="6">
        <v>0.39300000000000002</v>
      </c>
      <c r="E5" s="6" t="s">
        <v>30</v>
      </c>
      <c r="F5" s="6">
        <f>B5/(C6+B5)</f>
        <v>0.13333333333333333</v>
      </c>
      <c r="H5" s="6"/>
      <c r="I5" s="7"/>
      <c r="K5" s="5" t="s">
        <v>22</v>
      </c>
      <c r="L5" s="6">
        <f>AVERAGE(1,3,0)/(0.002*10^-5)</f>
        <v>66666666.666666664</v>
      </c>
      <c r="M5" s="6"/>
      <c r="N5" s="6">
        <v>0.46100000000000002</v>
      </c>
      <c r="O5" s="6" t="s">
        <v>30</v>
      </c>
      <c r="P5" s="6">
        <f>L5/(M6+L5)</f>
        <v>0.8</v>
      </c>
      <c r="Q5" s="6"/>
      <c r="R5" s="6"/>
      <c r="S5" s="7"/>
      <c r="T5" t="s">
        <v>30</v>
      </c>
      <c r="U5">
        <f>AVERAGE(F5,P5,F30,P30)</f>
        <v>0.45555555555555555</v>
      </c>
      <c r="V5">
        <f t="shared" si="0"/>
        <v>0.27246776529999306</v>
      </c>
    </row>
    <row r="6" spans="1:22" x14ac:dyDescent="0.2">
      <c r="A6" s="5" t="s">
        <v>23</v>
      </c>
      <c r="B6" s="6"/>
      <c r="C6" s="6">
        <f>AVERAGE(2,6,5)/(0.002*10^-4)</f>
        <v>21666666.666666664</v>
      </c>
      <c r="D6" s="6">
        <v>0.36299999999999999</v>
      </c>
      <c r="F6" s="6"/>
      <c r="H6" s="6"/>
      <c r="I6" s="7"/>
      <c r="K6" s="5" t="s">
        <v>23</v>
      </c>
      <c r="L6" s="6"/>
      <c r="M6" s="6">
        <f>AVERAGE(0,0,1)/(0.002*10^-5)</f>
        <v>16666666.666666666</v>
      </c>
      <c r="N6" s="6">
        <v>0.58199999999999996</v>
      </c>
      <c r="O6" s="6"/>
      <c r="P6" s="6"/>
      <c r="Q6" s="6"/>
      <c r="R6" s="6"/>
      <c r="S6" s="7"/>
    </row>
    <row r="7" spans="1:22" x14ac:dyDescent="0.2">
      <c r="A7" s="5"/>
      <c r="B7" s="6"/>
      <c r="C7" s="6"/>
      <c r="D7" s="6"/>
      <c r="E7" s="6"/>
      <c r="F7" s="6"/>
      <c r="G7" s="6"/>
      <c r="H7" s="6"/>
      <c r="I7" s="7"/>
      <c r="K7" s="5"/>
      <c r="L7" s="6"/>
      <c r="M7" s="6"/>
      <c r="N7" s="6"/>
      <c r="O7" s="6"/>
      <c r="P7" s="6"/>
      <c r="Q7" s="6"/>
      <c r="R7" s="6"/>
      <c r="S7" s="7"/>
    </row>
    <row r="8" spans="1:22" ht="34" x14ac:dyDescent="0.2">
      <c r="A8" s="8" t="s">
        <v>15</v>
      </c>
      <c r="B8" s="9" t="s">
        <v>0</v>
      </c>
      <c r="C8" s="9" t="s">
        <v>1</v>
      </c>
      <c r="D8" s="9" t="s">
        <v>24</v>
      </c>
      <c r="E8" s="9" t="s">
        <v>33</v>
      </c>
      <c r="F8" s="9" t="s">
        <v>34</v>
      </c>
      <c r="G8" s="9" t="s">
        <v>35</v>
      </c>
      <c r="H8" s="9" t="s">
        <v>36</v>
      </c>
      <c r="I8" s="10" t="s">
        <v>37</v>
      </c>
      <c r="K8" s="8" t="s">
        <v>16</v>
      </c>
      <c r="L8" s="9" t="s">
        <v>0</v>
      </c>
      <c r="M8" s="9" t="s">
        <v>1</v>
      </c>
      <c r="N8" s="9" t="s">
        <v>24</v>
      </c>
      <c r="O8" s="9" t="s">
        <v>33</v>
      </c>
      <c r="P8" s="9" t="s">
        <v>34</v>
      </c>
      <c r="Q8" s="9" t="s">
        <v>35</v>
      </c>
      <c r="R8" s="9" t="s">
        <v>36</v>
      </c>
      <c r="S8" s="10" t="s">
        <v>37</v>
      </c>
      <c r="T8" s="14" t="s">
        <v>40</v>
      </c>
      <c r="U8" s="14" t="s">
        <v>34</v>
      </c>
      <c r="V8" s="14" t="s">
        <v>35</v>
      </c>
    </row>
    <row r="9" spans="1:22" x14ac:dyDescent="0.2">
      <c r="A9" s="5" t="s">
        <v>3</v>
      </c>
      <c r="B9" s="6">
        <f>AVERAGE(0,2,3)/(0.002*10^-4)</f>
        <v>8333333.333333333</v>
      </c>
      <c r="C9" s="6"/>
      <c r="D9" s="6">
        <f>B9/(C10+B9)</f>
        <v>1</v>
      </c>
      <c r="E9" s="6">
        <v>0.60199999999999998</v>
      </c>
      <c r="F9" s="6">
        <f>AVERAGE(D9:D11)</f>
        <v>1</v>
      </c>
      <c r="G9" s="6">
        <f>STDEV(D9:D11)</f>
        <v>0</v>
      </c>
      <c r="H9" s="6">
        <f>AVERAGE(E9:E11)</f>
        <v>0.59233333333333327</v>
      </c>
      <c r="I9" s="7">
        <f>STDEV(E9:E11)</f>
        <v>0.16171683070519696</v>
      </c>
      <c r="K9" s="5" t="s">
        <v>3</v>
      </c>
      <c r="L9" s="6">
        <f>AVERAGE(2,2,1)/(0.002*10^-4)</f>
        <v>8333333.333333333</v>
      </c>
      <c r="M9" s="6"/>
      <c r="N9" s="6">
        <f>L9/(M10+L9)</f>
        <v>1</v>
      </c>
      <c r="O9" s="6">
        <v>0.185</v>
      </c>
      <c r="P9" s="6">
        <f>AVERAGE(N9:N11)</f>
        <v>1</v>
      </c>
      <c r="Q9" s="6">
        <f>STDEV(N9:N11)</f>
        <v>0</v>
      </c>
      <c r="R9" s="6">
        <f>AVERAGE(O9:O11)</f>
        <v>7.3666666666666672E-2</v>
      </c>
      <c r="S9" s="7">
        <f>STDEV(O9:O11)</f>
        <v>9.7289944667130576E-2</v>
      </c>
      <c r="T9" t="s">
        <v>0</v>
      </c>
      <c r="U9">
        <f>AVERAGE(F9,P9,F34,P34)</f>
        <v>1</v>
      </c>
      <c r="V9">
        <f>STDEV(F9,P9,P34,F34)</f>
        <v>0</v>
      </c>
    </row>
    <row r="10" spans="1:22" x14ac:dyDescent="0.2">
      <c r="A10" s="5" t="s">
        <v>4</v>
      </c>
      <c r="B10" s="6">
        <f>AVERAGE(4,6,5)/(0.002*10^-5)</f>
        <v>250000000</v>
      </c>
      <c r="C10" s="6"/>
      <c r="D10" s="6">
        <f>B10/(C11+B10)</f>
        <v>1</v>
      </c>
      <c r="E10" s="6">
        <v>0.749</v>
      </c>
      <c r="F10" s="6"/>
      <c r="G10" s="6"/>
      <c r="H10" s="6"/>
      <c r="I10" s="7"/>
      <c r="K10" s="5" t="s">
        <v>4</v>
      </c>
      <c r="L10" s="6">
        <f>AVERAGE(3,1,8)/(0.002*10^-3)</f>
        <v>2000000</v>
      </c>
      <c r="M10" s="6"/>
      <c r="N10" s="6">
        <f>L10/(M11+L10)</f>
        <v>1</v>
      </c>
      <c r="O10" s="6">
        <v>3.1E-2</v>
      </c>
      <c r="P10" s="6"/>
      <c r="Q10" s="6"/>
      <c r="R10" s="6"/>
      <c r="S10" s="7"/>
      <c r="T10" t="s">
        <v>41</v>
      </c>
      <c r="U10">
        <f>AVERAGE(F12,P12,F37,P37)</f>
        <v>0</v>
      </c>
      <c r="V10">
        <f>STDEV(F12,P12,F37,P37)</f>
        <v>0</v>
      </c>
    </row>
    <row r="11" spans="1:22" x14ac:dyDescent="0.2">
      <c r="A11" s="5" t="s">
        <v>5</v>
      </c>
      <c r="B11" s="6">
        <f>AVERAGE(0,3,1)/(0.002*10^-5)</f>
        <v>66666666.666666664</v>
      </c>
      <c r="C11" s="6"/>
      <c r="D11" s="6">
        <f t="shared" ref="D11:D24" si="1">B11/(C11+B11)</f>
        <v>1</v>
      </c>
      <c r="E11" s="6">
        <v>0.42599999999999999</v>
      </c>
      <c r="F11" s="6"/>
      <c r="G11" s="6"/>
      <c r="H11" s="6"/>
      <c r="I11" s="7"/>
      <c r="K11" s="5" t="s">
        <v>5</v>
      </c>
      <c r="L11" s="6">
        <f>AVERAGE(8,11,7)/(0.002*10^-3)</f>
        <v>4333333.333333333</v>
      </c>
      <c r="M11" s="6"/>
      <c r="N11" s="6">
        <f t="shared" ref="N11:N24" si="2">L11/(M11+L11)</f>
        <v>1</v>
      </c>
      <c r="O11" s="6">
        <v>5.0000000000000001E-3</v>
      </c>
      <c r="P11" s="6"/>
      <c r="Q11" s="6"/>
      <c r="R11" s="6"/>
      <c r="S11" s="7"/>
      <c r="T11" t="s">
        <v>21</v>
      </c>
      <c r="U11">
        <f>AVERAGE(F15,P15,F40, P40)</f>
        <v>0.54470623859235467</v>
      </c>
      <c r="V11">
        <f>STDEV(F15,P15,F40,P40)</f>
        <v>0.33222994916963083</v>
      </c>
    </row>
    <row r="12" spans="1:22" x14ac:dyDescent="0.2">
      <c r="A12" s="5" t="s">
        <v>6</v>
      </c>
      <c r="B12" s="6"/>
      <c r="C12" s="6">
        <f>AVERAGE(3,1,6)/(0.002*10^-2)</f>
        <v>166666.66666666666</v>
      </c>
      <c r="D12" s="6">
        <f t="shared" si="1"/>
        <v>0</v>
      </c>
      <c r="E12" s="6">
        <v>0.32100000000000001</v>
      </c>
      <c r="F12" s="6">
        <f>AVERAGE(D12:D14)</f>
        <v>0</v>
      </c>
      <c r="G12" s="6">
        <f>STDEV(D12:D14)</f>
        <v>0</v>
      </c>
      <c r="H12" s="6">
        <f>AVERAGE(E12:E14)</f>
        <v>0.39166666666666666</v>
      </c>
      <c r="I12" s="7">
        <f>STDEV(E12:E14)</f>
        <v>6.1719796932048501E-2</v>
      </c>
      <c r="K12" s="5" t="s">
        <v>6</v>
      </c>
      <c r="L12" s="6"/>
      <c r="M12" s="6">
        <f>AVERAGE(6,1,1)/(0.002*10^-6)</f>
        <v>1333333333.3333333</v>
      </c>
      <c r="N12" s="6">
        <f t="shared" si="2"/>
        <v>0</v>
      </c>
      <c r="O12" s="6">
        <v>0.44500000000000001</v>
      </c>
      <c r="P12" s="6">
        <f>AVERAGE(N12:N14)</f>
        <v>0</v>
      </c>
      <c r="Q12" s="6">
        <f>STDEV(N12:N14)</f>
        <v>0</v>
      </c>
      <c r="R12" s="6">
        <f>AVERAGE(O12:O14)</f>
        <v>0.50166666666666659</v>
      </c>
      <c r="S12" s="7">
        <f>STDEV(O12:O14)</f>
        <v>4.9893219312180437E-2</v>
      </c>
      <c r="T12" t="s">
        <v>30</v>
      </c>
      <c r="U12">
        <f>AVERAGE(F18,P18,F43,P43)</f>
        <v>0.79695700254910773</v>
      </c>
      <c r="V12">
        <f>STDEV(F18,P18,F43,P43)</f>
        <v>0.1612126713638328</v>
      </c>
    </row>
    <row r="13" spans="1:22" x14ac:dyDescent="0.2">
      <c r="A13" s="5" t="s">
        <v>7</v>
      </c>
      <c r="B13" s="6"/>
      <c r="C13" s="6">
        <f>AVERAGE(3,8,4)/(0.002*10^-3)</f>
        <v>2500000</v>
      </c>
      <c r="D13" s="6">
        <f t="shared" si="1"/>
        <v>0</v>
      </c>
      <c r="E13" s="6">
        <v>0.435</v>
      </c>
      <c r="F13" s="6"/>
      <c r="G13" s="6"/>
      <c r="H13" s="6"/>
      <c r="I13" s="7"/>
      <c r="K13" s="5" t="s">
        <v>7</v>
      </c>
      <c r="L13" s="6"/>
      <c r="M13" s="6">
        <f>AVERAGE(2,1,1)/(0.002*10^-6)</f>
        <v>666666666.66666663</v>
      </c>
      <c r="N13" s="6">
        <f t="shared" si="2"/>
        <v>0</v>
      </c>
      <c r="O13" s="6">
        <v>0.52100000000000002</v>
      </c>
      <c r="P13" s="6"/>
      <c r="Q13" s="6"/>
      <c r="R13" s="6"/>
      <c r="S13" s="7"/>
      <c r="T13" t="s">
        <v>25</v>
      </c>
      <c r="U13">
        <f>AVERAGE(D21,N21,D46,N46)</f>
        <v>1</v>
      </c>
      <c r="V13">
        <f>STDEV(D21,N21,N46,D46)</f>
        <v>0</v>
      </c>
    </row>
    <row r="14" spans="1:22" x14ac:dyDescent="0.2">
      <c r="A14" s="5" t="s">
        <v>8</v>
      </c>
      <c r="B14" s="6"/>
      <c r="C14" s="6">
        <f>AVERAGE(1,1,3)/(0.002*10^-1)</f>
        <v>8333.3333333333339</v>
      </c>
      <c r="D14" s="6">
        <f t="shared" si="1"/>
        <v>0</v>
      </c>
      <c r="E14" s="6">
        <v>0.41899999999999998</v>
      </c>
      <c r="F14" s="6"/>
      <c r="G14" s="6"/>
      <c r="H14" s="6"/>
      <c r="I14" s="7"/>
      <c r="K14" s="5" t="s">
        <v>8</v>
      </c>
      <c r="L14" s="6"/>
      <c r="M14" s="6">
        <f>AVERAGE(8,5,5)/(0.002*10^-6)</f>
        <v>3000000000</v>
      </c>
      <c r="N14" s="6">
        <f t="shared" si="2"/>
        <v>0</v>
      </c>
      <c r="O14" s="6">
        <v>0.53900000000000003</v>
      </c>
      <c r="P14" s="6"/>
      <c r="Q14" s="6"/>
      <c r="R14" s="6"/>
      <c r="S14" s="7"/>
      <c r="T14" t="s">
        <v>26</v>
      </c>
      <c r="U14">
        <f>AVERAGE(D22,N22,N47,D47)</f>
        <v>0</v>
      </c>
      <c r="V14">
        <f>STDEV(D22,N22,N47,D47)</f>
        <v>0</v>
      </c>
    </row>
    <row r="15" spans="1:22" x14ac:dyDescent="0.2">
      <c r="A15" s="5" t="s">
        <v>9</v>
      </c>
      <c r="B15" s="6">
        <f>AVERAGE(6,7,8)/(0.002*10^-1)</f>
        <v>35000</v>
      </c>
      <c r="C15" s="6">
        <f>AVERAGE(2,4,2)/(0.002*10^-1)</f>
        <v>13333.333333333332</v>
      </c>
      <c r="D15" s="6">
        <f t="shared" si="1"/>
        <v>0.72413793103448287</v>
      </c>
      <c r="E15" s="6">
        <v>4.8999999999999998E-3</v>
      </c>
      <c r="F15" s="6">
        <f>AVERAGE(D15:D17)</f>
        <v>0.73026819923371666</v>
      </c>
      <c r="G15" s="6">
        <f>STDEV(D15:D17)</f>
        <v>6.6877721145313734E-2</v>
      </c>
      <c r="H15" s="6">
        <f>AVERAGE(E15:E17)</f>
        <v>0.1273</v>
      </c>
      <c r="I15" s="7">
        <f>STDEV(E15:E17)</f>
        <v>0.11420407173126536</v>
      </c>
      <c r="K15" s="5" t="s">
        <v>9</v>
      </c>
      <c r="L15" s="6">
        <f>AVERAGE(1,1,0)/(0.002*10^-5)</f>
        <v>33333333.333333332</v>
      </c>
      <c r="M15" s="6">
        <f>AVERAGE(1,0,0)/(0.002*10^-5)</f>
        <v>16666666.666666666</v>
      </c>
      <c r="N15" s="6">
        <f t="shared" si="2"/>
        <v>0.66666666666666663</v>
      </c>
      <c r="O15" s="6">
        <v>0.105</v>
      </c>
      <c r="P15" s="6">
        <f>AVERAGE(N15:N17)</f>
        <v>0.8187134502923975</v>
      </c>
      <c r="Q15" s="6">
        <f>STDEV(N15:N17)</f>
        <v>0.16857936029707177</v>
      </c>
      <c r="R15" s="6">
        <f>AVERAGE(O15:O17)</f>
        <v>0.18266666666666667</v>
      </c>
      <c r="S15" s="7">
        <f>STDEV(O15:O17)</f>
        <v>6.7678159943465654E-2</v>
      </c>
      <c r="T15" t="s">
        <v>42</v>
      </c>
      <c r="U15">
        <f>AVERAGE(D23,N23,D48,N48)</f>
        <v>0.66117216117216127</v>
      </c>
      <c r="V15">
        <f>STDEV(D23,N23,N48,D48)</f>
        <v>0.11900534611533529</v>
      </c>
    </row>
    <row r="16" spans="1:22" x14ac:dyDescent="0.2">
      <c r="A16" s="5" t="s">
        <v>10</v>
      </c>
      <c r="B16" s="6">
        <f>AVERAGE(6,2,0)/(0.002*10^-1)</f>
        <v>13333.333333333332</v>
      </c>
      <c r="C16" s="6">
        <f>AVERAGE(1,1,0)/(0.002*10^-1)</f>
        <v>3333.333333333333</v>
      </c>
      <c r="D16" s="6">
        <f t="shared" si="1"/>
        <v>0.8</v>
      </c>
      <c r="E16" s="6">
        <v>0.14599999999999999</v>
      </c>
      <c r="F16" s="6"/>
      <c r="G16" s="6"/>
      <c r="H16" s="6"/>
      <c r="I16" s="7"/>
      <c r="K16" s="5" t="s">
        <v>10</v>
      </c>
      <c r="L16" s="6">
        <f>AVERAGE(9,12,9)/(0.002*10^-4)</f>
        <v>49999999.999999993</v>
      </c>
      <c r="M16" s="6">
        <f>AVERAGE(2,4,2)/(0.002*10^-4)</f>
        <v>13333333.333333332</v>
      </c>
      <c r="N16" s="6">
        <f t="shared" si="2"/>
        <v>0.78947368421052622</v>
      </c>
      <c r="O16" s="6">
        <v>0.22900000000000001</v>
      </c>
      <c r="P16" s="6"/>
      <c r="Q16" s="6"/>
      <c r="R16" s="6"/>
      <c r="S16" s="7"/>
      <c r="T16" t="s">
        <v>43</v>
      </c>
      <c r="U16">
        <f>AVERAGE(D24,N24,D49,N49)</f>
        <v>0.32434640522875818</v>
      </c>
      <c r="V16">
        <f>STDEV(D24,N24,D49,N49)</f>
        <v>3.2392528760782698E-2</v>
      </c>
    </row>
    <row r="17" spans="1:21" x14ac:dyDescent="0.2">
      <c r="A17" s="5" t="s">
        <v>11</v>
      </c>
      <c r="B17" s="6">
        <f>AVERAGE(5,3,2)/(0.002*10^-1)</f>
        <v>16666.666666666668</v>
      </c>
      <c r="C17" s="6">
        <f>AVERAGE(2,2,1)/(0.002*10^-1)</f>
        <v>8333.3333333333339</v>
      </c>
      <c r="D17" s="6">
        <f t="shared" si="1"/>
        <v>0.66666666666666674</v>
      </c>
      <c r="E17" s="6">
        <v>0.23100000000000001</v>
      </c>
      <c r="F17" s="6"/>
      <c r="G17" s="6"/>
      <c r="H17" s="6"/>
      <c r="I17" s="7"/>
      <c r="K17" s="5" t="s">
        <v>11</v>
      </c>
      <c r="L17" s="6">
        <f>AVERAGE(5,2,1)/(0.002*10^-5)</f>
        <v>133333333.33333333</v>
      </c>
      <c r="M17" s="6">
        <f>AVERAGE(0,0,0)/(0.002*10^-5)</f>
        <v>0</v>
      </c>
      <c r="N17" s="6">
        <f t="shared" si="2"/>
        <v>1</v>
      </c>
      <c r="O17" s="6">
        <v>0.214</v>
      </c>
      <c r="P17" s="6"/>
      <c r="Q17" s="6"/>
      <c r="R17" s="6"/>
      <c r="S17" s="7"/>
    </row>
    <row r="18" spans="1:21" x14ac:dyDescent="0.2">
      <c r="A18" s="5" t="s">
        <v>12</v>
      </c>
      <c r="B18" s="6">
        <f>AVERAGE(10,0,3)/(0.002*10^-4)</f>
        <v>21666666.666666664</v>
      </c>
      <c r="C18" s="6">
        <f>AVERAGE(5,0,1)/(0.002*10^-4)</f>
        <v>10000000</v>
      </c>
      <c r="D18" s="6">
        <f t="shared" si="1"/>
        <v>0.68421052631578949</v>
      </c>
      <c r="E18" s="6">
        <v>0.38400000000000001</v>
      </c>
      <c r="F18" s="6">
        <f>AVERAGE(D18:D20)</f>
        <v>0.6831983805668016</v>
      </c>
      <c r="G18" s="6">
        <f>STDEV(D18:D20)</f>
        <v>6.7313399654525458E-2</v>
      </c>
      <c r="H18" s="6">
        <f>AVERAGE(E18:E20)</f>
        <v>0.26266666666666666</v>
      </c>
      <c r="I18" s="7">
        <f>STDEV(E18:E20)</f>
        <v>0.21887287025424904</v>
      </c>
      <c r="K18" s="5" t="s">
        <v>12</v>
      </c>
      <c r="L18" s="6">
        <f>AVERAGE(1,4,2)/(0.002*10^-6)</f>
        <v>1166666666.6666667</v>
      </c>
      <c r="M18" s="6">
        <f>AVERAGE(1,5,1)/(0.002*10^-6)</f>
        <v>1166666666.6666667</v>
      </c>
      <c r="N18" s="6">
        <f t="shared" si="2"/>
        <v>0.5</v>
      </c>
      <c r="O18" s="6">
        <v>0.67400000000000004</v>
      </c>
      <c r="P18" s="6">
        <f>AVERAGE(N18:N20)</f>
        <v>0.65277777777777779</v>
      </c>
      <c r="Q18" s="6">
        <f>STDEV(N18:N20)</f>
        <v>0.30142408908625984</v>
      </c>
      <c r="R18" s="6">
        <f>AVERAGE(O18:O20)</f>
        <v>0.70333333333333348</v>
      </c>
      <c r="S18" s="7">
        <f>STDEV(O18:O20)</f>
        <v>8.68005376327428E-2</v>
      </c>
      <c r="T18" t="s">
        <v>46</v>
      </c>
      <c r="U18" t="s">
        <v>34</v>
      </c>
    </row>
    <row r="19" spans="1:21" x14ac:dyDescent="0.2">
      <c r="A19" s="5" t="s">
        <v>13</v>
      </c>
      <c r="B19" s="6">
        <f>AVERAGE(6,1,2)/(0.002*10^-4)</f>
        <v>14999999.999999998</v>
      </c>
      <c r="C19" s="6">
        <f>AVERAGE(2,1,0)/(0.002*10^-4)</f>
        <v>5000000</v>
      </c>
      <c r="D19" s="6">
        <f t="shared" si="1"/>
        <v>0.74999999999999989</v>
      </c>
      <c r="E19" s="6">
        <v>0.39400000000000002</v>
      </c>
      <c r="F19" s="6"/>
      <c r="G19" s="6"/>
      <c r="H19" s="6"/>
      <c r="I19" s="7"/>
      <c r="K19" s="5" t="s">
        <v>13</v>
      </c>
      <c r="L19" s="6">
        <f>AVERAGE(3,4,4)/(0.002*10^-5)</f>
        <v>183333333.33333331</v>
      </c>
      <c r="M19" s="6">
        <f>AVERAGE(7,4,2)/(0.002*10^-5)</f>
        <v>216666666.66666666</v>
      </c>
      <c r="N19" s="6">
        <f t="shared" si="2"/>
        <v>0.45833333333333326</v>
      </c>
      <c r="O19" s="6">
        <v>0.80100000000000005</v>
      </c>
      <c r="P19" s="6"/>
      <c r="Q19" s="6"/>
      <c r="R19" s="6"/>
      <c r="S19" s="7"/>
      <c r="T19" t="s">
        <v>21</v>
      </c>
      <c r="U19">
        <f>U11-U4</f>
        <v>-6.6191197305081162E-2</v>
      </c>
    </row>
    <row r="20" spans="1:21" x14ac:dyDescent="0.2">
      <c r="A20" s="5" t="s">
        <v>14</v>
      </c>
      <c r="B20" s="6">
        <f>AVERAGE(1,11,4)/(0.002*10^-3)</f>
        <v>2666666.6666666665</v>
      </c>
      <c r="C20" s="6">
        <f>AVERAGE(0,7,3)/(0.002*10^-3)</f>
        <v>1666666.6666666667</v>
      </c>
      <c r="D20" s="6">
        <f t="shared" si="1"/>
        <v>0.61538461538461542</v>
      </c>
      <c r="E20" s="6">
        <v>0.01</v>
      </c>
      <c r="F20" s="6"/>
      <c r="G20" s="6"/>
      <c r="H20" s="6"/>
      <c r="I20" s="7"/>
      <c r="K20" s="5" t="s">
        <v>14</v>
      </c>
      <c r="L20" s="6">
        <f>AVERAGE(1,4,1)/(0.002*10^-6)</f>
        <v>999999999.99999988</v>
      </c>
      <c r="M20" s="6">
        <f>AVERAGE(0,0,0)/(0.002*10^-6)</f>
        <v>0</v>
      </c>
      <c r="N20" s="6">
        <f t="shared" si="2"/>
        <v>1</v>
      </c>
      <c r="O20" s="6">
        <v>0.63500000000000001</v>
      </c>
      <c r="P20" s="6"/>
      <c r="Q20" s="6"/>
      <c r="R20" s="6"/>
      <c r="S20" s="7"/>
      <c r="T20" t="s">
        <v>30</v>
      </c>
      <c r="U20">
        <f>U12-U5</f>
        <v>0.34140144699355218</v>
      </c>
    </row>
    <row r="21" spans="1:21" x14ac:dyDescent="0.2">
      <c r="A21" s="5" t="s">
        <v>25</v>
      </c>
      <c r="B21" s="6">
        <f>AVERAGE(2,1,1)/(0.002*10^-6)</f>
        <v>666666666.66666663</v>
      </c>
      <c r="C21" s="6"/>
      <c r="D21" s="6">
        <f t="shared" si="1"/>
        <v>1</v>
      </c>
      <c r="E21" s="6">
        <v>0.84899999999999998</v>
      </c>
      <c r="F21" s="6"/>
      <c r="G21" s="6"/>
      <c r="H21" s="6"/>
      <c r="I21" s="7"/>
      <c r="K21" s="5" t="s">
        <v>25</v>
      </c>
      <c r="L21" s="6">
        <f>AVERAGE(4,2,2)/(0.002*10^-6)</f>
        <v>1333333333.3333333</v>
      </c>
      <c r="M21" s="6"/>
      <c r="N21" s="6">
        <f t="shared" si="2"/>
        <v>1</v>
      </c>
      <c r="O21" s="6">
        <v>0.52</v>
      </c>
      <c r="P21" s="6"/>
      <c r="Q21" s="6"/>
      <c r="R21" s="6"/>
      <c r="S21" s="7"/>
      <c r="T21" t="s">
        <v>42</v>
      </c>
      <c r="U21">
        <f>U15-U4</f>
        <v>5.0274725274725429E-2</v>
      </c>
    </row>
    <row r="22" spans="1:21" x14ac:dyDescent="0.2">
      <c r="A22" s="5" t="s">
        <v>26</v>
      </c>
      <c r="B22" s="6"/>
      <c r="C22" s="6">
        <f>AVERAGE(1,0,1)/(0.002*10^-7)</f>
        <v>3333333333.333333</v>
      </c>
      <c r="D22" s="6">
        <f t="shared" si="1"/>
        <v>0</v>
      </c>
      <c r="E22" s="6">
        <v>0.78100000000000003</v>
      </c>
      <c r="F22" s="6"/>
      <c r="G22" s="6"/>
      <c r="H22" s="6"/>
      <c r="I22" s="7"/>
      <c r="K22" s="5" t="s">
        <v>26</v>
      </c>
      <c r="L22" s="6"/>
      <c r="M22" s="6">
        <f>AVERAGE(2,4,0)/(0.002*10^-7)</f>
        <v>10000000000</v>
      </c>
      <c r="N22" s="6">
        <f t="shared" si="2"/>
        <v>0</v>
      </c>
      <c r="O22" s="6">
        <v>0.85</v>
      </c>
      <c r="P22" s="6"/>
      <c r="Q22" s="6"/>
      <c r="R22" s="6"/>
      <c r="S22" s="7"/>
      <c r="T22" t="s">
        <v>43</v>
      </c>
      <c r="U22">
        <f>U16-U5</f>
        <v>-0.13120915032679736</v>
      </c>
    </row>
    <row r="23" spans="1:21" x14ac:dyDescent="0.2">
      <c r="A23" s="5" t="s">
        <v>27</v>
      </c>
      <c r="B23" s="6">
        <f>AVERAGE(0,1,2)/(0.002*10^-6)</f>
        <v>499999999.99999994</v>
      </c>
      <c r="C23" s="6">
        <f>AVERAGE(0,1,2)/(0.002*10^-6)</f>
        <v>499999999.99999994</v>
      </c>
      <c r="D23" s="6">
        <f t="shared" si="1"/>
        <v>0.5</v>
      </c>
      <c r="E23" s="6">
        <v>0.65400000000000003</v>
      </c>
      <c r="F23" s="6"/>
      <c r="G23" s="6"/>
      <c r="H23" s="6"/>
      <c r="I23" s="7"/>
      <c r="K23" s="5" t="s">
        <v>27</v>
      </c>
      <c r="L23" s="6">
        <f>AVERAGE(2,4,2)/(0.002*10^-6)</f>
        <v>1333333333.3333333</v>
      </c>
      <c r="M23" s="6">
        <f>AVERAGE(1,3,0)/(0.002*10^-6)</f>
        <v>666666666.66666663</v>
      </c>
      <c r="N23" s="6">
        <f t="shared" si="2"/>
        <v>0.66666666666666663</v>
      </c>
      <c r="O23" s="6">
        <v>0.83799999999999997</v>
      </c>
      <c r="P23" s="6"/>
      <c r="Q23" s="6"/>
      <c r="R23" s="6"/>
      <c r="S23" s="7"/>
    </row>
    <row r="24" spans="1:21" ht="17" thickBot="1" x14ac:dyDescent="0.25">
      <c r="A24" s="11" t="s">
        <v>28</v>
      </c>
      <c r="B24" s="12">
        <f>AVERAGE(0,4,0)/(0.002*10^-6)</f>
        <v>666666666.66666663</v>
      </c>
      <c r="C24" s="12">
        <f>AVERAGE(5,1,2)/(0.002*10^-6)</f>
        <v>1333333333.3333333</v>
      </c>
      <c r="D24" s="12">
        <f t="shared" si="1"/>
        <v>0.33333333333333331</v>
      </c>
      <c r="E24" s="12">
        <v>0.92</v>
      </c>
      <c r="F24" s="12"/>
      <c r="G24" s="12"/>
      <c r="H24" s="12"/>
      <c r="I24" s="13"/>
      <c r="K24" s="11" t="s">
        <v>28</v>
      </c>
      <c r="L24" s="12">
        <f>AVERAGE(2,0,3)/(0.002*10^-6)</f>
        <v>833333333.33333337</v>
      </c>
      <c r="M24" s="12">
        <f>AVERAGE(6,4,3)/(0.002*10^-6)</f>
        <v>2166666666.6666665</v>
      </c>
      <c r="N24" s="12">
        <f t="shared" si="2"/>
        <v>0.27777777777777779</v>
      </c>
      <c r="O24" s="12">
        <v>0.93400000000000005</v>
      </c>
      <c r="P24" s="12"/>
      <c r="Q24" s="12"/>
      <c r="R24" s="12"/>
      <c r="S24" s="13"/>
    </row>
    <row r="25" spans="1:21" ht="17" thickBot="1" x14ac:dyDescent="0.25"/>
    <row r="26" spans="1:21" ht="34" x14ac:dyDescent="0.2">
      <c r="A26" s="1" t="s">
        <v>2</v>
      </c>
      <c r="B26" s="2" t="s">
        <v>0</v>
      </c>
      <c r="C26" s="2" t="s">
        <v>1</v>
      </c>
      <c r="D26" s="2" t="s">
        <v>33</v>
      </c>
      <c r="E26" s="3"/>
      <c r="F26" s="2" t="s">
        <v>24</v>
      </c>
      <c r="G26" s="3"/>
      <c r="H26" s="3"/>
      <c r="I26" s="4"/>
      <c r="K26" s="1" t="s">
        <v>2</v>
      </c>
      <c r="L26" s="2" t="s">
        <v>0</v>
      </c>
      <c r="M26" s="2" t="s">
        <v>1</v>
      </c>
      <c r="N26" s="2" t="s">
        <v>33</v>
      </c>
      <c r="O26" s="3"/>
      <c r="P26" s="2" t="s">
        <v>24</v>
      </c>
      <c r="Q26" s="3"/>
      <c r="R26" s="3"/>
      <c r="S26" s="4"/>
    </row>
    <row r="27" spans="1:21" x14ac:dyDescent="0.2">
      <c r="A27" s="5" t="s">
        <v>0</v>
      </c>
      <c r="B27" s="6">
        <f>AVERAGE(0,2,2)/(0.002*10^-5)</f>
        <v>66666666.666666664</v>
      </c>
      <c r="C27" s="6"/>
      <c r="D27" s="6">
        <v>0.78100000000000003</v>
      </c>
      <c r="E27" s="6" t="s">
        <v>0</v>
      </c>
      <c r="F27" s="6">
        <f>B27/(B27+C27)</f>
        <v>1</v>
      </c>
      <c r="G27" s="6"/>
      <c r="H27" s="6"/>
      <c r="I27" s="7"/>
      <c r="K27" s="5" t="s">
        <v>0</v>
      </c>
      <c r="L27" s="6">
        <f>AVERAGE(0,2,2)/(0.002*10^-5)</f>
        <v>66666666.666666664</v>
      </c>
      <c r="M27" s="6"/>
      <c r="N27" s="6">
        <v>0.23899999999999999</v>
      </c>
      <c r="O27" s="6" t="s">
        <v>0</v>
      </c>
      <c r="P27" s="6">
        <f>L27/(L27+M27)</f>
        <v>1</v>
      </c>
      <c r="Q27" s="6"/>
      <c r="R27" s="6"/>
      <c r="S27" s="7"/>
    </row>
    <row r="28" spans="1:21" x14ac:dyDescent="0.2">
      <c r="A28" s="5" t="s">
        <v>1</v>
      </c>
      <c r="B28" s="6"/>
      <c r="C28" s="6">
        <f>AVERAGE(4,2,2)/(0.002*10^-5)</f>
        <v>133333333.33333333</v>
      </c>
      <c r="D28" s="6">
        <v>0.65800000000000003</v>
      </c>
      <c r="E28" s="6" t="s">
        <v>1</v>
      </c>
      <c r="F28" s="6">
        <f>B28/(C28+B28)</f>
        <v>0</v>
      </c>
      <c r="G28" s="6"/>
      <c r="H28" s="6"/>
      <c r="I28" s="7"/>
      <c r="K28" s="5" t="s">
        <v>1</v>
      </c>
      <c r="L28" s="6"/>
      <c r="M28" s="6">
        <f>AVERAGE(4,4,2)/(0.002*10^-5)</f>
        <v>166666666.66666666</v>
      </c>
      <c r="N28" s="6">
        <v>0.33</v>
      </c>
      <c r="O28" s="6" t="s">
        <v>1</v>
      </c>
      <c r="P28" s="6">
        <f>L28/(M28+L28)</f>
        <v>0</v>
      </c>
      <c r="Q28" s="6"/>
      <c r="R28" s="6"/>
      <c r="S28" s="7"/>
    </row>
    <row r="29" spans="1:21" x14ac:dyDescent="0.2">
      <c r="A29" s="5" t="s">
        <v>21</v>
      </c>
      <c r="B29" s="6">
        <f>AVERAGE(3,1,3)/(0.002*10^-5)</f>
        <v>116666666.66666667</v>
      </c>
      <c r="C29" s="6">
        <f>AVERAGE(1,3,2)/(0.002*10^-5)</f>
        <v>100000000</v>
      </c>
      <c r="D29" s="6">
        <v>0.183</v>
      </c>
      <c r="E29" s="6" t="s">
        <v>21</v>
      </c>
      <c r="F29" s="6">
        <f>B29/(C29+B29)</f>
        <v>0.53846153846153844</v>
      </c>
      <c r="G29" s="6"/>
      <c r="H29" s="6"/>
      <c r="I29" s="7"/>
      <c r="K29" s="5" t="s">
        <v>21</v>
      </c>
      <c r="L29" s="6">
        <f>AVERAGE(3,1,3)/(0.002*10^-5)</f>
        <v>116666666.66666667</v>
      </c>
      <c r="M29" s="6">
        <f>AVERAGE(1,3,2)/(0.002*10^-5)</f>
        <v>100000000</v>
      </c>
      <c r="N29" s="6">
        <v>0.36699999999999999</v>
      </c>
      <c r="O29" s="6" t="s">
        <v>21</v>
      </c>
      <c r="P29" s="6">
        <f>L29/(M29+L29)</f>
        <v>0.53846153846153844</v>
      </c>
      <c r="Q29" s="6"/>
      <c r="R29" s="6"/>
      <c r="S29" s="7"/>
    </row>
    <row r="30" spans="1:21" x14ac:dyDescent="0.2">
      <c r="A30" s="5" t="s">
        <v>22</v>
      </c>
      <c r="B30" s="6">
        <f>AVERAGE(1,0,3)/(0.002*10^-5)</f>
        <v>66666666.666666664</v>
      </c>
      <c r="C30" s="6"/>
      <c r="D30" s="6">
        <v>0.78100000000000003</v>
      </c>
      <c r="E30" s="6" t="s">
        <v>30</v>
      </c>
      <c r="F30" s="6">
        <f>B30/(C31+B30)</f>
        <v>0.44444444444444442</v>
      </c>
      <c r="G30" s="6"/>
      <c r="H30" s="6"/>
      <c r="I30" s="7"/>
      <c r="K30" s="5" t="s">
        <v>22</v>
      </c>
      <c r="L30" s="6">
        <f>AVERAGE(1,0,3)/(0.002*10^-5)</f>
        <v>66666666.666666664</v>
      </c>
      <c r="M30" s="6"/>
      <c r="N30" s="6">
        <v>0.23899999999999999</v>
      </c>
      <c r="O30" s="6" t="s">
        <v>30</v>
      </c>
      <c r="P30" s="6">
        <f>L30/(M31+L30)</f>
        <v>0.44444444444444442</v>
      </c>
      <c r="Q30" s="6"/>
      <c r="R30" s="6"/>
      <c r="S30" s="7"/>
    </row>
    <row r="31" spans="1:21" x14ac:dyDescent="0.2">
      <c r="A31" s="5" t="s">
        <v>23</v>
      </c>
      <c r="B31" s="6"/>
      <c r="C31" s="6">
        <f>AVERAGE(0,3,2)/(0.002*10^-5)</f>
        <v>83333333.333333328</v>
      </c>
      <c r="D31" s="6">
        <v>0.65800000000000003</v>
      </c>
      <c r="E31" s="6"/>
      <c r="F31" s="6"/>
      <c r="G31" s="6"/>
      <c r="H31" s="6"/>
      <c r="I31" s="7"/>
      <c r="K31" s="5" t="s">
        <v>23</v>
      </c>
      <c r="L31" s="6"/>
      <c r="M31" s="6">
        <f>AVERAGE(0,3,2)/(0.002*10^-5)</f>
        <v>83333333.333333328</v>
      </c>
      <c r="N31" s="6">
        <v>0.33</v>
      </c>
      <c r="O31" s="6"/>
      <c r="P31" s="6"/>
      <c r="Q31" s="6"/>
      <c r="R31" s="6"/>
      <c r="S31" s="7"/>
    </row>
    <row r="32" spans="1:21" x14ac:dyDescent="0.2">
      <c r="A32" s="5"/>
      <c r="B32" s="6"/>
      <c r="C32" s="6"/>
      <c r="D32" s="6"/>
      <c r="E32" s="6"/>
      <c r="F32" s="6"/>
      <c r="G32" s="6"/>
      <c r="H32" s="6"/>
      <c r="I32" s="7"/>
      <c r="K32" s="5"/>
      <c r="L32" s="6"/>
      <c r="M32" s="6"/>
      <c r="N32" s="6"/>
      <c r="O32" s="6"/>
      <c r="P32" s="6"/>
      <c r="Q32" s="6"/>
      <c r="R32" s="6"/>
      <c r="S32" s="7"/>
    </row>
    <row r="33" spans="1:19" ht="34" x14ac:dyDescent="0.2">
      <c r="A33" s="8" t="s">
        <v>17</v>
      </c>
      <c r="B33" s="9" t="s">
        <v>0</v>
      </c>
      <c r="C33" s="9" t="s">
        <v>1</v>
      </c>
      <c r="D33" s="9" t="s">
        <v>24</v>
      </c>
      <c r="E33" s="9" t="s">
        <v>33</v>
      </c>
      <c r="F33" s="9" t="s">
        <v>34</v>
      </c>
      <c r="G33" s="9" t="s">
        <v>35</v>
      </c>
      <c r="H33" s="9" t="s">
        <v>36</v>
      </c>
      <c r="I33" s="10" t="s">
        <v>37</v>
      </c>
      <c r="K33" s="8" t="s">
        <v>38</v>
      </c>
      <c r="L33" s="9" t="s">
        <v>0</v>
      </c>
      <c r="M33" s="9" t="s">
        <v>1</v>
      </c>
      <c r="N33" s="9" t="s">
        <v>24</v>
      </c>
      <c r="O33" s="9" t="s">
        <v>33</v>
      </c>
      <c r="P33" s="9" t="s">
        <v>34</v>
      </c>
      <c r="Q33" s="9" t="s">
        <v>35</v>
      </c>
      <c r="R33" s="9" t="s">
        <v>36</v>
      </c>
      <c r="S33" s="10" t="s">
        <v>37</v>
      </c>
    </row>
    <row r="34" spans="1:19" x14ac:dyDescent="0.2">
      <c r="A34" s="5" t="s">
        <v>3</v>
      </c>
      <c r="B34" s="6">
        <f>AVERAGE(3,6,0)/(0.002*10^-5)</f>
        <v>150000000</v>
      </c>
      <c r="C34" s="6"/>
      <c r="D34" s="6">
        <f>B34/(C35+B34)</f>
        <v>1</v>
      </c>
      <c r="E34" s="6">
        <v>0.38700000000000001</v>
      </c>
      <c r="F34" s="6">
        <f>AVERAGE(D34:D36)</f>
        <v>1</v>
      </c>
      <c r="G34" s="6">
        <f>STDEV(D34:D36)</f>
        <v>0</v>
      </c>
      <c r="H34" s="6">
        <f>AVERAGE(E34:E36)</f>
        <v>0.53200000000000003</v>
      </c>
      <c r="I34" s="7">
        <f>STDEV(E34:E36)</f>
        <v>0.1279413928328122</v>
      </c>
      <c r="K34" s="5" t="s">
        <v>3</v>
      </c>
      <c r="L34" s="6">
        <f>AVERAGE(11,6,11)/(0.002*10^-6)</f>
        <v>4666666666.666667</v>
      </c>
      <c r="M34" s="6"/>
      <c r="N34" s="6">
        <f>L34/(M35+L34)</f>
        <v>1</v>
      </c>
      <c r="O34" s="6">
        <v>0.437</v>
      </c>
      <c r="P34" s="6">
        <f>AVERAGE(N34:N36)</f>
        <v>1</v>
      </c>
      <c r="Q34" s="6">
        <f>STDEV(N34:N36)</f>
        <v>0</v>
      </c>
      <c r="R34" s="6">
        <f>AVERAGE(O34:O36)</f>
        <v>0.4486666666666666</v>
      </c>
      <c r="S34" s="7">
        <f>STDEV(O34:O36)</f>
        <v>3.4034296427770228E-2</v>
      </c>
    </row>
    <row r="35" spans="1:19" x14ac:dyDescent="0.2">
      <c r="A35" s="5" t="s">
        <v>4</v>
      </c>
      <c r="B35" s="6">
        <f>AVERAGE(9,11,11)/(0.002*10^-5)</f>
        <v>516666666.66666669</v>
      </c>
      <c r="C35" s="6"/>
      <c r="D35" s="6">
        <f>B35/(C36+B35)</f>
        <v>1</v>
      </c>
      <c r="E35" s="6">
        <v>0.629</v>
      </c>
      <c r="F35" s="6"/>
      <c r="G35" s="6"/>
      <c r="H35" s="6"/>
      <c r="I35" s="7"/>
      <c r="K35" s="5" t="s">
        <v>4</v>
      </c>
      <c r="L35" s="6">
        <f>AVERAGE(0,4,1)/(0.002*10^-6)</f>
        <v>833333333.33333337</v>
      </c>
      <c r="M35" s="6"/>
      <c r="N35" s="6">
        <f>L35/(M36+L35)</f>
        <v>1</v>
      </c>
      <c r="O35" s="6">
        <v>0.48699999999999999</v>
      </c>
      <c r="P35" s="6"/>
      <c r="Q35" s="6"/>
      <c r="R35" s="6"/>
      <c r="S35" s="7"/>
    </row>
    <row r="36" spans="1:19" x14ac:dyDescent="0.2">
      <c r="A36" s="5" t="s">
        <v>5</v>
      </c>
      <c r="B36" s="6">
        <f>AVERAGE(1,1,2)/(0.002*10^-6)</f>
        <v>666666666.66666663</v>
      </c>
      <c r="C36" s="6"/>
      <c r="D36" s="6">
        <f t="shared" ref="D36:D49" si="3">B36/(C36+B36)</f>
        <v>1</v>
      </c>
      <c r="E36" s="6">
        <v>0.57999999999999996</v>
      </c>
      <c r="F36" s="6"/>
      <c r="G36" s="6"/>
      <c r="H36" s="6"/>
      <c r="I36" s="7"/>
      <c r="K36" s="5" t="s">
        <v>5</v>
      </c>
      <c r="L36" s="6">
        <f>AVERAGE(4,7,4)/(0.002*10^-6)</f>
        <v>2500000000</v>
      </c>
      <c r="M36" s="6"/>
      <c r="N36" s="6">
        <f t="shared" ref="N36:N49" si="4">L36/(M36+L36)</f>
        <v>1</v>
      </c>
      <c r="O36" s="6">
        <v>0.42199999999999999</v>
      </c>
      <c r="P36" s="6"/>
      <c r="Q36" s="6"/>
      <c r="R36" s="6"/>
      <c r="S36" s="7"/>
    </row>
    <row r="37" spans="1:19" x14ac:dyDescent="0.2">
      <c r="A37" s="5" t="s">
        <v>6</v>
      </c>
      <c r="B37" s="6"/>
      <c r="C37" s="6">
        <f>AVERAGE(1,3,2)/(0.002*10^-4)</f>
        <v>10000000</v>
      </c>
      <c r="D37" s="6">
        <f t="shared" si="3"/>
        <v>0</v>
      </c>
      <c r="E37" s="6">
        <v>0.438</v>
      </c>
      <c r="F37" s="6">
        <f>AVERAGE(D37:D39)</f>
        <v>0</v>
      </c>
      <c r="G37" s="6">
        <f>STDEV(D37:D39)</f>
        <v>0</v>
      </c>
      <c r="H37" s="6">
        <f>AVERAGE(E37:E39)</f>
        <v>0.51500000000000001</v>
      </c>
      <c r="I37" s="7">
        <f>STDEV(E37:E39)</f>
        <v>0.18307648674802551</v>
      </c>
      <c r="K37" s="5" t="s">
        <v>6</v>
      </c>
      <c r="L37" s="6"/>
      <c r="M37" s="6">
        <f>AVERAGE(8,8,4)/(0.002*10^-2)</f>
        <v>333333.33333333331</v>
      </c>
      <c r="N37" s="6">
        <f t="shared" si="4"/>
        <v>0</v>
      </c>
      <c r="O37" s="16">
        <v>1.2E-2</v>
      </c>
      <c r="P37" s="6">
        <f>AVERAGE(N37:N39)</f>
        <v>0</v>
      </c>
      <c r="Q37" s="6">
        <f>STDEV(N37:N39)</f>
        <v>0</v>
      </c>
      <c r="R37" s="6">
        <f>AVERAGE(O37:O39)</f>
        <v>0.26966666666666667</v>
      </c>
      <c r="S37" s="7">
        <f>STDEV(O37:O39)</f>
        <v>0.44369621739804516</v>
      </c>
    </row>
    <row r="38" spans="1:19" x14ac:dyDescent="0.2">
      <c r="A38" s="5" t="s">
        <v>7</v>
      </c>
      <c r="B38" s="6"/>
      <c r="C38" s="6">
        <f>AVERAGE(2,1,2)/(0.002*10^-6)</f>
        <v>833333333.33333337</v>
      </c>
      <c r="D38" s="6">
        <f t="shared" si="3"/>
        <v>0</v>
      </c>
      <c r="E38" s="6">
        <v>0.72399999999999998</v>
      </c>
      <c r="F38" s="6"/>
      <c r="G38" s="6"/>
      <c r="H38" s="6"/>
      <c r="I38" s="7"/>
      <c r="K38" s="5" t="s">
        <v>7</v>
      </c>
      <c r="L38" s="6"/>
      <c r="M38" s="6">
        <f>AVERAGE(6,10,5)/(0.002*10^-5)</f>
        <v>350000000</v>
      </c>
      <c r="N38" s="6">
        <f t="shared" si="4"/>
        <v>0</v>
      </c>
      <c r="O38" s="16">
        <v>0.78200000000000003</v>
      </c>
      <c r="P38" s="6"/>
      <c r="Q38" s="6"/>
      <c r="R38" s="6"/>
      <c r="S38" s="7"/>
    </row>
    <row r="39" spans="1:19" x14ac:dyDescent="0.2">
      <c r="A39" s="5" t="s">
        <v>8</v>
      </c>
      <c r="B39" s="6"/>
      <c r="C39" s="6">
        <f>AVERAGE(1,1,1)/(0.002*10^-4)</f>
        <v>5000000</v>
      </c>
      <c r="D39" s="6">
        <f t="shared" si="3"/>
        <v>0</v>
      </c>
      <c r="E39" s="6">
        <v>0.38300000000000001</v>
      </c>
      <c r="F39" s="6"/>
      <c r="G39" s="6"/>
      <c r="H39" s="6"/>
      <c r="I39" s="7"/>
      <c r="K39" s="5" t="s">
        <v>8</v>
      </c>
      <c r="L39" s="6"/>
      <c r="M39" s="6">
        <f>AVERAGE(3,2,4)/(0.002*10^-2)</f>
        <v>150000</v>
      </c>
      <c r="N39" s="6">
        <f t="shared" si="4"/>
        <v>0</v>
      </c>
      <c r="O39" s="16">
        <v>1.4999999999999999E-2</v>
      </c>
      <c r="P39" s="6"/>
      <c r="Q39" s="6"/>
      <c r="R39" s="6"/>
      <c r="S39" s="7"/>
    </row>
    <row r="40" spans="1:19" x14ac:dyDescent="0.2">
      <c r="A40" s="5" t="s">
        <v>9</v>
      </c>
      <c r="B40" s="6">
        <f>AVERAGE(0,0,0)/(0.002*10^-4)</f>
        <v>0</v>
      </c>
      <c r="C40" s="6">
        <f>AVERAGE(3,2,1)/(0.002*10^-4)</f>
        <v>10000000</v>
      </c>
      <c r="D40" s="6">
        <f t="shared" si="3"/>
        <v>0</v>
      </c>
      <c r="E40" s="6">
        <v>0.215</v>
      </c>
      <c r="F40" s="6">
        <f>AVERAGE(D40:D42)</f>
        <v>7.407407407407407E-2</v>
      </c>
      <c r="G40" s="6">
        <f>STDEV(D40:D42)</f>
        <v>0.12830005981991685</v>
      </c>
      <c r="H40" s="6">
        <f>AVERAGE(E40:E42)</f>
        <v>0.2213333333333333</v>
      </c>
      <c r="I40" s="7">
        <f>STDEV(E40:E42)</f>
        <v>1.2741009902410925E-2</v>
      </c>
      <c r="K40" s="5" t="s">
        <v>9</v>
      </c>
      <c r="L40" s="6">
        <f>AVERAGE(4,2,3)/(0.002*10^-2)</f>
        <v>150000</v>
      </c>
      <c r="M40" s="6">
        <f>AVERAGE(2,1,1)/(0.002*10^-2)</f>
        <v>66666.666666666657</v>
      </c>
      <c r="N40" s="6">
        <f t="shared" si="4"/>
        <v>0.69230769230769229</v>
      </c>
      <c r="O40" s="16">
        <v>9.1999999999999998E-2</v>
      </c>
      <c r="P40" s="6">
        <f>AVERAGE(N40:N42)</f>
        <v>0.55576923076923079</v>
      </c>
      <c r="Q40" s="6">
        <f>STDEV(N40:N42)</f>
        <v>0.16321247994399049</v>
      </c>
      <c r="R40" s="6">
        <f>AVERAGE(O40:O42)</f>
        <v>0.17533333333333331</v>
      </c>
      <c r="S40" s="7">
        <f>STDEV(O40:O42)</f>
        <v>0.14868871286460628</v>
      </c>
    </row>
    <row r="41" spans="1:19" x14ac:dyDescent="0.2">
      <c r="A41" s="5" t="s">
        <v>10</v>
      </c>
      <c r="B41" s="6">
        <f>AVERAGE(1,0,1)/(0.002*10^-4)</f>
        <v>3333333.333333333</v>
      </c>
      <c r="C41" s="6">
        <f>AVERAGE(1,4,2)/(0.002*10^-4)</f>
        <v>11666666.666666666</v>
      </c>
      <c r="D41" s="6">
        <f t="shared" si="3"/>
        <v>0.22222222222222221</v>
      </c>
      <c r="E41" s="6">
        <v>0.23599999999999999</v>
      </c>
      <c r="F41" s="6"/>
      <c r="G41" s="6"/>
      <c r="H41" s="6"/>
      <c r="I41" s="7"/>
      <c r="K41" s="5" t="s">
        <v>10</v>
      </c>
      <c r="L41" s="6">
        <f>AVERAGE(2,3,1)/(0.002*10^-1)</f>
        <v>10000</v>
      </c>
      <c r="M41" s="6">
        <f>AVERAGE(3,1,0)/(0.002*10^-1)</f>
        <v>6666.6666666666661</v>
      </c>
      <c r="N41" s="6">
        <f t="shared" si="4"/>
        <v>0.60000000000000009</v>
      </c>
      <c r="O41" s="16">
        <v>0.34699999999999998</v>
      </c>
      <c r="P41" s="6"/>
      <c r="Q41" s="6"/>
      <c r="R41" s="6"/>
      <c r="S41" s="7"/>
    </row>
    <row r="42" spans="1:19" x14ac:dyDescent="0.2">
      <c r="A42" s="5" t="s">
        <v>11</v>
      </c>
      <c r="B42" s="6">
        <f>AVERAGE(0,0,0)/(0.002*10^-4)</f>
        <v>0</v>
      </c>
      <c r="C42" s="6">
        <f>AVERAGE(5,2,2)/(0.002*10^-4)</f>
        <v>14999999.999999998</v>
      </c>
      <c r="D42" s="6">
        <f t="shared" si="3"/>
        <v>0</v>
      </c>
      <c r="E42" s="6">
        <v>0.21299999999999999</v>
      </c>
      <c r="F42" s="6"/>
      <c r="G42" s="6"/>
      <c r="H42" s="6"/>
      <c r="I42" s="7"/>
      <c r="K42" s="5" t="s">
        <v>11</v>
      </c>
      <c r="L42" s="6">
        <f>AVERAGE(1,4,1)/(0.002*10^-2)</f>
        <v>99999.999999999985</v>
      </c>
      <c r="M42" s="6">
        <f>AVERAGE(6,2,2)/(0.002*10^-2)</f>
        <v>166666.66666666666</v>
      </c>
      <c r="N42" s="6">
        <f t="shared" si="4"/>
        <v>0.375</v>
      </c>
      <c r="O42" s="16">
        <v>8.6999999999999994E-2</v>
      </c>
      <c r="P42" s="6"/>
      <c r="Q42" s="6"/>
      <c r="R42" s="6"/>
      <c r="S42" s="7"/>
    </row>
    <row r="43" spans="1:19" x14ac:dyDescent="0.2">
      <c r="A43" s="5" t="s">
        <v>12</v>
      </c>
      <c r="B43" s="6">
        <f>AVERAGE(6,1,1)/(0.002*10^-6)</f>
        <v>1333333333.3333333</v>
      </c>
      <c r="C43" s="6">
        <f>AVERAGE(0,0,0)/(0.002*10^-6)</f>
        <v>0</v>
      </c>
      <c r="D43" s="6">
        <f t="shared" si="3"/>
        <v>1</v>
      </c>
      <c r="E43" s="6">
        <v>0.68799999999999994</v>
      </c>
      <c r="F43" s="6">
        <f>AVERAGE(D43:D45)</f>
        <v>1</v>
      </c>
      <c r="G43" s="6">
        <f>STDEV(D43:D45)</f>
        <v>0</v>
      </c>
      <c r="H43" s="6">
        <f>AVERAGE(E43:E45)</f>
        <v>0.64733333333333343</v>
      </c>
      <c r="I43" s="7">
        <f>STDEV(E43:E45)</f>
        <v>7.8360279053442158E-2</v>
      </c>
      <c r="K43" s="5" t="s">
        <v>12</v>
      </c>
      <c r="L43" s="6">
        <f>AVERAGE(2,1,0)/(0.002*10^-6)</f>
        <v>499999999.99999994</v>
      </c>
      <c r="M43" s="6">
        <f>AVERAGE(0,0,0)/(0.002*10^-6)</f>
        <v>0</v>
      </c>
      <c r="N43" s="6">
        <f t="shared" si="4"/>
        <v>1</v>
      </c>
      <c r="O43" s="16">
        <v>0.875</v>
      </c>
      <c r="P43" s="6">
        <f>AVERAGE(N43:N45)</f>
        <v>0.85185185185185175</v>
      </c>
      <c r="Q43" s="6">
        <f>STDEV(N43:N45)</f>
        <v>0.25660011963983398</v>
      </c>
      <c r="R43" s="6">
        <f>AVERAGE(O43:O45)</f>
        <v>0.95500000000000007</v>
      </c>
      <c r="S43" s="7">
        <f>STDEV(O43:O45)</f>
        <v>9.5000000000000029E-2</v>
      </c>
    </row>
    <row r="44" spans="1:19" x14ac:dyDescent="0.2">
      <c r="A44" s="5" t="s">
        <v>13</v>
      </c>
      <c r="B44" s="6">
        <f>AVERAGE(6,8,2)/(0.002*10^-5)</f>
        <v>266666666.66666666</v>
      </c>
      <c r="C44" s="6">
        <f>AVERAGE(0,0,0)/(0.002*10^-5)</f>
        <v>0</v>
      </c>
      <c r="D44" s="6">
        <f t="shared" si="3"/>
        <v>1</v>
      </c>
      <c r="E44" s="6">
        <v>0.55700000000000005</v>
      </c>
      <c r="F44" s="6"/>
      <c r="G44" s="6"/>
      <c r="H44" s="6"/>
      <c r="I44" s="7"/>
      <c r="K44" s="5" t="s">
        <v>13</v>
      </c>
      <c r="L44" s="6">
        <f>AVERAGE(2,2,1)/(0.002*10^-6)</f>
        <v>833333333.33333337</v>
      </c>
      <c r="M44" s="6">
        <f>AVERAGE(1,0,3)/(0.002*10^-6)</f>
        <v>666666666.66666663</v>
      </c>
      <c r="N44" s="6">
        <f t="shared" si="4"/>
        <v>0.55555555555555558</v>
      </c>
      <c r="O44" s="16">
        <v>1.06</v>
      </c>
      <c r="P44" s="6"/>
      <c r="Q44" s="6"/>
      <c r="R44" s="6"/>
      <c r="S44" s="7"/>
    </row>
    <row r="45" spans="1:19" x14ac:dyDescent="0.2">
      <c r="A45" s="5" t="s">
        <v>14</v>
      </c>
      <c r="B45" s="6">
        <f>AVERAGE(5,3,10)/(0.002*10^-5)</f>
        <v>300000000</v>
      </c>
      <c r="C45" s="6">
        <f>AVERAGE(0,0,0)/(0.002*10^-5)</f>
        <v>0</v>
      </c>
      <c r="D45" s="6">
        <f t="shared" si="3"/>
        <v>1</v>
      </c>
      <c r="E45" s="6">
        <v>0.69699999999999995</v>
      </c>
      <c r="F45" s="6"/>
      <c r="G45" s="6"/>
      <c r="H45" s="6"/>
      <c r="I45" s="7"/>
      <c r="K45" s="5" t="s">
        <v>14</v>
      </c>
      <c r="L45" s="6">
        <f>AVERAGE(2,2,2)/(0.002*10^-6)</f>
        <v>999999999.99999988</v>
      </c>
      <c r="M45" s="6">
        <f>AVERAGE(0,0,0)/(0.002*10^-6)</f>
        <v>0</v>
      </c>
      <c r="N45" s="6">
        <f t="shared" si="4"/>
        <v>1</v>
      </c>
      <c r="O45" s="16">
        <v>0.93</v>
      </c>
      <c r="P45" s="6"/>
      <c r="Q45" s="6"/>
      <c r="R45" s="6"/>
      <c r="S45" s="7"/>
    </row>
    <row r="46" spans="1:19" x14ac:dyDescent="0.2">
      <c r="A46" s="5" t="s">
        <v>25</v>
      </c>
      <c r="B46" s="6">
        <f>AVERAGE(1,2,0)/(0.002*10^-6)</f>
        <v>499999999.99999994</v>
      </c>
      <c r="C46" s="6"/>
      <c r="D46" s="6">
        <f t="shared" si="3"/>
        <v>1</v>
      </c>
      <c r="E46" s="6">
        <v>0.76100000000000001</v>
      </c>
      <c r="F46" s="6"/>
      <c r="G46" s="6"/>
      <c r="H46" s="6"/>
      <c r="I46" s="7"/>
      <c r="K46" s="5" t="s">
        <v>25</v>
      </c>
      <c r="L46" s="6">
        <f>AVERAGE(11,12,19)/(0.002*10^-5)</f>
        <v>700000000</v>
      </c>
      <c r="M46" s="6"/>
      <c r="N46" s="6">
        <f t="shared" si="4"/>
        <v>1</v>
      </c>
      <c r="O46" s="16">
        <v>0.47799999999999998</v>
      </c>
      <c r="P46" s="6"/>
      <c r="Q46" s="6"/>
      <c r="R46" s="6"/>
      <c r="S46" s="7"/>
    </row>
    <row r="47" spans="1:19" x14ac:dyDescent="0.2">
      <c r="A47" s="5" t="s">
        <v>26</v>
      </c>
      <c r="B47" s="6"/>
      <c r="C47" s="6">
        <f>AVERAGE(3,6,3)/(0.002*10^-6)</f>
        <v>1999999999.9999998</v>
      </c>
      <c r="D47" s="6">
        <f t="shared" si="3"/>
        <v>0</v>
      </c>
      <c r="E47" s="6">
        <v>0.80200000000000005</v>
      </c>
      <c r="F47" s="6"/>
      <c r="G47" s="6"/>
      <c r="H47" s="6"/>
      <c r="I47" s="7"/>
      <c r="K47" s="5" t="s">
        <v>26</v>
      </c>
      <c r="L47" s="6"/>
      <c r="M47" s="6">
        <f>AVERAGE(1,0,1)/(0.002*10^-6)</f>
        <v>333333333.33333331</v>
      </c>
      <c r="N47" s="6">
        <f t="shared" si="4"/>
        <v>0</v>
      </c>
      <c r="O47" s="16">
        <v>0.872</v>
      </c>
      <c r="P47" s="6"/>
      <c r="Q47" s="6"/>
      <c r="R47" s="6"/>
      <c r="S47" s="7"/>
    </row>
    <row r="48" spans="1:19" x14ac:dyDescent="0.2">
      <c r="A48" s="5" t="s">
        <v>27</v>
      </c>
      <c r="B48" s="6">
        <f>AVERAGE(5,1,3)/(0.002*10^-6)</f>
        <v>1500000000</v>
      </c>
      <c r="C48" s="6">
        <f>AVERAGE(0,3,1)/(0.002*10^-6)</f>
        <v>666666666.66666663</v>
      </c>
      <c r="D48" s="6">
        <f t="shared" si="3"/>
        <v>0.6923076923076924</v>
      </c>
      <c r="E48" s="6">
        <v>0.73699999999999999</v>
      </c>
      <c r="F48" s="6"/>
      <c r="G48" s="6"/>
      <c r="H48" s="6"/>
      <c r="I48" s="7"/>
      <c r="K48" s="5" t="s">
        <v>27</v>
      </c>
      <c r="L48" s="6">
        <f>AVERAGE(3,5,3)/(0.002*10^-6)</f>
        <v>1833333333.3333333</v>
      </c>
      <c r="M48" s="6">
        <f>AVERAGE(0,1,2)/(0.002*10^-6)</f>
        <v>499999999.99999994</v>
      </c>
      <c r="N48" s="6">
        <f t="shared" si="4"/>
        <v>0.78571428571428581</v>
      </c>
      <c r="O48" s="16">
        <v>0.69599999999999995</v>
      </c>
      <c r="P48" s="6"/>
      <c r="Q48" s="6"/>
      <c r="R48" s="6"/>
      <c r="S48" s="7"/>
    </row>
    <row r="49" spans="1:19" ht="17" thickBot="1" x14ac:dyDescent="0.25">
      <c r="A49" s="11" t="s">
        <v>28</v>
      </c>
      <c r="B49" s="12">
        <f>AVERAGE(2,2,3)/(0.002*10^-6)</f>
        <v>1166666666.6666667</v>
      </c>
      <c r="C49" s="12">
        <f>AVERAGE(8,4,2)/(0.002*10^-6)</f>
        <v>2333333333.3333335</v>
      </c>
      <c r="D49" s="12">
        <f t="shared" si="3"/>
        <v>0.33333333333333337</v>
      </c>
      <c r="E49" s="12">
        <v>0.90100000000000002</v>
      </c>
      <c r="F49" s="12"/>
      <c r="G49" s="12"/>
      <c r="H49" s="12"/>
      <c r="I49" s="13"/>
      <c r="K49" s="11" t="s">
        <v>28</v>
      </c>
      <c r="L49" s="12">
        <f>AVERAGE(1,0,5)/(0.002*10^-6)</f>
        <v>999999999.99999988</v>
      </c>
      <c r="M49" s="12">
        <f>AVERAGE(4,3,4)/(0.002*10^-6)</f>
        <v>1833333333.3333333</v>
      </c>
      <c r="N49" s="12">
        <f t="shared" si="4"/>
        <v>0.35294117647058826</v>
      </c>
      <c r="O49" s="12">
        <v>0.81799999999999995</v>
      </c>
      <c r="P49" s="12"/>
      <c r="Q49" s="12"/>
      <c r="R49" s="12"/>
      <c r="S49" s="13"/>
    </row>
    <row r="52" spans="1:19" x14ac:dyDescent="0.2">
      <c r="K52" t="s">
        <v>0</v>
      </c>
      <c r="L52" t="s">
        <v>1</v>
      </c>
    </row>
    <row r="53" spans="1:19" x14ac:dyDescent="0.2">
      <c r="D53" t="s">
        <v>47</v>
      </c>
      <c r="E53" t="s">
        <v>0</v>
      </c>
      <c r="F53" t="s">
        <v>1</v>
      </c>
      <c r="J53" t="s">
        <v>48</v>
      </c>
      <c r="K53">
        <f>G54</f>
        <v>806083333.33333337</v>
      </c>
      <c r="L53">
        <v>516790972.22222215</v>
      </c>
    </row>
    <row r="54" spans="1:19" x14ac:dyDescent="0.2">
      <c r="D54" s="5" t="s">
        <v>3</v>
      </c>
      <c r="E54">
        <f>AVERAGE(B34,B9,L9,L34)</f>
        <v>1208333333.3333335</v>
      </c>
      <c r="G54">
        <f>AVERAGE(E54:E56)</f>
        <v>806083333.33333337</v>
      </c>
      <c r="J54" t="s">
        <v>21</v>
      </c>
      <c r="K54">
        <f>G60</f>
        <v>18360416.666666668</v>
      </c>
      <c r="L54">
        <f>H60</f>
        <v>5577638.888888889</v>
      </c>
    </row>
    <row r="55" spans="1:19" x14ac:dyDescent="0.2">
      <c r="D55" s="5" t="s">
        <v>4</v>
      </c>
      <c r="E55">
        <f>AVERAGE(B35,B10,L10,L35)</f>
        <v>400500000</v>
      </c>
      <c r="J55" t="s">
        <v>30</v>
      </c>
      <c r="K55">
        <f>G63</f>
        <v>551888888.88888884</v>
      </c>
      <c r="L55">
        <f>H63</f>
        <v>172222222.22222224</v>
      </c>
    </row>
    <row r="56" spans="1:19" x14ac:dyDescent="0.2">
      <c r="D56" s="5" t="s">
        <v>5</v>
      </c>
      <c r="E56">
        <f>AVERAGE(B36,B11,L11,L36)</f>
        <v>809416666.66666663</v>
      </c>
      <c r="J56" t="s">
        <v>49</v>
      </c>
      <c r="K56">
        <f>E66</f>
        <v>800000000</v>
      </c>
      <c r="L56">
        <v>3916666666.6666665</v>
      </c>
    </row>
    <row r="57" spans="1:19" x14ac:dyDescent="0.2">
      <c r="D57" s="5" t="s">
        <v>6</v>
      </c>
      <c r="F57">
        <f t="shared" ref="F57:F65" si="5">AVERAGE(C12,M12,M37,C37)</f>
        <v>335958333.33333331</v>
      </c>
      <c r="G57">
        <f>AVERAGE(F57:F59)</f>
        <v>516790972.22222215</v>
      </c>
      <c r="J57" t="s">
        <v>42</v>
      </c>
      <c r="K57">
        <f>E68</f>
        <v>1291666666.6666665</v>
      </c>
      <c r="L57">
        <v>583333333.33333325</v>
      </c>
    </row>
    <row r="58" spans="1:19" x14ac:dyDescent="0.2">
      <c r="D58" s="5" t="s">
        <v>7</v>
      </c>
      <c r="F58">
        <f t="shared" si="5"/>
        <v>463125000</v>
      </c>
      <c r="J58" t="s">
        <v>43</v>
      </c>
      <c r="K58">
        <f>E69</f>
        <v>916666666.66666675</v>
      </c>
      <c r="L58">
        <v>1916666666.6666665</v>
      </c>
    </row>
    <row r="59" spans="1:19" x14ac:dyDescent="0.2">
      <c r="D59" s="5" t="s">
        <v>8</v>
      </c>
      <c r="F59">
        <f t="shared" si="5"/>
        <v>751289583.33333337</v>
      </c>
    </row>
    <row r="60" spans="1:19" x14ac:dyDescent="0.2">
      <c r="D60" s="5" t="s">
        <v>9</v>
      </c>
      <c r="E60">
        <f t="shared" ref="E60:E66" si="6">AVERAGE(B40,B15,L15,L40)</f>
        <v>8379583.333333333</v>
      </c>
      <c r="F60">
        <f t="shared" si="5"/>
        <v>6686666.666666666</v>
      </c>
      <c r="G60">
        <f>AVERAGE(E60:E62)</f>
        <v>18360416.666666668</v>
      </c>
      <c r="H60">
        <f>AVERAGE(F60:F62)</f>
        <v>5577638.888888889</v>
      </c>
    </row>
    <row r="61" spans="1:19" x14ac:dyDescent="0.2">
      <c r="D61" s="5" t="s">
        <v>10</v>
      </c>
      <c r="E61">
        <f t="shared" si="6"/>
        <v>13339166.666666664</v>
      </c>
      <c r="F61">
        <f t="shared" si="5"/>
        <v>6252500</v>
      </c>
    </row>
    <row r="62" spans="1:19" x14ac:dyDescent="0.2">
      <c r="D62" s="5" t="s">
        <v>11</v>
      </c>
      <c r="E62">
        <f t="shared" si="6"/>
        <v>33362500</v>
      </c>
      <c r="F62">
        <f t="shared" si="5"/>
        <v>3793749.9999999995</v>
      </c>
    </row>
    <row r="63" spans="1:19" x14ac:dyDescent="0.2">
      <c r="D63" s="5" t="s">
        <v>12</v>
      </c>
      <c r="E63">
        <f t="shared" si="6"/>
        <v>755416666.66666675</v>
      </c>
      <c r="F63">
        <f t="shared" si="5"/>
        <v>294166666.66666669</v>
      </c>
      <c r="G63">
        <f>AVERAGE(E63:E65)</f>
        <v>551888888.88888884</v>
      </c>
      <c r="H63">
        <f>AVERAGE(F63:F65)</f>
        <v>172222222.22222224</v>
      </c>
    </row>
    <row r="64" spans="1:19" x14ac:dyDescent="0.2">
      <c r="D64" s="5" t="s">
        <v>13</v>
      </c>
      <c r="E64">
        <f t="shared" si="6"/>
        <v>324583333.33333331</v>
      </c>
      <c r="F64">
        <f t="shared" si="5"/>
        <v>222083333.33333331</v>
      </c>
    </row>
    <row r="65" spans="4:6" x14ac:dyDescent="0.2">
      <c r="D65" s="5" t="s">
        <v>14</v>
      </c>
      <c r="E65">
        <f t="shared" si="6"/>
        <v>575666666.66666663</v>
      </c>
      <c r="F65">
        <f t="shared" si="5"/>
        <v>416666.66666666669</v>
      </c>
    </row>
    <row r="66" spans="4:6" x14ac:dyDescent="0.2">
      <c r="D66" s="5" t="s">
        <v>25</v>
      </c>
      <c r="E66">
        <f t="shared" si="6"/>
        <v>800000000</v>
      </c>
    </row>
    <row r="67" spans="4:6" x14ac:dyDescent="0.2">
      <c r="D67" s="5" t="s">
        <v>26</v>
      </c>
      <c r="F67">
        <f>AVERAGE(C22,M22,M47,C47)</f>
        <v>3916666666.6666665</v>
      </c>
    </row>
    <row r="68" spans="4:6" x14ac:dyDescent="0.2">
      <c r="D68" s="5" t="s">
        <v>27</v>
      </c>
      <c r="E68">
        <f>AVERAGE(B48,B23,L23,L48)</f>
        <v>1291666666.6666665</v>
      </c>
      <c r="F68">
        <f>AVERAGE(C23,M23,M48,C48)</f>
        <v>583333333.33333325</v>
      </c>
    </row>
    <row r="69" spans="4:6" ht="17" thickBot="1" x14ac:dyDescent="0.25">
      <c r="D69" s="11" t="s">
        <v>28</v>
      </c>
      <c r="E69">
        <f>AVERAGE(B49,B24,L24,L49)</f>
        <v>916666666.66666675</v>
      </c>
      <c r="F69">
        <f>AVERAGE(C24,M24,M49,C49)</f>
        <v>1916666666.6666665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PFU</vt:lpstr>
      <vt:lpstr>CFU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2022-03-09T17:36:24Z</dcterms:created>
  <dcterms:modified xsi:type="dcterms:W3CDTF">2022-03-15T14:19:18Z</dcterms:modified>
</cp:coreProperties>
</file>