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/Desktop/PhD/Projects/Wet Lab/Host ecology + range experiments S21/17Sept tecan P22/"/>
    </mc:Choice>
  </mc:AlternateContent>
  <xr:revisionPtr revIDLastSave="0" documentId="13_ncr:1_{BAF82788-C739-7244-9E15-3C8E13B9CBC8}" xr6:coauthVersionLast="47" xr6:coauthVersionMax="47" xr10:uidLastSave="{00000000-0000-0000-0000-000000000000}"/>
  <bookViews>
    <workbookView xWindow="0" yWindow="500" windowWidth="25600" windowHeight="14040" xr2:uid="{D0186ECA-B88F-9F40-B90F-6545CABC2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U8" i="1"/>
  <c r="B2" i="1" l="1"/>
  <c r="O2" i="1" s="1"/>
  <c r="G8" i="1"/>
  <c r="I8" i="1" s="1"/>
  <c r="J8" i="1" s="1"/>
  <c r="I10" i="1"/>
  <c r="I9" i="1"/>
  <c r="H10" i="1"/>
  <c r="H9" i="1"/>
  <c r="H8" i="1"/>
  <c r="G10" i="1"/>
  <c r="G9" i="1"/>
  <c r="Q2" i="1"/>
  <c r="B38" i="1"/>
  <c r="B25" i="1"/>
  <c r="B12" i="1"/>
  <c r="B37" i="1"/>
  <c r="B24" i="1"/>
  <c r="B11" i="1"/>
  <c r="B36" i="1"/>
  <c r="B23" i="1"/>
  <c r="B10" i="1"/>
  <c r="B35" i="1"/>
  <c r="B22" i="1"/>
  <c r="B9" i="1"/>
  <c r="C34" i="1"/>
  <c r="C21" i="1"/>
  <c r="C8" i="1"/>
  <c r="C33" i="1"/>
  <c r="C20" i="1"/>
  <c r="C7" i="1"/>
  <c r="C32" i="1"/>
  <c r="C19" i="1"/>
  <c r="C6" i="1"/>
  <c r="C31" i="1"/>
  <c r="B31" i="1"/>
  <c r="Q5" i="1" s="1"/>
  <c r="C18" i="1"/>
  <c r="B18" i="1"/>
  <c r="P5" i="1" s="1"/>
  <c r="C5" i="1"/>
  <c r="B5" i="1"/>
  <c r="O5" i="1" s="1"/>
  <c r="C30" i="1"/>
  <c r="B30" i="1"/>
  <c r="Q4" i="1" s="1"/>
  <c r="C17" i="1"/>
  <c r="B17" i="1"/>
  <c r="P4" i="1" s="1"/>
  <c r="C4" i="1"/>
  <c r="B4" i="1"/>
  <c r="O4" i="1" s="1"/>
  <c r="C29" i="1"/>
  <c r="C16" i="1"/>
  <c r="C3" i="1"/>
  <c r="B29" i="1"/>
  <c r="Q3" i="1" s="1"/>
  <c r="B16" i="1"/>
  <c r="P3" i="1" s="1"/>
  <c r="B3" i="1"/>
  <c r="O3" i="1" s="1"/>
  <c r="C15" i="1"/>
  <c r="B15" i="1"/>
  <c r="P2" i="1" s="1"/>
  <c r="C2" i="1"/>
  <c r="T3" i="1" l="1"/>
  <c r="M3" i="1" s="1"/>
  <c r="U3" i="1"/>
  <c r="T5" i="1"/>
  <c r="M5" i="1" s="1"/>
  <c r="U5" i="1"/>
  <c r="M4" i="1"/>
  <c r="U4" i="1"/>
  <c r="T2" i="1"/>
  <c r="M2" i="1" s="1"/>
  <c r="U2" i="1"/>
  <c r="N10" i="1"/>
  <c r="P9" i="1"/>
  <c r="H4" i="1"/>
  <c r="G4" i="1"/>
  <c r="L14" i="1" s="1"/>
  <c r="G3" i="1"/>
  <c r="P8" i="1" s="1"/>
  <c r="H2" i="1"/>
  <c r="G2" i="1"/>
  <c r="L2" i="1" s="1"/>
  <c r="L3" i="1" l="1"/>
  <c r="V3" i="1" s="1"/>
  <c r="N12" i="1"/>
  <c r="N14" i="1"/>
  <c r="U14" i="1" s="1"/>
  <c r="P12" i="1"/>
  <c r="P14" i="1"/>
  <c r="N9" i="1"/>
  <c r="P11" i="1"/>
  <c r="L4" i="1"/>
  <c r="L11" i="1"/>
  <c r="L13" i="1"/>
  <c r="L10" i="1"/>
  <c r="N13" i="1"/>
  <c r="L8" i="1"/>
  <c r="L9" i="1"/>
  <c r="L5" i="1"/>
  <c r="V5" i="1" s="1"/>
  <c r="L12" i="1"/>
  <c r="N11" i="1"/>
  <c r="P13" i="1"/>
  <c r="N8" i="1"/>
  <c r="V2" i="1"/>
  <c r="P10" i="1"/>
  <c r="V4" i="1"/>
  <c r="T13" i="1" l="1"/>
  <c r="U13" i="1"/>
  <c r="T12" i="1"/>
  <c r="U12" i="1"/>
  <c r="T11" i="1"/>
  <c r="U11" i="1"/>
  <c r="T14" i="1"/>
  <c r="T9" i="1"/>
  <c r="U9" i="1"/>
  <c r="T8" i="1"/>
  <c r="U10" i="1"/>
  <c r="T10" i="1"/>
</calcChain>
</file>

<file path=xl/sharedStrings.xml><?xml version="1.0" encoding="utf-8"?>
<sst xmlns="http://schemas.openxmlformats.org/spreadsheetml/2006/main" count="114" uniqueCount="34">
  <si>
    <t>Bioreplicate #1</t>
  </si>
  <si>
    <t>STDEV</t>
  </si>
  <si>
    <t>Bioreplicate #2</t>
  </si>
  <si>
    <t>Average</t>
  </si>
  <si>
    <t>Coop + P22 + phi</t>
  </si>
  <si>
    <t>Comp + P22 + phi</t>
  </si>
  <si>
    <t>S + P22 + phi</t>
  </si>
  <si>
    <t>E + P22 + phi</t>
  </si>
  <si>
    <t>Coop + P22</t>
  </si>
  <si>
    <t>Comp + P22</t>
  </si>
  <si>
    <t>S + P22</t>
  </si>
  <si>
    <t>Final PFU on A</t>
  </si>
  <si>
    <t>Final PFU on S</t>
  </si>
  <si>
    <t>Coop + phi</t>
  </si>
  <si>
    <t>Comp + phi</t>
  </si>
  <si>
    <t>S + phi</t>
  </si>
  <si>
    <t>E + phi</t>
  </si>
  <si>
    <t>Start PFU on A</t>
  </si>
  <si>
    <t>Start PFU on S</t>
  </si>
  <si>
    <t>Conditions</t>
  </si>
  <si>
    <t>P22 + phi</t>
  </si>
  <si>
    <t>P22</t>
  </si>
  <si>
    <t>phi</t>
  </si>
  <si>
    <t>% Generalists</t>
  </si>
  <si>
    <t>Start</t>
  </si>
  <si>
    <t>End</t>
  </si>
  <si>
    <t>Growth Rate</t>
  </si>
  <si>
    <t>Bio rep #1</t>
  </si>
  <si>
    <t>Bio rep #2</t>
  </si>
  <si>
    <t>Bio rep #3</t>
  </si>
  <si>
    <t>Bio #1</t>
  </si>
  <si>
    <t>Bio #2</t>
  </si>
  <si>
    <t>Bio #3</t>
  </si>
  <si>
    <t>Netchange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</si>
</sst>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ADEB-A544-CD48-B86E-2A7154030C42}">
  <dimension ref="A1:V38"/>
  <sheetViews>
    <sheetView tabSelected="1" workbookViewId="0">
      <selection activeCell="C30" sqref="C30"/>
    </sheetView>
  </sheetViews>
  <sheetFormatPr baseColWidth="10" defaultRowHeight="16" x14ac:dyDescent="0.2"/>
  <cols>
    <col min="1" max="1" width="22.1640625" customWidth="1"/>
    <col min="6" max="6" width="20.1640625" customWidth="1"/>
  </cols>
  <sheetData>
    <row r="1" spans="1:22" ht="34" x14ac:dyDescent="0.2">
      <c r="A1" t="s">
        <v>0</v>
      </c>
      <c r="B1" s="2" t="s">
        <v>11</v>
      </c>
      <c r="C1" s="2" t="s">
        <v>12</v>
      </c>
      <c r="D1" s="1"/>
      <c r="F1" s="2" t="s">
        <v>19</v>
      </c>
      <c r="G1" s="2" t="s">
        <v>17</v>
      </c>
      <c r="H1" s="2" t="s">
        <v>18</v>
      </c>
      <c r="I1" s="1" t="s">
        <v>1</v>
      </c>
      <c r="J1" s="2"/>
      <c r="K1" s="2" t="s">
        <v>23</v>
      </c>
      <c r="L1" s="2" t="s">
        <v>24</v>
      </c>
      <c r="M1" s="2" t="s">
        <v>25</v>
      </c>
      <c r="O1" s="2" t="s">
        <v>30</v>
      </c>
      <c r="P1" s="1" t="s">
        <v>31</v>
      </c>
      <c r="Q1" s="1" t="s">
        <v>32</v>
      </c>
      <c r="S1" s="2" t="s">
        <v>23</v>
      </c>
      <c r="T1" s="1" t="s">
        <v>3</v>
      </c>
      <c r="U1" s="1" t="s">
        <v>1</v>
      </c>
      <c r="V1" s="1" t="s">
        <v>33</v>
      </c>
    </row>
    <row r="2" spans="1:22" ht="34" x14ac:dyDescent="0.2">
      <c r="A2" s="3" t="s">
        <v>4</v>
      </c>
      <c r="B2">
        <f>AVERAGE(150,121,150)/(0.04*10^-3)</f>
        <v>3508333.3333333335</v>
      </c>
      <c r="C2">
        <f>AVERAGE(56,31,129)/(0.04*10^-2)</f>
        <v>180000</v>
      </c>
      <c r="F2" t="s">
        <v>20</v>
      </c>
      <c r="G2">
        <f>AVERAGE(7,17,32)/(0.01*10^0)</f>
        <v>1866.6666666666667</v>
      </c>
      <c r="H2">
        <f>AVERAGE(13,12,14)/(0.01*10^0)</f>
        <v>1300</v>
      </c>
      <c r="K2" s="3" t="s">
        <v>4</v>
      </c>
      <c r="L2">
        <f>$G$2/($H$2+$G$2)</f>
        <v>0.58947368421052626</v>
      </c>
      <c r="M2">
        <f>T2</f>
        <v>0.93922212989899523</v>
      </c>
      <c r="N2" s="3" t="s">
        <v>4</v>
      </c>
      <c r="O2">
        <f>B2/(B2+C2)</f>
        <v>0.95119746949841844</v>
      </c>
      <c r="P2">
        <f>B15/(C15+B15)</f>
        <v>0.92724679029957202</v>
      </c>
      <c r="Q2" t="e">
        <f>B28/(C28+B28)</f>
        <v>#DIV/0!</v>
      </c>
      <c r="S2" s="3" t="s">
        <v>4</v>
      </c>
      <c r="T2">
        <f>AVERAGE(O2:P2)</f>
        <v>0.93922212989899523</v>
      </c>
      <c r="U2">
        <f>STDEV(O2:P2)</f>
        <v>1.6935687675527885E-2</v>
      </c>
      <c r="V2">
        <f>M2-L2</f>
        <v>0.34974844568846897</v>
      </c>
    </row>
    <row r="3" spans="1:22" ht="34" x14ac:dyDescent="0.2">
      <c r="A3" s="3" t="s">
        <v>5</v>
      </c>
      <c r="B3">
        <f>AVERAGE(207,204,215)/(0.04*10^-2)</f>
        <v>521666.66666666663</v>
      </c>
      <c r="C3">
        <f>AVERAGE(217,28,61)/(0.04*10^-3)</f>
        <v>2550000</v>
      </c>
      <c r="F3" t="s">
        <v>21</v>
      </c>
      <c r="G3">
        <f>AVERAGE(9,32,10)/(0.01*10^0)</f>
        <v>1700</v>
      </c>
      <c r="K3" s="3" t="s">
        <v>5</v>
      </c>
      <c r="L3">
        <f>$G$2/($H$2+$G$2)</f>
        <v>0.58947368421052626</v>
      </c>
      <c r="M3">
        <f>T3</f>
        <v>0.18015706214568794</v>
      </c>
      <c r="N3" s="3" t="s">
        <v>5</v>
      </c>
      <c r="O3">
        <f>B3/(B3+C3)</f>
        <v>0.16983179598480738</v>
      </c>
      <c r="P3">
        <f>B16/(C16+B16)</f>
        <v>0.17203311867525298</v>
      </c>
      <c r="Q3">
        <f>B29/(C29+B29)</f>
        <v>0.19860627177700349</v>
      </c>
      <c r="S3" s="3" t="s">
        <v>5</v>
      </c>
      <c r="T3">
        <f>AVERAGE(O3:Q3)</f>
        <v>0.18015706214568794</v>
      </c>
      <c r="U3">
        <f>STDEV(O3:Q3)</f>
        <v>1.601535068027039E-2</v>
      </c>
      <c r="V3">
        <f>M3-L3</f>
        <v>-0.40931662206483832</v>
      </c>
    </row>
    <row r="4" spans="1:22" ht="34" x14ac:dyDescent="0.2">
      <c r="A4" s="3" t="s">
        <v>6</v>
      </c>
      <c r="B4">
        <f>AVERAGE(275,301,251)/(0.04*10^-2)</f>
        <v>689166.66666666663</v>
      </c>
      <c r="C4">
        <f>AVERAGE(211,250,109)/(0.04*10^-3)</f>
        <v>4750000</v>
      </c>
      <c r="F4" t="s">
        <v>22</v>
      </c>
      <c r="G4">
        <f>AVERAGE(12,14,8)/(0.01*10^0)</f>
        <v>1133.3333333333333</v>
      </c>
      <c r="H4">
        <f>AVERAGE(19,17,12)/(0.01*10^0)</f>
        <v>1600</v>
      </c>
      <c r="K4" s="3" t="s">
        <v>6</v>
      </c>
      <c r="L4">
        <f>$G$2/($H$2+$G$2)</f>
        <v>0.58947368421052626</v>
      </c>
      <c r="M4">
        <f>T4</f>
        <v>0.13073446290585905</v>
      </c>
      <c r="N4" s="3" t="s">
        <v>6</v>
      </c>
      <c r="O4">
        <f>B4/(B4+C4)</f>
        <v>0.12670445840355446</v>
      </c>
      <c r="P4">
        <f>B17/(C17+B17)</f>
        <v>0.1476560541489095</v>
      </c>
      <c r="Q4">
        <f>B30/(C30+B30)</f>
        <v>0.1178428761651132</v>
      </c>
      <c r="S4" s="3" t="s">
        <v>6</v>
      </c>
      <c r="T4">
        <f>AVERAGE(O4:Q4)</f>
        <v>0.13073446290585905</v>
      </c>
      <c r="U4">
        <f>STDEV(O4:Q4)</f>
        <v>1.5309705992925717E-2</v>
      </c>
      <c r="V4">
        <f>M4-L4</f>
        <v>-0.45873922130466721</v>
      </c>
    </row>
    <row r="5" spans="1:22" ht="34" x14ac:dyDescent="0.2">
      <c r="A5" s="3" t="s">
        <v>7</v>
      </c>
      <c r="B5">
        <f>AVERAGE(4,1,1)/(0.04*10^-5)</f>
        <v>5000000</v>
      </c>
      <c r="C5">
        <f>AVERAGE(2,1,3)/(0.04*10^-1)</f>
        <v>500</v>
      </c>
      <c r="K5" s="3" t="s">
        <v>7</v>
      </c>
      <c r="L5">
        <f>$G$2/($H$2+$G$2)</f>
        <v>0.58947368421052626</v>
      </c>
      <c r="M5">
        <f>T5</f>
        <v>0.99993485333981413</v>
      </c>
      <c r="N5" s="3" t="s">
        <v>7</v>
      </c>
      <c r="O5">
        <f>B5/(B5+C5)</f>
        <v>0.99990000999900008</v>
      </c>
      <c r="P5">
        <f>B18/(C18+B18)</f>
        <v>0.99995000249987498</v>
      </c>
      <c r="Q5">
        <f>B31/(C31+B31)</f>
        <v>0.99995454752056734</v>
      </c>
      <c r="S5" s="3" t="s">
        <v>7</v>
      </c>
      <c r="T5">
        <f>AVERAGE(O5:Q5)</f>
        <v>0.99993485333981413</v>
      </c>
      <c r="U5">
        <f>STDEV(O5:Q5)</f>
        <v>3.0260669235602497E-5</v>
      </c>
      <c r="V5">
        <f>M5-L5</f>
        <v>0.41046116912928787</v>
      </c>
    </row>
    <row r="6" spans="1:22" ht="17" x14ac:dyDescent="0.2">
      <c r="A6" s="3" t="s">
        <v>8</v>
      </c>
      <c r="C6">
        <f>AVERAGE(415,392,383)/(0.04*10^-3)</f>
        <v>9916666.666666666</v>
      </c>
      <c r="P6" s="4"/>
      <c r="Q6" s="4"/>
      <c r="S6" s="4"/>
      <c r="T6" s="4"/>
      <c r="U6" s="4"/>
    </row>
    <row r="7" spans="1:22" ht="34" x14ac:dyDescent="0.2">
      <c r="A7" s="3" t="s">
        <v>9</v>
      </c>
      <c r="C7">
        <f>AVERAGE(205,216,245)/(0.04*10^-3)</f>
        <v>5550000</v>
      </c>
      <c r="G7" s="2" t="s">
        <v>17</v>
      </c>
      <c r="H7" s="2" t="s">
        <v>18</v>
      </c>
      <c r="J7" t="s">
        <v>1</v>
      </c>
      <c r="K7" s="3" t="s">
        <v>27</v>
      </c>
      <c r="L7" s="3" t="s">
        <v>26</v>
      </c>
      <c r="M7" s="3" t="s">
        <v>28</v>
      </c>
      <c r="N7" s="3" t="s">
        <v>26</v>
      </c>
      <c r="O7" s="3" t="s">
        <v>29</v>
      </c>
      <c r="P7" s="6" t="s">
        <v>26</v>
      </c>
      <c r="S7" s="3" t="s">
        <v>26</v>
      </c>
      <c r="T7" s="6" t="s">
        <v>3</v>
      </c>
      <c r="U7" s="6" t="s">
        <v>1</v>
      </c>
    </row>
    <row r="8" spans="1:22" ht="17" x14ac:dyDescent="0.2">
      <c r="A8" s="3" t="s">
        <v>10</v>
      </c>
      <c r="C8">
        <f>AVERAGE(100,165,150)/(0.04*10^-3)</f>
        <v>3458333.3333333335</v>
      </c>
      <c r="F8" t="s">
        <v>20</v>
      </c>
      <c r="G8">
        <f>17/(0.01*10^0)</f>
        <v>1700</v>
      </c>
      <c r="H8">
        <f>13/(0.01*10^0)</f>
        <v>1300</v>
      </c>
      <c r="I8">
        <f>G8/(H8+G8)</f>
        <v>0.56666666666666665</v>
      </c>
      <c r="J8">
        <f>STDEV(I8:I10)</f>
        <v>6.9519002678239156E-2</v>
      </c>
      <c r="K8" s="3" t="s">
        <v>8</v>
      </c>
      <c r="L8">
        <f>LN(C6/$G$3)</f>
        <v>8.6713438712434954</v>
      </c>
      <c r="M8" s="3" t="s">
        <v>8</v>
      </c>
      <c r="N8">
        <f>LN(C19/$G$3)</f>
        <v>8.7395521212700285</v>
      </c>
      <c r="O8" s="3" t="s">
        <v>8</v>
      </c>
      <c r="P8" s="4">
        <f>LN(C32/$G$3)</f>
        <v>8.5423639297627894</v>
      </c>
      <c r="S8" s="3" t="s">
        <v>8</v>
      </c>
      <c r="T8" s="4">
        <f t="shared" ref="T8:T14" si="0">AVERAGE(L8,N8,P8)</f>
        <v>8.6510866407587717</v>
      </c>
      <c r="U8" s="4">
        <f>STDEV(L8,N8,P8)</f>
        <v>0.10014270945833917</v>
      </c>
    </row>
    <row r="9" spans="1:22" ht="34" x14ac:dyDescent="0.2">
      <c r="A9" s="3" t="s">
        <v>13</v>
      </c>
      <c r="B9">
        <f>AVERAGE(1,1,15)/(0.04*10^-3)</f>
        <v>141666.66666666666</v>
      </c>
      <c r="C9" s="2"/>
      <c r="D9" s="1"/>
      <c r="F9" t="s">
        <v>20</v>
      </c>
      <c r="G9">
        <f>17/(0.01*10^0)</f>
        <v>1700</v>
      </c>
      <c r="H9">
        <f>12/(0.01*10^0)</f>
        <v>1200</v>
      </c>
      <c r="I9">
        <f>G9/(H9+G9)</f>
        <v>0.58620689655172409</v>
      </c>
      <c r="K9" s="3" t="s">
        <v>9</v>
      </c>
      <c r="L9">
        <f>LN(C7/$G$3)</f>
        <v>8.0909249556783092</v>
      </c>
      <c r="M9" s="3" t="s">
        <v>9</v>
      </c>
      <c r="N9">
        <f>LN(C20/$G$3)</f>
        <v>7.8774938452997052</v>
      </c>
      <c r="O9" s="3" t="s">
        <v>9</v>
      </c>
      <c r="P9" s="4">
        <f>LN(C33/$G$3)</f>
        <v>7.8181462887291042</v>
      </c>
      <c r="S9" s="3" t="s">
        <v>9</v>
      </c>
      <c r="T9" s="4">
        <f t="shared" si="0"/>
        <v>7.9288550299023726</v>
      </c>
      <c r="U9" s="4">
        <f t="shared" ref="U9:U14" si="1">STDEV(L9,N9,P9)</f>
        <v>0.14345915358905578</v>
      </c>
    </row>
    <row r="10" spans="1:22" ht="17" x14ac:dyDescent="0.2">
      <c r="A10" s="3" t="s">
        <v>14</v>
      </c>
      <c r="B10">
        <f>AVERAGE(20,16,15)/(0.04*10^-3)</f>
        <v>424999.99999999994</v>
      </c>
      <c r="F10" t="s">
        <v>20</v>
      </c>
      <c r="G10">
        <f>32/(0.01*10^0)</f>
        <v>3200</v>
      </c>
      <c r="H10">
        <f>14/(0.01*10^0)</f>
        <v>1400</v>
      </c>
      <c r="I10">
        <f>G10/(H10+G10)</f>
        <v>0.69565217391304346</v>
      </c>
      <c r="K10" s="3" t="s">
        <v>10</v>
      </c>
      <c r="L10">
        <f>LN(C8/$G$3)</f>
        <v>7.6179138053686186</v>
      </c>
      <c r="M10" s="3" t="s">
        <v>10</v>
      </c>
      <c r="N10">
        <f>LN(C21/$G$3)</f>
        <v>7.4645660159899512</v>
      </c>
      <c r="O10" s="3" t="s">
        <v>10</v>
      </c>
      <c r="P10" s="4">
        <f>LN(C34/$G$3)</f>
        <v>8.6107192494270599</v>
      </c>
      <c r="S10" s="3" t="s">
        <v>10</v>
      </c>
      <c r="T10" s="4">
        <f t="shared" si="0"/>
        <v>7.8977330235952108</v>
      </c>
      <c r="U10" s="4">
        <f t="shared" si="1"/>
        <v>0.62220648083758368</v>
      </c>
    </row>
    <row r="11" spans="1:22" ht="17" x14ac:dyDescent="0.2">
      <c r="A11" s="3" t="s">
        <v>15</v>
      </c>
      <c r="B11">
        <f>AVERAGE(1,1,2)/(0.04*10^-3)</f>
        <v>33333.333333333328</v>
      </c>
      <c r="K11" s="3" t="s">
        <v>13</v>
      </c>
      <c r="L11">
        <f>LN(B9/$G$4)</f>
        <v>4.8283137373023015</v>
      </c>
      <c r="M11" s="3" t="s">
        <v>13</v>
      </c>
      <c r="N11">
        <f>LN(B22/$G$4)</f>
        <v>7.236847408305727</v>
      </c>
      <c r="O11" s="3" t="s">
        <v>13</v>
      </c>
      <c r="P11" s="4">
        <f>LN(B35/$G$4)</f>
        <v>6.4018196405103378</v>
      </c>
      <c r="S11" s="3" t="s">
        <v>13</v>
      </c>
      <c r="T11" s="4">
        <f t="shared" si="0"/>
        <v>6.1556602620394552</v>
      </c>
      <c r="U11" s="4">
        <f t="shared" si="1"/>
        <v>1.2229899594012135</v>
      </c>
    </row>
    <row r="12" spans="1:22" ht="17" x14ac:dyDescent="0.2">
      <c r="A12" s="3" t="s">
        <v>16</v>
      </c>
      <c r="B12">
        <f>AVERAGE(73,5,29)/(0.04*10^-3)</f>
        <v>891666.66666666651</v>
      </c>
      <c r="G12" s="1"/>
      <c r="K12" s="3" t="s">
        <v>14</v>
      </c>
      <c r="L12">
        <f>LN(B10/$G$4)</f>
        <v>5.9269260259704106</v>
      </c>
      <c r="M12" s="3" t="s">
        <v>14</v>
      </c>
      <c r="N12">
        <f>LN(B23/$G$4)</f>
        <v>4.8854721511422499</v>
      </c>
      <c r="O12" s="3" t="s">
        <v>14</v>
      </c>
      <c r="P12" s="4">
        <f>LN(B36/$G$4)</f>
        <v>6.0726378371518042</v>
      </c>
      <c r="S12" s="3" t="s">
        <v>14</v>
      </c>
      <c r="T12" s="4">
        <f t="shared" si="0"/>
        <v>5.6283453380881552</v>
      </c>
      <c r="U12" s="4">
        <f t="shared" si="1"/>
        <v>0.64745919708643784</v>
      </c>
    </row>
    <row r="13" spans="1:22" ht="17" x14ac:dyDescent="0.2">
      <c r="A13" s="3"/>
      <c r="F13" s="3"/>
      <c r="K13" s="3" t="s">
        <v>15</v>
      </c>
      <c r="L13">
        <f>LN(B11/$G$4)</f>
        <v>3.3813947543659757</v>
      </c>
      <c r="M13" s="3" t="s">
        <v>15</v>
      </c>
      <c r="N13">
        <f>LN(B24/$G$4)</f>
        <v>3.0937126819141949</v>
      </c>
      <c r="O13" s="3" t="s">
        <v>15</v>
      </c>
      <c r="P13" s="4">
        <f>LN(B37/$G$4)</f>
        <v>2.6882475738060303</v>
      </c>
      <c r="S13" s="3" t="s">
        <v>15</v>
      </c>
      <c r="T13" s="4">
        <f t="shared" si="0"/>
        <v>3.0544516700287336</v>
      </c>
      <c r="U13" s="4">
        <f t="shared" si="1"/>
        <v>0.34823745314117655</v>
      </c>
    </row>
    <row r="14" spans="1:22" ht="34" x14ac:dyDescent="0.2">
      <c r="A14" t="s">
        <v>2</v>
      </c>
      <c r="B14" s="2" t="s">
        <v>11</v>
      </c>
      <c r="C14" s="2" t="s">
        <v>12</v>
      </c>
      <c r="F14" s="3"/>
      <c r="K14" s="3" t="s">
        <v>16</v>
      </c>
      <c r="L14">
        <f>LN(B12/$G$4)</f>
        <v>6.6679292277079911</v>
      </c>
      <c r="M14" s="3" t="s">
        <v>16</v>
      </c>
      <c r="N14">
        <f>LN(B25/$G$4)</f>
        <v>6.7908909388428258</v>
      </c>
      <c r="O14" s="3" t="s">
        <v>16</v>
      </c>
      <c r="P14" s="4">
        <f>LN(B38/$G$4)</f>
        <v>6.6585394873581523</v>
      </c>
      <c r="S14" s="3" t="s">
        <v>16</v>
      </c>
      <c r="T14" s="4">
        <f t="shared" si="0"/>
        <v>6.7057865513029897</v>
      </c>
      <c r="U14" s="4">
        <f t="shared" si="1"/>
        <v>7.3851942356699743E-2</v>
      </c>
    </row>
    <row r="15" spans="1:22" ht="17" x14ac:dyDescent="0.2">
      <c r="A15" s="3" t="s">
        <v>4</v>
      </c>
      <c r="B15">
        <f>AVERAGE(146,108,136)/(0.04*10^-3)</f>
        <v>3249999.9999999995</v>
      </c>
      <c r="C15">
        <f>AVERAGE(57,105,144)/(0.04*10^-2)</f>
        <v>255000</v>
      </c>
      <c r="F15" s="3"/>
      <c r="P15" s="4"/>
      <c r="Q15" s="4"/>
      <c r="R15" s="4"/>
      <c r="S15" s="4"/>
      <c r="T15" s="4"/>
      <c r="U15" s="4"/>
    </row>
    <row r="16" spans="1:22" ht="17" x14ac:dyDescent="0.2">
      <c r="A16" s="3" t="s">
        <v>5</v>
      </c>
      <c r="B16">
        <f>AVERAGE(175,163,223)/(0.04*10^-2)</f>
        <v>467500</v>
      </c>
      <c r="C16">
        <f>AVERAGE(71,150,49)/(0.04*10^-3)</f>
        <v>2250000</v>
      </c>
      <c r="F16" s="3"/>
      <c r="P16" s="4"/>
      <c r="Q16" s="4"/>
      <c r="R16" s="4"/>
      <c r="S16" s="4"/>
      <c r="T16" s="4"/>
      <c r="U16" s="4"/>
    </row>
    <row r="17" spans="1:21" ht="17" x14ac:dyDescent="0.2">
      <c r="A17" s="3" t="s">
        <v>6</v>
      </c>
      <c r="B17">
        <f>AVERAGE(183,205,201)/(0.04*10^-2)</f>
        <v>490833.33333333331</v>
      </c>
      <c r="C17">
        <f>AVERAGE(147,80,113)/(0.04*10^-3)</f>
        <v>2833333.333333333</v>
      </c>
      <c r="D17" s="1"/>
      <c r="F17" s="3"/>
      <c r="O17" s="2"/>
      <c r="P17" s="5"/>
      <c r="Q17" s="5"/>
      <c r="R17" s="5"/>
      <c r="S17" s="5"/>
      <c r="T17" s="5"/>
      <c r="U17" s="5"/>
    </row>
    <row r="18" spans="1:21" ht="17" x14ac:dyDescent="0.2">
      <c r="A18" s="3" t="s">
        <v>7</v>
      </c>
      <c r="B18">
        <f>AVERAGE(7,3,2)/(0.04*10^-5)</f>
        <v>10000000</v>
      </c>
      <c r="C18">
        <f>AVERAGE(1,2,3)/(0.04*10^-1)</f>
        <v>500</v>
      </c>
      <c r="F18" s="3"/>
      <c r="P18" s="4"/>
      <c r="Q18" s="4"/>
      <c r="R18" s="4"/>
      <c r="S18" s="4"/>
      <c r="T18" s="4"/>
      <c r="U18" s="4"/>
    </row>
    <row r="19" spans="1:21" ht="17" x14ac:dyDescent="0.2">
      <c r="A19" s="3" t="s">
        <v>8</v>
      </c>
      <c r="C19">
        <f>AVERAGE(426,432,416)/(0.04*10^-3)</f>
        <v>10616666.666666666</v>
      </c>
      <c r="P19" s="4"/>
      <c r="Q19" s="4"/>
      <c r="R19" s="4"/>
      <c r="S19" s="4"/>
      <c r="T19" s="4"/>
      <c r="U19" s="4"/>
    </row>
    <row r="20" spans="1:21" ht="17" x14ac:dyDescent="0.2">
      <c r="A20" s="3" t="s">
        <v>9</v>
      </c>
      <c r="C20">
        <f>AVERAGE(238,193,107)/(0.04*10^-3)</f>
        <v>4483333.333333333</v>
      </c>
      <c r="P20" s="4"/>
      <c r="Q20" s="4"/>
      <c r="R20" s="4"/>
      <c r="S20" s="4"/>
      <c r="T20" s="4"/>
      <c r="U20" s="4"/>
    </row>
    <row r="21" spans="1:21" ht="17" x14ac:dyDescent="0.2">
      <c r="A21" s="3" t="s">
        <v>10</v>
      </c>
      <c r="C21">
        <f>AVERAGE(133,108,115)/(0.04*10^-3)</f>
        <v>2966666.6666666665</v>
      </c>
      <c r="P21" s="4"/>
      <c r="Q21" s="4"/>
      <c r="R21" s="4"/>
      <c r="S21" s="4"/>
      <c r="T21" s="4"/>
      <c r="U21" s="4"/>
    </row>
    <row r="22" spans="1:21" ht="17" x14ac:dyDescent="0.2">
      <c r="A22" s="3" t="s">
        <v>13</v>
      </c>
      <c r="B22">
        <f>AVERAGE(53,111,25)/(0.04*10^-3)</f>
        <v>1574999.9999999998</v>
      </c>
      <c r="C22" s="2"/>
      <c r="P22" s="4"/>
      <c r="Q22" s="4"/>
      <c r="R22" s="4"/>
      <c r="S22" s="4"/>
      <c r="T22" s="4"/>
      <c r="U22" s="4"/>
    </row>
    <row r="23" spans="1:21" ht="17" x14ac:dyDescent="0.2">
      <c r="A23" s="3" t="s">
        <v>14</v>
      </c>
      <c r="B23">
        <f>AVERAGE(1,3,14)/(0.04*10^-3)</f>
        <v>150000</v>
      </c>
      <c r="Q23" s="4"/>
      <c r="R23" s="4"/>
      <c r="S23" s="4"/>
      <c r="T23" s="4"/>
      <c r="U23" s="4"/>
    </row>
    <row r="24" spans="1:21" ht="17" x14ac:dyDescent="0.2">
      <c r="A24" s="3" t="s">
        <v>15</v>
      </c>
      <c r="B24">
        <f>AVERAGE(1,1,1)/(0.04*10^-3)</f>
        <v>24999.999999999996</v>
      </c>
      <c r="P24" s="1"/>
      <c r="Q24" s="5"/>
      <c r="R24" s="5"/>
      <c r="S24" s="5"/>
      <c r="T24" s="5"/>
      <c r="U24" s="5"/>
    </row>
    <row r="25" spans="1:21" ht="17" x14ac:dyDescent="0.2">
      <c r="A25" s="3" t="s">
        <v>16</v>
      </c>
      <c r="B25">
        <f>AVERAGE(65,36,20)/(0.04*10^-3)</f>
        <v>1008333.3333333333</v>
      </c>
      <c r="Q25" s="4"/>
      <c r="R25" s="4"/>
      <c r="S25" s="4"/>
      <c r="T25" s="4"/>
      <c r="U25" s="4"/>
    </row>
    <row r="26" spans="1:21" x14ac:dyDescent="0.2">
      <c r="B26" s="2"/>
      <c r="C26" s="2"/>
      <c r="D26" s="1"/>
      <c r="Q26" s="4"/>
      <c r="R26" s="4"/>
      <c r="S26" s="4"/>
      <c r="T26" s="4"/>
      <c r="U26" s="4"/>
    </row>
    <row r="27" spans="1:21" ht="34" x14ac:dyDescent="0.2">
      <c r="A27" t="s">
        <v>2</v>
      </c>
      <c r="B27" s="2" t="s">
        <v>11</v>
      </c>
      <c r="C27" s="2" t="s">
        <v>12</v>
      </c>
      <c r="Q27" s="4"/>
      <c r="R27" s="4"/>
      <c r="S27" s="4"/>
      <c r="T27" s="4"/>
      <c r="U27" s="4"/>
    </row>
    <row r="28" spans="1:21" ht="17" x14ac:dyDescent="0.2">
      <c r="A28" s="3" t="s">
        <v>4</v>
      </c>
      <c r="Q28" s="4"/>
      <c r="R28" s="4"/>
      <c r="S28" s="4"/>
      <c r="T28" s="4"/>
      <c r="U28" s="4"/>
    </row>
    <row r="29" spans="1:21" ht="17" x14ac:dyDescent="0.2">
      <c r="A29" s="3" t="s">
        <v>5</v>
      </c>
      <c r="B29">
        <f>AVERAGE(201,235,248)/(0.04*10^-2)</f>
        <v>570000</v>
      </c>
      <c r="C29">
        <f>AVERAGE(65,92,119)/(0.04*10^-3)</f>
        <v>2300000</v>
      </c>
      <c r="Q29" s="4"/>
      <c r="R29" s="4"/>
      <c r="S29" s="4"/>
      <c r="T29" s="4"/>
      <c r="U29" s="4"/>
    </row>
    <row r="30" spans="1:21" ht="17" x14ac:dyDescent="0.2">
      <c r="A30" s="3" t="s">
        <v>6</v>
      </c>
      <c r="B30">
        <f>AVERAGE(263,242,203)/(0.04*10^-2)</f>
        <v>590000</v>
      </c>
      <c r="C30">
        <f>AVERAGE(191,165,174)/(0.04*10^-3)</f>
        <v>4416666.666666666</v>
      </c>
      <c r="P30" s="1"/>
      <c r="Q30" s="5"/>
      <c r="R30" s="5"/>
      <c r="S30" s="5"/>
      <c r="T30" s="5"/>
      <c r="U30" s="5"/>
    </row>
    <row r="31" spans="1:21" ht="17" x14ac:dyDescent="0.2">
      <c r="A31" s="3" t="s">
        <v>7</v>
      </c>
      <c r="B31">
        <f>AVERAGE(4,1,6)/(0.04*10^-5)</f>
        <v>9166666.666666666</v>
      </c>
      <c r="C31">
        <f>AVERAGE(2,1,2)/(0.04*10^-1)</f>
        <v>416.66666666666669</v>
      </c>
      <c r="Q31" s="4"/>
      <c r="R31" s="4"/>
      <c r="S31" s="4"/>
      <c r="T31" s="4"/>
      <c r="U31" s="4"/>
    </row>
    <row r="32" spans="1:21" ht="17" x14ac:dyDescent="0.2">
      <c r="A32" s="3" t="s">
        <v>8</v>
      </c>
      <c r="C32">
        <f>AVERAGE(325,391,330)/(0.04*10^-3)</f>
        <v>8716666.666666666</v>
      </c>
      <c r="Q32" s="4"/>
      <c r="R32" s="4"/>
      <c r="S32" s="4"/>
      <c r="T32" s="4"/>
      <c r="U32" s="4"/>
    </row>
    <row r="33" spans="1:3" ht="17" x14ac:dyDescent="0.2">
      <c r="A33" s="3" t="s">
        <v>9</v>
      </c>
      <c r="C33">
        <f>AVERAGE(131,172,204)/(0.04*10^-3)</f>
        <v>4225000</v>
      </c>
    </row>
    <row r="34" spans="1:3" ht="17" x14ac:dyDescent="0.2">
      <c r="A34" s="3" t="s">
        <v>10</v>
      </c>
      <c r="C34">
        <f>AVERAGE(383,375,362)/(0.04*10^-3)</f>
        <v>9333333.3333333321</v>
      </c>
    </row>
    <row r="35" spans="1:3" ht="17" x14ac:dyDescent="0.2">
      <c r="A35" s="3" t="s">
        <v>13</v>
      </c>
      <c r="B35">
        <f>AVERAGE(69,3,10)/(0.04*10^-3)</f>
        <v>683333.33333333326</v>
      </c>
      <c r="C35" s="2"/>
    </row>
    <row r="36" spans="1:3" ht="17" x14ac:dyDescent="0.2">
      <c r="A36" s="3" t="s">
        <v>14</v>
      </c>
      <c r="B36">
        <f>AVERAGE(28,7,24)/(0.04*10^-3)</f>
        <v>491666.66666666663</v>
      </c>
    </row>
    <row r="37" spans="1:3" ht="17" x14ac:dyDescent="0.2">
      <c r="A37" s="3" t="s">
        <v>15</v>
      </c>
      <c r="B37">
        <f>AVERAGE(1,1,0)/(0.04*10^-3)</f>
        <v>16666.666666666664</v>
      </c>
    </row>
    <row r="38" spans="1:3" ht="17" x14ac:dyDescent="0.2">
      <c r="A38" s="3" t="s">
        <v>16</v>
      </c>
      <c r="B38">
        <f>AVERAGE(60,22,24)/(0.04*10^-3)</f>
        <v>883333.33333333337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2021-09-17T17:07:27Z</dcterms:created>
  <dcterms:modified xsi:type="dcterms:W3CDTF">2022-01-12T18:56:35Z</dcterms:modified>
</cp:coreProperties>
</file>