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Wet Lab/Host ecology + range experiments S21/Single phage growth/"/>
    </mc:Choice>
  </mc:AlternateContent>
  <xr:revisionPtr revIDLastSave="0" documentId="13_ncr:1_{428CE462-ACB4-0E4E-BA37-1683A98F18AA}" xr6:coauthVersionLast="47" xr6:coauthVersionMax="47" xr10:uidLastSave="{00000000-0000-0000-0000-000000000000}"/>
  <bookViews>
    <workbookView xWindow="1440" yWindow="460" windowWidth="27360" windowHeight="14040" activeTab="12" xr2:uid="{CFA7EB6F-D291-6C40-B244-9FA84F763F70}"/>
  </bookViews>
  <sheets>
    <sheet name="Previous attempts" sheetId="1" state="hidden" r:id="rId1"/>
    <sheet name="10-29-21" sheetId="2" state="hidden" r:id="rId2"/>
    <sheet name="11-2-21" sheetId="3" state="hidden" r:id="rId3"/>
    <sheet name="11-12-21" sheetId="4" state="hidden" r:id="rId4"/>
    <sheet name="11-18-21" sheetId="5" state="hidden" r:id="rId5"/>
    <sheet name="1-12-22 48 hour" sheetId="6" state="hidden" r:id="rId6"/>
    <sheet name="1-12-22 2 hour" sheetId="7" state="hidden" r:id="rId7"/>
    <sheet name="24Jan22 onS 2hour" sheetId="8" state="hidden" r:id="rId8"/>
    <sheet name="24Jan22 onS 48hour" sheetId="9" state="hidden" r:id="rId9"/>
    <sheet name="31Jan22 on S 2hour" sheetId="10" state="hidden" r:id="rId10"/>
    <sheet name="31Jan22 on S 24hour" sheetId="11" state="hidden" r:id="rId11"/>
    <sheet name="7Feb on Smono" sheetId="12" r:id="rId12"/>
    <sheet name="8Feb on coop" sheetId="13" r:id="rId13"/>
    <sheet name="9Feb on comp" sheetId="14" r:id="rId14"/>
    <sheet name="OD600 to CFU calibration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3" l="1"/>
  <c r="D15" i="13"/>
  <c r="D7" i="13"/>
  <c r="D23" i="12"/>
  <c r="D15" i="12"/>
  <c r="D7" i="12"/>
  <c r="E23" i="12"/>
  <c r="E22" i="12"/>
  <c r="E21" i="12"/>
  <c r="E20" i="12"/>
  <c r="E19" i="12"/>
  <c r="E15" i="12"/>
  <c r="E14" i="12"/>
  <c r="E13" i="12"/>
  <c r="E12" i="12"/>
  <c r="E11" i="12"/>
  <c r="E7" i="12"/>
  <c r="E6" i="12"/>
  <c r="E5" i="12"/>
  <c r="E4" i="12"/>
  <c r="E3" i="12"/>
  <c r="E3" i="14"/>
  <c r="D23" i="14"/>
  <c r="D15" i="14"/>
  <c r="D7" i="14"/>
  <c r="E23" i="14"/>
  <c r="E22" i="14"/>
  <c r="E21" i="14"/>
  <c r="E20" i="14"/>
  <c r="E19" i="14"/>
  <c r="E15" i="14"/>
  <c r="E14" i="14"/>
  <c r="E13" i="14"/>
  <c r="E12" i="14"/>
  <c r="E11" i="14"/>
  <c r="E7" i="14"/>
  <c r="E6" i="14"/>
  <c r="E5" i="14"/>
  <c r="E4" i="14"/>
  <c r="E23" i="13"/>
  <c r="E22" i="13"/>
  <c r="E21" i="13"/>
  <c r="E20" i="13"/>
  <c r="E19" i="13"/>
  <c r="E15" i="13"/>
  <c r="E14" i="13"/>
  <c r="E13" i="13"/>
  <c r="E12" i="13"/>
  <c r="E11" i="13"/>
  <c r="E7" i="13"/>
  <c r="E6" i="13"/>
  <c r="E5" i="13"/>
  <c r="E4" i="13"/>
  <c r="E3" i="13"/>
  <c r="P3" i="14"/>
  <c r="Q58" i="14"/>
  <c r="J57" i="13"/>
  <c r="F58" i="13"/>
  <c r="E59" i="13"/>
  <c r="E58" i="13"/>
  <c r="E57" i="13"/>
  <c r="I58" i="14"/>
  <c r="F57" i="14"/>
  <c r="P3" i="13"/>
  <c r="P3" i="12"/>
  <c r="E41" i="12"/>
  <c r="E39" i="12"/>
  <c r="I37" i="14"/>
  <c r="I36" i="14"/>
  <c r="I35" i="14"/>
  <c r="I34" i="14"/>
  <c r="H35" i="14"/>
  <c r="H34" i="14"/>
  <c r="G35" i="14"/>
  <c r="G34" i="14"/>
  <c r="D36" i="14"/>
  <c r="J34" i="12"/>
  <c r="D36" i="13"/>
  <c r="D36" i="12"/>
  <c r="H35" i="12"/>
  <c r="I35" i="12" s="1"/>
  <c r="I34" i="12"/>
  <c r="H34" i="12"/>
  <c r="G35" i="12"/>
  <c r="G34" i="12"/>
  <c r="E39" i="14"/>
  <c r="C36" i="14"/>
  <c r="E34" i="14"/>
  <c r="K4" i="15"/>
  <c r="J4" i="15"/>
  <c r="K3" i="15"/>
  <c r="K2" i="15"/>
  <c r="J3" i="15"/>
  <c r="J2" i="15"/>
  <c r="E3" i="15"/>
  <c r="D3" i="15"/>
  <c r="E57" i="14"/>
  <c r="E58" i="14"/>
  <c r="E57" i="12"/>
  <c r="G4" i="15"/>
  <c r="G3" i="15"/>
  <c r="C3" i="15"/>
  <c r="F3" i="15"/>
  <c r="F4" i="15"/>
  <c r="F2" i="15"/>
  <c r="G2" i="15" s="1"/>
  <c r="E4" i="15"/>
  <c r="D4" i="15"/>
  <c r="C4" i="15"/>
  <c r="E2" i="15"/>
  <c r="D2" i="15"/>
  <c r="C2" i="15"/>
  <c r="V45" i="14"/>
  <c r="B45" i="14"/>
  <c r="C23" i="14"/>
  <c r="C22" i="14"/>
  <c r="K22" i="14" s="1"/>
  <c r="Q22" i="14" s="1"/>
  <c r="C21" i="14"/>
  <c r="C20" i="14"/>
  <c r="C19" i="14"/>
  <c r="B3" i="14"/>
  <c r="F3" i="14" s="1"/>
  <c r="B22" i="13"/>
  <c r="I57" i="13"/>
  <c r="H54" i="12"/>
  <c r="K49" i="12"/>
  <c r="B53" i="12"/>
  <c r="B52" i="12"/>
  <c r="B51" i="12"/>
  <c r="D35" i="12"/>
  <c r="L61" i="14"/>
  <c r="L60" i="14"/>
  <c r="O58" i="14"/>
  <c r="R58" i="14" s="1"/>
  <c r="R59" i="14"/>
  <c r="R61" i="14" s="1"/>
  <c r="Q59" i="14"/>
  <c r="O59" i="14"/>
  <c r="E34" i="12"/>
  <c r="G54" i="12"/>
  <c r="F54" i="12"/>
  <c r="D54" i="12"/>
  <c r="C54" i="12"/>
  <c r="K48" i="12"/>
  <c r="K47" i="12"/>
  <c r="K46" i="12"/>
  <c r="S62" i="13"/>
  <c r="S61" i="13"/>
  <c r="Q60" i="13"/>
  <c r="Q58" i="13"/>
  <c r="N60" i="13"/>
  <c r="N58" i="13"/>
  <c r="V45" i="13"/>
  <c r="K45" i="13"/>
  <c r="S59" i="13"/>
  <c r="S58" i="13"/>
  <c r="Q59" i="13"/>
  <c r="N59" i="13"/>
  <c r="J61" i="13"/>
  <c r="K61" i="13"/>
  <c r="I61" i="13"/>
  <c r="K61" i="14"/>
  <c r="J61" i="14"/>
  <c r="I61" i="14"/>
  <c r="K58" i="14"/>
  <c r="K59" i="14"/>
  <c r="K57" i="14"/>
  <c r="J58" i="14"/>
  <c r="J60" i="14" s="1"/>
  <c r="J59" i="14"/>
  <c r="J57" i="14"/>
  <c r="I59" i="14"/>
  <c r="I57" i="14"/>
  <c r="K58" i="13"/>
  <c r="K59" i="13"/>
  <c r="K57" i="13"/>
  <c r="J60" i="13"/>
  <c r="J58" i="13"/>
  <c r="J59" i="13"/>
  <c r="I58" i="13"/>
  <c r="I59" i="13"/>
  <c r="K60" i="14"/>
  <c r="C53" i="14"/>
  <c r="U47" i="14"/>
  <c r="U46" i="14"/>
  <c r="T46" i="14"/>
  <c r="T45" i="14"/>
  <c r="S47" i="14"/>
  <c r="S46" i="14"/>
  <c r="S45" i="14"/>
  <c r="R47" i="14"/>
  <c r="Q47" i="14"/>
  <c r="P47" i="14"/>
  <c r="Q46" i="14"/>
  <c r="P46" i="14"/>
  <c r="R45" i="14"/>
  <c r="Q45" i="14"/>
  <c r="P45" i="14"/>
  <c r="O47" i="14"/>
  <c r="R53" i="14" s="1"/>
  <c r="O46" i="14"/>
  <c r="O45" i="14"/>
  <c r="N47" i="14"/>
  <c r="N46" i="14"/>
  <c r="N45" i="14"/>
  <c r="M47" i="14"/>
  <c r="M46" i="14"/>
  <c r="M45" i="14"/>
  <c r="T47" i="14"/>
  <c r="R46" i="14"/>
  <c r="S52" i="14"/>
  <c r="N52" i="14"/>
  <c r="U45" i="14"/>
  <c r="F51" i="14"/>
  <c r="B51" i="14"/>
  <c r="K45" i="14"/>
  <c r="J47" i="14"/>
  <c r="I47" i="14"/>
  <c r="H47" i="14"/>
  <c r="H46" i="14"/>
  <c r="J45" i="14"/>
  <c r="J46" i="14"/>
  <c r="I46" i="14"/>
  <c r="I45" i="14"/>
  <c r="D51" i="14" s="1"/>
  <c r="D52" i="14"/>
  <c r="H45" i="14"/>
  <c r="G47" i="14"/>
  <c r="G53" i="14" s="1"/>
  <c r="F47" i="14"/>
  <c r="E47" i="14"/>
  <c r="G46" i="14"/>
  <c r="F46" i="14"/>
  <c r="E46" i="14"/>
  <c r="G45" i="14"/>
  <c r="F45" i="14"/>
  <c r="E45" i="14"/>
  <c r="D45" i="14"/>
  <c r="C45" i="14"/>
  <c r="B47" i="14"/>
  <c r="C47" i="14"/>
  <c r="D47" i="14"/>
  <c r="D46" i="14"/>
  <c r="C46" i="14"/>
  <c r="B46" i="14"/>
  <c r="F52" i="14"/>
  <c r="T53" i="14"/>
  <c r="P51" i="14"/>
  <c r="C51" i="14"/>
  <c r="T52" i="14"/>
  <c r="G52" i="14"/>
  <c r="C52" i="14"/>
  <c r="N51" i="14"/>
  <c r="G51" i="14"/>
  <c r="D41" i="14"/>
  <c r="C41" i="14"/>
  <c r="D39" i="14"/>
  <c r="C39" i="14"/>
  <c r="D40" i="14"/>
  <c r="C31" i="14"/>
  <c r="C15" i="14"/>
  <c r="C7" i="14"/>
  <c r="B23" i="14"/>
  <c r="B31" i="14" s="1"/>
  <c r="B15" i="14"/>
  <c r="B7" i="14"/>
  <c r="K60" i="13"/>
  <c r="I60" i="13"/>
  <c r="O53" i="13"/>
  <c r="O52" i="13"/>
  <c r="N52" i="13"/>
  <c r="N51" i="13"/>
  <c r="G52" i="13"/>
  <c r="G51" i="13"/>
  <c r="F53" i="13"/>
  <c r="F52" i="13"/>
  <c r="F51" i="13"/>
  <c r="C53" i="13"/>
  <c r="C52" i="13"/>
  <c r="C51" i="13"/>
  <c r="B52" i="13"/>
  <c r="B51" i="13"/>
  <c r="T52" i="13"/>
  <c r="T53" i="13"/>
  <c r="T51" i="13"/>
  <c r="S52" i="13"/>
  <c r="S53" i="13"/>
  <c r="S51" i="13"/>
  <c r="R52" i="13"/>
  <c r="R53" i="13"/>
  <c r="R51" i="13"/>
  <c r="M45" i="13"/>
  <c r="P52" i="13"/>
  <c r="P53" i="13"/>
  <c r="P51" i="13"/>
  <c r="O51" i="13"/>
  <c r="N53" i="13"/>
  <c r="U47" i="13"/>
  <c r="U46" i="13"/>
  <c r="U45" i="13"/>
  <c r="T47" i="13"/>
  <c r="T46" i="13"/>
  <c r="T45" i="13"/>
  <c r="S47" i="13"/>
  <c r="S45" i="13"/>
  <c r="R47" i="13"/>
  <c r="R46" i="13"/>
  <c r="R45" i="13"/>
  <c r="Q47" i="13"/>
  <c r="Q46" i="13"/>
  <c r="P47" i="13"/>
  <c r="P46" i="13"/>
  <c r="P45" i="13"/>
  <c r="O47" i="13"/>
  <c r="O46" i="13"/>
  <c r="O45" i="13"/>
  <c r="N47" i="13"/>
  <c r="N46" i="13"/>
  <c r="N45" i="13"/>
  <c r="M47" i="13"/>
  <c r="M46" i="13"/>
  <c r="S46" i="13"/>
  <c r="Q45" i="13"/>
  <c r="J47" i="13"/>
  <c r="J46" i="13"/>
  <c r="J45" i="13"/>
  <c r="I47" i="13"/>
  <c r="I46" i="13"/>
  <c r="I45" i="13"/>
  <c r="H47" i="13"/>
  <c r="H46" i="13"/>
  <c r="H45" i="13"/>
  <c r="G47" i="13"/>
  <c r="G46" i="13"/>
  <c r="G45" i="13"/>
  <c r="F47" i="13"/>
  <c r="F46" i="13"/>
  <c r="F45" i="13"/>
  <c r="E47" i="13"/>
  <c r="E46" i="13"/>
  <c r="E45" i="13"/>
  <c r="D47" i="13"/>
  <c r="D46" i="13"/>
  <c r="D45" i="13"/>
  <c r="C47" i="13"/>
  <c r="C46" i="13"/>
  <c r="C45" i="13"/>
  <c r="B47" i="13"/>
  <c r="B46" i="13"/>
  <c r="B45" i="13"/>
  <c r="D35" i="14"/>
  <c r="D34" i="14"/>
  <c r="C34" i="14"/>
  <c r="D35" i="13"/>
  <c r="D34" i="13"/>
  <c r="C34" i="13"/>
  <c r="C36" i="13"/>
  <c r="D34" i="12"/>
  <c r="C34" i="12"/>
  <c r="C36" i="12"/>
  <c r="D22" i="14"/>
  <c r="D21" i="14"/>
  <c r="H21" i="14" s="1"/>
  <c r="D20" i="14"/>
  <c r="D14" i="14"/>
  <c r="D13" i="14"/>
  <c r="D12" i="14"/>
  <c r="D11" i="14"/>
  <c r="D6" i="14"/>
  <c r="D5" i="14"/>
  <c r="H5" i="14" s="1"/>
  <c r="D3" i="14"/>
  <c r="C14" i="14"/>
  <c r="C13" i="14"/>
  <c r="C12" i="14"/>
  <c r="G12" i="14" s="1"/>
  <c r="C11" i="14"/>
  <c r="G11" i="14" s="1"/>
  <c r="C6" i="14"/>
  <c r="C5" i="14"/>
  <c r="C4" i="14"/>
  <c r="C3" i="14"/>
  <c r="B22" i="14"/>
  <c r="J22" i="14" s="1"/>
  <c r="B21" i="14"/>
  <c r="B20" i="14"/>
  <c r="B19" i="14"/>
  <c r="B14" i="14"/>
  <c r="B13" i="14"/>
  <c r="B11" i="14"/>
  <c r="J12" i="14" s="1"/>
  <c r="B6" i="14"/>
  <c r="B5" i="14"/>
  <c r="K20" i="14"/>
  <c r="D19" i="14"/>
  <c r="H19" i="14" s="1"/>
  <c r="L15" i="14"/>
  <c r="J15" i="14"/>
  <c r="J13" i="14"/>
  <c r="B12" i="14"/>
  <c r="H6" i="14"/>
  <c r="G5" i="14"/>
  <c r="B29" i="14"/>
  <c r="H4" i="14"/>
  <c r="D4" i="14"/>
  <c r="L4" i="14" s="1"/>
  <c r="B4" i="14"/>
  <c r="F4" i="14" s="1"/>
  <c r="H3" i="14"/>
  <c r="L3" i="14"/>
  <c r="G3" i="14"/>
  <c r="D40" i="12"/>
  <c r="C41" i="13"/>
  <c r="D41" i="13"/>
  <c r="D39" i="13"/>
  <c r="C39" i="13"/>
  <c r="D40" i="13"/>
  <c r="D22" i="13"/>
  <c r="D21" i="13"/>
  <c r="D19" i="13"/>
  <c r="D14" i="13"/>
  <c r="D13" i="13"/>
  <c r="H13" i="13" s="1"/>
  <c r="D11" i="13"/>
  <c r="D6" i="13"/>
  <c r="H6" i="13" s="1"/>
  <c r="D3" i="13"/>
  <c r="H3" i="13" s="1"/>
  <c r="C23" i="13"/>
  <c r="C22" i="13"/>
  <c r="C21" i="13"/>
  <c r="C20" i="13"/>
  <c r="C19" i="13"/>
  <c r="C15" i="13"/>
  <c r="G15" i="13" s="1"/>
  <c r="C14" i="13"/>
  <c r="C13" i="13"/>
  <c r="C11" i="13"/>
  <c r="G11" i="13" s="1"/>
  <c r="C7" i="13"/>
  <c r="C6" i="13"/>
  <c r="C5" i="13"/>
  <c r="C4" i="13"/>
  <c r="K4" i="13" s="1"/>
  <c r="C3" i="13"/>
  <c r="K3" i="13" s="1"/>
  <c r="B23" i="13"/>
  <c r="B31" i="13" s="1"/>
  <c r="B21" i="13"/>
  <c r="J21" i="13" s="1"/>
  <c r="B19" i="13"/>
  <c r="J20" i="13" s="1"/>
  <c r="B15" i="13"/>
  <c r="B14" i="13"/>
  <c r="B13" i="13"/>
  <c r="B12" i="13"/>
  <c r="J12" i="13" s="1"/>
  <c r="B7" i="13"/>
  <c r="B6" i="13"/>
  <c r="J6" i="13" s="1"/>
  <c r="B5" i="13"/>
  <c r="B4" i="13"/>
  <c r="B3" i="13"/>
  <c r="H53" i="13"/>
  <c r="G53" i="13"/>
  <c r="D52" i="13"/>
  <c r="E34" i="13"/>
  <c r="J19" i="13"/>
  <c r="L14" i="13"/>
  <c r="H11" i="13"/>
  <c r="L11" i="13"/>
  <c r="L6" i="13"/>
  <c r="D5" i="13"/>
  <c r="L5" i="13" s="1"/>
  <c r="D4" i="13"/>
  <c r="L4" i="13" s="1"/>
  <c r="H53" i="12"/>
  <c r="F51" i="12"/>
  <c r="K45" i="12"/>
  <c r="H47" i="12"/>
  <c r="D53" i="12" s="1"/>
  <c r="I47" i="12"/>
  <c r="J47" i="12"/>
  <c r="J46" i="12"/>
  <c r="I46" i="12"/>
  <c r="H46" i="12"/>
  <c r="H52" i="12" s="1"/>
  <c r="J45" i="12"/>
  <c r="D51" i="12" s="1"/>
  <c r="I45" i="12"/>
  <c r="H45" i="12"/>
  <c r="H51" i="12" s="1"/>
  <c r="D47" i="12"/>
  <c r="G47" i="12"/>
  <c r="F47" i="12"/>
  <c r="E47" i="12"/>
  <c r="C53" i="12" s="1"/>
  <c r="G46" i="12"/>
  <c r="C52" i="12" s="1"/>
  <c r="F46" i="12"/>
  <c r="G52" i="12" s="1"/>
  <c r="E46" i="12"/>
  <c r="G45" i="12"/>
  <c r="F45" i="12"/>
  <c r="C51" i="12" s="1"/>
  <c r="E45" i="12"/>
  <c r="G51" i="12" s="1"/>
  <c r="C47" i="12"/>
  <c r="B47" i="12"/>
  <c r="F53" i="12" s="1"/>
  <c r="D46" i="12"/>
  <c r="C46" i="12"/>
  <c r="B46" i="12"/>
  <c r="F52" i="12" s="1"/>
  <c r="C45" i="12"/>
  <c r="D45" i="12"/>
  <c r="B45" i="12"/>
  <c r="C39" i="12"/>
  <c r="D39" i="12"/>
  <c r="D41" i="12"/>
  <c r="C41" i="12"/>
  <c r="B23" i="12"/>
  <c r="B15" i="12"/>
  <c r="B7" i="12"/>
  <c r="C23" i="12"/>
  <c r="C15" i="12"/>
  <c r="C7" i="12"/>
  <c r="C29" i="12"/>
  <c r="D22" i="12"/>
  <c r="D21" i="12"/>
  <c r="D20" i="12"/>
  <c r="D19" i="12"/>
  <c r="D27" i="12" s="1"/>
  <c r="L27" i="12" s="1"/>
  <c r="D14" i="12"/>
  <c r="D13" i="12"/>
  <c r="D12" i="12"/>
  <c r="D11" i="12"/>
  <c r="H11" i="12" s="1"/>
  <c r="D6" i="12"/>
  <c r="D5" i="12"/>
  <c r="D4" i="12"/>
  <c r="D3" i="12"/>
  <c r="L3" i="12" s="1"/>
  <c r="B22" i="12"/>
  <c r="B21" i="12"/>
  <c r="B20" i="12"/>
  <c r="F20" i="12" s="1"/>
  <c r="B19" i="12"/>
  <c r="F19" i="12" s="1"/>
  <c r="B14" i="12"/>
  <c r="B13" i="12"/>
  <c r="B12" i="12"/>
  <c r="B11" i="12"/>
  <c r="B6" i="12"/>
  <c r="B5" i="12"/>
  <c r="B4" i="12"/>
  <c r="J4" i="12" s="1"/>
  <c r="B3" i="12"/>
  <c r="C22" i="12"/>
  <c r="C21" i="12"/>
  <c r="C20" i="12"/>
  <c r="C19" i="12"/>
  <c r="C14" i="12"/>
  <c r="C13" i="12"/>
  <c r="C12" i="12"/>
  <c r="C11" i="12"/>
  <c r="G11" i="12" s="1"/>
  <c r="C6" i="12"/>
  <c r="C5" i="12"/>
  <c r="C4" i="12"/>
  <c r="C28" i="12" s="1"/>
  <c r="C3" i="12"/>
  <c r="G3" i="12" s="1"/>
  <c r="G15" i="10"/>
  <c r="S15" i="10" s="1"/>
  <c r="G9" i="10"/>
  <c r="M9" i="10" s="1"/>
  <c r="G3" i="10"/>
  <c r="S4" i="10" s="1"/>
  <c r="G3" i="11"/>
  <c r="M5" i="11" s="1"/>
  <c r="G10" i="11"/>
  <c r="S10" i="11" s="1"/>
  <c r="G17" i="11"/>
  <c r="M20" i="11" s="1"/>
  <c r="B13" i="11"/>
  <c r="G17" i="10"/>
  <c r="G16" i="10"/>
  <c r="G11" i="10"/>
  <c r="G10" i="10"/>
  <c r="G5" i="10"/>
  <c r="G4" i="10"/>
  <c r="D30" i="10"/>
  <c r="C30" i="10"/>
  <c r="D29" i="10"/>
  <c r="D28" i="10"/>
  <c r="C28" i="10"/>
  <c r="E28" i="10" s="1"/>
  <c r="M3" i="11"/>
  <c r="G20" i="11"/>
  <c r="G19" i="11"/>
  <c r="G18" i="11"/>
  <c r="G13" i="11"/>
  <c r="G12" i="11"/>
  <c r="G11" i="11"/>
  <c r="G6" i="11"/>
  <c r="G5" i="11"/>
  <c r="G4" i="11"/>
  <c r="E31" i="11"/>
  <c r="C33" i="11"/>
  <c r="D33" i="11"/>
  <c r="D32" i="11"/>
  <c r="D31" i="11"/>
  <c r="C31" i="11"/>
  <c r="F20" i="11"/>
  <c r="F13" i="11"/>
  <c r="F6" i="11"/>
  <c r="E20" i="11"/>
  <c r="E13" i="11"/>
  <c r="E6" i="11"/>
  <c r="B20" i="11"/>
  <c r="H13" i="11"/>
  <c r="H6" i="11"/>
  <c r="F19" i="11"/>
  <c r="F18" i="11"/>
  <c r="F17" i="11"/>
  <c r="L17" i="11" s="1"/>
  <c r="F12" i="11"/>
  <c r="F11" i="11"/>
  <c r="L11" i="11" s="1"/>
  <c r="F10" i="11"/>
  <c r="F5" i="11"/>
  <c r="F4" i="11"/>
  <c r="L4" i="11" s="1"/>
  <c r="F3" i="11"/>
  <c r="E19" i="11"/>
  <c r="E18" i="11"/>
  <c r="E17" i="11"/>
  <c r="E12" i="11"/>
  <c r="E10" i="11"/>
  <c r="K10" i="11" s="1"/>
  <c r="E5" i="11"/>
  <c r="E3" i="11"/>
  <c r="B17" i="11"/>
  <c r="B18" i="11"/>
  <c r="B12" i="11"/>
  <c r="B10" i="11"/>
  <c r="B5" i="11"/>
  <c r="N5" i="11" s="1"/>
  <c r="B4" i="11"/>
  <c r="B3" i="11"/>
  <c r="C27" i="11"/>
  <c r="D25" i="11"/>
  <c r="D24" i="11"/>
  <c r="P20" i="11"/>
  <c r="R19" i="11"/>
  <c r="Q19" i="11"/>
  <c r="P19" i="11"/>
  <c r="B19" i="11"/>
  <c r="P18" i="11"/>
  <c r="J18" i="11"/>
  <c r="R17" i="11"/>
  <c r="P17" i="11"/>
  <c r="J17" i="11"/>
  <c r="Q17" i="11"/>
  <c r="I17" i="11"/>
  <c r="N12" i="11"/>
  <c r="R12" i="11"/>
  <c r="J12" i="11"/>
  <c r="O12" i="11"/>
  <c r="P11" i="11"/>
  <c r="J11" i="11"/>
  <c r="H11" i="11"/>
  <c r="P10" i="11"/>
  <c r="J10" i="11"/>
  <c r="H10" i="11"/>
  <c r="O11" i="11"/>
  <c r="O6" i="11"/>
  <c r="I6" i="11"/>
  <c r="J6" i="11"/>
  <c r="I5" i="11"/>
  <c r="Q5" i="11"/>
  <c r="P5" i="11"/>
  <c r="O5" i="11"/>
  <c r="P4" i="11"/>
  <c r="J4" i="11"/>
  <c r="K4" i="11"/>
  <c r="O4" i="11"/>
  <c r="P3" i="11"/>
  <c r="O3" i="11"/>
  <c r="J3" i="11"/>
  <c r="I3" i="11"/>
  <c r="L3" i="11"/>
  <c r="K3" i="11"/>
  <c r="Z23" i="10"/>
  <c r="Z22" i="10"/>
  <c r="Y22" i="10"/>
  <c r="V23" i="10"/>
  <c r="V22" i="10"/>
  <c r="V21" i="10"/>
  <c r="F17" i="10"/>
  <c r="F16" i="10"/>
  <c r="F15" i="10"/>
  <c r="F11" i="10"/>
  <c r="F9" i="10"/>
  <c r="F22" i="10"/>
  <c r="F5" i="10"/>
  <c r="F4" i="10"/>
  <c r="F3" i="10"/>
  <c r="L3" i="10" s="1"/>
  <c r="E17" i="10"/>
  <c r="E16" i="10"/>
  <c r="E15" i="10"/>
  <c r="E11" i="10"/>
  <c r="E10" i="10"/>
  <c r="E9" i="10"/>
  <c r="E4" i="10"/>
  <c r="E5" i="10"/>
  <c r="E3" i="10"/>
  <c r="Q3" i="10" s="1"/>
  <c r="N23" i="10"/>
  <c r="N22" i="10"/>
  <c r="N21" i="10"/>
  <c r="D22" i="10"/>
  <c r="C22" i="10"/>
  <c r="B22" i="10"/>
  <c r="B17" i="10"/>
  <c r="B16" i="10"/>
  <c r="B15" i="10"/>
  <c r="B11" i="10"/>
  <c r="B9" i="10"/>
  <c r="B5" i="10"/>
  <c r="B4" i="10"/>
  <c r="B3" i="10"/>
  <c r="H3" i="10" s="1"/>
  <c r="D21" i="10"/>
  <c r="C21" i="10"/>
  <c r="O17" i="10"/>
  <c r="I17" i="10"/>
  <c r="J17" i="10"/>
  <c r="P16" i="10"/>
  <c r="O16" i="10"/>
  <c r="J16" i="10"/>
  <c r="I16" i="10"/>
  <c r="P15" i="10"/>
  <c r="O15" i="10"/>
  <c r="J15" i="10"/>
  <c r="I15" i="10"/>
  <c r="K15" i="10"/>
  <c r="Q11" i="10"/>
  <c r="J11" i="10"/>
  <c r="Q10" i="10"/>
  <c r="P9" i="10"/>
  <c r="O9" i="10"/>
  <c r="K9" i="10"/>
  <c r="J9" i="10"/>
  <c r="I9" i="10"/>
  <c r="Q9" i="10"/>
  <c r="P5" i="10"/>
  <c r="O5" i="10"/>
  <c r="P4" i="10"/>
  <c r="O4" i="10"/>
  <c r="J4" i="10"/>
  <c r="I4" i="10"/>
  <c r="P3" i="10"/>
  <c r="O3" i="10"/>
  <c r="J3" i="10"/>
  <c r="I3" i="10"/>
  <c r="S3" i="10"/>
  <c r="F23" i="9"/>
  <c r="F15" i="9"/>
  <c r="G23" i="9"/>
  <c r="G15" i="9"/>
  <c r="G7" i="9"/>
  <c r="S7" i="9" s="1"/>
  <c r="F7" i="9"/>
  <c r="E7" i="9"/>
  <c r="E15" i="9"/>
  <c r="K15" i="9" s="1"/>
  <c r="E23" i="9"/>
  <c r="D23" i="9"/>
  <c r="D15" i="9"/>
  <c r="J15" i="9" s="1"/>
  <c r="D7" i="9"/>
  <c r="B23" i="9"/>
  <c r="B15" i="9"/>
  <c r="B7" i="9"/>
  <c r="G22" i="9"/>
  <c r="G14" i="9"/>
  <c r="G6" i="9"/>
  <c r="F22" i="9"/>
  <c r="L22" i="9" s="1"/>
  <c r="F14" i="9"/>
  <c r="R14" i="9" s="1"/>
  <c r="F6" i="9"/>
  <c r="E22" i="9"/>
  <c r="K22" i="9" s="1"/>
  <c r="E14" i="9"/>
  <c r="K14" i="9" s="1"/>
  <c r="E6" i="9"/>
  <c r="D22" i="9"/>
  <c r="D14" i="9"/>
  <c r="D6" i="9"/>
  <c r="P6" i="9" s="1"/>
  <c r="B22" i="9"/>
  <c r="B14" i="9"/>
  <c r="B6" i="9"/>
  <c r="C30" i="9"/>
  <c r="W37" i="8"/>
  <c r="W36" i="8"/>
  <c r="W35" i="8"/>
  <c r="W34" i="8"/>
  <c r="W33" i="8"/>
  <c r="G21" i="9"/>
  <c r="G20" i="9"/>
  <c r="G19" i="9"/>
  <c r="S19" i="9" s="1"/>
  <c r="G13" i="9"/>
  <c r="G12" i="9"/>
  <c r="G28" i="9" s="1"/>
  <c r="G11" i="9"/>
  <c r="M11" i="9" s="1"/>
  <c r="G5" i="9"/>
  <c r="G4" i="9"/>
  <c r="S4" i="9" s="1"/>
  <c r="G3" i="9"/>
  <c r="F21" i="9"/>
  <c r="F20" i="9"/>
  <c r="L19" i="9"/>
  <c r="F13" i="9"/>
  <c r="R13" i="9" s="1"/>
  <c r="F11" i="9"/>
  <c r="R12" i="9" s="1"/>
  <c r="F5" i="9"/>
  <c r="F3" i="9"/>
  <c r="L6" i="9" s="1"/>
  <c r="E21" i="9"/>
  <c r="E20" i="9"/>
  <c r="E19" i="9"/>
  <c r="E13" i="9"/>
  <c r="E29" i="9" s="1"/>
  <c r="E12" i="9"/>
  <c r="E11" i="9"/>
  <c r="E5" i="9"/>
  <c r="E4" i="9"/>
  <c r="E3" i="9"/>
  <c r="B21" i="9"/>
  <c r="B20" i="9"/>
  <c r="B19" i="9"/>
  <c r="N19" i="9" s="1"/>
  <c r="B11" i="9"/>
  <c r="B12" i="9"/>
  <c r="B5" i="9"/>
  <c r="C21" i="9"/>
  <c r="C20" i="9"/>
  <c r="O20" i="9" s="1"/>
  <c r="C19" i="9"/>
  <c r="O19" i="9"/>
  <c r="C13" i="9"/>
  <c r="C11" i="9"/>
  <c r="O11" i="9" s="1"/>
  <c r="C5" i="9"/>
  <c r="O5" i="9" s="1"/>
  <c r="C4" i="9"/>
  <c r="D21" i="9"/>
  <c r="P21" i="9"/>
  <c r="D13" i="9"/>
  <c r="J13" i="9" s="1"/>
  <c r="D5" i="9"/>
  <c r="J5" i="9" s="1"/>
  <c r="D28" i="9"/>
  <c r="D27" i="9"/>
  <c r="P27" i="9" s="1"/>
  <c r="P23" i="9"/>
  <c r="O23" i="9"/>
  <c r="N23" i="9"/>
  <c r="I23" i="9"/>
  <c r="L23" i="9"/>
  <c r="K23" i="9"/>
  <c r="J23" i="9"/>
  <c r="P22" i="9"/>
  <c r="O22" i="9"/>
  <c r="N22" i="9"/>
  <c r="I22" i="9"/>
  <c r="S22" i="9"/>
  <c r="D30" i="9"/>
  <c r="O21" i="9"/>
  <c r="J21" i="9"/>
  <c r="F29" i="9"/>
  <c r="P20" i="9"/>
  <c r="J20" i="9"/>
  <c r="L20" i="9"/>
  <c r="K20" i="9"/>
  <c r="P19" i="9"/>
  <c r="J19" i="9"/>
  <c r="I19" i="9"/>
  <c r="K19" i="9"/>
  <c r="B27" i="9"/>
  <c r="P14" i="9"/>
  <c r="J14" i="9"/>
  <c r="I14" i="9"/>
  <c r="P13" i="9"/>
  <c r="L13" i="9"/>
  <c r="Q12" i="9"/>
  <c r="P12" i="9"/>
  <c r="O12" i="9"/>
  <c r="L12" i="9"/>
  <c r="J12" i="9"/>
  <c r="H12" i="9"/>
  <c r="S11" i="9"/>
  <c r="P11" i="9"/>
  <c r="L11" i="9"/>
  <c r="J11" i="9"/>
  <c r="J7" i="9"/>
  <c r="P7" i="9"/>
  <c r="X31" i="9" s="1"/>
  <c r="S6" i="9"/>
  <c r="M6" i="9"/>
  <c r="J6" i="9"/>
  <c r="Q6" i="9"/>
  <c r="N6" i="9"/>
  <c r="S5" i="9"/>
  <c r="P5" i="9"/>
  <c r="M5" i="9"/>
  <c r="Q5" i="9"/>
  <c r="H5" i="9"/>
  <c r="P4" i="9"/>
  <c r="X28" i="9" s="1"/>
  <c r="L4" i="9"/>
  <c r="J4" i="9"/>
  <c r="I4" i="9"/>
  <c r="Q4" i="9"/>
  <c r="N4" i="9"/>
  <c r="S3" i="9"/>
  <c r="P3" i="9"/>
  <c r="X27" i="9" s="1"/>
  <c r="M3" i="9"/>
  <c r="J3" i="9"/>
  <c r="I3" i="9"/>
  <c r="R3" i="9"/>
  <c r="Q3" i="9"/>
  <c r="H3" i="9"/>
  <c r="AA28" i="8"/>
  <c r="AA29" i="8"/>
  <c r="AA30" i="8"/>
  <c r="AA31" i="8"/>
  <c r="AA27" i="8"/>
  <c r="Z28" i="8"/>
  <c r="Z29" i="8"/>
  <c r="Z30" i="8"/>
  <c r="Z31" i="8"/>
  <c r="Z27" i="8"/>
  <c r="Y29" i="8"/>
  <c r="Y30" i="8"/>
  <c r="Y31" i="8"/>
  <c r="Y27" i="8"/>
  <c r="O3" i="8"/>
  <c r="O11" i="8"/>
  <c r="V28" i="8"/>
  <c r="V30" i="8"/>
  <c r="V27" i="8"/>
  <c r="G23" i="8"/>
  <c r="G22" i="8"/>
  <c r="G21" i="8"/>
  <c r="G19" i="8"/>
  <c r="G20" i="8"/>
  <c r="G15" i="8"/>
  <c r="G14" i="8"/>
  <c r="G13" i="8"/>
  <c r="G11" i="8"/>
  <c r="G12" i="8"/>
  <c r="M14" i="8"/>
  <c r="G7" i="8"/>
  <c r="G6" i="8"/>
  <c r="G5" i="8"/>
  <c r="G29" i="8" s="1"/>
  <c r="G3" i="8"/>
  <c r="G4" i="8"/>
  <c r="M7" i="8"/>
  <c r="F23" i="8"/>
  <c r="F22" i="8"/>
  <c r="F21" i="8"/>
  <c r="F20" i="8"/>
  <c r="F19" i="8"/>
  <c r="L19" i="8"/>
  <c r="F15" i="8"/>
  <c r="F14" i="8"/>
  <c r="R14" i="8" s="1"/>
  <c r="F13" i="8"/>
  <c r="R13" i="8"/>
  <c r="F12" i="8"/>
  <c r="F11" i="8"/>
  <c r="L15" i="8"/>
  <c r="F27" i="8"/>
  <c r="R27" i="8" s="1"/>
  <c r="F7" i="8"/>
  <c r="F6" i="8"/>
  <c r="F5" i="8"/>
  <c r="F4" i="8"/>
  <c r="F3" i="8"/>
  <c r="E23" i="8"/>
  <c r="E22" i="8"/>
  <c r="E21" i="8"/>
  <c r="E20" i="8"/>
  <c r="E19" i="8"/>
  <c r="Q19" i="8" s="1"/>
  <c r="Q22" i="8"/>
  <c r="E15" i="8"/>
  <c r="E14" i="8"/>
  <c r="K14" i="8" s="1"/>
  <c r="E13" i="8"/>
  <c r="E11" i="8"/>
  <c r="E7" i="8"/>
  <c r="E6" i="8"/>
  <c r="E5" i="8"/>
  <c r="E4" i="8"/>
  <c r="Q4" i="8" s="1"/>
  <c r="E3" i="8"/>
  <c r="I3" i="8"/>
  <c r="H4" i="8"/>
  <c r="H3" i="8"/>
  <c r="D23" i="8"/>
  <c r="D22" i="8"/>
  <c r="P22" i="8" s="1"/>
  <c r="D13" i="8"/>
  <c r="D15" i="8"/>
  <c r="D7" i="8"/>
  <c r="J7" i="8"/>
  <c r="B3" i="8"/>
  <c r="C15" i="8"/>
  <c r="O15" i="8" s="1"/>
  <c r="C13" i="8"/>
  <c r="C7" i="8"/>
  <c r="C27" i="8"/>
  <c r="O27" i="8" s="1"/>
  <c r="B22" i="8"/>
  <c r="B20" i="8"/>
  <c r="B19" i="8"/>
  <c r="B15" i="8"/>
  <c r="B14" i="8"/>
  <c r="N14" i="8" s="1"/>
  <c r="B13" i="8"/>
  <c r="B12" i="8"/>
  <c r="N12" i="8" s="1"/>
  <c r="B11" i="8"/>
  <c r="H15" i="8"/>
  <c r="B7" i="8"/>
  <c r="H7" i="8" s="1"/>
  <c r="B6" i="8"/>
  <c r="B5" i="8"/>
  <c r="B4" i="8"/>
  <c r="O23" i="8"/>
  <c r="N23" i="8"/>
  <c r="V31" i="8" s="1"/>
  <c r="I22" i="8"/>
  <c r="F30" i="8"/>
  <c r="E30" i="8"/>
  <c r="O22" i="8"/>
  <c r="H22" i="8"/>
  <c r="K21" i="8"/>
  <c r="R21" i="8"/>
  <c r="C29" i="8"/>
  <c r="B29" i="8"/>
  <c r="O20" i="8"/>
  <c r="M20" i="8"/>
  <c r="D28" i="8"/>
  <c r="I20" i="8"/>
  <c r="R19" i="8"/>
  <c r="O19" i="8"/>
  <c r="I19" i="8"/>
  <c r="D27" i="8"/>
  <c r="P27" i="8" s="1"/>
  <c r="N19" i="8"/>
  <c r="Q15" i="8"/>
  <c r="N15" i="8"/>
  <c r="M15" i="8"/>
  <c r="S14" i="8"/>
  <c r="J14" i="8"/>
  <c r="I14" i="8"/>
  <c r="H13" i="8"/>
  <c r="I13" i="8"/>
  <c r="O12" i="8"/>
  <c r="P12" i="8"/>
  <c r="Q11" i="8"/>
  <c r="N11" i="8"/>
  <c r="K11" i="8"/>
  <c r="I11" i="8"/>
  <c r="M11" i="8"/>
  <c r="P11" i="8"/>
  <c r="S7" i="8"/>
  <c r="P7" i="8"/>
  <c r="R7" i="8"/>
  <c r="I7" i="8"/>
  <c r="P6" i="8"/>
  <c r="J6" i="8"/>
  <c r="S6" i="8"/>
  <c r="L6" i="8"/>
  <c r="K5" i="8"/>
  <c r="J5" i="8"/>
  <c r="S4" i="8"/>
  <c r="N4" i="8"/>
  <c r="L4" i="8"/>
  <c r="P4" i="8"/>
  <c r="S3" i="8"/>
  <c r="P3" i="8"/>
  <c r="N3" i="8"/>
  <c r="M3" i="8"/>
  <c r="R3" i="8"/>
  <c r="J3" i="8"/>
  <c r="U12" i="6"/>
  <c r="G23" i="6"/>
  <c r="G15" i="6"/>
  <c r="G7" i="6"/>
  <c r="F7" i="6"/>
  <c r="F15" i="6"/>
  <c r="F23" i="6"/>
  <c r="R23" i="6" s="1"/>
  <c r="E23" i="6"/>
  <c r="E15" i="6"/>
  <c r="E7" i="6"/>
  <c r="D4" i="6"/>
  <c r="P4" i="6" s="1"/>
  <c r="B14" i="6"/>
  <c r="N14" i="6" s="1"/>
  <c r="B23" i="6"/>
  <c r="B15" i="6"/>
  <c r="N15" i="6" s="1"/>
  <c r="D23" i="6"/>
  <c r="D15" i="6"/>
  <c r="D7" i="6"/>
  <c r="J7" i="6" s="1"/>
  <c r="C15" i="6"/>
  <c r="C23" i="6"/>
  <c r="C7" i="6"/>
  <c r="B7" i="6"/>
  <c r="G22" i="6"/>
  <c r="G14" i="6"/>
  <c r="G6" i="6"/>
  <c r="F14" i="6"/>
  <c r="F22" i="6"/>
  <c r="R22" i="6" s="1"/>
  <c r="F6" i="6"/>
  <c r="E22" i="6"/>
  <c r="E14" i="6"/>
  <c r="E6" i="6"/>
  <c r="G21" i="6"/>
  <c r="G20" i="6"/>
  <c r="G19" i="6"/>
  <c r="F21" i="6"/>
  <c r="F29" i="6" s="1"/>
  <c r="F20" i="6"/>
  <c r="F28" i="6" s="1"/>
  <c r="F19" i="6"/>
  <c r="E21" i="6"/>
  <c r="Q21" i="6" s="1"/>
  <c r="E20" i="6"/>
  <c r="E19" i="6"/>
  <c r="D22" i="6"/>
  <c r="D21" i="6"/>
  <c r="D20" i="6"/>
  <c r="D19" i="6"/>
  <c r="C22" i="6"/>
  <c r="C21" i="6"/>
  <c r="C20" i="6"/>
  <c r="C19" i="6"/>
  <c r="O23" i="6" s="1"/>
  <c r="B22" i="6"/>
  <c r="B21" i="6"/>
  <c r="B20" i="6"/>
  <c r="B19" i="6"/>
  <c r="G13" i="6"/>
  <c r="G12" i="6"/>
  <c r="G11" i="6"/>
  <c r="S12" i="6" s="1"/>
  <c r="F13" i="6"/>
  <c r="R13" i="6" s="1"/>
  <c r="F12" i="6"/>
  <c r="F11" i="6"/>
  <c r="E13" i="6"/>
  <c r="K13" i="6" s="1"/>
  <c r="E12" i="6"/>
  <c r="Q12" i="6" s="1"/>
  <c r="E11" i="6"/>
  <c r="D13" i="6"/>
  <c r="D12" i="6"/>
  <c r="C14" i="6"/>
  <c r="C13" i="6"/>
  <c r="C12" i="6"/>
  <c r="C28" i="6" s="1"/>
  <c r="C11" i="6"/>
  <c r="B13" i="6"/>
  <c r="B12" i="6"/>
  <c r="B11" i="6"/>
  <c r="J22" i="6"/>
  <c r="D14" i="6"/>
  <c r="D6" i="6"/>
  <c r="D11" i="6"/>
  <c r="C4" i="6"/>
  <c r="D5" i="6"/>
  <c r="G5" i="7"/>
  <c r="G29" i="7" s="1"/>
  <c r="E21" i="7"/>
  <c r="E5" i="7"/>
  <c r="B21" i="7"/>
  <c r="B14" i="7"/>
  <c r="B4" i="7"/>
  <c r="B12" i="7"/>
  <c r="G23" i="7"/>
  <c r="G22" i="7"/>
  <c r="G21" i="7"/>
  <c r="G20" i="7"/>
  <c r="G19" i="7"/>
  <c r="F23" i="7"/>
  <c r="F22" i="7"/>
  <c r="F21" i="7"/>
  <c r="F20" i="7"/>
  <c r="F19" i="7"/>
  <c r="F27" i="7" s="1"/>
  <c r="R27" i="7" s="1"/>
  <c r="E23" i="7"/>
  <c r="E22" i="7"/>
  <c r="E20" i="7"/>
  <c r="E19" i="7"/>
  <c r="Q21" i="7" s="1"/>
  <c r="C23" i="7"/>
  <c r="C22" i="7"/>
  <c r="C21" i="7"/>
  <c r="C20" i="7"/>
  <c r="C28" i="7" s="1"/>
  <c r="C19" i="7"/>
  <c r="B23" i="7"/>
  <c r="B22" i="7"/>
  <c r="B20" i="7"/>
  <c r="B19" i="7"/>
  <c r="G15" i="7"/>
  <c r="G14" i="7"/>
  <c r="G13" i="7"/>
  <c r="G12" i="7"/>
  <c r="G28" i="7" s="1"/>
  <c r="G11" i="7"/>
  <c r="F15" i="7"/>
  <c r="F14" i="7"/>
  <c r="F13" i="7"/>
  <c r="F12" i="7"/>
  <c r="F11" i="7"/>
  <c r="E15" i="7"/>
  <c r="E14" i="7"/>
  <c r="E13" i="7"/>
  <c r="E12" i="7"/>
  <c r="E11" i="7"/>
  <c r="D15" i="7"/>
  <c r="D14" i="7"/>
  <c r="D13" i="7"/>
  <c r="D12" i="7"/>
  <c r="D11" i="7"/>
  <c r="D27" i="7" s="1"/>
  <c r="C15" i="7"/>
  <c r="C14" i="7"/>
  <c r="C30" i="7" s="1"/>
  <c r="C13" i="7"/>
  <c r="C12" i="7"/>
  <c r="C11" i="7"/>
  <c r="B15" i="7"/>
  <c r="B13" i="7"/>
  <c r="B11" i="7"/>
  <c r="G7" i="7"/>
  <c r="G6" i="7"/>
  <c r="G30" i="7" s="1"/>
  <c r="G4" i="7"/>
  <c r="G3" i="7"/>
  <c r="F7" i="7"/>
  <c r="F6" i="7"/>
  <c r="F5" i="7"/>
  <c r="F4" i="7"/>
  <c r="F3" i="7"/>
  <c r="E7" i="7"/>
  <c r="E6" i="7"/>
  <c r="E4" i="7"/>
  <c r="E3" i="7"/>
  <c r="D7" i="7"/>
  <c r="D6" i="7"/>
  <c r="D5" i="7"/>
  <c r="D4" i="7"/>
  <c r="D3" i="7"/>
  <c r="C7" i="7"/>
  <c r="I7" i="7" s="1"/>
  <c r="C6" i="7"/>
  <c r="C5" i="7"/>
  <c r="O5" i="7" s="1"/>
  <c r="C4" i="7"/>
  <c r="C3" i="7"/>
  <c r="B7" i="7"/>
  <c r="B6" i="7"/>
  <c r="B5" i="7"/>
  <c r="N5" i="7" s="1"/>
  <c r="B3" i="7"/>
  <c r="G5" i="6"/>
  <c r="G4" i="6"/>
  <c r="G3" i="6"/>
  <c r="F5" i="6"/>
  <c r="F4" i="6"/>
  <c r="F3" i="6"/>
  <c r="R4" i="6" s="1"/>
  <c r="E5" i="6"/>
  <c r="E4" i="6"/>
  <c r="E28" i="6" s="1"/>
  <c r="E3" i="6"/>
  <c r="Q4" i="6" s="1"/>
  <c r="D3" i="6"/>
  <c r="C6" i="6"/>
  <c r="C5" i="6"/>
  <c r="C29" i="6" s="1"/>
  <c r="C3" i="6"/>
  <c r="B6" i="6"/>
  <c r="B5" i="6"/>
  <c r="B4" i="6"/>
  <c r="B3" i="6"/>
  <c r="M31" i="6"/>
  <c r="M30" i="6"/>
  <c r="M29" i="6"/>
  <c r="M28" i="6"/>
  <c r="M27" i="6"/>
  <c r="G31" i="6"/>
  <c r="G30" i="6"/>
  <c r="G29" i="6"/>
  <c r="G28" i="6"/>
  <c r="C27" i="6"/>
  <c r="O27" i="6" s="1"/>
  <c r="B27" i="6"/>
  <c r="N27" i="6" s="1"/>
  <c r="A31" i="6"/>
  <c r="A30" i="6"/>
  <c r="A29" i="6"/>
  <c r="A28" i="6"/>
  <c r="A27" i="6"/>
  <c r="G27" i="7"/>
  <c r="E29" i="7"/>
  <c r="E28" i="7"/>
  <c r="D31" i="7"/>
  <c r="D30" i="7"/>
  <c r="D28" i="7"/>
  <c r="B28" i="7"/>
  <c r="B27" i="7"/>
  <c r="T4" i="6"/>
  <c r="T5" i="6"/>
  <c r="T6" i="6"/>
  <c r="T7" i="6"/>
  <c r="S23" i="7"/>
  <c r="M7" i="7"/>
  <c r="D23" i="7"/>
  <c r="D22" i="7"/>
  <c r="D21" i="7"/>
  <c r="D20" i="7"/>
  <c r="P20" i="7" s="1"/>
  <c r="D19" i="7"/>
  <c r="O12" i="7"/>
  <c r="H21" i="7"/>
  <c r="N12" i="7"/>
  <c r="H22" i="7"/>
  <c r="J13" i="7"/>
  <c r="R12" i="7"/>
  <c r="J12" i="7"/>
  <c r="P15" i="7"/>
  <c r="H6" i="7"/>
  <c r="R21" i="6"/>
  <c r="R19" i="6"/>
  <c r="Q19" i="6"/>
  <c r="Q20" i="6"/>
  <c r="Q22" i="6"/>
  <c r="Q23" i="6"/>
  <c r="P23" i="6"/>
  <c r="P19" i="6"/>
  <c r="P21" i="6"/>
  <c r="P20" i="6"/>
  <c r="O20" i="6"/>
  <c r="O19" i="6"/>
  <c r="N23" i="6"/>
  <c r="N21" i="6"/>
  <c r="N20" i="6"/>
  <c r="N19" i="6"/>
  <c r="S15" i="6"/>
  <c r="S14" i="6"/>
  <c r="S13" i="6"/>
  <c r="S11" i="6"/>
  <c r="R15" i="6"/>
  <c r="R14" i="6"/>
  <c r="R12" i="6"/>
  <c r="R11" i="6"/>
  <c r="Q15" i="6"/>
  <c r="Q14" i="6"/>
  <c r="Q11" i="6"/>
  <c r="P14" i="6"/>
  <c r="O14" i="6"/>
  <c r="O13" i="6"/>
  <c r="O11" i="6"/>
  <c r="V3" i="6" s="1"/>
  <c r="N13" i="6"/>
  <c r="N12" i="6"/>
  <c r="N11" i="6"/>
  <c r="S3" i="6"/>
  <c r="R5" i="6"/>
  <c r="Q5" i="6"/>
  <c r="P5" i="6"/>
  <c r="P3" i="6"/>
  <c r="O7" i="6"/>
  <c r="O6" i="6"/>
  <c r="O5" i="6"/>
  <c r="O3" i="6"/>
  <c r="V11" i="6" s="1"/>
  <c r="N5" i="6"/>
  <c r="N4" i="6"/>
  <c r="N3" i="6"/>
  <c r="H23" i="6"/>
  <c r="H21" i="6"/>
  <c r="H20" i="6"/>
  <c r="H19" i="6"/>
  <c r="I20" i="6"/>
  <c r="I19" i="6"/>
  <c r="J23" i="6"/>
  <c r="J21" i="6"/>
  <c r="J20" i="6"/>
  <c r="J19" i="6"/>
  <c r="K23" i="6"/>
  <c r="K22" i="6"/>
  <c r="K20" i="6"/>
  <c r="L22" i="6"/>
  <c r="L21" i="6"/>
  <c r="L20" i="6"/>
  <c r="L19" i="6"/>
  <c r="K19" i="6"/>
  <c r="M21" i="6"/>
  <c r="M15" i="6"/>
  <c r="M14" i="6"/>
  <c r="M13" i="6"/>
  <c r="M12" i="6"/>
  <c r="M11" i="6"/>
  <c r="L15" i="6"/>
  <c r="L14" i="6"/>
  <c r="L12" i="6"/>
  <c r="L11" i="6"/>
  <c r="K15" i="6"/>
  <c r="K14" i="6"/>
  <c r="K12" i="6"/>
  <c r="K11" i="6"/>
  <c r="J11" i="6"/>
  <c r="I15" i="6"/>
  <c r="I14" i="6"/>
  <c r="I13" i="6"/>
  <c r="I11" i="6"/>
  <c r="H13" i="6"/>
  <c r="H12" i="6"/>
  <c r="H11" i="6"/>
  <c r="M7" i="6"/>
  <c r="M3" i="6"/>
  <c r="L5" i="6"/>
  <c r="K5" i="6"/>
  <c r="J5" i="6"/>
  <c r="J3" i="6"/>
  <c r="I7" i="6"/>
  <c r="I6" i="6"/>
  <c r="I5" i="6"/>
  <c r="H5" i="6"/>
  <c r="H4" i="6"/>
  <c r="H3" i="6"/>
  <c r="A23" i="6"/>
  <c r="A22" i="6"/>
  <c r="A21" i="6"/>
  <c r="A20" i="6"/>
  <c r="A19" i="6"/>
  <c r="A15" i="6"/>
  <c r="A14" i="6"/>
  <c r="A13" i="6"/>
  <c r="A12" i="6"/>
  <c r="A11" i="6"/>
  <c r="A7" i="6"/>
  <c r="A6" i="6"/>
  <c r="A5" i="6"/>
  <c r="A4" i="6"/>
  <c r="I3" i="6"/>
  <c r="A3" i="6"/>
  <c r="G7" i="5"/>
  <c r="G6" i="5"/>
  <c r="G5" i="5"/>
  <c r="G4" i="5"/>
  <c r="G3" i="5"/>
  <c r="F7" i="5"/>
  <c r="F6" i="5"/>
  <c r="F3" i="5"/>
  <c r="F5" i="5"/>
  <c r="F4" i="5"/>
  <c r="M7" i="4"/>
  <c r="M6" i="4"/>
  <c r="M5" i="4"/>
  <c r="M4" i="4"/>
  <c r="M3" i="4"/>
  <c r="L7" i="4"/>
  <c r="L6" i="4"/>
  <c r="L5" i="4"/>
  <c r="L4" i="4"/>
  <c r="L3" i="4"/>
  <c r="K7" i="4"/>
  <c r="K6" i="4"/>
  <c r="K5" i="4"/>
  <c r="K4" i="4"/>
  <c r="K3" i="4"/>
  <c r="J7" i="4"/>
  <c r="J6" i="4"/>
  <c r="J5" i="4"/>
  <c r="J4" i="4"/>
  <c r="J3" i="4"/>
  <c r="M6" i="3"/>
  <c r="M5" i="3"/>
  <c r="M4" i="3"/>
  <c r="M3" i="3"/>
  <c r="L6" i="3"/>
  <c r="L5" i="3"/>
  <c r="L4" i="3"/>
  <c r="L3" i="3"/>
  <c r="K6" i="3"/>
  <c r="K5" i="3"/>
  <c r="K4" i="3"/>
  <c r="K3" i="3"/>
  <c r="J6" i="3"/>
  <c r="J5" i="3"/>
  <c r="J4" i="3"/>
  <c r="J3" i="3"/>
  <c r="P7" i="2"/>
  <c r="P6" i="2"/>
  <c r="P5" i="2"/>
  <c r="P4" i="2"/>
  <c r="P3" i="2"/>
  <c r="O7" i="2"/>
  <c r="O6" i="2"/>
  <c r="O5" i="2"/>
  <c r="O4" i="2"/>
  <c r="O3" i="2"/>
  <c r="N7" i="2"/>
  <c r="N6" i="2"/>
  <c r="N5" i="2"/>
  <c r="N4" i="2"/>
  <c r="N3" i="2"/>
  <c r="M7" i="2"/>
  <c r="M6" i="2"/>
  <c r="M5" i="2"/>
  <c r="M4" i="2"/>
  <c r="M3" i="2"/>
  <c r="C3" i="5"/>
  <c r="E3" i="5" s="1"/>
  <c r="B7" i="5"/>
  <c r="C7" i="5"/>
  <c r="C6" i="5"/>
  <c r="C5" i="5"/>
  <c r="B6" i="5"/>
  <c r="C4" i="5"/>
  <c r="B5" i="5"/>
  <c r="B4" i="5"/>
  <c r="B3" i="5"/>
  <c r="D3" i="5" s="1"/>
  <c r="A7" i="5"/>
  <c r="A6" i="5"/>
  <c r="A5" i="5"/>
  <c r="A4" i="5"/>
  <c r="A3" i="5"/>
  <c r="E7" i="4"/>
  <c r="D7" i="4"/>
  <c r="C7" i="4"/>
  <c r="G7" i="4" s="1"/>
  <c r="B7" i="4"/>
  <c r="F7" i="4" s="1"/>
  <c r="A7" i="4"/>
  <c r="A6" i="4"/>
  <c r="A5" i="4"/>
  <c r="A4" i="4"/>
  <c r="A3" i="4"/>
  <c r="A3" i="3"/>
  <c r="A5" i="3"/>
  <c r="A6" i="3"/>
  <c r="A4" i="3"/>
  <c r="E6" i="4"/>
  <c r="I6" i="4" s="1"/>
  <c r="C6" i="4"/>
  <c r="G6" i="4"/>
  <c r="D6" i="4"/>
  <c r="B6" i="4"/>
  <c r="F6" i="4" s="1"/>
  <c r="D5" i="4"/>
  <c r="E5" i="4"/>
  <c r="C5" i="4"/>
  <c r="G5" i="4" s="1"/>
  <c r="B5" i="4"/>
  <c r="F5" i="4" s="1"/>
  <c r="C4" i="4"/>
  <c r="G4" i="4" s="1"/>
  <c r="B4" i="4"/>
  <c r="F4" i="4" s="1"/>
  <c r="D4" i="4"/>
  <c r="E4" i="4"/>
  <c r="E3" i="4"/>
  <c r="D3" i="4"/>
  <c r="C3" i="4"/>
  <c r="B3" i="4"/>
  <c r="G3" i="4"/>
  <c r="F3" i="4"/>
  <c r="E3" i="3"/>
  <c r="I3" i="3" s="1"/>
  <c r="C6" i="3"/>
  <c r="E6" i="3"/>
  <c r="D6" i="3"/>
  <c r="B6" i="3"/>
  <c r="E5" i="3"/>
  <c r="D5" i="3"/>
  <c r="C5" i="3"/>
  <c r="G5" i="3" s="1"/>
  <c r="B5" i="3"/>
  <c r="B4" i="3"/>
  <c r="C4" i="3"/>
  <c r="D4" i="3"/>
  <c r="E4" i="3"/>
  <c r="D3" i="3"/>
  <c r="H3" i="3" s="1"/>
  <c r="C3" i="3"/>
  <c r="G3" i="3" s="1"/>
  <c r="B3" i="3"/>
  <c r="F3" i="3" s="1"/>
  <c r="H7" i="2"/>
  <c r="L4" i="2"/>
  <c r="L5" i="2"/>
  <c r="L6" i="2"/>
  <c r="L7" i="2"/>
  <c r="L3" i="2"/>
  <c r="K4" i="2"/>
  <c r="K5" i="2"/>
  <c r="K6" i="2"/>
  <c r="K7" i="2"/>
  <c r="K3" i="2"/>
  <c r="J7" i="2"/>
  <c r="J6" i="2"/>
  <c r="J5" i="2"/>
  <c r="J4" i="2"/>
  <c r="J3" i="2"/>
  <c r="I7" i="2"/>
  <c r="I6" i="2"/>
  <c r="I5" i="2"/>
  <c r="I4" i="2"/>
  <c r="I3" i="2"/>
  <c r="H4" i="2"/>
  <c r="H5" i="2"/>
  <c r="H6" i="2"/>
  <c r="H3" i="2"/>
  <c r="G7" i="2"/>
  <c r="G6" i="2"/>
  <c r="G5" i="2"/>
  <c r="G4" i="2"/>
  <c r="G3" i="2"/>
  <c r="F7" i="2"/>
  <c r="F6" i="2"/>
  <c r="F5" i="2"/>
  <c r="F4" i="2"/>
  <c r="F3" i="2"/>
  <c r="E3" i="2"/>
  <c r="E7" i="2"/>
  <c r="E6" i="2"/>
  <c r="E5" i="2"/>
  <c r="E4" i="2"/>
  <c r="C7" i="2"/>
  <c r="C5" i="2"/>
  <c r="C6" i="2"/>
  <c r="B7" i="2"/>
  <c r="B6" i="2"/>
  <c r="D28" i="1"/>
  <c r="G28" i="1"/>
  <c r="G27" i="1"/>
  <c r="G26" i="1"/>
  <c r="G25" i="1"/>
  <c r="F28" i="1"/>
  <c r="F27" i="1"/>
  <c r="F26" i="1"/>
  <c r="F25" i="1"/>
  <c r="E28" i="1"/>
  <c r="E27" i="1"/>
  <c r="E26" i="1"/>
  <c r="E25" i="1"/>
  <c r="D27" i="1"/>
  <c r="D26" i="1"/>
  <c r="D25" i="1"/>
  <c r="B24" i="1"/>
  <c r="E24" i="1" s="1"/>
  <c r="B23" i="1"/>
  <c r="G23" i="1" s="1"/>
  <c r="B22" i="1"/>
  <c r="G22" i="1" s="1"/>
  <c r="G17" i="1"/>
  <c r="G16" i="1"/>
  <c r="G13" i="1"/>
  <c r="F14" i="1"/>
  <c r="E17" i="1"/>
  <c r="E14" i="1"/>
  <c r="E13" i="1"/>
  <c r="D17" i="1"/>
  <c r="D16" i="1"/>
  <c r="D13" i="1"/>
  <c r="D12" i="1"/>
  <c r="B17" i="1"/>
  <c r="F17" i="1" s="1"/>
  <c r="B16" i="1"/>
  <c r="F16" i="1" s="1"/>
  <c r="B18" i="1"/>
  <c r="F18" i="1" s="1"/>
  <c r="B15" i="1"/>
  <c r="G15" i="1" s="1"/>
  <c r="B14" i="1"/>
  <c r="G14" i="1" s="1"/>
  <c r="B13" i="1"/>
  <c r="F13" i="1" s="1"/>
  <c r="B12" i="1"/>
  <c r="G12" i="1" s="1"/>
  <c r="B8" i="1"/>
  <c r="G8" i="1" s="1"/>
  <c r="B7" i="1"/>
  <c r="F7" i="1" s="1"/>
  <c r="B6" i="1"/>
  <c r="E6" i="1" s="1"/>
  <c r="I6" i="1" s="1"/>
  <c r="B5" i="1"/>
  <c r="E5" i="1" s="1"/>
  <c r="I5" i="1" s="1"/>
  <c r="B4" i="1"/>
  <c r="G4" i="1" s="1"/>
  <c r="B3" i="1"/>
  <c r="F3" i="1" s="1"/>
  <c r="B2" i="1"/>
  <c r="E2" i="1" s="1"/>
  <c r="I2" i="1" s="1"/>
  <c r="R3" i="13" l="1"/>
  <c r="S3" i="13" s="1"/>
  <c r="I36" i="12"/>
  <c r="D31" i="14"/>
  <c r="J6" i="14"/>
  <c r="L7" i="13"/>
  <c r="B54" i="12"/>
  <c r="R60" i="14"/>
  <c r="S60" i="13"/>
  <c r="P53" i="14"/>
  <c r="T51" i="14"/>
  <c r="O53" i="14"/>
  <c r="S51" i="14"/>
  <c r="R52" i="14"/>
  <c r="O51" i="14"/>
  <c r="N53" i="14"/>
  <c r="H53" i="14"/>
  <c r="D53" i="14"/>
  <c r="H51" i="14"/>
  <c r="F53" i="14"/>
  <c r="B53" i="14"/>
  <c r="R51" i="14"/>
  <c r="H52" i="14"/>
  <c r="S53" i="14"/>
  <c r="O52" i="14"/>
  <c r="B52" i="14"/>
  <c r="P52" i="14"/>
  <c r="R3" i="14"/>
  <c r="L7" i="14"/>
  <c r="H7" i="14"/>
  <c r="K7" i="14"/>
  <c r="H51" i="13"/>
  <c r="F5" i="12"/>
  <c r="G13" i="13"/>
  <c r="B30" i="12"/>
  <c r="J20" i="12"/>
  <c r="K7" i="13"/>
  <c r="K22" i="13"/>
  <c r="D29" i="13"/>
  <c r="G20" i="12"/>
  <c r="J12" i="12"/>
  <c r="H4" i="12"/>
  <c r="H20" i="12"/>
  <c r="D52" i="12"/>
  <c r="G53" i="12"/>
  <c r="D29" i="12"/>
  <c r="L15" i="13"/>
  <c r="C30" i="12"/>
  <c r="D30" i="12"/>
  <c r="K12" i="12"/>
  <c r="B28" i="12"/>
  <c r="L12" i="12"/>
  <c r="K12" i="13"/>
  <c r="Q20" i="13" s="1"/>
  <c r="R5" i="12"/>
  <c r="S5" i="12" s="1"/>
  <c r="R3" i="12"/>
  <c r="S3" i="12" s="1"/>
  <c r="I12" i="12"/>
  <c r="H12" i="14"/>
  <c r="L13" i="14"/>
  <c r="H14" i="14"/>
  <c r="D30" i="14"/>
  <c r="C29" i="14"/>
  <c r="K12" i="14"/>
  <c r="K15" i="14"/>
  <c r="K13" i="14"/>
  <c r="G15" i="14"/>
  <c r="K11" i="14"/>
  <c r="C27" i="14"/>
  <c r="K27" i="14" s="1"/>
  <c r="G13" i="14"/>
  <c r="G14" i="14"/>
  <c r="K4" i="14"/>
  <c r="Q28" i="14" s="1"/>
  <c r="G6" i="14"/>
  <c r="G4" i="14"/>
  <c r="J21" i="14"/>
  <c r="F11" i="14"/>
  <c r="B27" i="14"/>
  <c r="J27" i="14" s="1"/>
  <c r="F14" i="14"/>
  <c r="J11" i="14"/>
  <c r="F13" i="14"/>
  <c r="F15" i="14"/>
  <c r="F12" i="14"/>
  <c r="J29" i="14"/>
  <c r="F7" i="14"/>
  <c r="P31" i="14"/>
  <c r="R5" i="14"/>
  <c r="K6" i="14"/>
  <c r="G7" i="14"/>
  <c r="L11" i="14"/>
  <c r="R27" i="14" s="1"/>
  <c r="J14" i="14"/>
  <c r="P30" i="14" s="1"/>
  <c r="J19" i="14"/>
  <c r="L20" i="14"/>
  <c r="L21" i="14"/>
  <c r="L22" i="14"/>
  <c r="L23" i="14"/>
  <c r="R23" i="14" s="1"/>
  <c r="D27" i="14"/>
  <c r="L27" i="14" s="1"/>
  <c r="D29" i="14"/>
  <c r="L29" i="14" s="1"/>
  <c r="J5" i="14"/>
  <c r="L6" i="14"/>
  <c r="K14" i="14"/>
  <c r="K19" i="14"/>
  <c r="J3" i="14"/>
  <c r="K5" i="14"/>
  <c r="L12" i="14"/>
  <c r="H13" i="14"/>
  <c r="L14" i="14"/>
  <c r="H15" i="14"/>
  <c r="L19" i="14"/>
  <c r="F20" i="14"/>
  <c r="F21" i="14"/>
  <c r="F22" i="14"/>
  <c r="F23" i="14"/>
  <c r="B28" i="14"/>
  <c r="J28" i="14" s="1"/>
  <c r="B30" i="14"/>
  <c r="J30" i="14" s="1"/>
  <c r="K3" i="14"/>
  <c r="J4" i="14"/>
  <c r="L5" i="14"/>
  <c r="F6" i="14"/>
  <c r="J7" i="14"/>
  <c r="G20" i="14"/>
  <c r="G21" i="14"/>
  <c r="G22" i="14"/>
  <c r="G23" i="14"/>
  <c r="C28" i="14"/>
  <c r="C30" i="14"/>
  <c r="H11" i="14"/>
  <c r="F19" i="14"/>
  <c r="H20" i="14"/>
  <c r="H22" i="14"/>
  <c r="H23" i="14"/>
  <c r="D28" i="14"/>
  <c r="F5" i="14"/>
  <c r="G19" i="14"/>
  <c r="J20" i="14"/>
  <c r="J23" i="14"/>
  <c r="K21" i="14"/>
  <c r="K23" i="14"/>
  <c r="H15" i="13"/>
  <c r="L20" i="13"/>
  <c r="L12" i="13"/>
  <c r="R28" i="13" s="1"/>
  <c r="D27" i="13"/>
  <c r="L27" i="13" s="1"/>
  <c r="L13" i="13"/>
  <c r="D31" i="13"/>
  <c r="L31" i="13" s="1"/>
  <c r="D30" i="13"/>
  <c r="L3" i="13"/>
  <c r="R19" i="13" s="1"/>
  <c r="K20" i="13"/>
  <c r="C31" i="13"/>
  <c r="C27" i="13"/>
  <c r="K27" i="13" s="1"/>
  <c r="K14" i="13"/>
  <c r="C29" i="13"/>
  <c r="K5" i="13"/>
  <c r="G6" i="13"/>
  <c r="J22" i="13"/>
  <c r="P22" i="13" s="1"/>
  <c r="F15" i="13"/>
  <c r="J14" i="13"/>
  <c r="B29" i="13"/>
  <c r="J11" i="13"/>
  <c r="J13" i="13"/>
  <c r="J15" i="13"/>
  <c r="F11" i="13"/>
  <c r="F13" i="13"/>
  <c r="F5" i="13"/>
  <c r="J4" i="13"/>
  <c r="P28" i="13" s="1"/>
  <c r="F6" i="13"/>
  <c r="J7" i="13"/>
  <c r="R27" i="13"/>
  <c r="L29" i="13"/>
  <c r="L22" i="13"/>
  <c r="R30" i="13" s="1"/>
  <c r="F3" i="13"/>
  <c r="G5" i="13"/>
  <c r="D51" i="13"/>
  <c r="G3" i="13"/>
  <c r="F4" i="13"/>
  <c r="H5" i="13"/>
  <c r="F7" i="13"/>
  <c r="F12" i="13"/>
  <c r="F14" i="13"/>
  <c r="F19" i="13"/>
  <c r="F20" i="13"/>
  <c r="F21" i="13"/>
  <c r="F22" i="13"/>
  <c r="F23" i="13"/>
  <c r="B28" i="13"/>
  <c r="B30" i="13"/>
  <c r="H52" i="13"/>
  <c r="K15" i="13"/>
  <c r="G19" i="13"/>
  <c r="G20" i="13"/>
  <c r="G21" i="13"/>
  <c r="G22" i="13"/>
  <c r="G23" i="13"/>
  <c r="C28" i="13"/>
  <c r="C30" i="13"/>
  <c r="B53" i="13"/>
  <c r="G4" i="13"/>
  <c r="K6" i="13"/>
  <c r="G7" i="13"/>
  <c r="K11" i="13"/>
  <c r="G12" i="13"/>
  <c r="K13" i="13"/>
  <c r="G14" i="13"/>
  <c r="H4" i="13"/>
  <c r="J5" i="13"/>
  <c r="H7" i="13"/>
  <c r="H12" i="13"/>
  <c r="H14" i="13"/>
  <c r="H19" i="13"/>
  <c r="H20" i="13"/>
  <c r="H21" i="13"/>
  <c r="H22" i="13"/>
  <c r="H23" i="13"/>
  <c r="D28" i="13"/>
  <c r="L28" i="13" s="1"/>
  <c r="J3" i="13"/>
  <c r="D53" i="13"/>
  <c r="J23" i="13"/>
  <c r="B27" i="13"/>
  <c r="J27" i="13" s="1"/>
  <c r="K19" i="13"/>
  <c r="Q19" i="13" s="1"/>
  <c r="K21" i="13"/>
  <c r="K23" i="13"/>
  <c r="L19" i="13"/>
  <c r="L21" i="13"/>
  <c r="L23" i="13"/>
  <c r="F12" i="12"/>
  <c r="P28" i="12"/>
  <c r="P20" i="12"/>
  <c r="D28" i="12"/>
  <c r="L28" i="12" s="1"/>
  <c r="K4" i="12"/>
  <c r="G12" i="12"/>
  <c r="K20" i="12"/>
  <c r="B29" i="12"/>
  <c r="H12" i="12"/>
  <c r="L4" i="12"/>
  <c r="L20" i="12"/>
  <c r="F4" i="12"/>
  <c r="G4" i="12"/>
  <c r="B27" i="12"/>
  <c r="J27" i="12" s="1"/>
  <c r="Q28" i="12"/>
  <c r="J13" i="12"/>
  <c r="K15" i="12"/>
  <c r="H21" i="12"/>
  <c r="J6" i="12"/>
  <c r="F14" i="12"/>
  <c r="K14" i="12"/>
  <c r="F13" i="12"/>
  <c r="G21" i="12"/>
  <c r="F11" i="12"/>
  <c r="G6" i="12"/>
  <c r="G13" i="12"/>
  <c r="G23" i="12"/>
  <c r="J11" i="12"/>
  <c r="K22" i="12"/>
  <c r="H23" i="12"/>
  <c r="H5" i="12"/>
  <c r="H6" i="12"/>
  <c r="C27" i="12"/>
  <c r="K27" i="12" s="1"/>
  <c r="K19" i="12"/>
  <c r="F23" i="12"/>
  <c r="L19" i="12"/>
  <c r="K23" i="12"/>
  <c r="G14" i="12"/>
  <c r="F21" i="12"/>
  <c r="G22" i="12"/>
  <c r="L22" i="12"/>
  <c r="J5" i="12"/>
  <c r="G15" i="12"/>
  <c r="K21" i="12"/>
  <c r="H22" i="12"/>
  <c r="H3" i="12"/>
  <c r="K11" i="12"/>
  <c r="K13" i="12"/>
  <c r="G19" i="12"/>
  <c r="L21" i="12"/>
  <c r="C31" i="12"/>
  <c r="K31" i="12" s="1"/>
  <c r="H19" i="12"/>
  <c r="H7" i="12"/>
  <c r="F15" i="12"/>
  <c r="L23" i="12"/>
  <c r="D31" i="12"/>
  <c r="J3" i="12"/>
  <c r="L13" i="12"/>
  <c r="F6" i="12"/>
  <c r="F3" i="12"/>
  <c r="K5" i="12"/>
  <c r="K6" i="12"/>
  <c r="Q22" i="12" s="1"/>
  <c r="L7" i="12"/>
  <c r="L11" i="12"/>
  <c r="H13" i="12"/>
  <c r="H14" i="12"/>
  <c r="H15" i="12"/>
  <c r="K7" i="12"/>
  <c r="K3" i="12"/>
  <c r="L5" i="12"/>
  <c r="L6" i="12"/>
  <c r="G7" i="12"/>
  <c r="F7" i="12"/>
  <c r="L14" i="12"/>
  <c r="L15" i="12"/>
  <c r="G5" i="12"/>
  <c r="J14" i="12"/>
  <c r="J15" i="12"/>
  <c r="J19" i="12"/>
  <c r="J21" i="12"/>
  <c r="J22" i="12"/>
  <c r="J23" i="12"/>
  <c r="B31" i="12"/>
  <c r="J7" i="12"/>
  <c r="F22" i="12"/>
  <c r="M16" i="10"/>
  <c r="M18" i="11"/>
  <c r="S3" i="11"/>
  <c r="S4" i="11"/>
  <c r="R13" i="11"/>
  <c r="S17" i="11"/>
  <c r="M19" i="11"/>
  <c r="S11" i="11"/>
  <c r="L18" i="11"/>
  <c r="L20" i="11"/>
  <c r="F25" i="11"/>
  <c r="Q18" i="11"/>
  <c r="K17" i="11"/>
  <c r="Q20" i="11"/>
  <c r="K12" i="11"/>
  <c r="E25" i="11"/>
  <c r="H12" i="11"/>
  <c r="N10" i="11"/>
  <c r="B24" i="11"/>
  <c r="N11" i="11"/>
  <c r="H4" i="11"/>
  <c r="H3" i="11"/>
  <c r="N3" i="11"/>
  <c r="N4" i="11"/>
  <c r="R4" i="11"/>
  <c r="R18" i="11"/>
  <c r="J19" i="11"/>
  <c r="I4" i="11"/>
  <c r="J5" i="11"/>
  <c r="K6" i="11"/>
  <c r="P6" i="11"/>
  <c r="S12" i="11"/>
  <c r="N13" i="11"/>
  <c r="V27" i="11" s="1"/>
  <c r="M17" i="11"/>
  <c r="G25" i="11"/>
  <c r="S18" i="11"/>
  <c r="J20" i="11"/>
  <c r="Q3" i="11"/>
  <c r="K5" i="11"/>
  <c r="L6" i="11"/>
  <c r="Q6" i="11"/>
  <c r="N19" i="11"/>
  <c r="R3" i="11"/>
  <c r="M6" i="11"/>
  <c r="O10" i="11"/>
  <c r="K18" i="11"/>
  <c r="C26" i="11"/>
  <c r="Q4" i="11"/>
  <c r="N6" i="11"/>
  <c r="D26" i="11"/>
  <c r="B27" i="11"/>
  <c r="N27" i="11" s="1"/>
  <c r="I12" i="11"/>
  <c r="D27" i="11"/>
  <c r="H18" i="11"/>
  <c r="E26" i="11"/>
  <c r="L5" i="11"/>
  <c r="R5" i="11"/>
  <c r="Z26" i="11" s="1"/>
  <c r="K11" i="11"/>
  <c r="Q13" i="11"/>
  <c r="O18" i="11"/>
  <c r="F26" i="11"/>
  <c r="K20" i="11"/>
  <c r="N24" i="11"/>
  <c r="V26" i="11"/>
  <c r="AA24" i="11"/>
  <c r="L10" i="11"/>
  <c r="M11" i="11"/>
  <c r="L12" i="11"/>
  <c r="K13" i="11"/>
  <c r="S13" i="11"/>
  <c r="I18" i="11"/>
  <c r="O19" i="11"/>
  <c r="N20" i="11"/>
  <c r="C24" i="11"/>
  <c r="G26" i="11"/>
  <c r="E27" i="11"/>
  <c r="H5" i="11"/>
  <c r="M10" i="11"/>
  <c r="M12" i="11"/>
  <c r="L13" i="11"/>
  <c r="H19" i="11"/>
  <c r="O20" i="11"/>
  <c r="B25" i="11"/>
  <c r="F27" i="11"/>
  <c r="M13" i="11"/>
  <c r="I19" i="11"/>
  <c r="H20" i="11"/>
  <c r="E24" i="11"/>
  <c r="Q24" i="11" s="1"/>
  <c r="C25" i="11"/>
  <c r="G27" i="11"/>
  <c r="I20" i="11"/>
  <c r="F24" i="11"/>
  <c r="R24" i="11" s="1"/>
  <c r="B26" i="11"/>
  <c r="M4" i="11"/>
  <c r="S5" i="11"/>
  <c r="R6" i="11"/>
  <c r="I11" i="11"/>
  <c r="Q11" i="11"/>
  <c r="P12" i="11"/>
  <c r="O13" i="11"/>
  <c r="N17" i="11"/>
  <c r="V24" i="11" s="1"/>
  <c r="K19" i="11"/>
  <c r="S19" i="11"/>
  <c r="R20" i="11"/>
  <c r="G24" i="11"/>
  <c r="S24" i="11" s="1"/>
  <c r="S6" i="11"/>
  <c r="I10" i="11"/>
  <c r="Q10" i="11"/>
  <c r="R11" i="11"/>
  <c r="Q12" i="11"/>
  <c r="Y26" i="11" s="1"/>
  <c r="P13" i="11"/>
  <c r="O17" i="11"/>
  <c r="N18" i="11"/>
  <c r="L19" i="11"/>
  <c r="S20" i="11"/>
  <c r="R10" i="11"/>
  <c r="I13" i="11"/>
  <c r="H17" i="11"/>
  <c r="J13" i="11"/>
  <c r="G22" i="10"/>
  <c r="E22" i="10"/>
  <c r="N10" i="10"/>
  <c r="B23" i="10"/>
  <c r="C23" i="10"/>
  <c r="R10" i="10"/>
  <c r="M4" i="10"/>
  <c r="S10" i="10"/>
  <c r="AA22" i="10" s="1"/>
  <c r="P17" i="10"/>
  <c r="K10" i="10"/>
  <c r="P11" i="10"/>
  <c r="R9" i="10"/>
  <c r="P10" i="10"/>
  <c r="N15" i="10"/>
  <c r="S9" i="10"/>
  <c r="AA21" i="10" s="1"/>
  <c r="B21" i="10"/>
  <c r="Q16" i="10"/>
  <c r="M3" i="10"/>
  <c r="M5" i="10"/>
  <c r="K11" i="10"/>
  <c r="H16" i="10"/>
  <c r="H4" i="10"/>
  <c r="J5" i="10"/>
  <c r="L10" i="10"/>
  <c r="L11" i="10"/>
  <c r="Q15" i="10"/>
  <c r="Y21" i="10" s="1"/>
  <c r="K17" i="10"/>
  <c r="Q4" i="10"/>
  <c r="S5" i="10"/>
  <c r="L9" i="10"/>
  <c r="M10" i="10"/>
  <c r="S11" i="10"/>
  <c r="L17" i="10"/>
  <c r="L5" i="10"/>
  <c r="R4" i="10"/>
  <c r="N5" i="10"/>
  <c r="I10" i="10"/>
  <c r="I11" i="10"/>
  <c r="H15" i="10"/>
  <c r="S17" i="10"/>
  <c r="J10" i="10"/>
  <c r="O11" i="10"/>
  <c r="H17" i="10"/>
  <c r="R3" i="10"/>
  <c r="H5" i="10"/>
  <c r="H9" i="10"/>
  <c r="O10" i="10"/>
  <c r="M11" i="10"/>
  <c r="M15" i="10"/>
  <c r="N16" i="10"/>
  <c r="M17" i="10"/>
  <c r="K3" i="10"/>
  <c r="K4" i="10"/>
  <c r="I5" i="10"/>
  <c r="Q5" i="10"/>
  <c r="H10" i="10"/>
  <c r="N11" i="10"/>
  <c r="N17" i="10"/>
  <c r="D23" i="10"/>
  <c r="L4" i="10"/>
  <c r="R5" i="10"/>
  <c r="E21" i="10"/>
  <c r="Q21" i="10" s="1"/>
  <c r="E23" i="10"/>
  <c r="K5" i="10"/>
  <c r="H11" i="10"/>
  <c r="F21" i="10"/>
  <c r="R21" i="10" s="1"/>
  <c r="F23" i="10"/>
  <c r="N3" i="10"/>
  <c r="N4" i="10"/>
  <c r="R16" i="10"/>
  <c r="Q17" i="10"/>
  <c r="G21" i="10"/>
  <c r="S21" i="10" s="1"/>
  <c r="G23" i="10"/>
  <c r="R11" i="10"/>
  <c r="R15" i="10"/>
  <c r="K16" i="10"/>
  <c r="S16" i="10"/>
  <c r="R17" i="10"/>
  <c r="N9" i="10"/>
  <c r="L16" i="10"/>
  <c r="L15" i="10"/>
  <c r="M7" i="9"/>
  <c r="P15" i="9"/>
  <c r="B31" i="9"/>
  <c r="N31" i="9" s="1"/>
  <c r="N14" i="9"/>
  <c r="B30" i="9"/>
  <c r="N30" i="9" s="1"/>
  <c r="O6" i="9"/>
  <c r="S23" i="9"/>
  <c r="AA31" i="9" s="1"/>
  <c r="M21" i="9"/>
  <c r="S12" i="9"/>
  <c r="M13" i="9"/>
  <c r="S15" i="9"/>
  <c r="M12" i="9"/>
  <c r="M14" i="9"/>
  <c r="AA27" i="9"/>
  <c r="M4" i="9"/>
  <c r="L14" i="9"/>
  <c r="L15" i="9"/>
  <c r="R11" i="9"/>
  <c r="R4" i="9"/>
  <c r="R6" i="9"/>
  <c r="R5" i="9"/>
  <c r="L3" i="9"/>
  <c r="L5" i="9"/>
  <c r="Q13" i="9"/>
  <c r="K11" i="9"/>
  <c r="K12" i="9"/>
  <c r="Q14" i="9"/>
  <c r="Y30" i="9" s="1"/>
  <c r="Q11" i="9"/>
  <c r="H23" i="9"/>
  <c r="N20" i="9"/>
  <c r="H22" i="9"/>
  <c r="H21" i="9"/>
  <c r="H19" i="9"/>
  <c r="H20" i="9"/>
  <c r="N21" i="9"/>
  <c r="N13" i="9"/>
  <c r="I20" i="9"/>
  <c r="I21" i="9"/>
  <c r="C29" i="9"/>
  <c r="I11" i="9"/>
  <c r="I13" i="9"/>
  <c r="O13" i="9"/>
  <c r="O14" i="9"/>
  <c r="W36" i="9" s="1"/>
  <c r="I15" i="9"/>
  <c r="I12" i="9"/>
  <c r="O15" i="9"/>
  <c r="W29" i="9"/>
  <c r="C28" i="9"/>
  <c r="O3" i="9"/>
  <c r="W27" i="9" s="1"/>
  <c r="I5" i="9"/>
  <c r="I6" i="9"/>
  <c r="O7" i="9"/>
  <c r="O4" i="9"/>
  <c r="W28" i="9" s="1"/>
  <c r="C27" i="9"/>
  <c r="O27" i="9" s="1"/>
  <c r="D29" i="9"/>
  <c r="P29" i="9" s="1"/>
  <c r="P30" i="9"/>
  <c r="X29" i="9"/>
  <c r="X30" i="9"/>
  <c r="N27" i="9"/>
  <c r="C33" i="9"/>
  <c r="O33" i="9" s="1"/>
  <c r="V30" i="9"/>
  <c r="K3" i="9"/>
  <c r="K4" i="9"/>
  <c r="K5" i="9"/>
  <c r="K6" i="9"/>
  <c r="I7" i="9"/>
  <c r="Q7" i="9"/>
  <c r="M15" i="9"/>
  <c r="M19" i="9"/>
  <c r="M20" i="9"/>
  <c r="M22" i="9"/>
  <c r="M23" i="9"/>
  <c r="G29" i="9"/>
  <c r="E30" i="9"/>
  <c r="C31" i="9"/>
  <c r="R7" i="9"/>
  <c r="H13" i="9"/>
  <c r="H14" i="9"/>
  <c r="N15" i="9"/>
  <c r="B28" i="9"/>
  <c r="P28" i="9"/>
  <c r="F30" i="9"/>
  <c r="D31" i="9"/>
  <c r="P31" i="9" s="1"/>
  <c r="K7" i="9"/>
  <c r="E27" i="9"/>
  <c r="Q27" i="9" s="1"/>
  <c r="G30" i="9"/>
  <c r="E31" i="9"/>
  <c r="N5" i="9"/>
  <c r="H15" i="9"/>
  <c r="Q21" i="9"/>
  <c r="Y29" i="9" s="1"/>
  <c r="F27" i="9"/>
  <c r="R27" i="9" s="1"/>
  <c r="B29" i="9"/>
  <c r="F31" i="9"/>
  <c r="N3" i="9"/>
  <c r="K13" i="9"/>
  <c r="S13" i="9"/>
  <c r="AA29" i="9" s="1"/>
  <c r="S14" i="9"/>
  <c r="AA30" i="9" s="1"/>
  <c r="Q15" i="9"/>
  <c r="Q19" i="9"/>
  <c r="Q20" i="9"/>
  <c r="Y28" i="9" s="1"/>
  <c r="R21" i="9"/>
  <c r="Q22" i="9"/>
  <c r="Q23" i="9"/>
  <c r="G27" i="9"/>
  <c r="S27" i="9" s="1"/>
  <c r="E28" i="9"/>
  <c r="G31" i="9"/>
  <c r="L7" i="9"/>
  <c r="H4" i="9"/>
  <c r="H6" i="9"/>
  <c r="N7" i="9"/>
  <c r="N11" i="9"/>
  <c r="N12" i="9"/>
  <c r="W34" i="9" s="1"/>
  <c r="R15" i="9"/>
  <c r="R19" i="9"/>
  <c r="R20" i="9"/>
  <c r="Z28" i="9" s="1"/>
  <c r="K21" i="9"/>
  <c r="S21" i="9"/>
  <c r="J22" i="9"/>
  <c r="R22" i="9"/>
  <c r="R23" i="9"/>
  <c r="F28" i="9"/>
  <c r="S20" i="9"/>
  <c r="AA28" i="9" s="1"/>
  <c r="L21" i="9"/>
  <c r="H7" i="9"/>
  <c r="H11" i="9"/>
  <c r="C35" i="8"/>
  <c r="W27" i="8"/>
  <c r="C33" i="8"/>
  <c r="M23" i="8"/>
  <c r="G30" i="8"/>
  <c r="S21" i="8"/>
  <c r="S13" i="8"/>
  <c r="M13" i="8"/>
  <c r="S15" i="8"/>
  <c r="S11" i="8"/>
  <c r="M12" i="8"/>
  <c r="M4" i="8"/>
  <c r="M6" i="8"/>
  <c r="M5" i="8"/>
  <c r="L20" i="8"/>
  <c r="R20" i="8"/>
  <c r="L23" i="8"/>
  <c r="L13" i="8"/>
  <c r="E31" i="8"/>
  <c r="E29" i="8"/>
  <c r="K20" i="8"/>
  <c r="Q14" i="8"/>
  <c r="K12" i="8"/>
  <c r="K13" i="8"/>
  <c r="K15" i="8"/>
  <c r="Q12" i="8"/>
  <c r="Y28" i="8" s="1"/>
  <c r="K6" i="8"/>
  <c r="K3" i="8"/>
  <c r="Q7" i="8"/>
  <c r="E27" i="8"/>
  <c r="Q27" i="8" s="1"/>
  <c r="Q3" i="8"/>
  <c r="D31" i="8"/>
  <c r="D29" i="8"/>
  <c r="P29" i="8" s="1"/>
  <c r="P15" i="8"/>
  <c r="N5" i="8"/>
  <c r="I6" i="8"/>
  <c r="O4" i="8"/>
  <c r="I4" i="8"/>
  <c r="H20" i="8"/>
  <c r="H14" i="8"/>
  <c r="H11" i="8"/>
  <c r="N13" i="8"/>
  <c r="H6" i="8"/>
  <c r="N7" i="8"/>
  <c r="P31" i="8"/>
  <c r="P28" i="8"/>
  <c r="O29" i="8"/>
  <c r="R30" i="8"/>
  <c r="O5" i="8"/>
  <c r="K7" i="8"/>
  <c r="I15" i="8"/>
  <c r="L3" i="8"/>
  <c r="J4" i="8"/>
  <c r="R4" i="8"/>
  <c r="H5" i="8"/>
  <c r="P5" i="8"/>
  <c r="N6" i="8"/>
  <c r="L7" i="8"/>
  <c r="J11" i="8"/>
  <c r="R11" i="8"/>
  <c r="H12" i="8"/>
  <c r="L14" i="8"/>
  <c r="J15" i="8"/>
  <c r="R15" i="8"/>
  <c r="H19" i="8"/>
  <c r="P19" i="8"/>
  <c r="X27" i="8" s="1"/>
  <c r="N20" i="8"/>
  <c r="L21" i="8"/>
  <c r="J22" i="8"/>
  <c r="R22" i="8"/>
  <c r="H23" i="8"/>
  <c r="P23" i="8"/>
  <c r="B28" i="8"/>
  <c r="F29" i="8"/>
  <c r="R29" i="8" s="1"/>
  <c r="B30" i="8"/>
  <c r="F31" i="8"/>
  <c r="R31" i="8" s="1"/>
  <c r="K4" i="8"/>
  <c r="I5" i="8"/>
  <c r="Q5" i="8"/>
  <c r="O6" i="8"/>
  <c r="I12" i="8"/>
  <c r="O13" i="8"/>
  <c r="M21" i="8"/>
  <c r="K22" i="8"/>
  <c r="S22" i="8"/>
  <c r="I23" i="8"/>
  <c r="Q23" i="8"/>
  <c r="G27" i="8"/>
  <c r="S27" i="8" s="1"/>
  <c r="C28" i="8"/>
  <c r="C30" i="8"/>
  <c r="G31" i="8"/>
  <c r="P20" i="8"/>
  <c r="X28" i="8" s="1"/>
  <c r="L22" i="8"/>
  <c r="J23" i="8"/>
  <c r="R23" i="8"/>
  <c r="D30" i="8"/>
  <c r="P30" i="8" s="1"/>
  <c r="R5" i="8"/>
  <c r="L11" i="8"/>
  <c r="J12" i="8"/>
  <c r="R12" i="8"/>
  <c r="P13" i="8"/>
  <c r="J19" i="8"/>
  <c r="N21" i="8"/>
  <c r="V29" i="8" s="1"/>
  <c r="S5" i="8"/>
  <c r="Q6" i="8"/>
  <c r="O7" i="8"/>
  <c r="S12" i="8"/>
  <c r="Q13" i="8"/>
  <c r="O14" i="8"/>
  <c r="K19" i="8"/>
  <c r="S19" i="8"/>
  <c r="Q20" i="8"/>
  <c r="O21" i="8"/>
  <c r="M22" i="8"/>
  <c r="K23" i="8"/>
  <c r="S23" i="8"/>
  <c r="E28" i="8"/>
  <c r="L5" i="8"/>
  <c r="L12" i="8"/>
  <c r="J13" i="8"/>
  <c r="P14" i="8"/>
  <c r="X30" i="8" s="1"/>
  <c r="B27" i="8"/>
  <c r="N27" i="8" s="1"/>
  <c r="F28" i="8"/>
  <c r="R28" i="8" s="1"/>
  <c r="B31" i="8"/>
  <c r="J20" i="8"/>
  <c r="H21" i="8"/>
  <c r="P21" i="8"/>
  <c r="N22" i="8"/>
  <c r="M19" i="8"/>
  <c r="S20" i="8"/>
  <c r="I21" i="8"/>
  <c r="Q21" i="8"/>
  <c r="G28" i="8"/>
  <c r="C31" i="8"/>
  <c r="R6" i="8"/>
  <c r="J21" i="8"/>
  <c r="F31" i="6"/>
  <c r="L23" i="6"/>
  <c r="E31" i="6"/>
  <c r="J4" i="6"/>
  <c r="H14" i="6"/>
  <c r="H15" i="6"/>
  <c r="B31" i="6"/>
  <c r="N31" i="6" s="1"/>
  <c r="P7" i="6"/>
  <c r="D31" i="6"/>
  <c r="P31" i="6" s="1"/>
  <c r="C31" i="6"/>
  <c r="O31" i="6" s="1"/>
  <c r="O15" i="6"/>
  <c r="V7" i="6" s="1"/>
  <c r="H7" i="6"/>
  <c r="N7" i="6"/>
  <c r="S22" i="6"/>
  <c r="F30" i="6"/>
  <c r="E30" i="6"/>
  <c r="M22" i="6"/>
  <c r="S23" i="6"/>
  <c r="M19" i="6"/>
  <c r="M23" i="6"/>
  <c r="S20" i="6"/>
  <c r="S19" i="6"/>
  <c r="Z3" i="6" s="1"/>
  <c r="G27" i="6"/>
  <c r="M20" i="6"/>
  <c r="S21" i="6"/>
  <c r="R20" i="6"/>
  <c r="K21" i="6"/>
  <c r="O22" i="6"/>
  <c r="I21" i="6"/>
  <c r="O21" i="6"/>
  <c r="V13" i="6" s="1"/>
  <c r="O28" i="6"/>
  <c r="I23" i="6"/>
  <c r="B28" i="6"/>
  <c r="N22" i="6"/>
  <c r="L13" i="6"/>
  <c r="Y13" i="6"/>
  <c r="Q13" i="6"/>
  <c r="X13" i="6"/>
  <c r="E29" i="6"/>
  <c r="D28" i="6"/>
  <c r="P12" i="6"/>
  <c r="I12" i="6"/>
  <c r="O12" i="6"/>
  <c r="O29" i="6"/>
  <c r="V5" i="6"/>
  <c r="U13" i="6"/>
  <c r="B29" i="6"/>
  <c r="U4" i="6"/>
  <c r="N28" i="6"/>
  <c r="U3" i="6"/>
  <c r="P22" i="6"/>
  <c r="W14" i="6" s="1"/>
  <c r="D30" i="6"/>
  <c r="P6" i="6"/>
  <c r="J6" i="6"/>
  <c r="I22" i="6"/>
  <c r="V14" i="6"/>
  <c r="C30" i="6"/>
  <c r="J12" i="6"/>
  <c r="P15" i="6"/>
  <c r="J14" i="6"/>
  <c r="P11" i="6"/>
  <c r="J15" i="6"/>
  <c r="D27" i="6"/>
  <c r="P30" i="6" s="1"/>
  <c r="W3" i="6"/>
  <c r="I4" i="6"/>
  <c r="O4" i="6"/>
  <c r="V4" i="6" s="1"/>
  <c r="D29" i="6"/>
  <c r="J13" i="6"/>
  <c r="P13" i="6"/>
  <c r="S5" i="7"/>
  <c r="F30" i="7"/>
  <c r="F28" i="7"/>
  <c r="R28" i="7" s="1"/>
  <c r="L20" i="7"/>
  <c r="E31" i="7"/>
  <c r="K23" i="7"/>
  <c r="K20" i="7"/>
  <c r="E27" i="7"/>
  <c r="Q27" i="7" s="1"/>
  <c r="C31" i="7"/>
  <c r="C29" i="7"/>
  <c r="O20" i="7"/>
  <c r="I21" i="7"/>
  <c r="C27" i="7"/>
  <c r="O27" i="7" s="1"/>
  <c r="B30" i="7"/>
  <c r="N30" i="7" s="1"/>
  <c r="H20" i="7"/>
  <c r="S14" i="7"/>
  <c r="M13" i="7"/>
  <c r="F31" i="7"/>
  <c r="F29" i="7"/>
  <c r="R29" i="7" s="1"/>
  <c r="R30" i="7"/>
  <c r="R31" i="7"/>
  <c r="E30" i="7"/>
  <c r="Q30" i="7" s="1"/>
  <c r="D29" i="7"/>
  <c r="P31" i="7"/>
  <c r="P30" i="7"/>
  <c r="P27" i="7"/>
  <c r="O30" i="7"/>
  <c r="O31" i="7"/>
  <c r="B31" i="7"/>
  <c r="N31" i="7" s="1"/>
  <c r="G31" i="7"/>
  <c r="S31" i="7" s="1"/>
  <c r="S28" i="7"/>
  <c r="S29" i="7"/>
  <c r="R5" i="7"/>
  <c r="Q29" i="7"/>
  <c r="Q31" i="7"/>
  <c r="P28" i="7"/>
  <c r="P29" i="7"/>
  <c r="O28" i="7"/>
  <c r="O29" i="7"/>
  <c r="B29" i="7"/>
  <c r="N29" i="7" s="1"/>
  <c r="N27" i="7"/>
  <c r="N28" i="7"/>
  <c r="S28" i="6"/>
  <c r="S30" i="6"/>
  <c r="S29" i="6"/>
  <c r="S27" i="6"/>
  <c r="S31" i="6"/>
  <c r="M4" i="6"/>
  <c r="S4" i="6"/>
  <c r="M5" i="6"/>
  <c r="S5" i="6"/>
  <c r="Z11" i="6"/>
  <c r="S7" i="6"/>
  <c r="M6" i="6"/>
  <c r="S6" i="6"/>
  <c r="Y12" i="6"/>
  <c r="Y4" i="6"/>
  <c r="L6" i="6"/>
  <c r="R6" i="6"/>
  <c r="Y5" i="6"/>
  <c r="F27" i="6"/>
  <c r="L3" i="6"/>
  <c r="L7" i="6"/>
  <c r="R3" i="6"/>
  <c r="R7" i="6"/>
  <c r="L4" i="6"/>
  <c r="X4" i="6"/>
  <c r="X12" i="6"/>
  <c r="K6" i="6"/>
  <c r="Q6" i="6"/>
  <c r="E27" i="6"/>
  <c r="K3" i="6"/>
  <c r="K7" i="6"/>
  <c r="Q3" i="6"/>
  <c r="Q7" i="6"/>
  <c r="X5" i="6"/>
  <c r="K4" i="6"/>
  <c r="W13" i="6"/>
  <c r="W11" i="6"/>
  <c r="V6" i="6"/>
  <c r="O30" i="6"/>
  <c r="U5" i="6"/>
  <c r="U11" i="6"/>
  <c r="N29" i="6"/>
  <c r="H22" i="6"/>
  <c r="B30" i="6"/>
  <c r="N30" i="6" s="1"/>
  <c r="H6" i="6"/>
  <c r="N6" i="6"/>
  <c r="W5" i="6"/>
  <c r="W4" i="6"/>
  <c r="P29" i="6"/>
  <c r="W12" i="6"/>
  <c r="S20" i="7"/>
  <c r="S30" i="7"/>
  <c r="S27" i="7"/>
  <c r="M21" i="7"/>
  <c r="S12" i="7"/>
  <c r="S4" i="7"/>
  <c r="L21" i="7"/>
  <c r="L22" i="7"/>
  <c r="R13" i="7"/>
  <c r="L15" i="7"/>
  <c r="L4" i="7"/>
  <c r="L6" i="7"/>
  <c r="Q13" i="7"/>
  <c r="K14" i="7"/>
  <c r="K12" i="7"/>
  <c r="K5" i="7"/>
  <c r="Q7" i="7"/>
  <c r="K4" i="7"/>
  <c r="P21" i="7"/>
  <c r="P22" i="7"/>
  <c r="J19" i="7"/>
  <c r="J5" i="7"/>
  <c r="P6" i="7"/>
  <c r="P4" i="7"/>
  <c r="O23" i="7"/>
  <c r="O14" i="7"/>
  <c r="I13" i="7"/>
  <c r="O4" i="7"/>
  <c r="V4" i="7" s="1"/>
  <c r="N13" i="7"/>
  <c r="H15" i="7"/>
  <c r="H4" i="7"/>
  <c r="J3" i="7"/>
  <c r="N3" i="7"/>
  <c r="R3" i="7"/>
  <c r="I4" i="7"/>
  <c r="M4" i="7"/>
  <c r="Q4" i="7"/>
  <c r="H5" i="7"/>
  <c r="L5" i="7"/>
  <c r="P5" i="7"/>
  <c r="I6" i="7"/>
  <c r="M6" i="7"/>
  <c r="Q6" i="7"/>
  <c r="J7" i="7"/>
  <c r="N7" i="7"/>
  <c r="R7" i="7"/>
  <c r="I11" i="7"/>
  <c r="M11" i="7"/>
  <c r="Q11" i="7"/>
  <c r="H12" i="7"/>
  <c r="L12" i="7"/>
  <c r="P12" i="7"/>
  <c r="W12" i="7" s="1"/>
  <c r="K13" i="7"/>
  <c r="O13" i="7"/>
  <c r="S13" i="7"/>
  <c r="H14" i="7"/>
  <c r="L14" i="7"/>
  <c r="P14" i="7"/>
  <c r="I15" i="7"/>
  <c r="M15" i="7"/>
  <c r="Q15" i="7"/>
  <c r="H19" i="7"/>
  <c r="L19" i="7"/>
  <c r="P19" i="7"/>
  <c r="I20" i="7"/>
  <c r="M20" i="7"/>
  <c r="Q20" i="7"/>
  <c r="J21" i="7"/>
  <c r="N21" i="7"/>
  <c r="U13" i="7" s="1"/>
  <c r="R21" i="7"/>
  <c r="I22" i="7"/>
  <c r="M22" i="7"/>
  <c r="Q22" i="7"/>
  <c r="H23" i="7"/>
  <c r="L23" i="7"/>
  <c r="P23" i="7"/>
  <c r="K3" i="7"/>
  <c r="O3" i="7"/>
  <c r="S3" i="7"/>
  <c r="J4" i="7"/>
  <c r="N4" i="7"/>
  <c r="U12" i="7" s="1"/>
  <c r="R4" i="7"/>
  <c r="I5" i="7"/>
  <c r="M5" i="7"/>
  <c r="Q5" i="7"/>
  <c r="J6" i="7"/>
  <c r="N6" i="7"/>
  <c r="R6" i="7"/>
  <c r="K7" i="7"/>
  <c r="O7" i="7"/>
  <c r="S7" i="7"/>
  <c r="J11" i="7"/>
  <c r="N11" i="7"/>
  <c r="R11" i="7"/>
  <c r="I12" i="7"/>
  <c r="M12" i="7"/>
  <c r="Q12" i="7"/>
  <c r="H13" i="7"/>
  <c r="L13" i="7"/>
  <c r="P13" i="7"/>
  <c r="I14" i="7"/>
  <c r="M14" i="7"/>
  <c r="Q14" i="7"/>
  <c r="J15" i="7"/>
  <c r="N15" i="7"/>
  <c r="R15" i="7"/>
  <c r="I19" i="7"/>
  <c r="M19" i="7"/>
  <c r="Q19" i="7"/>
  <c r="J20" i="7"/>
  <c r="N20" i="7"/>
  <c r="R20" i="7"/>
  <c r="K21" i="7"/>
  <c r="O21" i="7"/>
  <c r="S21" i="7"/>
  <c r="J22" i="7"/>
  <c r="N22" i="7"/>
  <c r="R22" i="7"/>
  <c r="I23" i="7"/>
  <c r="M23" i="7"/>
  <c r="Q23" i="7"/>
  <c r="H3" i="7"/>
  <c r="L3" i="7"/>
  <c r="P3" i="7"/>
  <c r="K6" i="7"/>
  <c r="O6" i="7"/>
  <c r="S6" i="7"/>
  <c r="H7" i="7"/>
  <c r="L7" i="7"/>
  <c r="P7" i="7"/>
  <c r="K11" i="7"/>
  <c r="O11" i="7"/>
  <c r="S11" i="7"/>
  <c r="J14" i="7"/>
  <c r="N14" i="7"/>
  <c r="R14" i="7"/>
  <c r="K15" i="7"/>
  <c r="O15" i="7"/>
  <c r="S15" i="7"/>
  <c r="N19" i="7"/>
  <c r="R19" i="7"/>
  <c r="K22" i="7"/>
  <c r="O22" i="7"/>
  <c r="S22" i="7"/>
  <c r="J23" i="7"/>
  <c r="N23" i="7"/>
  <c r="R23" i="7"/>
  <c r="I3" i="7"/>
  <c r="M3" i="7"/>
  <c r="Q3" i="7"/>
  <c r="H11" i="7"/>
  <c r="L11" i="7"/>
  <c r="P11" i="7"/>
  <c r="K19" i="7"/>
  <c r="O19" i="7"/>
  <c r="S19" i="7"/>
  <c r="D4" i="5"/>
  <c r="E5" i="5"/>
  <c r="D6" i="5"/>
  <c r="E6" i="5"/>
  <c r="D7" i="5"/>
  <c r="E7" i="5"/>
  <c r="E4" i="5"/>
  <c r="D5" i="5"/>
  <c r="I7" i="4"/>
  <c r="H7" i="4"/>
  <c r="I5" i="4"/>
  <c r="I4" i="4"/>
  <c r="I3" i="4"/>
  <c r="H3" i="4"/>
  <c r="H4" i="4"/>
  <c r="H5" i="4"/>
  <c r="H6" i="4"/>
  <c r="G4" i="3"/>
  <c r="F5" i="3"/>
  <c r="H4" i="3"/>
  <c r="I4" i="3"/>
  <c r="F6" i="3"/>
  <c r="F4" i="3"/>
  <c r="H5" i="3"/>
  <c r="G6" i="3"/>
  <c r="H6" i="3"/>
  <c r="I6" i="3"/>
  <c r="I5" i="3"/>
  <c r="K27" i="1"/>
  <c r="K25" i="1"/>
  <c r="K28" i="1"/>
  <c r="K22" i="1"/>
  <c r="K23" i="1"/>
  <c r="K26" i="1"/>
  <c r="E18" i="1"/>
  <c r="F15" i="1"/>
  <c r="D24" i="1"/>
  <c r="E22" i="1"/>
  <c r="I28" i="1" s="1"/>
  <c r="F24" i="1"/>
  <c r="G24" i="1"/>
  <c r="K24" i="1" s="1"/>
  <c r="D14" i="1"/>
  <c r="D18" i="1"/>
  <c r="E15" i="1"/>
  <c r="F12" i="1"/>
  <c r="G18" i="1"/>
  <c r="E23" i="1"/>
  <c r="F22" i="1"/>
  <c r="J22" i="1" s="1"/>
  <c r="D15" i="1"/>
  <c r="E12" i="1"/>
  <c r="E16" i="1"/>
  <c r="D22" i="1"/>
  <c r="H22" i="1" s="1"/>
  <c r="D23" i="1"/>
  <c r="H23" i="1" s="1"/>
  <c r="F23" i="1"/>
  <c r="J23" i="1" s="1"/>
  <c r="D3" i="1"/>
  <c r="D7" i="1"/>
  <c r="E3" i="1"/>
  <c r="I3" i="1" s="1"/>
  <c r="E7" i="1"/>
  <c r="I7" i="1" s="1"/>
  <c r="F4" i="1"/>
  <c r="F8" i="1"/>
  <c r="G5" i="1"/>
  <c r="H5" i="1" s="1"/>
  <c r="D4" i="1"/>
  <c r="D8" i="1"/>
  <c r="E4" i="1"/>
  <c r="I4" i="1" s="1"/>
  <c r="E8" i="1"/>
  <c r="I8" i="1" s="1"/>
  <c r="F5" i="1"/>
  <c r="G2" i="1"/>
  <c r="H2" i="1" s="1"/>
  <c r="G6" i="1"/>
  <c r="H6" i="1" s="1"/>
  <c r="D5" i="1"/>
  <c r="D2" i="1"/>
  <c r="F2" i="1"/>
  <c r="F6" i="1"/>
  <c r="G3" i="1"/>
  <c r="H3" i="1" s="1"/>
  <c r="G7" i="1"/>
  <c r="H7" i="1" s="1"/>
  <c r="D6" i="1"/>
  <c r="S5" i="14" l="1"/>
  <c r="S3" i="14"/>
  <c r="R31" i="13"/>
  <c r="R23" i="13"/>
  <c r="R6" i="14"/>
  <c r="K28" i="14"/>
  <c r="I60" i="14"/>
  <c r="R31" i="14"/>
  <c r="Q31" i="14"/>
  <c r="Q23" i="14"/>
  <c r="E30" i="12"/>
  <c r="R19" i="12"/>
  <c r="J29" i="12"/>
  <c r="K28" i="12"/>
  <c r="Q23" i="13"/>
  <c r="R20" i="13"/>
  <c r="R22" i="12"/>
  <c r="Q28" i="13"/>
  <c r="R21" i="12"/>
  <c r="R21" i="13"/>
  <c r="Q27" i="13"/>
  <c r="M20" i="12"/>
  <c r="R4" i="12"/>
  <c r="S4" i="12" s="1"/>
  <c r="E29" i="12"/>
  <c r="M4" i="12"/>
  <c r="I4" i="12"/>
  <c r="M12" i="12"/>
  <c r="E28" i="12"/>
  <c r="L31" i="14"/>
  <c r="R19" i="14"/>
  <c r="L28" i="14"/>
  <c r="R20" i="14"/>
  <c r="K30" i="14"/>
  <c r="K29" i="14"/>
  <c r="K31" i="14"/>
  <c r="Q20" i="14"/>
  <c r="J31" i="14"/>
  <c r="P22" i="14"/>
  <c r="R21" i="14"/>
  <c r="R29" i="14"/>
  <c r="I12" i="14"/>
  <c r="M12" i="14"/>
  <c r="M13" i="14"/>
  <c r="I13" i="14"/>
  <c r="P28" i="14"/>
  <c r="P20" i="14"/>
  <c r="I19" i="14"/>
  <c r="M19" i="14"/>
  <c r="E27" i="14"/>
  <c r="M27" i="14" s="1"/>
  <c r="R30" i="14"/>
  <c r="R22" i="14"/>
  <c r="P29" i="14"/>
  <c r="P21" i="14"/>
  <c r="E28" i="14"/>
  <c r="I20" i="14"/>
  <c r="M20" i="14"/>
  <c r="R28" i="14"/>
  <c r="I21" i="14"/>
  <c r="E29" i="14"/>
  <c r="M21" i="14"/>
  <c r="E30" i="14"/>
  <c r="I22" i="14"/>
  <c r="M22" i="14"/>
  <c r="L30" i="14"/>
  <c r="I14" i="14"/>
  <c r="M14" i="14"/>
  <c r="M15" i="14"/>
  <c r="R4" i="14"/>
  <c r="S4" i="14" s="1"/>
  <c r="I15" i="14"/>
  <c r="Q27" i="14"/>
  <c r="Q19" i="14"/>
  <c r="I11" i="14"/>
  <c r="M11" i="14"/>
  <c r="M5" i="14"/>
  <c r="I5" i="14"/>
  <c r="M3" i="14"/>
  <c r="I3" i="14"/>
  <c r="P23" i="14"/>
  <c r="Q29" i="14"/>
  <c r="Q21" i="14"/>
  <c r="I23" i="14"/>
  <c r="E31" i="14"/>
  <c r="M23" i="14"/>
  <c r="M4" i="14"/>
  <c r="I4" i="14"/>
  <c r="P27" i="14"/>
  <c r="P19" i="14"/>
  <c r="Q30" i="14"/>
  <c r="I6" i="14"/>
  <c r="M6" i="14"/>
  <c r="M7" i="14"/>
  <c r="I7" i="14"/>
  <c r="R29" i="13"/>
  <c r="L30" i="13"/>
  <c r="K30" i="13"/>
  <c r="K28" i="13"/>
  <c r="K31" i="13"/>
  <c r="K29" i="13"/>
  <c r="Q29" i="13"/>
  <c r="P30" i="13"/>
  <c r="P23" i="13"/>
  <c r="P20" i="13"/>
  <c r="Q30" i="13"/>
  <c r="Q22" i="13"/>
  <c r="Q31" i="13"/>
  <c r="I7" i="13"/>
  <c r="M7" i="13"/>
  <c r="M6" i="13"/>
  <c r="I6" i="13"/>
  <c r="P29" i="13"/>
  <c r="P21" i="13"/>
  <c r="Q21" i="13"/>
  <c r="I12" i="13"/>
  <c r="M12" i="13"/>
  <c r="M11" i="13"/>
  <c r="I11" i="13"/>
  <c r="J31" i="13"/>
  <c r="I14" i="13"/>
  <c r="M14" i="13"/>
  <c r="M13" i="13"/>
  <c r="I13" i="13"/>
  <c r="P31" i="13"/>
  <c r="J29" i="13"/>
  <c r="I19" i="13"/>
  <c r="E27" i="13"/>
  <c r="M27" i="13" s="1"/>
  <c r="M19" i="13"/>
  <c r="M15" i="13"/>
  <c r="R4" i="13"/>
  <c r="S4" i="13" s="1"/>
  <c r="I15" i="13"/>
  <c r="E28" i="13"/>
  <c r="I20" i="13"/>
  <c r="M20" i="13"/>
  <c r="M5" i="13"/>
  <c r="I5" i="13"/>
  <c r="R22" i="13"/>
  <c r="I21" i="13"/>
  <c r="E29" i="13"/>
  <c r="M21" i="13"/>
  <c r="M3" i="13"/>
  <c r="I3" i="13"/>
  <c r="P27" i="13"/>
  <c r="P19" i="13"/>
  <c r="J30" i="13"/>
  <c r="E30" i="13"/>
  <c r="I22" i="13"/>
  <c r="M22" i="13"/>
  <c r="J28" i="13"/>
  <c r="I4" i="13"/>
  <c r="M4" i="13"/>
  <c r="R5" i="13"/>
  <c r="S5" i="13" s="1"/>
  <c r="I23" i="13"/>
  <c r="E31" i="13"/>
  <c r="M23" i="13"/>
  <c r="Q19" i="12"/>
  <c r="Q21" i="12"/>
  <c r="Q20" i="12"/>
  <c r="J31" i="12"/>
  <c r="P22" i="12"/>
  <c r="J28" i="12"/>
  <c r="P21" i="12"/>
  <c r="P29" i="12"/>
  <c r="R28" i="12"/>
  <c r="R20" i="12"/>
  <c r="J30" i="12"/>
  <c r="P19" i="12"/>
  <c r="P27" i="12"/>
  <c r="R23" i="12"/>
  <c r="P23" i="12"/>
  <c r="Q23" i="12"/>
  <c r="R27" i="12"/>
  <c r="L29" i="12"/>
  <c r="L31" i="12"/>
  <c r="I5" i="12"/>
  <c r="M6" i="12"/>
  <c r="K30" i="12"/>
  <c r="P31" i="12"/>
  <c r="R29" i="12"/>
  <c r="R31" i="12"/>
  <c r="E31" i="12"/>
  <c r="R30" i="12"/>
  <c r="I14" i="12"/>
  <c r="P30" i="12"/>
  <c r="Q27" i="12"/>
  <c r="Q30" i="12"/>
  <c r="M21" i="12"/>
  <c r="K29" i="12"/>
  <c r="Q31" i="12"/>
  <c r="Q29" i="12"/>
  <c r="L30" i="12"/>
  <c r="I13" i="12"/>
  <c r="M13" i="12"/>
  <c r="I21" i="12"/>
  <c r="I3" i="12"/>
  <c r="M3" i="12"/>
  <c r="M23" i="12"/>
  <c r="I11" i="12"/>
  <c r="M11" i="12"/>
  <c r="I7" i="12"/>
  <c r="M7" i="12"/>
  <c r="AA25" i="11"/>
  <c r="Y27" i="11"/>
  <c r="Z24" i="11"/>
  <c r="Z25" i="11"/>
  <c r="Q27" i="11"/>
  <c r="Y25" i="11"/>
  <c r="Y24" i="11"/>
  <c r="S26" i="11"/>
  <c r="Q25" i="11"/>
  <c r="Q26" i="11"/>
  <c r="Z27" i="11"/>
  <c r="AA26" i="11"/>
  <c r="S27" i="11"/>
  <c r="V25" i="11"/>
  <c r="S25" i="11"/>
  <c r="R26" i="11"/>
  <c r="AA27" i="11"/>
  <c r="N26" i="11"/>
  <c r="R27" i="11"/>
  <c r="N25" i="11"/>
  <c r="R25" i="11"/>
  <c r="Z21" i="10"/>
  <c r="R22" i="10"/>
  <c r="AA23" i="10"/>
  <c r="S23" i="10"/>
  <c r="R23" i="10"/>
  <c r="S22" i="10"/>
  <c r="Y23" i="10"/>
  <c r="Q22" i="10"/>
  <c r="Q23" i="10"/>
  <c r="W31" i="9"/>
  <c r="Z30" i="9"/>
  <c r="W30" i="9"/>
  <c r="C36" i="9"/>
  <c r="O36" i="9" s="1"/>
  <c r="Z27" i="9"/>
  <c r="Z29" i="9"/>
  <c r="R31" i="9"/>
  <c r="Y27" i="9"/>
  <c r="O30" i="9"/>
  <c r="O29" i="9"/>
  <c r="O31" i="9"/>
  <c r="O28" i="9"/>
  <c r="S31" i="9"/>
  <c r="S29" i="9"/>
  <c r="Q29" i="9"/>
  <c r="C35" i="9"/>
  <c r="O35" i="9" s="1"/>
  <c r="N29" i="9"/>
  <c r="Z31" i="9"/>
  <c r="Y31" i="9"/>
  <c r="R28" i="9"/>
  <c r="R30" i="9"/>
  <c r="Q30" i="9"/>
  <c r="Q28" i="9"/>
  <c r="V28" i="9"/>
  <c r="R29" i="9"/>
  <c r="V29" i="9"/>
  <c r="W35" i="9"/>
  <c r="N28" i="9"/>
  <c r="C34" i="9"/>
  <c r="O34" i="9" s="1"/>
  <c r="S28" i="9"/>
  <c r="W37" i="9"/>
  <c r="V31" i="9"/>
  <c r="Q31" i="9"/>
  <c r="W33" i="9"/>
  <c r="V27" i="9"/>
  <c r="S30" i="9"/>
  <c r="C37" i="9"/>
  <c r="O37" i="9" s="1"/>
  <c r="X29" i="8"/>
  <c r="X31" i="8"/>
  <c r="O31" i="8"/>
  <c r="C37" i="8"/>
  <c r="O37" i="8" s="1"/>
  <c r="O30" i="8"/>
  <c r="C36" i="8"/>
  <c r="O28" i="8"/>
  <c r="C34" i="8"/>
  <c r="O34" i="8" s="1"/>
  <c r="W29" i="8"/>
  <c r="W30" i="8"/>
  <c r="W31" i="8"/>
  <c r="W28" i="8"/>
  <c r="O35" i="8"/>
  <c r="O36" i="8"/>
  <c r="O33" i="8"/>
  <c r="Q28" i="8"/>
  <c r="Q31" i="8"/>
  <c r="Q30" i="8"/>
  <c r="Q29" i="8"/>
  <c r="N31" i="8"/>
  <c r="S31" i="8"/>
  <c r="N28" i="8"/>
  <c r="N30" i="8"/>
  <c r="S30" i="8"/>
  <c r="N29" i="8"/>
  <c r="S28" i="8"/>
  <c r="S29" i="8"/>
  <c r="W15" i="6"/>
  <c r="W7" i="6"/>
  <c r="V15" i="6"/>
  <c r="U15" i="6"/>
  <c r="U7" i="6"/>
  <c r="U6" i="6"/>
  <c r="W6" i="6"/>
  <c r="P27" i="6"/>
  <c r="P28" i="6"/>
  <c r="V12" i="6"/>
  <c r="Z13" i="7"/>
  <c r="Q28" i="7"/>
  <c r="Z4" i="7"/>
  <c r="Y13" i="7"/>
  <c r="V5" i="7"/>
  <c r="Z15" i="6"/>
  <c r="Z7" i="6"/>
  <c r="Z4" i="6"/>
  <c r="Z12" i="6"/>
  <c r="Z14" i="6"/>
  <c r="Z6" i="6"/>
  <c r="Z5" i="6"/>
  <c r="Z13" i="6"/>
  <c r="Y14" i="6"/>
  <c r="Y6" i="6"/>
  <c r="Y15" i="6"/>
  <c r="Y7" i="6"/>
  <c r="R30" i="6"/>
  <c r="R31" i="6"/>
  <c r="R28" i="6"/>
  <c r="R29" i="6"/>
  <c r="R27" i="6"/>
  <c r="Y11" i="6"/>
  <c r="Y3" i="6"/>
  <c r="X3" i="6"/>
  <c r="X11" i="6"/>
  <c r="X14" i="6"/>
  <c r="X6" i="6"/>
  <c r="X7" i="6"/>
  <c r="X15" i="6"/>
  <c r="Q28" i="6"/>
  <c r="Q29" i="6"/>
  <c r="Q31" i="6"/>
  <c r="Q27" i="6"/>
  <c r="Q30" i="6"/>
  <c r="U14" i="6"/>
  <c r="Z12" i="7"/>
  <c r="X15" i="7"/>
  <c r="X7" i="7"/>
  <c r="W4" i="7"/>
  <c r="W14" i="7"/>
  <c r="W6" i="7"/>
  <c r="V13" i="7"/>
  <c r="V12" i="7"/>
  <c r="X5" i="7"/>
  <c r="X13" i="7"/>
  <c r="U4" i="7"/>
  <c r="U15" i="7"/>
  <c r="U7" i="7"/>
  <c r="X12" i="7"/>
  <c r="X4" i="7"/>
  <c r="U11" i="7"/>
  <c r="U3" i="7"/>
  <c r="Y5" i="7"/>
  <c r="Y6" i="7"/>
  <c r="Y14" i="7"/>
  <c r="W13" i="7"/>
  <c r="W5" i="7"/>
  <c r="W11" i="7"/>
  <c r="W3" i="7"/>
  <c r="Z14" i="7"/>
  <c r="Z6" i="7"/>
  <c r="Z7" i="7"/>
  <c r="Z15" i="7"/>
  <c r="U6" i="7"/>
  <c r="U14" i="7"/>
  <c r="Z3" i="7"/>
  <c r="Z11" i="7"/>
  <c r="X14" i="7"/>
  <c r="X6" i="7"/>
  <c r="U5" i="7"/>
  <c r="Z5" i="7"/>
  <c r="X11" i="7"/>
  <c r="X3" i="7"/>
  <c r="W15" i="7"/>
  <c r="W7" i="7"/>
  <c r="V14" i="7"/>
  <c r="V6" i="7"/>
  <c r="V7" i="7"/>
  <c r="V15" i="7"/>
  <c r="Y4" i="7"/>
  <c r="Y12" i="7"/>
  <c r="V3" i="7"/>
  <c r="V11" i="7"/>
  <c r="Y15" i="7"/>
  <c r="Y7" i="7"/>
  <c r="Y11" i="7"/>
  <c r="Y3" i="7"/>
  <c r="I23" i="1"/>
  <c r="J24" i="1"/>
  <c r="H26" i="1"/>
  <c r="J25" i="1"/>
  <c r="H27" i="1"/>
  <c r="I26" i="1"/>
  <c r="I22" i="1"/>
  <c r="I25" i="1"/>
  <c r="H4" i="1"/>
  <c r="H28" i="1"/>
  <c r="H24" i="1"/>
  <c r="J26" i="1"/>
  <c r="H8" i="1"/>
  <c r="I24" i="1"/>
  <c r="H25" i="1"/>
  <c r="J27" i="1"/>
  <c r="J28" i="1"/>
  <c r="I27" i="1"/>
  <c r="M29" i="14" l="1"/>
  <c r="M31" i="14"/>
  <c r="T3" i="13"/>
  <c r="R6" i="13"/>
  <c r="R6" i="12"/>
  <c r="I20" i="12"/>
  <c r="T3" i="12"/>
  <c r="S20" i="12"/>
  <c r="S28" i="12"/>
  <c r="U3" i="12"/>
  <c r="M28" i="14"/>
  <c r="M30" i="14"/>
  <c r="S19" i="14"/>
  <c r="S27" i="14"/>
  <c r="S30" i="14"/>
  <c r="S22" i="14"/>
  <c r="S21" i="14"/>
  <c r="S29" i="14"/>
  <c r="S28" i="14"/>
  <c r="S20" i="14"/>
  <c r="S23" i="14"/>
  <c r="S31" i="14"/>
  <c r="U3" i="14"/>
  <c r="T3" i="14"/>
  <c r="M31" i="13"/>
  <c r="M28" i="13"/>
  <c r="M29" i="13"/>
  <c r="M30" i="13"/>
  <c r="S23" i="13"/>
  <c r="S31" i="13"/>
  <c r="S19" i="13"/>
  <c r="S27" i="13"/>
  <c r="S30" i="13"/>
  <c r="S22" i="13"/>
  <c r="S28" i="13"/>
  <c r="S20" i="13"/>
  <c r="S21" i="13"/>
  <c r="S29" i="13"/>
  <c r="I6" i="12"/>
  <c r="M22" i="12"/>
  <c r="I22" i="12"/>
  <c r="E27" i="12"/>
  <c r="M5" i="12"/>
  <c r="M15" i="12"/>
  <c r="S31" i="12" s="1"/>
  <c r="I15" i="12"/>
  <c r="M14" i="12"/>
  <c r="M19" i="12"/>
  <c r="S27" i="12" s="1"/>
  <c r="I23" i="12"/>
  <c r="I19" i="12"/>
  <c r="U3" i="13" l="1"/>
  <c r="S29" i="12"/>
  <c r="S21" i="12"/>
  <c r="M27" i="12"/>
  <c r="M29" i="12"/>
  <c r="M28" i="12"/>
  <c r="S30" i="12"/>
  <c r="S19" i="12"/>
  <c r="S22" i="12"/>
  <c r="S23" i="12"/>
  <c r="M30" i="12"/>
  <c r="M31" i="12"/>
</calcChain>
</file>

<file path=xl/sharedStrings.xml><?xml version="1.0" encoding="utf-8"?>
<sst xmlns="http://schemas.openxmlformats.org/spreadsheetml/2006/main" count="1180" uniqueCount="117">
  <si>
    <t>Time</t>
  </si>
  <si>
    <t>Dilution</t>
  </si>
  <si>
    <t xml:space="preserve">Volume </t>
  </si>
  <si>
    <t>Phi Coop</t>
  </si>
  <si>
    <t>Phi Comp</t>
  </si>
  <si>
    <t>P22 Coop</t>
  </si>
  <si>
    <t>P22 Comp</t>
  </si>
  <si>
    <t>Normalized</t>
  </si>
  <si>
    <t>P22 comp</t>
  </si>
  <si>
    <t>Phi coop</t>
  </si>
  <si>
    <t>Dilution Phi</t>
  </si>
  <si>
    <t>Number of Doublings</t>
  </si>
  <si>
    <t>Normalized Fold Change in PFU</t>
  </si>
  <si>
    <t>Raw PFU Counts</t>
  </si>
  <si>
    <t>Dilution P22</t>
  </si>
  <si>
    <t>Time (hours)</t>
  </si>
  <si>
    <t>Phi 30C</t>
  </si>
  <si>
    <t>Phi Ac</t>
  </si>
  <si>
    <t>P22 30C</t>
  </si>
  <si>
    <t>P22 Ac</t>
  </si>
  <si>
    <t>phi coop</t>
  </si>
  <si>
    <t>phi comp</t>
  </si>
  <si>
    <t>Step growth with phi resistant E coli</t>
  </si>
  <si>
    <t>Step growth of Phi and P22 on either competing (gluc+met) or cooperating (lac) hosts</t>
  </si>
  <si>
    <t>step growth of phi or P22 on competing hosts with reduced growth rates (either ace+met media at 37C or gluc+met media at 30C)</t>
  </si>
  <si>
    <t>Phi-resistant E</t>
  </si>
  <si>
    <t>Phi-sensitive E</t>
  </si>
  <si>
    <t>not taken</t>
  </si>
  <si>
    <t>Phi S</t>
  </si>
  <si>
    <t>P22 S</t>
  </si>
  <si>
    <t>#1</t>
  </si>
  <si>
    <t>#2</t>
  </si>
  <si>
    <t>#3</t>
  </si>
  <si>
    <t>Average Number of Doublings</t>
  </si>
  <si>
    <t>STDEV of Doublings</t>
  </si>
  <si>
    <t>Time (minutes)</t>
  </si>
  <si>
    <t>Average</t>
  </si>
  <si>
    <t>STDEV</t>
  </si>
  <si>
    <t>Phi on A</t>
  </si>
  <si>
    <t>Phi on S</t>
  </si>
  <si>
    <t>P22 on A</t>
  </si>
  <si>
    <t>P22 on S</t>
  </si>
  <si>
    <t>P22+phi on A</t>
  </si>
  <si>
    <t>P22+phi on S</t>
  </si>
  <si>
    <t>P22 on A****</t>
  </si>
  <si>
    <t>Phi S/A average</t>
  </si>
  <si>
    <t>Phi on S/A average</t>
  </si>
  <si>
    <t>P22 on A*****</t>
  </si>
  <si>
    <t>STARTING EOP</t>
  </si>
  <si>
    <t>phi</t>
  </si>
  <si>
    <t>P22</t>
  </si>
  <si>
    <t>phi+P22</t>
  </si>
  <si>
    <t>A</t>
  </si>
  <si>
    <t>S</t>
  </si>
  <si>
    <t>on A</t>
  </si>
  <si>
    <t>on S</t>
  </si>
  <si>
    <t>Average by averaged raw PFU</t>
  </si>
  <si>
    <t>Average by averaged number of doublings</t>
  </si>
  <si>
    <t>STDEV of replicate # of doublings</t>
  </si>
  <si>
    <t>ending EOP</t>
  </si>
  <si>
    <t>Phi efficiency</t>
  </si>
  <si>
    <t>Final CFUs</t>
  </si>
  <si>
    <t>P22+phi</t>
  </si>
  <si>
    <t>Replicate 1</t>
  </si>
  <si>
    <t>Replicate 2</t>
  </si>
  <si>
    <t>Replicate 3</t>
  </si>
  <si>
    <t>Control</t>
  </si>
  <si>
    <t>Final CFUs - Average</t>
  </si>
  <si>
    <t>Final CFUs - STDEV</t>
  </si>
  <si>
    <t>Change in generalists</t>
  </si>
  <si>
    <t>End</t>
  </si>
  <si>
    <t>Netchange</t>
  </si>
  <si>
    <t>Start Average</t>
  </si>
  <si>
    <t>End Average</t>
  </si>
  <si>
    <t>End STDEV</t>
  </si>
  <si>
    <t>Comp calc</t>
  </si>
  <si>
    <t>P22+phi (all 3 average)</t>
  </si>
  <si>
    <t>Coop calc</t>
  </si>
  <si>
    <t>E/S ratio</t>
  </si>
  <si>
    <t>Final CFUs - blue (E)</t>
  </si>
  <si>
    <t>Final CFUs - white (S)</t>
  </si>
  <si>
    <t>blue</t>
  </si>
  <si>
    <t>white</t>
  </si>
  <si>
    <t xml:space="preserve">b </t>
  </si>
  <si>
    <t>w</t>
  </si>
  <si>
    <t>Ratio</t>
  </si>
  <si>
    <t>Final E/S ratio</t>
  </si>
  <si>
    <t>Replicate</t>
  </si>
  <si>
    <t>Replicates</t>
  </si>
  <si>
    <t>Starting CFU</t>
  </si>
  <si>
    <t>E</t>
  </si>
  <si>
    <t>OD600</t>
  </si>
  <si>
    <t>Vol added to 5 mL</t>
  </si>
  <si>
    <t>312 uL</t>
  </si>
  <si>
    <t>314 uL</t>
  </si>
  <si>
    <t>OD600 to CFU</t>
  </si>
  <si>
    <t>CFU/mL</t>
  </si>
  <si>
    <t>coop</t>
  </si>
  <si>
    <t>1017 uL</t>
  </si>
  <si>
    <t>1000 uL</t>
  </si>
  <si>
    <t>Final OD600 after dilution</t>
  </si>
  <si>
    <t>Overall average</t>
  </si>
  <si>
    <t>Overall STDEV</t>
  </si>
  <si>
    <t>Condition</t>
  </si>
  <si>
    <t>Coop</t>
  </si>
  <si>
    <t xml:space="preserve">E </t>
  </si>
  <si>
    <t># of colonies in 2 uL</t>
  </si>
  <si>
    <t># of colonies in 1 mL</t>
  </si>
  <si>
    <t>Final CFU/mL</t>
  </si>
  <si>
    <t xml:space="preserve">Final dilution </t>
  </si>
  <si>
    <t>Final dilution factor</t>
  </si>
  <si>
    <t>Dilution standard</t>
  </si>
  <si>
    <t>Coop - b colonies</t>
  </si>
  <si>
    <t>Coop - w colonies</t>
  </si>
  <si>
    <t>Raw</t>
  </si>
  <si>
    <t>Percent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</si>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</sst>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1" xfId="0" applyBorder="1"/>
    <xf numFmtId="0" fontId="0" fillId="0" borderId="7" xfId="0" applyBorder="1"/>
    <xf numFmtId="14" fontId="0" fillId="0" borderId="0" xfId="0" applyNumberFormat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Step Growth Curves:</a:t>
            </a:r>
            <a:r>
              <a:rPr lang="en-US" baseline="0"/>
              <a:t> Competition (Triplicate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'Previous attempts'!$I$21</c:f>
              <c:strCache>
                <c:ptCount val="1"/>
                <c:pt idx="0">
                  <c:v>Phi Comp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'Previous attempts'!$A$22:$A$28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'Previous attempts'!$I$22:$I$28</c:f>
              <c:numCache>
                <c:formatCode>General</c:formatCode>
                <c:ptCount val="7"/>
                <c:pt idx="0">
                  <c:v>1</c:v>
                </c:pt>
                <c:pt idx="1">
                  <c:v>0.64179104477611948</c:v>
                </c:pt>
                <c:pt idx="2">
                  <c:v>0.48507462686567165</c:v>
                </c:pt>
                <c:pt idx="3">
                  <c:v>0.45522388059701491</c:v>
                </c:pt>
                <c:pt idx="4">
                  <c:v>0.82089552238805974</c:v>
                </c:pt>
                <c:pt idx="5">
                  <c:v>1</c:v>
                </c:pt>
                <c:pt idx="6">
                  <c:v>3.2985074626865671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4-F946-A223-17945098AABF}"/>
            </c:ext>
          </c:extLst>
        </c:ser>
        <c:ser>
          <c:idx val="1"/>
          <c:order val="1"/>
          <c:tx>
            <c:strRef>
              <c:f>'Previous attempts'!$J$21</c:f>
              <c:strCache>
                <c:ptCount val="1"/>
                <c:pt idx="0">
                  <c:v>P22 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'Previous attempts'!$A$22:$A$28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'Previous attempts'!$J$22:$J$28</c:f>
              <c:numCache>
                <c:formatCode>General</c:formatCode>
                <c:ptCount val="7"/>
                <c:pt idx="0">
                  <c:v>1</c:v>
                </c:pt>
                <c:pt idx="1">
                  <c:v>0.27971014492753621</c:v>
                </c:pt>
                <c:pt idx="2">
                  <c:v>4.3478260869565216E-2</c:v>
                </c:pt>
                <c:pt idx="3">
                  <c:v>4.3478260869565216E-2</c:v>
                </c:pt>
                <c:pt idx="4">
                  <c:v>4.4927536231884058E-2</c:v>
                </c:pt>
                <c:pt idx="5">
                  <c:v>0.68405797101449273</c:v>
                </c:pt>
                <c:pt idx="6">
                  <c:v>2.0550724637681159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4-F946-A223-17945098A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79055"/>
        <c:axId val="499480703"/>
      </c:scatterChart>
      <c:valAx>
        <c:axId val="49947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80703"/>
        <c:crosses val="autoZero"/>
        <c:crossBetween val="midCat"/>
      </c:valAx>
      <c:valAx>
        <c:axId val="49948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7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Doublings: Competition with Acetate Media (Triplicate 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'11-12-21'!$K$2</c:f>
              <c:strCache>
                <c:ptCount val="1"/>
                <c:pt idx="0">
                  <c:v>Phi 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'11-12-21'!$A$3:$A$7</c:f>
              <c:numCache>
                <c:formatCode>General</c:formatCode>
                <c:ptCount val="5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1.3802112417116059</c:v>
                </c:pt>
                <c:pt idx="4">
                  <c:v>1.6812412373755872</c:v>
                </c:pt>
              </c:numCache>
            </c:numRef>
          </c:xVal>
          <c:yVal>
            <c:numRef>
              <c:f>'11-12-21'!$K$3:$K$7</c:f>
              <c:numCache>
                <c:formatCode>General</c:formatCode>
                <c:ptCount val="5"/>
                <c:pt idx="0">
                  <c:v>0</c:v>
                </c:pt>
                <c:pt idx="1">
                  <c:v>-2.2367813028454916E-2</c:v>
                </c:pt>
                <c:pt idx="2">
                  <c:v>0.29956028185890793</c:v>
                </c:pt>
                <c:pt idx="3">
                  <c:v>4.6918777046376681</c:v>
                </c:pt>
                <c:pt idx="4">
                  <c:v>1.9434164716336328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E-5645-8A8A-A6FCB2FD9929}"/>
            </c:ext>
          </c:extLst>
        </c:ser>
        <c:ser>
          <c:idx val="1"/>
          <c:order val="1"/>
          <c:tx>
            <c:strRef>
              <c:f>'11-12-21'!$M$2</c:f>
              <c:strCache>
                <c:ptCount val="1"/>
                <c:pt idx="0">
                  <c:v>P22 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'11-12-21'!$A$3:$A$7</c:f>
              <c:numCache>
                <c:formatCode>General</c:formatCode>
                <c:ptCount val="5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1.3802112417116059</c:v>
                </c:pt>
                <c:pt idx="4">
                  <c:v>1.6812412373755872</c:v>
                </c:pt>
              </c:numCache>
            </c:numRef>
          </c:xVal>
          <c:yVal>
            <c:numRef>
              <c:f>'11-12-21'!$M$3:$M$7</c:f>
              <c:numCache>
                <c:formatCode>General</c:formatCode>
                <c:ptCount val="5"/>
                <c:pt idx="0">
                  <c:v>0</c:v>
                </c:pt>
                <c:pt idx="1">
                  <c:v>2.2844533894686991</c:v>
                </c:pt>
                <c:pt idx="2">
                  <c:v>12.172235162129516</c:v>
                </c:pt>
                <c:pt idx="3">
                  <c:v>21.834343056460462</c:v>
                </c:pt>
                <c:pt idx="4">
                  <c:v>23.933878730011376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E-5645-8A8A-A6FCB2FD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033551"/>
        <c:axId val="1601521535"/>
      </c:scatterChart>
      <c:valAx>
        <c:axId val="156503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21535"/>
        <c:crosses val="autoZero"/>
        <c:crossBetween val="midCat"/>
      </c:valAx>
      <c:valAx>
        <c:axId val="160152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Doublings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3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Doublings with Phi-Resistant</a:t>
            </a:r>
            <a:r>
              <a:rPr lang="en-US" baseline="0"/>
              <a:t> E. coli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'11-18-21'!$F$2</c:f>
              <c:strCache>
                <c:ptCount val="1"/>
                <c:pt idx="0">
                  <c:v>Phi Coop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'11-18-21'!$A$3:$A$7</c:f>
              <c:numCache>
                <c:formatCode>General</c:formatCode>
                <c:ptCount val="5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1.3802112417116059</c:v>
                </c:pt>
                <c:pt idx="4">
                  <c:v>1.6812412373755872</c:v>
                </c:pt>
              </c:numCache>
            </c:numRef>
          </c:xVal>
          <c:yVal>
            <c:numRef>
              <c:f>'11-18-21'!$F$3:$F$7</c:f>
              <c:numCache>
                <c:formatCode>General</c:formatCode>
                <c:ptCount val="5"/>
                <c:pt idx="0">
                  <c:v>0</c:v>
                </c:pt>
                <c:pt idx="1">
                  <c:v>3.3219280948873626</c:v>
                </c:pt>
                <c:pt idx="2">
                  <c:v>21.613392609297922</c:v>
                </c:pt>
                <c:pt idx="3">
                  <c:v>23.229249117964859</c:v>
                </c:pt>
                <c:pt idx="4">
                  <c:v>24.526515158617954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A8-EB4A-B957-1FFB7D412A44}"/>
            </c:ext>
          </c:extLst>
        </c:ser>
        <c:ser>
          <c:idx val="1"/>
          <c:order val="1"/>
          <c:tx>
            <c:strRef>
              <c:f>'11-18-21'!$G$2</c:f>
              <c:strCache>
                <c:ptCount val="1"/>
                <c:pt idx="0">
                  <c:v>Phi 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'11-18-21'!$A$3:$A$7</c:f>
              <c:numCache>
                <c:formatCode>General</c:formatCode>
                <c:ptCount val="5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1.3802112417116059</c:v>
                </c:pt>
                <c:pt idx="4">
                  <c:v>1.6812412373755872</c:v>
                </c:pt>
              </c:numCache>
            </c:numRef>
          </c:xVal>
          <c:yVal>
            <c:numRef>
              <c:f>'11-18-21'!$G$3:$G$7</c:f>
              <c:numCache>
                <c:formatCode>General</c:formatCode>
                <c:ptCount val="5"/>
                <c:pt idx="0">
                  <c:v>0</c:v>
                </c:pt>
                <c:pt idx="1">
                  <c:v>0.85561009066482507</c:v>
                </c:pt>
                <c:pt idx="2">
                  <c:v>4.2959328863544179</c:v>
                </c:pt>
                <c:pt idx="3">
                  <c:v>8.1126256729913582</c:v>
                </c:pt>
                <c:pt idx="4">
                  <c:v>5.3390016082463037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A8-EB4A-B957-1FFB7D412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653999"/>
        <c:axId val="1785655647"/>
      </c:scatterChart>
      <c:valAx>
        <c:axId val="178565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log(hours)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55647"/>
        <c:crosses val="autoZero"/>
        <c:crossBetween val="midCat"/>
      </c:valAx>
      <c:valAx>
        <c:axId val="17856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doublings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5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 Mono: 48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'1-12-22 48 hour'!$W$2</c:f>
              <c:strCache>
                <c:ptCount val="1"/>
                <c:pt idx="0">
                  <c:v>Phi 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'1-12-22 48 hour'!$T$3:$T$7</c:f>
              <c:numCache>
                <c:formatCode>General</c:formatCode>
                <c:ptCount val="5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1.3802112417116059</c:v>
                </c:pt>
                <c:pt idx="4">
                  <c:v>1.6812412373755872</c:v>
                </c:pt>
              </c:numCache>
            </c:numRef>
          </c:xVal>
          <c:yVal>
            <c:numRef>
              <c:f>'1-12-22 48 hour'!$W$3:$W$7</c:f>
              <c:numCache>
                <c:formatCode>General</c:formatCode>
                <c:ptCount val="5"/>
                <c:pt idx="0">
                  <c:v>0</c:v>
                </c:pt>
                <c:pt idx="1">
                  <c:v>0.66666666666666663</c:v>
                </c:pt>
                <c:pt idx="2">
                  <c:v>0.19498750024038544</c:v>
                </c:pt>
                <c:pt idx="3">
                  <c:v>3.5169155951277475</c:v>
                </c:pt>
                <c:pt idx="4">
                  <c:v>3.6552614282206961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EC-6947-A2D7-3C8893B5DACD}"/>
            </c:ext>
          </c:extLst>
        </c:ser>
        <c:ser>
          <c:idx val="1"/>
          <c:order val="1"/>
          <c:tx>
            <c:strRef>
              <c:f>'1-12-22 48 hour'!$Z$2</c:f>
              <c:strCache>
                <c:ptCount val="1"/>
                <c:pt idx="0">
                  <c:v>P22 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'1-12-22 48 hour'!$T$3:$T$7</c:f>
              <c:numCache>
                <c:formatCode>General</c:formatCode>
                <c:ptCount val="5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1.3802112417116059</c:v>
                </c:pt>
                <c:pt idx="4">
                  <c:v>1.6812412373755872</c:v>
                </c:pt>
              </c:numCache>
            </c:numRef>
          </c:xVal>
          <c:yVal>
            <c:numRef>
              <c:f>'1-12-22 48 hour'!$Z$3:$Z$7</c:f>
              <c:numCache>
                <c:formatCode>General</c:formatCode>
                <c:ptCount val="5"/>
                <c:pt idx="0">
                  <c:v>0</c:v>
                </c:pt>
                <c:pt idx="1">
                  <c:v>1.2100167967498983</c:v>
                </c:pt>
                <c:pt idx="2">
                  <c:v>8.2141796516524774</c:v>
                </c:pt>
                <c:pt idx="3">
                  <c:v>23.524052245237282</c:v>
                </c:pt>
                <c:pt idx="4">
                  <c:v>23.299712686108496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EC-6947-A2D7-3C8893B5D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374047"/>
        <c:axId val="865603727"/>
      </c:scatterChart>
      <c:valAx>
        <c:axId val="86537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03727"/>
        <c:crosses val="autoZero"/>
        <c:crossBetween val="midCat"/>
      </c:valAx>
      <c:valAx>
        <c:axId val="86560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7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'1-12-22 48 hour'!$N$26</c:f>
              <c:strCache>
                <c:ptCount val="1"/>
                <c:pt idx="0">
                  <c:v>Phi Coop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'1-12-22 48 hour'!$M$27:$M$31</c:f>
              <c:numCache>
                <c:formatCode>General</c:formatCode>
                <c:ptCount val="5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1.3802112417116059</c:v>
                </c:pt>
                <c:pt idx="4">
                  <c:v>1.6812412373755872</c:v>
                </c:pt>
              </c:numCache>
            </c:numRef>
          </c:xVal>
          <c:yVal>
            <c:numRef>
              <c:f>'1-12-22 48 hour'!$N$27:$N$31</c:f>
              <c:numCache>
                <c:formatCode>General</c:formatCode>
                <c:ptCount val="5"/>
                <c:pt idx="0">
                  <c:v>0</c:v>
                </c:pt>
                <c:pt idx="1">
                  <c:v>5.3972162221915996</c:v>
                </c:pt>
                <c:pt idx="2">
                  <c:v>10.61786098124178</c:v>
                </c:pt>
                <c:pt idx="3">
                  <c:v>22.632008287465268</c:v>
                </c:pt>
                <c:pt idx="4">
                  <c:v>23.45513052538119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F6-7B4E-B52F-70DD1F77A7A5}"/>
            </c:ext>
          </c:extLst>
        </c:ser>
        <c:ser>
          <c:idx val="1"/>
          <c:order val="1"/>
          <c:tx>
            <c:strRef>
              <c:f>'1-12-22 48 hour'!$Q$26</c:f>
              <c:strCache>
                <c:ptCount val="1"/>
                <c:pt idx="0">
                  <c:v>P22 Coop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'1-12-22 48 hour'!$M$27:$M$31</c:f>
              <c:numCache>
                <c:formatCode>General</c:formatCode>
                <c:ptCount val="5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1.3802112417116059</c:v>
                </c:pt>
                <c:pt idx="4">
                  <c:v>1.6812412373755872</c:v>
                </c:pt>
              </c:numCache>
            </c:numRef>
          </c:xVal>
          <c:yVal>
            <c:numRef>
              <c:f>'1-12-22 48 hour'!$Q$27:$Q$31</c:f>
              <c:numCache>
                <c:formatCode>General</c:formatCode>
                <c:ptCount val="5"/>
                <c:pt idx="0">
                  <c:v>0</c:v>
                </c:pt>
                <c:pt idx="1">
                  <c:v>6.5734668618833272</c:v>
                </c:pt>
                <c:pt idx="2">
                  <c:v>15.702749878828294</c:v>
                </c:pt>
                <c:pt idx="3">
                  <c:v>14.191852364141935</c:v>
                </c:pt>
                <c:pt idx="4">
                  <c:v>16.861179241432779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F6-7B4E-B52F-70DD1F77A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860640"/>
        <c:axId val="1349821296"/>
      </c:scatterChart>
      <c:valAx>
        <c:axId val="130586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821296"/>
        <c:crosses val="autoZero"/>
        <c:crossBetween val="midCat"/>
      </c:valAx>
      <c:valAx>
        <c:axId val="13498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6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Doublings: </a:t>
            </a:r>
          </a:p>
          <a:p>
            <a:pPr>
              <a:defRPr/>
            </a:pPr>
            <a:r>
              <a:rPr lang="en-US" baseline="0"/>
              <a:t>Competition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'11-2-21'!$K$2</c:f>
              <c:strCache>
                <c:ptCount val="1"/>
                <c:pt idx="0">
                  <c:v>Phi Comp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'11-2-21'!$A$3:$A$6</c:f>
              <c:numCache>
                <c:formatCode>General</c:formatCode>
                <c:ptCount val="4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1.6812412373755872</c:v>
                </c:pt>
              </c:numCache>
            </c:numRef>
          </c:xVal>
          <c:yVal>
            <c:numRef>
              <c:f>'11-2-21'!$K$3:$K$6</c:f>
              <c:numCache>
                <c:formatCode>General</c:formatCode>
                <c:ptCount val="4"/>
                <c:pt idx="0">
                  <c:v>0</c:v>
                </c:pt>
                <c:pt idx="1">
                  <c:v>0.47393118833241232</c:v>
                </c:pt>
                <c:pt idx="2">
                  <c:v>10.319421239276787</c:v>
                </c:pt>
                <c:pt idx="3">
                  <c:v>10.04378679666336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22-4C4B-B1C2-C32463D6B50A}"/>
            </c:ext>
          </c:extLst>
        </c:ser>
        <c:ser>
          <c:idx val="1"/>
          <c:order val="1"/>
          <c:tx>
            <c:strRef>
              <c:f>'11-2-21'!$L$2</c:f>
              <c:strCache>
                <c:ptCount val="1"/>
                <c:pt idx="0">
                  <c:v>P22 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'11-2-21'!$A$3:$A$6</c:f>
              <c:numCache>
                <c:formatCode>General</c:formatCode>
                <c:ptCount val="4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1.6812412373755872</c:v>
                </c:pt>
              </c:numCache>
            </c:numRef>
          </c:xVal>
          <c:yVal>
            <c:numRef>
              <c:f>'11-2-21'!$L$3:$L$6</c:f>
              <c:numCache>
                <c:formatCode>General</c:formatCode>
                <c:ptCount val="4"/>
                <c:pt idx="0">
                  <c:v>0</c:v>
                </c:pt>
                <c:pt idx="1">
                  <c:v>3.9068905956085187</c:v>
                </c:pt>
                <c:pt idx="2">
                  <c:v>12.550746785383243</c:v>
                </c:pt>
                <c:pt idx="3">
                  <c:v>18.194602975157967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22-4C4B-B1C2-C32463D6B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274367"/>
        <c:axId val="1427054303"/>
      </c:scatterChart>
      <c:valAx>
        <c:axId val="143127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(log(hours))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054303"/>
        <c:crosses val="autoZero"/>
        <c:crossBetween val="midCat"/>
      </c:valAx>
      <c:valAx>
        <c:axId val="14270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Doublings (ln(t/t0)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274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Doublings:</a:t>
            </a:r>
          </a:p>
          <a:p>
            <a:pPr>
              <a:defRPr/>
            </a:pPr>
            <a:r>
              <a:rPr lang="en-US" baseline="0"/>
              <a:t>Cooperation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'11-2-21'!$J$2</c:f>
              <c:strCache>
                <c:ptCount val="1"/>
                <c:pt idx="0">
                  <c:v>Phi Coop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'11-2-21'!$A$3:$A$6</c:f>
              <c:numCache>
                <c:formatCode>General</c:formatCode>
                <c:ptCount val="4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1.6812412373755872</c:v>
                </c:pt>
              </c:numCache>
            </c:numRef>
          </c:xVal>
          <c:yVal>
            <c:numRef>
              <c:f>'11-2-21'!$J$3:$J$6</c:f>
              <c:numCache>
                <c:formatCode>General</c:formatCode>
                <c:ptCount val="4"/>
                <c:pt idx="0">
                  <c:v>0</c:v>
                </c:pt>
                <c:pt idx="1">
                  <c:v>2.1844245711374275</c:v>
                </c:pt>
                <c:pt idx="2">
                  <c:v>9.1787780079962857</c:v>
                </c:pt>
                <c:pt idx="3">
                  <c:v>12.73517135652067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6F-AD41-8EA3-EBB0A62AC240}"/>
            </c:ext>
          </c:extLst>
        </c:ser>
        <c:ser>
          <c:idx val="1"/>
          <c:order val="1"/>
          <c:tx>
            <c:strRef>
              <c:f>'11-2-21'!$M$2</c:f>
              <c:strCache>
                <c:ptCount val="1"/>
                <c:pt idx="0">
                  <c:v>P22 Coop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'11-2-21'!$A$3:$A$6</c:f>
              <c:numCache>
                <c:formatCode>General</c:formatCode>
                <c:ptCount val="4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1.6812412373755872</c:v>
                </c:pt>
              </c:numCache>
            </c:numRef>
          </c:xVal>
          <c:yVal>
            <c:numRef>
              <c:f>'11-2-21'!$M$3:$M$6</c:f>
              <c:numCache>
                <c:formatCode>General</c:formatCode>
                <c:ptCount val="4"/>
                <c:pt idx="0">
                  <c:v>0</c:v>
                </c:pt>
                <c:pt idx="1">
                  <c:v>-4.169925001442313</c:v>
                </c:pt>
                <c:pt idx="2">
                  <c:v>9.4962990013608657</c:v>
                </c:pt>
                <c:pt idx="3">
                  <c:v>15.247070395052104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6F-AD41-8EA3-EBB0A62AC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185407"/>
        <c:axId val="1433624111"/>
      </c:scatterChart>
      <c:valAx>
        <c:axId val="137518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(log(hours))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624111"/>
        <c:crosses val="autoZero"/>
        <c:crossBetween val="midCat"/>
      </c:valAx>
      <c:valAx>
        <c:axId val="143362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Doublings (ln(t/t0))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18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'1-12-22 48 hour'!$O$26</c:f>
              <c:strCache>
                <c:ptCount val="1"/>
                <c:pt idx="0">
                  <c:v>Phi Comp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'1-12-22 48 hour'!$M$27:$M$31</c:f>
              <c:numCache>
                <c:formatCode>General</c:formatCode>
                <c:ptCount val="5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1.3802112417116059</c:v>
                </c:pt>
                <c:pt idx="4">
                  <c:v>1.6812412373755872</c:v>
                </c:pt>
              </c:numCache>
            </c:numRef>
          </c:xVal>
          <c:yVal>
            <c:numRef>
              <c:f>'1-12-22 48 hour'!$O$27:$O$31</c:f>
              <c:numCache>
                <c:formatCode>General</c:formatCode>
                <c:ptCount val="5"/>
                <c:pt idx="0">
                  <c:v>0</c:v>
                </c:pt>
                <c:pt idx="1">
                  <c:v>-0.73696559416620622</c:v>
                </c:pt>
                <c:pt idx="2">
                  <c:v>0.48542682717024171</c:v>
                </c:pt>
                <c:pt idx="3">
                  <c:v>2.5849625007211561</c:v>
                </c:pt>
                <c:pt idx="4">
                  <c:v>3.0356239097307216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F4-5148-9EF3-CD7294ED9BD2}"/>
            </c:ext>
          </c:extLst>
        </c:ser>
        <c:ser>
          <c:idx val="1"/>
          <c:order val="1"/>
          <c:tx>
            <c:strRef>
              <c:f>'1-12-22 48 hour'!$R$26</c:f>
              <c:strCache>
                <c:ptCount val="1"/>
                <c:pt idx="0">
                  <c:v>P22 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'1-12-22 48 hour'!$M$27:$M$31</c:f>
              <c:numCache>
                <c:formatCode>General</c:formatCode>
                <c:ptCount val="5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1.3802112417116059</c:v>
                </c:pt>
                <c:pt idx="4">
                  <c:v>1.6812412373755872</c:v>
                </c:pt>
              </c:numCache>
            </c:numRef>
          </c:xVal>
          <c:yVal>
            <c:numRef>
              <c:f>'1-12-22 48 hour'!$R$27:$R$31</c:f>
              <c:numCache>
                <c:formatCode>General</c:formatCode>
                <c:ptCount val="5"/>
                <c:pt idx="0">
                  <c:v>0</c:v>
                </c:pt>
                <c:pt idx="1">
                  <c:v>3.8073549220576037</c:v>
                </c:pt>
                <c:pt idx="2">
                  <c:v>12.070120944476823</c:v>
                </c:pt>
                <c:pt idx="3">
                  <c:v>18.379412213686262</c:v>
                </c:pt>
                <c:pt idx="4">
                  <c:v>21.913421222613913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F4-5148-9EF3-CD7294ED9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219744"/>
        <c:axId val="1350459984"/>
      </c:scatterChart>
      <c:valAx>
        <c:axId val="137621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459984"/>
        <c:crosses val="autoZero"/>
        <c:crossBetween val="midCat"/>
      </c:valAx>
      <c:valAx>
        <c:axId val="13504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1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'1-12-22 48 hour'!$P$26</c:f>
              <c:strCache>
                <c:ptCount val="1"/>
                <c:pt idx="0">
                  <c:v>Phi 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'1-12-22 48 hour'!$M$27:$M$31</c:f>
              <c:numCache>
                <c:formatCode>General</c:formatCode>
                <c:ptCount val="5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1.3802112417116059</c:v>
                </c:pt>
                <c:pt idx="4">
                  <c:v>1.6812412373755872</c:v>
                </c:pt>
              </c:numCache>
            </c:numRef>
          </c:xVal>
          <c:yVal>
            <c:numRef>
              <c:f>'1-12-22 48 hour'!$P$27:$P$31</c:f>
              <c:numCache>
                <c:formatCode>General</c:formatCode>
                <c:ptCount val="5"/>
                <c:pt idx="0">
                  <c:v>0</c:v>
                </c:pt>
                <c:pt idx="1">
                  <c:v>0.58496250072115619</c:v>
                </c:pt>
                <c:pt idx="2">
                  <c:v>0.32192809488736235</c:v>
                </c:pt>
                <c:pt idx="3">
                  <c:v>3.6438561897747253</c:v>
                </c:pt>
                <c:pt idx="4">
                  <c:v>3.9068905956085187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97-0149-A980-F462D40E4044}"/>
            </c:ext>
          </c:extLst>
        </c:ser>
        <c:ser>
          <c:idx val="1"/>
          <c:order val="1"/>
          <c:tx>
            <c:strRef>
              <c:f>'1-12-22 48 hour'!$S$26</c:f>
              <c:strCache>
                <c:ptCount val="1"/>
                <c:pt idx="0">
                  <c:v>P22 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'1-12-22 48 hour'!$M$27:$M$31</c:f>
              <c:numCache>
                <c:formatCode>General</c:formatCode>
                <c:ptCount val="5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1.3802112417116059</c:v>
                </c:pt>
                <c:pt idx="4">
                  <c:v>1.6812412373755872</c:v>
                </c:pt>
              </c:numCache>
            </c:numRef>
          </c:xVal>
          <c:yVal>
            <c:numRef>
              <c:f>'1-12-22 48 hour'!$S$27:$S$31</c:f>
              <c:numCache>
                <c:formatCode>General</c:formatCode>
                <c:ptCount val="5"/>
                <c:pt idx="0">
                  <c:v>0</c:v>
                </c:pt>
                <c:pt idx="1">
                  <c:v>1.2854022188622483</c:v>
                </c:pt>
                <c:pt idx="2">
                  <c:v>8.1674181458317374</c:v>
                </c:pt>
                <c:pt idx="3">
                  <c:v>23.538898883073784</c:v>
                </c:pt>
                <c:pt idx="4">
                  <c:v>23.407302000290571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97-0149-A980-F462D40E4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010480"/>
        <c:axId val="1375490288"/>
      </c:scatterChart>
      <c:valAx>
        <c:axId val="129101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490288"/>
        <c:crosses val="autoZero"/>
        <c:crossBetween val="midCat"/>
      </c:valAx>
      <c:valAx>
        <c:axId val="13754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01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'1-12-22 2 hour'!$N$26</c:f>
              <c:strCache>
                <c:ptCount val="1"/>
                <c:pt idx="0">
                  <c:v>Phi Coop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'1-12-22 2 hour'!$M$27:$M$31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'1-12-22 2 hour'!$N$27:$N$31</c:f>
              <c:numCache>
                <c:formatCode>General</c:formatCode>
                <c:ptCount val="5"/>
                <c:pt idx="0">
                  <c:v>0</c:v>
                </c:pt>
                <c:pt idx="1">
                  <c:v>-1.7369655941662063</c:v>
                </c:pt>
                <c:pt idx="2">
                  <c:v>-1.3219280948873624</c:v>
                </c:pt>
                <c:pt idx="3">
                  <c:v>-0.73696559416620622</c:v>
                </c:pt>
                <c:pt idx="4">
                  <c:v>-0.32192809488736251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96-1E4B-A0E6-7DD77B9737F5}"/>
            </c:ext>
          </c:extLst>
        </c:ser>
        <c:ser>
          <c:idx val="1"/>
          <c:order val="1"/>
          <c:tx>
            <c:strRef>
              <c:f>'1-12-22 2 hour'!$Q$26</c:f>
              <c:strCache>
                <c:ptCount val="1"/>
                <c:pt idx="0">
                  <c:v>P22 Coop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'1-12-22 2 hour'!$M$27:$M$31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'1-12-22 2 hour'!$Q$27:$Q$31</c:f>
              <c:numCache>
                <c:formatCode>General</c:formatCode>
                <c:ptCount val="5"/>
                <c:pt idx="0">
                  <c:v>0</c:v>
                </c:pt>
                <c:pt idx="1">
                  <c:v>-5.7548875021634682</c:v>
                </c:pt>
                <c:pt idx="2">
                  <c:v>-6.4918530963296748</c:v>
                </c:pt>
                <c:pt idx="3">
                  <c:v>-5.7548875021634682</c:v>
                </c:pt>
                <c:pt idx="4">
                  <c:v>-4.2694606749932271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96-1E4B-A0E6-7DD77B973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241648"/>
        <c:axId val="1332827248"/>
      </c:scatterChart>
      <c:valAx>
        <c:axId val="136124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27248"/>
        <c:crosses val="autoZero"/>
        <c:crossBetween val="midCat"/>
      </c:valAx>
      <c:valAx>
        <c:axId val="13328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4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'1-12-22 2 hour'!$O$26</c:f>
              <c:strCache>
                <c:ptCount val="1"/>
                <c:pt idx="0">
                  <c:v>Phi Comp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'1-12-22 2 hour'!$M$27:$M$31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'1-12-22 2 hour'!$O$27:$O$31</c:f>
              <c:numCache>
                <c:formatCode>General</c:formatCode>
                <c:ptCount val="5"/>
                <c:pt idx="0">
                  <c:v>0</c:v>
                </c:pt>
                <c:pt idx="1">
                  <c:v>-0.66742466091312913</c:v>
                </c:pt>
                <c:pt idx="2">
                  <c:v>-0.84799690655494997</c:v>
                </c:pt>
                <c:pt idx="3">
                  <c:v>-0.75488750216346845</c:v>
                </c:pt>
                <c:pt idx="4">
                  <c:v>0.88896868761125591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4F-A24D-A8BE-42144A32B648}"/>
            </c:ext>
          </c:extLst>
        </c:ser>
        <c:ser>
          <c:idx val="1"/>
          <c:order val="1"/>
          <c:tx>
            <c:strRef>
              <c:f>'1-12-22 2 hour'!$R$26</c:f>
              <c:strCache>
                <c:ptCount val="1"/>
                <c:pt idx="0">
                  <c:v>P22 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'1-12-22 2 hour'!$M$27:$M$31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'1-12-22 2 hour'!$R$27:$R$31</c:f>
              <c:numCache>
                <c:formatCode>General</c:formatCode>
                <c:ptCount val="5"/>
                <c:pt idx="0">
                  <c:v>0</c:v>
                </c:pt>
                <c:pt idx="1">
                  <c:v>-0.45943161863729765</c:v>
                </c:pt>
                <c:pt idx="2">
                  <c:v>-1.5719063478957103</c:v>
                </c:pt>
                <c:pt idx="3">
                  <c:v>1.1255308820838588</c:v>
                </c:pt>
                <c:pt idx="4">
                  <c:v>3.2954558835261709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4F-A24D-A8BE-42144A32B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189504"/>
        <c:axId val="1350376288"/>
      </c:scatterChart>
      <c:valAx>
        <c:axId val="134318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376288"/>
        <c:crosses val="autoZero"/>
        <c:crossBetween val="midCat"/>
      </c:valAx>
      <c:valAx>
        <c:axId val="13503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18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Fold Change in PFU</a:t>
            </a:r>
            <a:r>
              <a:rPr lang="en-US" baseline="0"/>
              <a:t>: Cooperation (Triplicate 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'10-29-21'!$I$2</c:f>
              <c:strCache>
                <c:ptCount val="1"/>
                <c:pt idx="0">
                  <c:v>Phi Coop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'10-29-21'!$A$3:$A$7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'10-29-21'!$I$3:$I$7</c:f>
              <c:numCache>
                <c:formatCode>General</c:formatCode>
                <c:ptCount val="5"/>
                <c:pt idx="0">
                  <c:v>1</c:v>
                </c:pt>
                <c:pt idx="1">
                  <c:v>0.6675191815856778</c:v>
                </c:pt>
                <c:pt idx="2">
                  <c:v>0.55498721227621484</c:v>
                </c:pt>
                <c:pt idx="3">
                  <c:v>1.9948849104859332</c:v>
                </c:pt>
                <c:pt idx="4">
                  <c:v>3.7084398976982098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1A-B04A-9799-EF3D6BDBCE82}"/>
            </c:ext>
          </c:extLst>
        </c:ser>
        <c:ser>
          <c:idx val="1"/>
          <c:order val="1"/>
          <c:tx>
            <c:strRef>
              <c:f>'10-29-21'!$L$2</c:f>
              <c:strCache>
                <c:ptCount val="1"/>
                <c:pt idx="0">
                  <c:v>P22 Coop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'10-29-21'!$A$3:$A$7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'10-29-21'!$L$3:$L$7</c:f>
              <c:numCache>
                <c:formatCode>General</c:formatCode>
                <c:ptCount val="5"/>
                <c:pt idx="0">
                  <c:v>1</c:v>
                </c:pt>
                <c:pt idx="1">
                  <c:v>0.20967741935483869</c:v>
                </c:pt>
                <c:pt idx="2">
                  <c:v>0.3225806451612902</c:v>
                </c:pt>
                <c:pt idx="3">
                  <c:v>0.1612903225806451</c:v>
                </c:pt>
                <c:pt idx="4">
                  <c:v>0.1612903225806451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1A-B04A-9799-EF3D6BDBC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49951"/>
        <c:axId val="482371679"/>
      </c:scatterChart>
      <c:valAx>
        <c:axId val="49334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71679"/>
        <c:crosses val="autoZero"/>
        <c:crossBetween val="midCat"/>
      </c:valAx>
      <c:valAx>
        <c:axId val="4823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Fold Change in PFU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4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Doublings: Competition </a:t>
            </a:r>
          </a:p>
          <a:p>
            <a:pPr>
              <a:defRPr/>
            </a:pPr>
            <a:r>
              <a:rPr lang="en-US" baseline="0"/>
              <a:t>(Triplicate 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'10-29-21'!$N$2</c:f>
              <c:strCache>
                <c:ptCount val="1"/>
                <c:pt idx="0">
                  <c:v>Phi Comp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'10-29-21'!$A$3:$A$7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'10-29-21'!$N$3:$N$7</c:f>
              <c:numCache>
                <c:formatCode>General</c:formatCode>
                <c:ptCount val="5"/>
                <c:pt idx="0">
                  <c:v>0</c:v>
                </c:pt>
                <c:pt idx="1">
                  <c:v>-1.4222330006830477</c:v>
                </c:pt>
                <c:pt idx="2">
                  <c:v>-3.4811266897366164</c:v>
                </c:pt>
                <c:pt idx="3">
                  <c:v>-1.7441610955704101</c:v>
                </c:pt>
                <c:pt idx="4">
                  <c:v>-0.52176867423396234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C1-954F-94C2-70A8407D2C57}"/>
            </c:ext>
          </c:extLst>
        </c:ser>
        <c:ser>
          <c:idx val="1"/>
          <c:order val="1"/>
          <c:tx>
            <c:strRef>
              <c:f>'10-29-21'!$O$2</c:f>
              <c:strCache>
                <c:ptCount val="1"/>
                <c:pt idx="0">
                  <c:v>P22 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'10-29-21'!$A$3:$A$7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'10-29-21'!$O$3:$O$7</c:f>
              <c:numCache>
                <c:formatCode>General</c:formatCode>
                <c:ptCount val="5"/>
                <c:pt idx="0">
                  <c:v>0</c:v>
                </c:pt>
                <c:pt idx="1">
                  <c:v>-0.53659947915975725</c:v>
                </c:pt>
                <c:pt idx="2">
                  <c:v>1.4068169924738749</c:v>
                </c:pt>
                <c:pt idx="3">
                  <c:v>5.3054399720987933</c:v>
                </c:pt>
                <c:pt idx="4">
                  <c:v>7.7235833822454598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C1-954F-94C2-70A8407D2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757055"/>
        <c:axId val="1374423375"/>
      </c:scatterChart>
      <c:valAx>
        <c:axId val="137275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23375"/>
        <c:crosses val="autoZero"/>
        <c:crossBetween val="midCat"/>
      </c:valAx>
      <c:valAx>
        <c:axId val="137442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Doublings (ln(t/t0))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75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Doublings: Cooperation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(Triplicate 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'10-29-21'!$M$2</c:f>
              <c:strCache>
                <c:ptCount val="1"/>
                <c:pt idx="0">
                  <c:v>Phi Coop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'10-29-21'!$A$3:$A$7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'10-29-21'!$M$3:$M$7</c:f>
              <c:numCache>
                <c:formatCode>General</c:formatCode>
                <c:ptCount val="5"/>
                <c:pt idx="0">
                  <c:v>0</c:v>
                </c:pt>
                <c:pt idx="1">
                  <c:v>-0.58311880073746769</c:v>
                </c:pt>
                <c:pt idx="2">
                  <c:v>-0.84947356486287295</c:v>
                </c:pt>
                <c:pt idx="3">
                  <c:v>0.99630551644225829</c:v>
                </c:pt>
                <c:pt idx="4">
                  <c:v>1.8908123875949445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66-B94D-BA92-0B6C36E1B03E}"/>
            </c:ext>
          </c:extLst>
        </c:ser>
        <c:ser>
          <c:idx val="1"/>
          <c:order val="1"/>
          <c:tx>
            <c:strRef>
              <c:f>'10-29-21'!$P$2</c:f>
              <c:strCache>
                <c:ptCount val="1"/>
                <c:pt idx="0">
                  <c:v>P22 Coop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'10-29-21'!$A$3:$A$7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'10-29-21'!$P$3:$P$7</c:f>
              <c:numCache>
                <c:formatCode>General</c:formatCode>
                <c:ptCount val="5"/>
                <c:pt idx="0">
                  <c:v>0</c:v>
                </c:pt>
                <c:pt idx="1">
                  <c:v>-2.2537565922457832</c:v>
                </c:pt>
                <c:pt idx="2">
                  <c:v>-1.6322682154995136</c:v>
                </c:pt>
                <c:pt idx="3">
                  <c:v>-2.6322682154995136</c:v>
                </c:pt>
                <c:pt idx="4">
                  <c:v>-2.6322682154995136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66-B94D-BA92-0B6C36E1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987087"/>
        <c:axId val="1374309359"/>
      </c:scatterChart>
      <c:valAx>
        <c:axId val="134898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9359"/>
        <c:crosses val="autoZero"/>
        <c:crossBetween val="midCat"/>
      </c:valAx>
      <c:valAx>
        <c:axId val="13743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Doublings (ln(t/t0))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'1-12-22 2 hour'!$P$26</c:f>
              <c:strCache>
                <c:ptCount val="1"/>
                <c:pt idx="0">
                  <c:v>Phi 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'1-12-22 2 hour'!$M$27:$M$31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'1-12-22 2 hour'!$P$27:$P$31</c:f>
              <c:numCache>
                <c:formatCode>General</c:formatCode>
                <c:ptCount val="5"/>
                <c:pt idx="0">
                  <c:v>0</c:v>
                </c:pt>
                <c:pt idx="1">
                  <c:v>-0.3605897152564676</c:v>
                </c:pt>
                <c:pt idx="2">
                  <c:v>0.8541491335365452</c:v>
                </c:pt>
                <c:pt idx="3">
                  <c:v>-0.47162102764521135</c:v>
                </c:pt>
                <c:pt idx="4">
                  <c:v>1.7914133781885824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F4-4941-A43C-690F5D97F0E2}"/>
            </c:ext>
          </c:extLst>
        </c:ser>
        <c:ser>
          <c:idx val="1"/>
          <c:order val="1"/>
          <c:tx>
            <c:strRef>
              <c:f>'1-12-22 2 hour'!$S$26</c:f>
              <c:strCache>
                <c:ptCount val="1"/>
                <c:pt idx="0">
                  <c:v>P22 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'1-12-22 2 hour'!$M$27:$M$31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'1-12-22 2 hour'!$S$27:$S$31</c:f>
              <c:numCache>
                <c:formatCode>General</c:formatCode>
                <c:ptCount val="5"/>
                <c:pt idx="0">
                  <c:v>0</c:v>
                </c:pt>
                <c:pt idx="1">
                  <c:v>-0.68589140957193695</c:v>
                </c:pt>
                <c:pt idx="2">
                  <c:v>0.1480986389891342</c:v>
                </c:pt>
                <c:pt idx="3">
                  <c:v>2.0193653248669317</c:v>
                </c:pt>
                <c:pt idx="4">
                  <c:v>1.2823997307007251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F4-4941-A43C-690F5D97F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915504"/>
        <c:axId val="1296824336"/>
      </c:scatterChart>
      <c:valAx>
        <c:axId val="137391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24336"/>
        <c:crosses val="autoZero"/>
        <c:crossBetween val="midCat"/>
      </c:valAx>
      <c:valAx>
        <c:axId val="12968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1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Fold Change in PFU: Competition (Triplicate</a:t>
            </a:r>
            <a:r>
              <a:rPr lang="en-US" baseline="0"/>
              <a:t> 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'10-29-21'!$J$2</c:f>
              <c:strCache>
                <c:ptCount val="1"/>
                <c:pt idx="0">
                  <c:v>Phi Comp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'10-29-21'!$A$3:$A$7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'10-29-21'!$J$3:$J$7</c:f>
              <c:numCache>
                <c:formatCode>General</c:formatCode>
                <c:ptCount val="5"/>
                <c:pt idx="0">
                  <c:v>1</c:v>
                </c:pt>
                <c:pt idx="1">
                  <c:v>0.37313432835820898</c:v>
                </c:pt>
                <c:pt idx="2">
                  <c:v>8.9552238805970144E-2</c:v>
                </c:pt>
                <c:pt idx="3">
                  <c:v>0.29850746268656714</c:v>
                </c:pt>
                <c:pt idx="4">
                  <c:v>0.69651741293532332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3C-BA4C-BA5A-A74E9A2C4150}"/>
            </c:ext>
          </c:extLst>
        </c:ser>
        <c:ser>
          <c:idx val="1"/>
          <c:order val="1"/>
          <c:tx>
            <c:strRef>
              <c:f>'10-29-21'!$K$2</c:f>
              <c:strCache>
                <c:ptCount val="1"/>
                <c:pt idx="0">
                  <c:v>P22 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'10-29-21'!$A$3:$A$7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'10-29-21'!$K$3:$K$7</c:f>
              <c:numCache>
                <c:formatCode>General</c:formatCode>
                <c:ptCount val="5"/>
                <c:pt idx="0">
                  <c:v>1</c:v>
                </c:pt>
                <c:pt idx="1">
                  <c:v>0.68939393939393934</c:v>
                </c:pt>
                <c:pt idx="2">
                  <c:v>2.6515151515151505</c:v>
                </c:pt>
                <c:pt idx="3">
                  <c:v>39.54545454545454</c:v>
                </c:pt>
                <c:pt idx="4">
                  <c:v>211.36363636363637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C-BA4C-BA5A-A74E9A2C4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44735"/>
        <c:axId val="477056223"/>
      </c:scatterChart>
      <c:valAx>
        <c:axId val="47704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56223"/>
        <c:crosses val="autoZero"/>
        <c:crossBetween val="midCat"/>
      </c:valAx>
      <c:valAx>
        <c:axId val="47705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Fold Change in PFU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Doublings: Cooperation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(Triplicate 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'10-29-21'!$M$2</c:f>
              <c:strCache>
                <c:ptCount val="1"/>
                <c:pt idx="0">
                  <c:v>Phi Coop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'10-29-21'!$A$3:$A$7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'10-29-21'!$M$3:$M$7</c:f>
              <c:numCache>
                <c:formatCode>General</c:formatCode>
                <c:ptCount val="5"/>
                <c:pt idx="0">
                  <c:v>0</c:v>
                </c:pt>
                <c:pt idx="1">
                  <c:v>-0.58311880073746769</c:v>
                </c:pt>
                <c:pt idx="2">
                  <c:v>-0.84947356486287295</c:v>
                </c:pt>
                <c:pt idx="3">
                  <c:v>0.99630551644225829</c:v>
                </c:pt>
                <c:pt idx="4">
                  <c:v>1.8908123875949445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5-1E4F-A099-5455F9F38702}"/>
            </c:ext>
          </c:extLst>
        </c:ser>
        <c:ser>
          <c:idx val="1"/>
          <c:order val="1"/>
          <c:tx>
            <c:strRef>
              <c:f>'10-29-21'!$P$2</c:f>
              <c:strCache>
                <c:ptCount val="1"/>
                <c:pt idx="0">
                  <c:v>P22 Coop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'10-29-21'!$A$3:$A$7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'10-29-21'!$P$3:$P$7</c:f>
              <c:numCache>
                <c:formatCode>General</c:formatCode>
                <c:ptCount val="5"/>
                <c:pt idx="0">
                  <c:v>0</c:v>
                </c:pt>
                <c:pt idx="1">
                  <c:v>-2.2537565922457832</c:v>
                </c:pt>
                <c:pt idx="2">
                  <c:v>-1.6322682154995136</c:v>
                </c:pt>
                <c:pt idx="3">
                  <c:v>-2.6322682154995136</c:v>
                </c:pt>
                <c:pt idx="4">
                  <c:v>-2.6322682154995136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5-1E4F-A099-5455F9F38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987087"/>
        <c:axId val="1374309359"/>
      </c:scatterChart>
      <c:valAx>
        <c:axId val="134898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9359"/>
        <c:crosses val="autoZero"/>
        <c:crossBetween val="midCat"/>
      </c:valAx>
      <c:valAx>
        <c:axId val="13743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Doublings (ln(t/t0))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Doublings: Competition </a:t>
            </a:r>
          </a:p>
          <a:p>
            <a:pPr>
              <a:defRPr/>
            </a:pPr>
            <a:r>
              <a:rPr lang="en-US" baseline="0"/>
              <a:t>(Triplicate 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'10-29-21'!$N$2</c:f>
              <c:strCache>
                <c:ptCount val="1"/>
                <c:pt idx="0">
                  <c:v>Phi Comp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'10-29-21'!$A$3:$A$7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'10-29-21'!$N$3:$N$7</c:f>
              <c:numCache>
                <c:formatCode>General</c:formatCode>
                <c:ptCount val="5"/>
                <c:pt idx="0">
                  <c:v>0</c:v>
                </c:pt>
                <c:pt idx="1">
                  <c:v>-1.4222330006830477</c:v>
                </c:pt>
                <c:pt idx="2">
                  <c:v>-3.4811266897366164</c:v>
                </c:pt>
                <c:pt idx="3">
                  <c:v>-1.7441610955704101</c:v>
                </c:pt>
                <c:pt idx="4">
                  <c:v>-0.52176867423396234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77-C642-B2D2-EF66C883663E}"/>
            </c:ext>
          </c:extLst>
        </c:ser>
        <c:ser>
          <c:idx val="1"/>
          <c:order val="1"/>
          <c:tx>
            <c:strRef>
              <c:f>'10-29-21'!$O$2</c:f>
              <c:strCache>
                <c:ptCount val="1"/>
                <c:pt idx="0">
                  <c:v>P22 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'10-29-21'!$A$3:$A$7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'10-29-21'!$O$3:$O$7</c:f>
              <c:numCache>
                <c:formatCode>General</c:formatCode>
                <c:ptCount val="5"/>
                <c:pt idx="0">
                  <c:v>0</c:v>
                </c:pt>
                <c:pt idx="1">
                  <c:v>-0.53659947915975725</c:v>
                </c:pt>
                <c:pt idx="2">
                  <c:v>1.4068169924738749</c:v>
                </c:pt>
                <c:pt idx="3">
                  <c:v>5.3054399720987933</c:v>
                </c:pt>
                <c:pt idx="4">
                  <c:v>7.7235833822454598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77-C642-B2D2-EF66C883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757055"/>
        <c:axId val="1374423375"/>
      </c:scatterChart>
      <c:valAx>
        <c:axId val="137275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23375"/>
        <c:crosses val="autoZero"/>
        <c:crossBetween val="midCat"/>
      </c:valAx>
      <c:valAx>
        <c:axId val="137442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Doublings (ln(t/t0))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75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Doublings: </a:t>
            </a:r>
          </a:p>
          <a:p>
            <a:pPr>
              <a:defRPr/>
            </a:pPr>
            <a:r>
              <a:rPr lang="en-US" baseline="0"/>
              <a:t>Competition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'11-2-21'!$K$2</c:f>
              <c:strCache>
                <c:ptCount val="1"/>
                <c:pt idx="0">
                  <c:v>Phi Comp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'11-2-21'!$A$3:$A$6</c:f>
              <c:numCache>
                <c:formatCode>General</c:formatCode>
                <c:ptCount val="4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1.6812412373755872</c:v>
                </c:pt>
              </c:numCache>
            </c:numRef>
          </c:xVal>
          <c:yVal>
            <c:numRef>
              <c:f>'11-2-21'!$K$3:$K$6</c:f>
              <c:numCache>
                <c:formatCode>General</c:formatCode>
                <c:ptCount val="4"/>
                <c:pt idx="0">
                  <c:v>0</c:v>
                </c:pt>
                <c:pt idx="1">
                  <c:v>0.47393118833241232</c:v>
                </c:pt>
                <c:pt idx="2">
                  <c:v>10.319421239276787</c:v>
                </c:pt>
                <c:pt idx="3">
                  <c:v>10.04378679666336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65-B243-8839-EC8088859943}"/>
            </c:ext>
          </c:extLst>
        </c:ser>
        <c:ser>
          <c:idx val="1"/>
          <c:order val="1"/>
          <c:tx>
            <c:strRef>
              <c:f>'11-2-21'!$L$2</c:f>
              <c:strCache>
                <c:ptCount val="1"/>
                <c:pt idx="0">
                  <c:v>P22 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'11-2-21'!$A$3:$A$6</c:f>
              <c:numCache>
                <c:formatCode>General</c:formatCode>
                <c:ptCount val="4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1.6812412373755872</c:v>
                </c:pt>
              </c:numCache>
            </c:numRef>
          </c:xVal>
          <c:yVal>
            <c:numRef>
              <c:f>'11-2-21'!$L$3:$L$6</c:f>
              <c:numCache>
                <c:formatCode>General</c:formatCode>
                <c:ptCount val="4"/>
                <c:pt idx="0">
                  <c:v>0</c:v>
                </c:pt>
                <c:pt idx="1">
                  <c:v>3.9068905956085187</c:v>
                </c:pt>
                <c:pt idx="2">
                  <c:v>12.550746785383243</c:v>
                </c:pt>
                <c:pt idx="3">
                  <c:v>18.194602975157967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65-B243-8839-EC8088859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274367"/>
        <c:axId val="1427054303"/>
      </c:scatterChart>
      <c:valAx>
        <c:axId val="143127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(log(hours))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054303"/>
        <c:crosses val="autoZero"/>
        <c:crossBetween val="midCat"/>
      </c:valAx>
      <c:valAx>
        <c:axId val="14270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Doublings (ln(t/t0)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274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Doublings:</a:t>
            </a:r>
          </a:p>
          <a:p>
            <a:pPr>
              <a:defRPr/>
            </a:pPr>
            <a:r>
              <a:rPr lang="en-US" baseline="0"/>
              <a:t>Cooperation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'11-2-21'!$J$2</c:f>
              <c:strCache>
                <c:ptCount val="1"/>
                <c:pt idx="0">
                  <c:v>Phi Coop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'11-2-21'!$A$3:$A$6</c:f>
              <c:numCache>
                <c:formatCode>General</c:formatCode>
                <c:ptCount val="4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1.6812412373755872</c:v>
                </c:pt>
              </c:numCache>
            </c:numRef>
          </c:xVal>
          <c:yVal>
            <c:numRef>
              <c:f>'11-2-21'!$J$3:$J$6</c:f>
              <c:numCache>
                <c:formatCode>General</c:formatCode>
                <c:ptCount val="4"/>
                <c:pt idx="0">
                  <c:v>0</c:v>
                </c:pt>
                <c:pt idx="1">
                  <c:v>2.1844245711374275</c:v>
                </c:pt>
                <c:pt idx="2">
                  <c:v>9.1787780079962857</c:v>
                </c:pt>
                <c:pt idx="3">
                  <c:v>12.73517135652067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93-5D45-B40D-23410C77DEA8}"/>
            </c:ext>
          </c:extLst>
        </c:ser>
        <c:ser>
          <c:idx val="1"/>
          <c:order val="1"/>
          <c:tx>
            <c:strRef>
              <c:f>'11-2-21'!$M$2</c:f>
              <c:strCache>
                <c:ptCount val="1"/>
                <c:pt idx="0">
                  <c:v>P22 Coop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'11-2-21'!$A$3:$A$6</c:f>
              <c:numCache>
                <c:formatCode>General</c:formatCode>
                <c:ptCount val="4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1.6812412373755872</c:v>
                </c:pt>
              </c:numCache>
            </c:numRef>
          </c:xVal>
          <c:yVal>
            <c:numRef>
              <c:f>'11-2-21'!$M$3:$M$6</c:f>
              <c:numCache>
                <c:formatCode>General</c:formatCode>
                <c:ptCount val="4"/>
                <c:pt idx="0">
                  <c:v>0</c:v>
                </c:pt>
                <c:pt idx="1">
                  <c:v>-4.169925001442313</c:v>
                </c:pt>
                <c:pt idx="2">
                  <c:v>9.4962990013608657</c:v>
                </c:pt>
                <c:pt idx="3">
                  <c:v>15.247070395052104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93-5D45-B40D-23410C77D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185407"/>
        <c:axId val="1433624111"/>
      </c:scatterChart>
      <c:valAx>
        <c:axId val="137518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(log(hours))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624111"/>
        <c:crosses val="autoZero"/>
        <c:crossBetween val="midCat"/>
      </c:valAx>
      <c:valAx>
        <c:axId val="143362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Doublings (ln(t/t0))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18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Doublings with Phi Sensitive E. Coli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'11-2-21'!$J$2</c:f>
              <c:strCache>
                <c:ptCount val="1"/>
                <c:pt idx="0">
                  <c:v>Phi Coop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'11-2-21'!$A$3:$A$6</c:f>
              <c:numCache>
                <c:formatCode>General</c:formatCode>
                <c:ptCount val="4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1.6812412373755872</c:v>
                </c:pt>
              </c:numCache>
            </c:numRef>
          </c:xVal>
          <c:yVal>
            <c:numRef>
              <c:f>'11-2-21'!$J$3:$J$6</c:f>
              <c:numCache>
                <c:formatCode>General</c:formatCode>
                <c:ptCount val="4"/>
                <c:pt idx="0">
                  <c:v>0</c:v>
                </c:pt>
                <c:pt idx="1">
                  <c:v>2.1844245711374275</c:v>
                </c:pt>
                <c:pt idx="2">
                  <c:v>9.1787780079962857</c:v>
                </c:pt>
                <c:pt idx="3">
                  <c:v>12.73517135652067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1-6A43-B869-294280460ED5}"/>
            </c:ext>
          </c:extLst>
        </c:ser>
        <c:ser>
          <c:idx val="1"/>
          <c:order val="1"/>
          <c:tx>
            <c:strRef>
              <c:f>'11-2-21'!$K$2</c:f>
              <c:strCache>
                <c:ptCount val="1"/>
                <c:pt idx="0">
                  <c:v>Phi 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'11-2-21'!$A$3:$A$6</c:f>
              <c:numCache>
                <c:formatCode>General</c:formatCode>
                <c:ptCount val="4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1.6812412373755872</c:v>
                </c:pt>
              </c:numCache>
            </c:numRef>
          </c:xVal>
          <c:yVal>
            <c:numRef>
              <c:f>'11-2-21'!$K$3:$K$6</c:f>
              <c:numCache>
                <c:formatCode>General</c:formatCode>
                <c:ptCount val="4"/>
                <c:pt idx="0">
                  <c:v>0</c:v>
                </c:pt>
                <c:pt idx="1">
                  <c:v>0.47393118833241232</c:v>
                </c:pt>
                <c:pt idx="2">
                  <c:v>10.319421239276787</c:v>
                </c:pt>
                <c:pt idx="3">
                  <c:v>10.04378679666336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D1-6A43-B869-294280460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177263"/>
        <c:axId val="893218159"/>
      </c:scatterChart>
      <c:valAx>
        <c:axId val="84617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log(hours)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18159"/>
        <c:crosses val="autoZero"/>
        <c:crossBetween val="midCat"/>
      </c:valAx>
      <c:valAx>
        <c:axId val="8932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doublings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7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Doublings:</a:t>
            </a:r>
            <a:r>
              <a:rPr lang="en-US" baseline="0"/>
              <a:t> Competition at 30C (Triplicate 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'11-12-21'!$J$2</c:f>
              <c:strCache>
                <c:ptCount val="1"/>
                <c:pt idx="0">
                  <c:v>Phi 30C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'11-12-21'!$A$3:$A$7</c:f>
              <c:numCache>
                <c:formatCode>General</c:formatCode>
                <c:ptCount val="5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1.3802112417116059</c:v>
                </c:pt>
                <c:pt idx="4">
                  <c:v>1.6812412373755872</c:v>
                </c:pt>
              </c:numCache>
            </c:numRef>
          </c:xVal>
          <c:yVal>
            <c:numRef>
              <c:f>'11-12-21'!$J$3:$J$7</c:f>
              <c:numCache>
                <c:formatCode>General</c:formatCode>
                <c:ptCount val="5"/>
                <c:pt idx="0">
                  <c:v>0</c:v>
                </c:pt>
                <c:pt idx="1">
                  <c:v>-1.1968007074337073</c:v>
                </c:pt>
                <c:pt idx="2">
                  <c:v>6.3539460779495371</c:v>
                </c:pt>
                <c:pt idx="3">
                  <c:v>5.9754344546958063</c:v>
                </c:pt>
                <c:pt idx="4">
                  <c:v>8.7827893767534118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7B-6F41-BE62-30EF6CA67926}"/>
            </c:ext>
          </c:extLst>
        </c:ser>
        <c:ser>
          <c:idx val="1"/>
          <c:order val="1"/>
          <c:tx>
            <c:strRef>
              <c:f>'11-12-21'!$L$2</c:f>
              <c:strCache>
                <c:ptCount val="1"/>
                <c:pt idx="0">
                  <c:v>P22 30C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'11-12-21'!$A$3:$A$7</c:f>
              <c:numCache>
                <c:formatCode>General</c:formatCode>
                <c:ptCount val="5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1.3802112417116059</c:v>
                </c:pt>
                <c:pt idx="4">
                  <c:v>1.6812412373755872</c:v>
                </c:pt>
              </c:numCache>
            </c:numRef>
          </c:xVal>
          <c:yVal>
            <c:numRef>
              <c:f>'11-12-21'!$L$3:$L$7</c:f>
              <c:numCache>
                <c:formatCode>General</c:formatCode>
                <c:ptCount val="5"/>
                <c:pt idx="0">
                  <c:v>0</c:v>
                </c:pt>
                <c:pt idx="1">
                  <c:v>-0.50119414302855902</c:v>
                </c:pt>
                <c:pt idx="2">
                  <c:v>9.4783959411585599</c:v>
                </c:pt>
                <c:pt idx="3">
                  <c:v>6.6710410191009553</c:v>
                </c:pt>
                <c:pt idx="4">
                  <c:v>10.408006613267162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7B-6F41-BE62-30EF6CA67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812239"/>
        <c:axId val="1563416431"/>
      </c:scatterChart>
      <c:valAx>
        <c:axId val="15888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16431"/>
        <c:crosses val="autoZero"/>
        <c:crossBetween val="midCat"/>
      </c:valAx>
      <c:valAx>
        <c:axId val="15634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Doublings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1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158750</xdr:colOff>
      <xdr:row>18</xdr:row>
      <xdr:rowOff>95250</xdr:rowOff>
    </xdr:from>
    <xdr:to>
      <xdr:col>25</xdr:col>
      <xdr:colOff>603250</xdr:colOff>
      <xdr:row>31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CAF66-8A60-C34E-874B-33C3B346B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450850</xdr:colOff>
      <xdr:row>10</xdr:row>
      <xdr:rowOff>76200</xdr:rowOff>
    </xdr:from>
    <xdr:to>
      <xdr:col>7</xdr:col>
      <xdr:colOff>69850</xdr:colOff>
      <xdr:row>23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036958-0B6D-A547-84E3-9BD3ABDD2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234950</xdr:colOff>
      <xdr:row>10</xdr:row>
      <xdr:rowOff>114300</xdr:rowOff>
    </xdr:from>
    <xdr:to>
      <xdr:col>12</xdr:col>
      <xdr:colOff>679450</xdr:colOff>
      <xdr:row>24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B8C232-CA06-2D44-9874-6B4467B3A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450850</xdr:colOff>
      <xdr:row>24</xdr:row>
      <xdr:rowOff>76200</xdr:rowOff>
    </xdr:from>
    <xdr:to>
      <xdr:col>7</xdr:col>
      <xdr:colOff>69850</xdr:colOff>
      <xdr:row>37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5BC80-6D0A-9445-A65D-20FE870B7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285750</xdr:colOff>
      <xdr:row>24</xdr:row>
      <xdr:rowOff>88900</xdr:rowOff>
    </xdr:from>
    <xdr:to>
      <xdr:col>12</xdr:col>
      <xdr:colOff>730250</xdr:colOff>
      <xdr:row>37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EA946-103D-0D4C-B751-56D36EF69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</xdr:row>
      <xdr:rowOff>177800</xdr:rowOff>
    </xdr:from>
    <xdr:to>
      <xdr:col>7</xdr:col>
      <xdr:colOff>101600</xdr:colOff>
      <xdr:row>21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B86490-0D39-F745-BE9D-F8D11D59E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7</xdr:row>
      <xdr:rowOff>165100</xdr:rowOff>
    </xdr:from>
    <xdr:to>
      <xdr:col>12</xdr:col>
      <xdr:colOff>762000</xdr:colOff>
      <xdr:row>21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679D8A-8D0A-8548-B93E-C3A4AD4AD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88900</xdr:colOff>
      <xdr:row>22</xdr:row>
      <xdr:rowOff>50800</xdr:rowOff>
    </xdr:from>
    <xdr:to>
      <xdr:col>12</xdr:col>
      <xdr:colOff>533400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D8D24-2B0F-E44D-B50A-E0910ED9A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0</xdr:rowOff>
    </xdr:from>
    <xdr:to>
      <xdr:col>7</xdr:col>
      <xdr:colOff>469900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689D3-9C7F-374E-9493-E5EAD5866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9</xdr:row>
      <xdr:rowOff>0</xdr:rowOff>
    </xdr:from>
    <xdr:to>
      <xdr:col>13</xdr:col>
      <xdr:colOff>685800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72AAE8-FB59-D64E-AB6D-FA2DFBEC9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241300</xdr:rowOff>
    </xdr:from>
    <xdr:to>
      <xdr:col>13</xdr:col>
      <xdr:colOff>539750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1FDF0-DDE3-D548-9DD1-493C49398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349250</xdr:colOff>
      <xdr:row>27</xdr:row>
      <xdr:rowOff>133350</xdr:rowOff>
    </xdr:from>
    <xdr:to>
      <xdr:col>31</xdr:col>
      <xdr:colOff>793750</xdr:colOff>
      <xdr:row>41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D38F26-B5C2-5741-91C2-0C001F8D2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32</xdr:row>
      <xdr:rowOff>107950</xdr:rowOff>
    </xdr:from>
    <xdr:to>
      <xdr:col>16</xdr:col>
      <xdr:colOff>381000</xdr:colOff>
      <xdr:row>46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A5B59-AB0A-0D44-B5A7-86F1FA23C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47</xdr:row>
      <xdr:rowOff>139700</xdr:rowOff>
    </xdr:from>
    <xdr:to>
      <xdr:col>23</xdr:col>
      <xdr:colOff>774700</xdr:colOff>
      <xdr:row>62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AA2273-8139-A242-9951-AE03D65D3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12700</xdr:colOff>
      <xdr:row>33</xdr:row>
      <xdr:rowOff>0</xdr:rowOff>
    </xdr:from>
    <xdr:to>
      <xdr:col>23</xdr:col>
      <xdr:colOff>457200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7E20920-402F-B541-9A3D-3D53302BC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127000</xdr:colOff>
      <xdr:row>47</xdr:row>
      <xdr:rowOff>6350</xdr:rowOff>
    </xdr:from>
    <xdr:to>
      <xdr:col>16</xdr:col>
      <xdr:colOff>469900</xdr:colOff>
      <xdr:row>60</xdr:row>
      <xdr:rowOff>107950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E0B692-4B3C-2149-B80E-0D61EDC58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76200</xdr:colOff>
      <xdr:row>61</xdr:row>
      <xdr:rowOff>57150</xdr:rowOff>
    </xdr:from>
    <xdr:to>
      <xdr:col>16</xdr:col>
      <xdr:colOff>419100</xdr:colOff>
      <xdr:row>74</xdr:row>
      <xdr:rowOff>158750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FADCDF4-2EBF-4C48-9ADD-0A34F8A4A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31</xdr:row>
      <xdr:rowOff>184150</xdr:rowOff>
    </xdr:from>
    <xdr:to>
      <xdr:col>14</xdr:col>
      <xdr:colOff>0</xdr:colOff>
      <xdr:row>45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BB87D-BE8E-C340-820F-FA2C1FD34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330200</xdr:colOff>
      <xdr:row>45</xdr:row>
      <xdr:rowOff>196850</xdr:rowOff>
    </xdr:from>
    <xdr:to>
      <xdr:col>13</xdr:col>
      <xdr:colOff>774700</xdr:colOff>
      <xdr:row>59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6FB301-52FF-874A-AA89-ED6C92871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114300</xdr:colOff>
      <xdr:row>46</xdr:row>
      <xdr:rowOff>101600</xdr:rowOff>
    </xdr:from>
    <xdr:to>
      <xdr:col>19</xdr:col>
      <xdr:colOff>558800</xdr:colOff>
      <xdr:row>61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D20FC7-936B-134F-B975-ED871D431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32</xdr:row>
      <xdr:rowOff>12700</xdr:rowOff>
    </xdr:from>
    <xdr:to>
      <xdr:col>19</xdr:col>
      <xdr:colOff>596900</xdr:colOff>
      <xdr:row>45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3EE9C6-8C3F-BC4E-BD48-1C4A1E9AE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215900</xdr:colOff>
      <xdr:row>60</xdr:row>
      <xdr:rowOff>69850</xdr:rowOff>
    </xdr:from>
    <xdr:to>
      <xdr:col>13</xdr:col>
      <xdr:colOff>660400</xdr:colOff>
      <xdr:row>73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09B5140-243A-5341-B3FF-44BD23E03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2AF10-397D-EB4C-86AE-04AACC2DE3BC}">
  <dimension ref="A1:K28"/>
  <sheetViews>
    <sheetView topLeftCell="A9" workbookViewId="0">
      <selection activeCell="L14" sqref="L14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">
      <c r="A2">
        <v>0</v>
      </c>
      <c r="B2">
        <f>10^0</f>
        <v>1</v>
      </c>
      <c r="C2">
        <v>0.01</v>
      </c>
      <c r="D2">
        <f>AVERAGE(4,1,3)/($B2*$C2)</f>
        <v>266.66666666666663</v>
      </c>
      <c r="E2">
        <f>AVERAGE(11,1,1)/($B2*$C2)</f>
        <v>433.33333333333331</v>
      </c>
      <c r="F2">
        <f>AVERAGE(50,52,48)/($B2*$C2)</f>
        <v>5000</v>
      </c>
      <c r="G2">
        <f>AVERAGE(31,28,38)/($B2*$C2)</f>
        <v>3233.3333333333335</v>
      </c>
      <c r="H2">
        <f>G2/G$2</f>
        <v>1</v>
      </c>
      <c r="I2">
        <f>E2/E$2</f>
        <v>1</v>
      </c>
    </row>
    <row r="3" spans="1:9" x14ac:dyDescent="0.2">
      <c r="A3">
        <v>10</v>
      </c>
      <c r="B3">
        <f>10^0</f>
        <v>1</v>
      </c>
      <c r="C3">
        <v>0.01</v>
      </c>
      <c r="D3">
        <f>AVERAGE(1,0,3)/(B3*C3)</f>
        <v>133.33333333333331</v>
      </c>
      <c r="E3">
        <f>AVERAGE(5,2,1)/($B3*$C3)</f>
        <v>266.66666666666663</v>
      </c>
      <c r="F3">
        <f>AVERAGE(1,0,1)/($B3*$C3)</f>
        <v>66.666666666666657</v>
      </c>
      <c r="G3">
        <f>AVERAGE(1,1,0)/($B3*$C3)</f>
        <v>66.666666666666657</v>
      </c>
      <c r="H3">
        <f t="shared" ref="H3:H8" si="0">G3/G$2</f>
        <v>2.0618556701030924E-2</v>
      </c>
      <c r="I3">
        <f t="shared" ref="I3:I8" si="1">E3/E$2</f>
        <v>0.61538461538461531</v>
      </c>
    </row>
    <row r="4" spans="1:9" x14ac:dyDescent="0.2">
      <c r="A4">
        <v>20</v>
      </c>
      <c r="B4">
        <f>10^0</f>
        <v>1</v>
      </c>
      <c r="C4">
        <v>0.01</v>
      </c>
      <c r="D4">
        <f>AVERAGE(0,0,3)/(B4*C4)</f>
        <v>100</v>
      </c>
      <c r="E4">
        <f>AVERAGE(3,2,0)/($B4*$C4)</f>
        <v>166.66666666666666</v>
      </c>
      <c r="F4">
        <f>AVERAGE(1,1,1)/($B4*$C4)</f>
        <v>100</v>
      </c>
      <c r="G4">
        <f>AVERAGE(1,1,2)/($B4*$C4)</f>
        <v>133.33333333333331</v>
      </c>
      <c r="H4">
        <f t="shared" si="0"/>
        <v>4.1237113402061848E-2</v>
      </c>
      <c r="I4">
        <f t="shared" si="1"/>
        <v>0.38461538461538464</v>
      </c>
    </row>
    <row r="5" spans="1:9" x14ac:dyDescent="0.2">
      <c r="A5">
        <v>30</v>
      </c>
      <c r="B5">
        <f>10^-1</f>
        <v>0.1</v>
      </c>
      <c r="C5">
        <v>0.01</v>
      </c>
      <c r="D5">
        <f>AVERAGE(0,1,0)/(B5*C5)</f>
        <v>333.33333333333331</v>
      </c>
      <c r="E5">
        <f>AVERAGE(0,1,1)/($B5*$C5)</f>
        <v>666.66666666666663</v>
      </c>
      <c r="F5">
        <f>AVERAGE(0,1,0)/($B5*$C5)</f>
        <v>333.33333333333331</v>
      </c>
      <c r="G5">
        <f>AVERAGE(2,1,0)/($B5*$C5)</f>
        <v>1000</v>
      </c>
      <c r="H5">
        <f t="shared" si="0"/>
        <v>0.30927835051546393</v>
      </c>
      <c r="I5">
        <f t="shared" si="1"/>
        <v>1.5384615384615385</v>
      </c>
    </row>
    <row r="6" spans="1:9" x14ac:dyDescent="0.2">
      <c r="A6">
        <v>40</v>
      </c>
      <c r="B6">
        <f>10^-2</f>
        <v>0.01</v>
      </c>
      <c r="C6">
        <v>0.01</v>
      </c>
      <c r="D6">
        <f>AVERAGE(0,1,0)/(B6*C6)</f>
        <v>3333.333333333333</v>
      </c>
      <c r="E6">
        <f>AVERAGE(2,0,0)/($B6*$C6)</f>
        <v>6666.6666666666661</v>
      </c>
      <c r="F6">
        <f>AVERAGE(1,1,0)/($B6*$C6)</f>
        <v>6666.6666666666661</v>
      </c>
      <c r="G6">
        <f>AVERAGE(2,1,1)/($B6*$C6)</f>
        <v>13333.333333333332</v>
      </c>
      <c r="H6">
        <f t="shared" si="0"/>
        <v>4.1237113402061851</v>
      </c>
      <c r="I6">
        <f t="shared" si="1"/>
        <v>15.384615384615383</v>
      </c>
    </row>
    <row r="7" spans="1:9" x14ac:dyDescent="0.2">
      <c r="A7">
        <v>50</v>
      </c>
      <c r="B7">
        <f>10^-2</f>
        <v>0.01</v>
      </c>
      <c r="C7">
        <v>0.01</v>
      </c>
      <c r="D7">
        <f>AVERAGE(0,1,0)/(B7*C7)</f>
        <v>3333.333333333333</v>
      </c>
      <c r="E7">
        <f>AVERAGE(1,0,0)/($B7*$C7)</f>
        <v>3333.333333333333</v>
      </c>
      <c r="F7">
        <f>AVERAGE(0,0,1)/($B7*$C7)</f>
        <v>3333.333333333333</v>
      </c>
      <c r="G7">
        <f>AVERAGE(0,1,2)/($B7*$C7)</f>
        <v>10000</v>
      </c>
      <c r="H7">
        <f t="shared" si="0"/>
        <v>3.0927835051546388</v>
      </c>
      <c r="I7">
        <f t="shared" si="1"/>
        <v>7.6923076923076916</v>
      </c>
    </row>
    <row r="8" spans="1:9" x14ac:dyDescent="0.2">
      <c r="A8">
        <v>60</v>
      </c>
      <c r="B8">
        <f>10^-1</f>
        <v>0.1</v>
      </c>
      <c r="C8">
        <v>0.01</v>
      </c>
      <c r="D8">
        <f>AVERAGE(0,2,0)/(B8*C8)</f>
        <v>666.66666666666663</v>
      </c>
      <c r="E8">
        <f>AVERAGE(1,2,0)/($B8*$C8)</f>
        <v>1000</v>
      </c>
      <c r="F8">
        <f>AVERAGE(0,0,0)/($B8*$C8)</f>
        <v>0</v>
      </c>
      <c r="G8">
        <f>AVERAGE(10,4,8)/($B8*$C8)</f>
        <v>7333.333333333333</v>
      </c>
      <c r="H8">
        <f t="shared" si="0"/>
        <v>2.268041237113402</v>
      </c>
      <c r="I8">
        <f t="shared" si="1"/>
        <v>2.3076923076923079</v>
      </c>
    </row>
    <row r="11" spans="1:9" x14ac:dyDescent="0.2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</row>
    <row r="12" spans="1:9" x14ac:dyDescent="0.2">
      <c r="A12">
        <v>0</v>
      </c>
      <c r="B12">
        <f>10^0</f>
        <v>1</v>
      </c>
      <c r="C12">
        <v>0.1</v>
      </c>
      <c r="D12">
        <f>AVERAGE(7,7,6)/($B12*$C12)</f>
        <v>66.666666666666671</v>
      </c>
      <c r="E12">
        <f>AVERAGE(5,9,9)/($B12*$C12)</f>
        <v>76.666666666666671</v>
      </c>
      <c r="F12">
        <f>AVERAGE(7,1,5)/($B12*$C12)</f>
        <v>43.333333333333329</v>
      </c>
      <c r="G12">
        <f>AVERAGE(9,1,0)/($B12*$C12)</f>
        <v>33.333333333333336</v>
      </c>
    </row>
    <row r="13" spans="1:9" x14ac:dyDescent="0.2">
      <c r="A13">
        <v>10</v>
      </c>
      <c r="B13">
        <f>10^0</f>
        <v>1</v>
      </c>
      <c r="C13">
        <v>0.1</v>
      </c>
      <c r="D13">
        <f>AVERAGE(16,9,10)/(B13*C13)</f>
        <v>116.66666666666666</v>
      </c>
      <c r="E13">
        <f>AVERAGE(7,19,20)/($B13*$C13)</f>
        <v>153.33333333333334</v>
      </c>
      <c r="F13">
        <f>AVERAGE(3,25,5)/($B13*$C13)</f>
        <v>110</v>
      </c>
      <c r="G13">
        <f>AVERAGE(54,41,10)/($B13*$C13)</f>
        <v>350</v>
      </c>
    </row>
    <row r="14" spans="1:9" x14ac:dyDescent="0.2">
      <c r="A14">
        <v>20</v>
      </c>
      <c r="B14">
        <f>10^0</f>
        <v>1</v>
      </c>
      <c r="C14">
        <v>0.1</v>
      </c>
      <c r="D14">
        <f>AVERAGE(12,6,9)/(B14*C14)</f>
        <v>90</v>
      </c>
      <c r="E14">
        <f>AVERAGE(16,21,13)/($B14*$C14)</f>
        <v>166.66666666666666</v>
      </c>
      <c r="F14">
        <f>AVERAGE(3,3,1)/($B14*$C14)</f>
        <v>23.333333333333332</v>
      </c>
      <c r="G14">
        <f>AVERAGE(4,1,2)/($B14*$C14)</f>
        <v>23.333333333333332</v>
      </c>
    </row>
    <row r="15" spans="1:9" x14ac:dyDescent="0.2">
      <c r="A15">
        <v>30</v>
      </c>
      <c r="B15">
        <f>10^-1</f>
        <v>0.1</v>
      </c>
      <c r="C15">
        <v>0.1</v>
      </c>
      <c r="D15">
        <f>AVERAGE(5,6,6)/(B15*C15)</f>
        <v>566.66666666666663</v>
      </c>
      <c r="E15">
        <f>AVERAGE(5,7,8)/($B15*$C15)</f>
        <v>666.66666666666652</v>
      </c>
      <c r="F15">
        <f>AVERAGE(1,0,0)/($B15*$C15)</f>
        <v>33.333333333333321</v>
      </c>
      <c r="G15">
        <f>AVERAGE(0,0,0)/($B15*$C15)</f>
        <v>0</v>
      </c>
    </row>
    <row r="16" spans="1:9" x14ac:dyDescent="0.2">
      <c r="A16">
        <v>40</v>
      </c>
      <c r="B16">
        <f>10^-1</f>
        <v>0.1</v>
      </c>
      <c r="C16">
        <v>0.1</v>
      </c>
      <c r="D16">
        <f>AVERAGE(13,6,2)/(B16*C16)</f>
        <v>699.99999999999989</v>
      </c>
      <c r="E16">
        <f>AVERAGE(12,3,5)/($B16*$C16)</f>
        <v>666.66666666666652</v>
      </c>
      <c r="F16">
        <f>AVERAGE(1,1,0)/($B16*$C16)</f>
        <v>66.666666666666643</v>
      </c>
      <c r="G16">
        <f>AVERAGE(0,0,0)/($B16*$C16)</f>
        <v>0</v>
      </c>
    </row>
    <row r="17" spans="1:11" x14ac:dyDescent="0.2">
      <c r="A17">
        <v>50</v>
      </c>
      <c r="B17">
        <f>10^-1</f>
        <v>0.1</v>
      </c>
      <c r="C17">
        <v>0.1</v>
      </c>
      <c r="D17">
        <f>AVERAGE(8,4,6)/(B17*C17)</f>
        <v>599.99999999999989</v>
      </c>
      <c r="E17">
        <f>AVERAGE(1,3,3)/($B17*$C17)</f>
        <v>233.33333333333331</v>
      </c>
      <c r="F17">
        <f>AVERAGE(0,0,0)/($B17*$C17)</f>
        <v>0</v>
      </c>
      <c r="G17">
        <f>AVERAGE(0,5,4)/($B17*$C17)</f>
        <v>299.99999999999994</v>
      </c>
    </row>
    <row r="18" spans="1:11" x14ac:dyDescent="0.2">
      <c r="A18">
        <v>60</v>
      </c>
      <c r="B18">
        <f>10^-1</f>
        <v>0.1</v>
      </c>
      <c r="C18">
        <v>0.1</v>
      </c>
      <c r="D18">
        <f>AVERAGE(7,15,10)/(B18*C18)</f>
        <v>1066.6666666666663</v>
      </c>
      <c r="E18">
        <f>AVERAGE(13,15,10)/($B18*$C18)</f>
        <v>1266.6666666666663</v>
      </c>
      <c r="F18">
        <f>AVERAGE(0,3,0)/($B18*$C18)</f>
        <v>99.999999999999986</v>
      </c>
      <c r="G18">
        <f>AVERAGE(11,10,12)/($B18*$C18)</f>
        <v>1099.9999999999998</v>
      </c>
    </row>
    <row r="20" spans="1:11" x14ac:dyDescent="0.2">
      <c r="H20" s="27" t="s">
        <v>7</v>
      </c>
      <c r="I20" s="27"/>
      <c r="J20" s="27"/>
      <c r="K20" s="27"/>
    </row>
    <row r="21" spans="1:11" x14ac:dyDescent="0.2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6</v>
      </c>
      <c r="G21" t="s">
        <v>5</v>
      </c>
      <c r="H21" t="s">
        <v>3</v>
      </c>
      <c r="I21" t="s">
        <v>4</v>
      </c>
      <c r="J21" t="s">
        <v>6</v>
      </c>
      <c r="K21" t="s">
        <v>5</v>
      </c>
    </row>
    <row r="22" spans="1:11" x14ac:dyDescent="0.2">
      <c r="A22">
        <v>0</v>
      </c>
      <c r="B22">
        <f>10^0</f>
        <v>1</v>
      </c>
      <c r="C22">
        <v>0.05</v>
      </c>
      <c r="D22">
        <f>AVERAGE(58,87,91)/($B22*$C22)</f>
        <v>1573.3333333333333</v>
      </c>
      <c r="E22">
        <f>AVERAGE(40,56,38)/($B22*$C22)</f>
        <v>893.33333333333326</v>
      </c>
      <c r="F22">
        <f>AVERAGE(222,229,239)/($B22*$C22)</f>
        <v>4600</v>
      </c>
      <c r="G22">
        <f>AVERAGE(143,159,143)/($B22*$C22)</f>
        <v>2966.6666666666665</v>
      </c>
      <c r="H22">
        <f t="shared" ref="H22:H28" si="2">D22/$D$22</f>
        <v>1</v>
      </c>
      <c r="I22">
        <f t="shared" ref="I22:I28" si="3">E22/$E$22</f>
        <v>1</v>
      </c>
      <c r="J22">
        <f t="shared" ref="J22:J28" si="4">F22/$F$22</f>
        <v>1</v>
      </c>
      <c r="K22">
        <f t="shared" ref="K22:K28" si="5">G22/$G$22</f>
        <v>1</v>
      </c>
    </row>
    <row r="23" spans="1:11" x14ac:dyDescent="0.2">
      <c r="A23">
        <v>10</v>
      </c>
      <c r="B23">
        <f>10^0</f>
        <v>1</v>
      </c>
      <c r="C23">
        <v>0.05</v>
      </c>
      <c r="D23">
        <f>AVERAGE(66,39,59)/(B23*C23)</f>
        <v>1093.3333333333333</v>
      </c>
      <c r="E23">
        <f>AVERAGE(33,29,24)/($B23*$C23)</f>
        <v>573.33333333333337</v>
      </c>
      <c r="F23">
        <f>AVERAGE(59,61,73)/($B23*$C23)</f>
        <v>1286.6666666666665</v>
      </c>
      <c r="G23">
        <f>AVERAGE(68,86,77)/($B23*$C23)</f>
        <v>1540</v>
      </c>
      <c r="H23">
        <f t="shared" si="2"/>
        <v>0.69491525423728817</v>
      </c>
      <c r="I23">
        <f t="shared" si="3"/>
        <v>0.64179104477611948</v>
      </c>
      <c r="J23">
        <f t="shared" si="4"/>
        <v>0.27971014492753621</v>
      </c>
      <c r="K23">
        <f t="shared" si="5"/>
        <v>0.51910112359550564</v>
      </c>
    </row>
    <row r="24" spans="1:11" x14ac:dyDescent="0.2">
      <c r="A24">
        <v>20</v>
      </c>
      <c r="B24">
        <f>10^0</f>
        <v>1</v>
      </c>
      <c r="C24">
        <v>0.05</v>
      </c>
      <c r="D24">
        <f>AVERAGE(27,35,33)/(B24*C24)</f>
        <v>633.33333333333337</v>
      </c>
      <c r="E24">
        <f>AVERAGE(29,20,16)/($B24*$C24)</f>
        <v>433.33333333333331</v>
      </c>
      <c r="F24">
        <f>AVERAGE(12,9,9)/($B24*$C24)</f>
        <v>200</v>
      </c>
      <c r="G24">
        <f>AVERAGE(23,17,22)/($B24*$C24)</f>
        <v>413.33333333333331</v>
      </c>
      <c r="H24">
        <f t="shared" si="2"/>
        <v>0.40254237288135597</v>
      </c>
      <c r="I24">
        <f t="shared" si="3"/>
        <v>0.48507462686567165</v>
      </c>
      <c r="J24">
        <f t="shared" si="4"/>
        <v>4.3478260869565216E-2</v>
      </c>
      <c r="K24">
        <f t="shared" si="5"/>
        <v>0.1393258426966292</v>
      </c>
    </row>
    <row r="25" spans="1:11" x14ac:dyDescent="0.2">
      <c r="A25">
        <v>30</v>
      </c>
      <c r="B25">
        <v>1</v>
      </c>
      <c r="C25">
        <v>0.05</v>
      </c>
      <c r="D25">
        <f>AVERAGE(36,43,77)/(B25*C25)</f>
        <v>1040</v>
      </c>
      <c r="E25">
        <f>AVERAGE(34,15,12)/($B25*$C25)</f>
        <v>406.66666666666663</v>
      </c>
      <c r="F25">
        <f>AVERAGE(9,16,5)/($B25*$C25)</f>
        <v>200</v>
      </c>
      <c r="G25">
        <f>AVERAGE(38,23,15)/($B25*$C25)</f>
        <v>506.66666666666663</v>
      </c>
      <c r="H25">
        <f t="shared" si="2"/>
        <v>0.66101694915254239</v>
      </c>
      <c r="I25">
        <f t="shared" si="3"/>
        <v>0.45522388059701491</v>
      </c>
      <c r="J25">
        <f t="shared" si="4"/>
        <v>4.3478260869565216E-2</v>
      </c>
      <c r="K25">
        <f t="shared" si="5"/>
        <v>0.17078651685393259</v>
      </c>
    </row>
    <row r="26" spans="1:11" x14ac:dyDescent="0.2">
      <c r="A26">
        <v>40</v>
      </c>
      <c r="B26">
        <v>1</v>
      </c>
      <c r="C26">
        <v>0.05</v>
      </c>
      <c r="D26">
        <f>AVERAGE(29,24,25)/(B26*C26)</f>
        <v>520</v>
      </c>
      <c r="E26">
        <f>AVERAGE(37,31,42)/($B26*$C26)</f>
        <v>733.33333333333326</v>
      </c>
      <c r="F26">
        <f>AVERAGE(6,13,12)/($B26*$C26)</f>
        <v>206.66666666666666</v>
      </c>
      <c r="G26">
        <f>AVERAGE(30,15,24)/($B26*$C26)</f>
        <v>460</v>
      </c>
      <c r="H26">
        <f t="shared" si="2"/>
        <v>0.33050847457627119</v>
      </c>
      <c r="I26">
        <f t="shared" si="3"/>
        <v>0.82089552238805974</v>
      </c>
      <c r="J26">
        <f t="shared" si="4"/>
        <v>4.4927536231884058E-2</v>
      </c>
      <c r="K26">
        <f t="shared" si="5"/>
        <v>0.15505617977528091</v>
      </c>
    </row>
    <row r="27" spans="1:11" x14ac:dyDescent="0.2">
      <c r="A27">
        <v>50</v>
      </c>
      <c r="B27">
        <v>1</v>
      </c>
      <c r="C27">
        <v>0.05</v>
      </c>
      <c r="D27">
        <f>AVERAGE(25,32,26)/(B27*C27)</f>
        <v>553.33333333333337</v>
      </c>
      <c r="E27">
        <f>AVERAGE(63,52,19)/($B27*$C27)</f>
        <v>893.33333333333326</v>
      </c>
      <c r="F27">
        <f>AVERAGE(115,166,191)/($B27*$C27)</f>
        <v>3146.6666666666665</v>
      </c>
      <c r="G27">
        <f>AVERAGE(19,23,28)/($B27*$C27)</f>
        <v>466.66666666666663</v>
      </c>
      <c r="H27">
        <f t="shared" si="2"/>
        <v>0.35169491525423735</v>
      </c>
      <c r="I27">
        <f t="shared" si="3"/>
        <v>1</v>
      </c>
      <c r="J27">
        <f t="shared" si="4"/>
        <v>0.68405797101449273</v>
      </c>
      <c r="K27">
        <f t="shared" si="5"/>
        <v>0.15730337078651685</v>
      </c>
    </row>
    <row r="28" spans="1:11" x14ac:dyDescent="0.2">
      <c r="A28">
        <v>60</v>
      </c>
      <c r="B28">
        <v>1</v>
      </c>
      <c r="C28">
        <v>0.05</v>
      </c>
      <c r="D28">
        <f>AVERAGE(18,21,18)/(B28*C28)</f>
        <v>380</v>
      </c>
      <c r="E28">
        <f>AVERAGE(172,149,121)/($B28*$C28)</f>
        <v>2946.6666666666665</v>
      </c>
      <c r="F28">
        <f>AVERAGE(475,481,462)/($B28*$C28)</f>
        <v>9453.3333333333339</v>
      </c>
      <c r="G28">
        <f>AVERAGE(65,21,21)/($B28*$C28)</f>
        <v>713.33333333333326</v>
      </c>
      <c r="H28">
        <f t="shared" si="2"/>
        <v>0.24152542372881358</v>
      </c>
      <c r="I28">
        <f t="shared" si="3"/>
        <v>3.2985074626865671</v>
      </c>
      <c r="J28">
        <f t="shared" si="4"/>
        <v>2.0550724637681159</v>
      </c>
      <c r="K28">
        <f t="shared" si="5"/>
        <v>0.24044943820224718</v>
      </c>
    </row>
  </sheetData>
  <mergeCells count="1">
    <mergeCell ref="H20:K2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04AF-9370-7645-B31D-9571008D9DAE}">
  <dimension ref="A1:AA30"/>
  <sheetViews>
    <sheetView workbookViewId="0">
      <selection activeCell="S21" sqref="S21:S23"/>
    </sheetView>
  </sheetViews>
  <sheetFormatPr baseColWidth="10" defaultRowHeight="16" x14ac:dyDescent="0.2"/>
  <sheetData>
    <row r="1" spans="1:19" x14ac:dyDescent="0.2">
      <c r="A1" s="2" t="s">
        <v>30</v>
      </c>
      <c r="B1" s="28" t="s">
        <v>13</v>
      </c>
      <c r="C1" s="29"/>
      <c r="D1" s="29"/>
      <c r="E1" s="29"/>
      <c r="F1" s="29"/>
      <c r="G1" s="30"/>
      <c r="H1" s="29" t="s">
        <v>12</v>
      </c>
      <c r="I1" s="29"/>
      <c r="J1" s="29"/>
      <c r="K1" s="29"/>
      <c r="L1" s="29"/>
      <c r="M1" s="29"/>
      <c r="N1" s="31" t="s">
        <v>11</v>
      </c>
      <c r="O1" s="32"/>
      <c r="P1" s="32"/>
      <c r="Q1" s="32"/>
      <c r="R1" s="32"/>
      <c r="S1" s="33"/>
    </row>
    <row r="2" spans="1:19" ht="34" x14ac:dyDescent="0.2">
      <c r="A2" s="16" t="s">
        <v>35</v>
      </c>
      <c r="B2" s="15" t="s">
        <v>38</v>
      </c>
      <c r="C2" s="16" t="s">
        <v>39</v>
      </c>
      <c r="D2" s="16" t="s">
        <v>40</v>
      </c>
      <c r="E2" s="16" t="s">
        <v>41</v>
      </c>
      <c r="F2" s="16" t="s">
        <v>42</v>
      </c>
      <c r="G2" s="17" t="s">
        <v>43</v>
      </c>
      <c r="H2" s="16" t="s">
        <v>38</v>
      </c>
      <c r="I2" s="16" t="s">
        <v>39</v>
      </c>
      <c r="J2" s="16" t="s">
        <v>40</v>
      </c>
      <c r="K2" s="16" t="s">
        <v>41</v>
      </c>
      <c r="L2" s="16" t="s">
        <v>42</v>
      </c>
      <c r="M2" s="17" t="s">
        <v>43</v>
      </c>
      <c r="N2" s="15" t="s">
        <v>38</v>
      </c>
      <c r="O2" s="16" t="s">
        <v>39</v>
      </c>
      <c r="P2" s="16" t="s">
        <v>40</v>
      </c>
      <c r="Q2" s="16" t="s">
        <v>41</v>
      </c>
      <c r="R2" s="16" t="s">
        <v>42</v>
      </c>
      <c r="S2" s="17" t="s">
        <v>43</v>
      </c>
    </row>
    <row r="3" spans="1:19" x14ac:dyDescent="0.2">
      <c r="A3" s="2">
        <v>0</v>
      </c>
      <c r="B3" s="3">
        <f>AVERAGE(2,1,3)/(0.002*10^0)</f>
        <v>1000</v>
      </c>
      <c r="C3" s="2">
        <v>0</v>
      </c>
      <c r="D3" s="2">
        <v>0</v>
      </c>
      <c r="E3" s="2">
        <f>AVERAGE(3,2,1)/(0.002*10^0)</f>
        <v>1000</v>
      </c>
      <c r="F3" s="2">
        <f>AVERAGE(2,1,3)/(0.002*10^0)</f>
        <v>1000</v>
      </c>
      <c r="G3" s="4">
        <f>E28*AVERAGE(2,3,1)/(0.002*10^0)</f>
        <v>7000.0000000000009</v>
      </c>
      <c r="H3" s="2">
        <f>B3/$B$3</f>
        <v>1</v>
      </c>
      <c r="I3" s="2" t="e">
        <f>C3/$C$3</f>
        <v>#DIV/0!</v>
      </c>
      <c r="J3" s="2" t="e">
        <f>D3/$D$3</f>
        <v>#DIV/0!</v>
      </c>
      <c r="K3" s="2">
        <f>E3/$E$3</f>
        <v>1</v>
      </c>
      <c r="L3" s="2">
        <f>F3/$F$3</f>
        <v>1</v>
      </c>
      <c r="M3" s="2">
        <f>G3/$G$3</f>
        <v>1</v>
      </c>
      <c r="N3" s="8">
        <f>LOG(B3/$B$3,2)</f>
        <v>0</v>
      </c>
      <c r="O3" s="9" t="e">
        <f>LOG(C3/$C$3,2)</f>
        <v>#DIV/0!</v>
      </c>
      <c r="P3" s="9" t="e">
        <f>LOG(D3/$D$3,2)</f>
        <v>#DIV/0!</v>
      </c>
      <c r="Q3" s="9">
        <f>LOG(E3/$E$3,2)</f>
        <v>0</v>
      </c>
      <c r="R3" s="9">
        <f>LOG(F3/$F$3,2)</f>
        <v>0</v>
      </c>
      <c r="S3" s="10">
        <f>LOG(G3/$G$3,2)</f>
        <v>0</v>
      </c>
    </row>
    <row r="4" spans="1:19" x14ac:dyDescent="0.2">
      <c r="A4" s="2">
        <v>60</v>
      </c>
      <c r="B4" s="3">
        <f>AVERAGE(1,1,0)/(0.002*10^0)</f>
        <v>333.33333333333331</v>
      </c>
      <c r="C4" s="2">
        <v>0</v>
      </c>
      <c r="D4" s="2">
        <v>0</v>
      </c>
      <c r="E4" s="2">
        <f>AVERAGE(5,3,7)/(0.002*10^0)</f>
        <v>2500</v>
      </c>
      <c r="F4" s="2">
        <f>AVERAGE(1,0,0)/(0.002*10^0)</f>
        <v>166.66666666666666</v>
      </c>
      <c r="G4" s="4">
        <f>E28*(AVERAGE(4,2,3)/(0.002*10^0))</f>
        <v>10500.000000000002</v>
      </c>
      <c r="H4" s="2">
        <f>B4/$B$3</f>
        <v>0.33333333333333331</v>
      </c>
      <c r="I4" s="2" t="e">
        <f>C4/$C$3</f>
        <v>#DIV/0!</v>
      </c>
      <c r="J4" s="2" t="e">
        <f>D4/$D$3</f>
        <v>#DIV/0!</v>
      </c>
      <c r="K4" s="2">
        <f>E4/$E$3</f>
        <v>2.5</v>
      </c>
      <c r="L4" s="2">
        <f>F4/$F$3</f>
        <v>0.16666666666666666</v>
      </c>
      <c r="M4" s="2">
        <f>G4/$G$3</f>
        <v>1.5</v>
      </c>
      <c r="N4" s="8">
        <f>LOG(B4/$B$3,2)</f>
        <v>-1.5849625007211563</v>
      </c>
      <c r="O4" s="9" t="e">
        <f>LOG(C4/$C$3,2)</f>
        <v>#DIV/0!</v>
      </c>
      <c r="P4" s="9" t="e">
        <f>LOG(D4/$D$3,2)</f>
        <v>#DIV/0!</v>
      </c>
      <c r="Q4" s="9">
        <f>LOG(E4/$E$3,2)</f>
        <v>1.3219280948873624</v>
      </c>
      <c r="R4" s="9">
        <f>LOG(F4/$F$3,2)</f>
        <v>-2.5849625007211561</v>
      </c>
      <c r="S4" s="10">
        <f>LOG(G4/$G$3,2)</f>
        <v>0.58496250072115619</v>
      </c>
    </row>
    <row r="5" spans="1:19" ht="17" thickBot="1" x14ac:dyDescent="0.25">
      <c r="A5" s="9">
        <v>120</v>
      </c>
      <c r="B5" s="5">
        <f>AVERAGE(2,1,0)/(0.002*10^0)</f>
        <v>500</v>
      </c>
      <c r="C5" s="6">
        <v>0</v>
      </c>
      <c r="D5" s="6">
        <v>0</v>
      </c>
      <c r="E5" s="6">
        <f>AVERAGE(3,1,1)/(0.002*10^-1)</f>
        <v>8333.3333333333339</v>
      </c>
      <c r="F5" s="6">
        <f>AVERAGE(3,1,0)/(0.002*10^0)</f>
        <v>666.66666666666663</v>
      </c>
      <c r="G5" s="7">
        <f>E28*(AVERAGE(1,0,0)/(0.002*10^-1))</f>
        <v>11666.666666666668</v>
      </c>
      <c r="H5" s="6">
        <f>B5/$B$3</f>
        <v>0.5</v>
      </c>
      <c r="I5" s="6" t="e">
        <f>C5/$C$3</f>
        <v>#DIV/0!</v>
      </c>
      <c r="J5" s="6" t="e">
        <f>D5/$D$3</f>
        <v>#DIV/0!</v>
      </c>
      <c r="K5" s="6">
        <f>E5/$E$3</f>
        <v>8.3333333333333339</v>
      </c>
      <c r="L5" s="6">
        <f>F5/$F$3</f>
        <v>0.66666666666666663</v>
      </c>
      <c r="M5" s="6">
        <f>G5/$G$3</f>
        <v>1.6666666666666665</v>
      </c>
      <c r="N5" s="11">
        <f>LOG(B5/$B$3,2)</f>
        <v>-1</v>
      </c>
      <c r="O5" s="19" t="e">
        <f>LOG(C5/$C$3,2)</f>
        <v>#DIV/0!</v>
      </c>
      <c r="P5" s="19" t="e">
        <f>LOG(D5/$D$3,2)</f>
        <v>#DIV/0!</v>
      </c>
      <c r="Q5" s="19">
        <f>LOG(E5/$E$3,2)</f>
        <v>3.0588936890535687</v>
      </c>
      <c r="R5" s="19">
        <f>LOG(F5/$F$3,2)</f>
        <v>-0.5849625007211563</v>
      </c>
      <c r="S5" s="12">
        <f>LOG(G5/$G$3,2)</f>
        <v>0.73696559416620611</v>
      </c>
    </row>
    <row r="6" spans="1:19" ht="17" thickBot="1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9" x14ac:dyDescent="0.2">
      <c r="A7" s="2" t="s">
        <v>31</v>
      </c>
      <c r="B7" s="28" t="s">
        <v>13</v>
      </c>
      <c r="C7" s="29"/>
      <c r="D7" s="29"/>
      <c r="E7" s="29"/>
      <c r="F7" s="29"/>
      <c r="G7" s="30"/>
      <c r="H7" s="29" t="s">
        <v>12</v>
      </c>
      <c r="I7" s="29"/>
      <c r="J7" s="29"/>
      <c r="K7" s="29"/>
      <c r="L7" s="29"/>
      <c r="M7" s="29"/>
      <c r="N7" s="31" t="s">
        <v>11</v>
      </c>
      <c r="O7" s="32"/>
      <c r="P7" s="32"/>
      <c r="Q7" s="32"/>
      <c r="R7" s="32"/>
      <c r="S7" s="33"/>
    </row>
    <row r="8" spans="1:19" ht="34" x14ac:dyDescent="0.2">
      <c r="A8" s="16" t="s">
        <v>35</v>
      </c>
      <c r="B8" s="15" t="s">
        <v>38</v>
      </c>
      <c r="C8" s="16" t="s">
        <v>39</v>
      </c>
      <c r="D8" s="16" t="s">
        <v>40</v>
      </c>
      <c r="E8" s="16" t="s">
        <v>41</v>
      </c>
      <c r="F8" s="16" t="s">
        <v>42</v>
      </c>
      <c r="G8" s="17" t="s">
        <v>43</v>
      </c>
      <c r="H8" s="16" t="s">
        <v>38</v>
      </c>
      <c r="I8" s="16" t="s">
        <v>39</v>
      </c>
      <c r="J8" s="16" t="s">
        <v>40</v>
      </c>
      <c r="K8" s="16" t="s">
        <v>41</v>
      </c>
      <c r="L8" s="16" t="s">
        <v>42</v>
      </c>
      <c r="M8" s="17" t="s">
        <v>43</v>
      </c>
      <c r="N8" s="15" t="s">
        <v>38</v>
      </c>
      <c r="O8" s="16" t="s">
        <v>39</v>
      </c>
      <c r="P8" s="16" t="s">
        <v>40</v>
      </c>
      <c r="Q8" s="16" t="s">
        <v>41</v>
      </c>
      <c r="R8" s="16" t="s">
        <v>42</v>
      </c>
      <c r="S8" s="17" t="s">
        <v>43</v>
      </c>
    </row>
    <row r="9" spans="1:19" x14ac:dyDescent="0.2">
      <c r="A9" s="2">
        <v>0</v>
      </c>
      <c r="B9" s="3">
        <f>AVERAGE(1,1,1)/(0.002*10^0)</f>
        <v>500</v>
      </c>
      <c r="C9" s="2">
        <v>0</v>
      </c>
      <c r="D9" s="2">
        <v>0</v>
      </c>
      <c r="E9" s="2">
        <f>AVERAGE(1,1,1)/(0.002*10^0)</f>
        <v>500</v>
      </c>
      <c r="F9" s="2">
        <f>AVERAGE(1,1,0)/(0.002*10^0)</f>
        <v>333.33333333333331</v>
      </c>
      <c r="G9" s="4">
        <f>E28*(AVERAGE(3,4,2)/(0.002*10^0))</f>
        <v>10500.000000000002</v>
      </c>
      <c r="H9" s="2">
        <f>B9/$B$9</f>
        <v>1</v>
      </c>
      <c r="I9" s="2" t="e">
        <f>C9/$C$9</f>
        <v>#DIV/0!</v>
      </c>
      <c r="J9" s="2" t="e">
        <f>D9/$D$9</f>
        <v>#DIV/0!</v>
      </c>
      <c r="K9" s="2">
        <f>E9/$E$9</f>
        <v>1</v>
      </c>
      <c r="L9" s="2">
        <f>F9/$F$9</f>
        <v>1</v>
      </c>
      <c r="M9" s="2">
        <f>G9/$G$9</f>
        <v>1</v>
      </c>
      <c r="N9" s="8">
        <f>LOG(B9/$B$9,2)</f>
        <v>0</v>
      </c>
      <c r="O9" s="9" t="e">
        <f>LOG(C9/$C$9,2)</f>
        <v>#DIV/0!</v>
      </c>
      <c r="P9" s="9" t="e">
        <f>LOG(D9/$D$9,2)</f>
        <v>#DIV/0!</v>
      </c>
      <c r="Q9" s="9">
        <f>LOG(E9/$E$9,2)</f>
        <v>0</v>
      </c>
      <c r="R9" s="9">
        <f>LOG(F9/$F$9,2)</f>
        <v>0</v>
      </c>
      <c r="S9" s="10">
        <f>LOG(G9/$G$9,2)</f>
        <v>0</v>
      </c>
    </row>
    <row r="10" spans="1:19" x14ac:dyDescent="0.2">
      <c r="A10" s="2">
        <v>60</v>
      </c>
      <c r="B10" s="3">
        <v>1</v>
      </c>
      <c r="C10" s="2">
        <v>0</v>
      </c>
      <c r="D10" s="2">
        <v>0</v>
      </c>
      <c r="E10" s="2">
        <f>AVERAGE(3,9,6)/(0.002*10^0)</f>
        <v>3000</v>
      </c>
      <c r="F10" s="2">
        <v>1</v>
      </c>
      <c r="G10" s="4">
        <f>E28*(AVERAGE(1,1,1)/(0.002*10^0))</f>
        <v>3500.0000000000005</v>
      </c>
      <c r="H10" s="2">
        <f>B10/$B$9</f>
        <v>2E-3</v>
      </c>
      <c r="I10" s="2" t="e">
        <f>C10/$C$9</f>
        <v>#DIV/0!</v>
      </c>
      <c r="J10" s="2" t="e">
        <f>D10/$D$9</f>
        <v>#DIV/0!</v>
      </c>
      <c r="K10" s="2">
        <f>E10/$E$9</f>
        <v>6</v>
      </c>
      <c r="L10" s="2">
        <f>F10/$F$9</f>
        <v>3.0000000000000001E-3</v>
      </c>
      <c r="M10" s="2">
        <f>G10/$G$9</f>
        <v>0.33333333333333331</v>
      </c>
      <c r="N10" s="8">
        <f>LOG(B10/$B$9,2)</f>
        <v>-8.965784284662087</v>
      </c>
      <c r="O10" s="9" t="e">
        <f>LOG(C10/$C$9,2)</f>
        <v>#DIV/0!</v>
      </c>
      <c r="P10" s="9" t="e">
        <f>LOG(D10/$D$9,2)</f>
        <v>#DIV/0!</v>
      </c>
      <c r="Q10" s="9">
        <f>LOG(E10/$E$9,2)</f>
        <v>2.5849625007211561</v>
      </c>
      <c r="R10" s="9">
        <f>LOG(F10/$F$9,2)</f>
        <v>-8.3808217839409309</v>
      </c>
      <c r="S10" s="10">
        <f>LOG(G10/$G9,2)</f>
        <v>-1.5849625007211563</v>
      </c>
    </row>
    <row r="11" spans="1:19" ht="17" thickBot="1" x14ac:dyDescent="0.25">
      <c r="A11" s="9">
        <v>120</v>
      </c>
      <c r="B11" s="5">
        <f>AVERAGE(1,1,0)/(0.002*10^0)</f>
        <v>333.33333333333331</v>
      </c>
      <c r="C11" s="6">
        <v>0</v>
      </c>
      <c r="D11" s="6">
        <v>0</v>
      </c>
      <c r="E11" s="6">
        <f>AVERAGE(2,3,1)/(0.002*10^-1)</f>
        <v>10000</v>
      </c>
      <c r="F11" s="6">
        <f>AVERAGE(2,0,0)/(0.002*10^0)</f>
        <v>333.33333333333331</v>
      </c>
      <c r="G11" s="7">
        <f>E28*(AVERAGE(1,0,0)/(0.002*10^-1))</f>
        <v>11666.666666666668</v>
      </c>
      <c r="H11" s="6">
        <f>B11/$B$9</f>
        <v>0.66666666666666663</v>
      </c>
      <c r="I11" s="6" t="e">
        <f>C11/$C$9</f>
        <v>#DIV/0!</v>
      </c>
      <c r="J11" s="6" t="e">
        <f>D11/$D$9</f>
        <v>#DIV/0!</v>
      </c>
      <c r="K11" s="6">
        <f>E11/$E$9</f>
        <v>20</v>
      </c>
      <c r="L11" s="6">
        <f>F11/$F$9</f>
        <v>1</v>
      </c>
      <c r="M11" s="6">
        <f>G11/$G$9</f>
        <v>1.1111111111111109</v>
      </c>
      <c r="N11" s="11">
        <f>LOG(B11/$B$9,2)</f>
        <v>-0.5849625007211563</v>
      </c>
      <c r="O11" s="19" t="e">
        <f>LOG(C11/$C$9,2)</f>
        <v>#DIV/0!</v>
      </c>
      <c r="P11" s="19" t="e">
        <f>LOG(D11/$D$9,2)</f>
        <v>#DIV/0!</v>
      </c>
      <c r="Q11" s="19">
        <f>LOG(E11/$E$9,2)</f>
        <v>4.3219280948873626</v>
      </c>
      <c r="R11" s="19">
        <f>LOG(F11/$F$9,2)</f>
        <v>0</v>
      </c>
      <c r="S11" s="12">
        <f>LOG(G11/$G$9,2)</f>
        <v>0.15200309344504975</v>
      </c>
    </row>
    <row r="12" spans="1:19" ht="17" thickBot="1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9" x14ac:dyDescent="0.2">
      <c r="A13" s="2" t="s">
        <v>32</v>
      </c>
      <c r="B13" s="28" t="s">
        <v>13</v>
      </c>
      <c r="C13" s="29"/>
      <c r="D13" s="29"/>
      <c r="E13" s="29"/>
      <c r="F13" s="29"/>
      <c r="G13" s="30"/>
      <c r="H13" s="29" t="s">
        <v>12</v>
      </c>
      <c r="I13" s="29"/>
      <c r="J13" s="29"/>
      <c r="K13" s="29"/>
      <c r="L13" s="29"/>
      <c r="M13" s="29"/>
      <c r="N13" s="31" t="s">
        <v>11</v>
      </c>
      <c r="O13" s="32"/>
      <c r="P13" s="32"/>
      <c r="Q13" s="32"/>
      <c r="R13" s="32"/>
      <c r="S13" s="33"/>
    </row>
    <row r="14" spans="1:19" ht="34" x14ac:dyDescent="0.2">
      <c r="A14" s="16" t="s">
        <v>35</v>
      </c>
      <c r="B14" s="15" t="s">
        <v>38</v>
      </c>
      <c r="C14" s="16" t="s">
        <v>39</v>
      </c>
      <c r="D14" s="16" t="s">
        <v>40</v>
      </c>
      <c r="E14" s="16" t="s">
        <v>41</v>
      </c>
      <c r="F14" s="16" t="s">
        <v>42</v>
      </c>
      <c r="G14" s="17" t="s">
        <v>43</v>
      </c>
      <c r="H14" s="16" t="s">
        <v>38</v>
      </c>
      <c r="I14" s="16" t="s">
        <v>39</v>
      </c>
      <c r="J14" s="16" t="s">
        <v>40</v>
      </c>
      <c r="K14" s="16" t="s">
        <v>41</v>
      </c>
      <c r="L14" s="16" t="s">
        <v>42</v>
      </c>
      <c r="M14" s="17" t="s">
        <v>43</v>
      </c>
      <c r="N14" s="15" t="s">
        <v>38</v>
      </c>
      <c r="O14" s="16" t="s">
        <v>39</v>
      </c>
      <c r="P14" s="16" t="s">
        <v>44</v>
      </c>
      <c r="Q14" s="16" t="s">
        <v>41</v>
      </c>
      <c r="R14" s="16" t="s">
        <v>42</v>
      </c>
      <c r="S14" s="17" t="s">
        <v>43</v>
      </c>
    </row>
    <row r="15" spans="1:19" x14ac:dyDescent="0.2">
      <c r="A15" s="2">
        <v>0</v>
      </c>
      <c r="B15" s="3">
        <f>AVERAGE(2,1,1)/(0.002*10^0)</f>
        <v>666.66666666666663</v>
      </c>
      <c r="C15" s="2">
        <v>0</v>
      </c>
      <c r="D15" s="2">
        <v>0</v>
      </c>
      <c r="E15" s="2">
        <f>AVERAGE(1,3,1)/(0.002*10^0)</f>
        <v>833.33333333333337</v>
      </c>
      <c r="F15" s="2">
        <f>AVERAGE(2,1,2)/(0.002*10^0)</f>
        <v>833.33333333333337</v>
      </c>
      <c r="G15" s="4">
        <f>E28*AVERAGE(1,2,1)/(0.002*10^0)</f>
        <v>4666.666666666667</v>
      </c>
      <c r="H15" s="2">
        <f>B15/$B$15</f>
        <v>1</v>
      </c>
      <c r="I15" s="2" t="e">
        <f>C15/$C$15</f>
        <v>#DIV/0!</v>
      </c>
      <c r="J15" s="2" t="e">
        <f>D15/$D$15</f>
        <v>#DIV/0!</v>
      </c>
      <c r="K15" s="2">
        <f>E15/$E$15</f>
        <v>1</v>
      </c>
      <c r="L15" s="2">
        <f>F15/$F$15</f>
        <v>1</v>
      </c>
      <c r="M15" s="2">
        <f>G15/$G$15</f>
        <v>1</v>
      </c>
      <c r="N15" s="8">
        <f>LOG(B15/$B$15,2)</f>
        <v>0</v>
      </c>
      <c r="O15" s="9" t="e">
        <f>LOG(C15/$C$15,2)</f>
        <v>#DIV/0!</v>
      </c>
      <c r="P15" s="9" t="e">
        <f>LOG(D15/$D$15,2)</f>
        <v>#DIV/0!</v>
      </c>
      <c r="Q15" s="9">
        <f>LOG(E15/$E$15,2)</f>
        <v>0</v>
      </c>
      <c r="R15" s="9">
        <f>LOG(F15/$F$15,2)</f>
        <v>0</v>
      </c>
      <c r="S15" s="10">
        <f>LOG(G15/$G$15,2)</f>
        <v>0</v>
      </c>
    </row>
    <row r="16" spans="1:19" x14ac:dyDescent="0.2">
      <c r="A16" s="2">
        <v>60</v>
      </c>
      <c r="B16" s="3">
        <f>AVERAGE(2,1,0)/(0.002*10^0)</f>
        <v>500</v>
      </c>
      <c r="C16" s="2">
        <v>0</v>
      </c>
      <c r="D16" s="2">
        <v>0</v>
      </c>
      <c r="E16" s="2">
        <f>AVERAGE(5,7,5)/(0.002*10^0)</f>
        <v>2833.3333333333335</v>
      </c>
      <c r="F16" s="2">
        <f>AVERAGE(2,0,0)/(0.002*10^0)</f>
        <v>333.33333333333331</v>
      </c>
      <c r="G16" s="4">
        <f>E28*(AVERAGE(1,0,1)/(0.002*10^0))</f>
        <v>2333.3333333333335</v>
      </c>
      <c r="H16" s="2">
        <f>B16/$B$15</f>
        <v>0.75</v>
      </c>
      <c r="I16" s="2" t="e">
        <f>C16/$C$15</f>
        <v>#DIV/0!</v>
      </c>
      <c r="J16" s="2" t="e">
        <f>D16/$D$15</f>
        <v>#DIV/0!</v>
      </c>
      <c r="K16" s="2">
        <f>E16/$E$15</f>
        <v>3.4</v>
      </c>
      <c r="L16" s="2">
        <f>F16/$F$15</f>
        <v>0.39999999999999997</v>
      </c>
      <c r="M16" s="2">
        <f>G16/$G$15</f>
        <v>0.5</v>
      </c>
      <c r="N16" s="8">
        <f>LOG(B16/$B$15,2)</f>
        <v>-0.41503749927884381</v>
      </c>
      <c r="O16" s="9" t="e">
        <f>LOG(C16/$C$15,2)</f>
        <v>#DIV/0!</v>
      </c>
      <c r="P16" s="9" t="e">
        <f>LOG(D16/$D$15,2)</f>
        <v>#DIV/0!</v>
      </c>
      <c r="Q16" s="9">
        <f>LOG(E16/$E$15,2)</f>
        <v>1.7655347463629771</v>
      </c>
      <c r="R16" s="9">
        <f>LOG(F16/$F$15,2)</f>
        <v>-1.3219280948873624</v>
      </c>
      <c r="S16" s="10">
        <f>LOG(G16/$G15,2)</f>
        <v>-1</v>
      </c>
    </row>
    <row r="17" spans="1:27" ht="17" thickBot="1" x14ac:dyDescent="0.25">
      <c r="A17" s="9">
        <v>120</v>
      </c>
      <c r="B17" s="5">
        <f>AVERAGE(2,0,2)/(0.002*10^0)</f>
        <v>666.66666666666663</v>
      </c>
      <c r="C17" s="6">
        <v>0</v>
      </c>
      <c r="D17" s="6">
        <v>0</v>
      </c>
      <c r="E17" s="6">
        <f>AVERAGE(3,1,6)/(0.002*10^-1)</f>
        <v>16666.666666666668</v>
      </c>
      <c r="F17" s="6">
        <f>AVERAGE(1,0,0)/(0.002*10^0)</f>
        <v>166.66666666666666</v>
      </c>
      <c r="G17" s="7">
        <f>E28*(AVERAGE(2,0,0)/(0.002*10^-1))</f>
        <v>23333.333333333336</v>
      </c>
      <c r="H17" s="6">
        <f>B17/$B$15</f>
        <v>1</v>
      </c>
      <c r="I17" s="6" t="e">
        <f>C17/$C$15</f>
        <v>#DIV/0!</v>
      </c>
      <c r="J17" s="6" t="e">
        <f>D17/$D$15</f>
        <v>#DIV/0!</v>
      </c>
      <c r="K17" s="6">
        <f>E17/$E$15</f>
        <v>20</v>
      </c>
      <c r="L17" s="6">
        <f>F17/$F$15</f>
        <v>0.19999999999999998</v>
      </c>
      <c r="M17" s="6">
        <f>G17/$G$15</f>
        <v>5</v>
      </c>
      <c r="N17" s="11">
        <f>LOG(B17/$B$15,2)</f>
        <v>0</v>
      </c>
      <c r="O17" s="19" t="e">
        <f>LOG(C17/$C$15,2)</f>
        <v>#DIV/0!</v>
      </c>
      <c r="P17" s="19" t="e">
        <f>LOG(D17/$D$15,2)</f>
        <v>#DIV/0!</v>
      </c>
      <c r="Q17" s="19">
        <f>LOG(E17/$E$15,2)</f>
        <v>4.3219280948873626</v>
      </c>
      <c r="R17" s="19">
        <f>LOG(F17/$F$9,2)</f>
        <v>-1</v>
      </c>
      <c r="S17" s="12">
        <f>LOG(G17/$G$15,2)</f>
        <v>2.3219280948873622</v>
      </c>
    </row>
    <row r="18" spans="1:27" ht="17" thickBot="1" x14ac:dyDescent="0.25"/>
    <row r="19" spans="1:27" x14ac:dyDescent="0.2">
      <c r="A19" t="s">
        <v>36</v>
      </c>
      <c r="B19" s="28" t="s">
        <v>13</v>
      </c>
      <c r="C19" s="29"/>
      <c r="D19" s="29"/>
      <c r="E19" s="29"/>
      <c r="F19" s="29"/>
      <c r="G19" s="30"/>
      <c r="M19" t="s">
        <v>36</v>
      </c>
      <c r="N19" s="31" t="s">
        <v>11</v>
      </c>
      <c r="O19" s="32"/>
      <c r="P19" s="32"/>
      <c r="Q19" s="32"/>
      <c r="R19" s="32"/>
      <c r="S19" s="33"/>
      <c r="U19" t="s">
        <v>37</v>
      </c>
      <c r="V19" s="31" t="s">
        <v>11</v>
      </c>
      <c r="W19" s="32"/>
      <c r="X19" s="32"/>
      <c r="Y19" s="32"/>
      <c r="Z19" s="32"/>
      <c r="AA19" s="33"/>
    </row>
    <row r="20" spans="1:27" ht="34" x14ac:dyDescent="0.2">
      <c r="A20" s="16" t="s">
        <v>35</v>
      </c>
      <c r="B20" s="15" t="s">
        <v>38</v>
      </c>
      <c r="C20" s="16" t="s">
        <v>39</v>
      </c>
      <c r="D20" s="16" t="s">
        <v>40</v>
      </c>
      <c r="E20" s="16" t="s">
        <v>41</v>
      </c>
      <c r="F20" s="16" t="s">
        <v>42</v>
      </c>
      <c r="G20" s="17" t="s">
        <v>43</v>
      </c>
      <c r="M20" s="16" t="s">
        <v>35</v>
      </c>
      <c r="N20" s="15" t="s">
        <v>38</v>
      </c>
      <c r="O20" s="16" t="s">
        <v>39</v>
      </c>
      <c r="P20" s="16" t="s">
        <v>40</v>
      </c>
      <c r="Q20" s="16" t="s">
        <v>41</v>
      </c>
      <c r="R20" s="16" t="s">
        <v>42</v>
      </c>
      <c r="S20" s="17" t="s">
        <v>43</v>
      </c>
      <c r="U20" s="16" t="s">
        <v>35</v>
      </c>
      <c r="V20" s="15" t="s">
        <v>38</v>
      </c>
      <c r="W20" s="16" t="s">
        <v>39</v>
      </c>
      <c r="X20" s="16" t="s">
        <v>40</v>
      </c>
      <c r="Y20" s="16" t="s">
        <v>41</v>
      </c>
      <c r="Z20" s="16" t="s">
        <v>42</v>
      </c>
      <c r="AA20" s="17" t="s">
        <v>43</v>
      </c>
    </row>
    <row r="21" spans="1:27" x14ac:dyDescent="0.2">
      <c r="A21" s="2">
        <v>0</v>
      </c>
      <c r="B21" s="3">
        <f t="shared" ref="B21:G23" si="0">AVERAGE(B15,B9,B3)</f>
        <v>722.22222222222217</v>
      </c>
      <c r="C21" s="2">
        <f t="shared" si="0"/>
        <v>0</v>
      </c>
      <c r="D21" s="2">
        <f t="shared" si="0"/>
        <v>0</v>
      </c>
      <c r="E21" s="2">
        <f t="shared" si="0"/>
        <v>777.77777777777783</v>
      </c>
      <c r="F21" s="2">
        <f t="shared" si="0"/>
        <v>722.22222222222229</v>
      </c>
      <c r="G21" s="4">
        <f t="shared" si="0"/>
        <v>7388.8888888888896</v>
      </c>
      <c r="M21" s="2">
        <v>0</v>
      </c>
      <c r="N21" s="8">
        <f>LOG(B21/$B$21,2)</f>
        <v>0</v>
      </c>
      <c r="O21" s="9">
        <v>0</v>
      </c>
      <c r="P21" s="9">
        <v>0</v>
      </c>
      <c r="Q21" s="9">
        <f>LOG(E21/$E$21,2)</f>
        <v>0</v>
      </c>
      <c r="R21" s="9">
        <f>LOG(F21/$F$21,2)</f>
        <v>0</v>
      </c>
      <c r="S21" s="10">
        <f>LOG(G21/$G$21,2)</f>
        <v>0</v>
      </c>
      <c r="U21" s="2">
        <v>0</v>
      </c>
      <c r="V21" s="8">
        <f>STDEV(N3,N9,N15)</f>
        <v>0</v>
      </c>
      <c r="W21" s="9">
        <v>0</v>
      </c>
      <c r="X21" s="9">
        <v>0</v>
      </c>
      <c r="Y21" s="9">
        <f t="shared" ref="Y21:AA23" si="1">STDEV(Q3,Q9,Q15)</f>
        <v>0</v>
      </c>
      <c r="Z21" s="9">
        <f t="shared" si="1"/>
        <v>0</v>
      </c>
      <c r="AA21" s="10">
        <f t="shared" si="1"/>
        <v>0</v>
      </c>
    </row>
    <row r="22" spans="1:27" x14ac:dyDescent="0.2">
      <c r="A22" s="2">
        <v>60</v>
      </c>
      <c r="B22" s="3">
        <f t="shared" si="0"/>
        <v>278.11111111111109</v>
      </c>
      <c r="C22" s="2">
        <f t="shared" si="0"/>
        <v>0</v>
      </c>
      <c r="D22" s="2">
        <f t="shared" si="0"/>
        <v>0</v>
      </c>
      <c r="E22" s="2">
        <f t="shared" si="0"/>
        <v>2777.7777777777778</v>
      </c>
      <c r="F22" s="2">
        <f t="shared" si="0"/>
        <v>167</v>
      </c>
      <c r="G22" s="4">
        <f t="shared" si="0"/>
        <v>5444.4444444444453</v>
      </c>
      <c r="M22" s="2">
        <v>60</v>
      </c>
      <c r="N22" s="8">
        <f>LOG(B22/$B$21,2)</f>
        <v>-1.3767814271148473</v>
      </c>
      <c r="O22" s="9">
        <v>0</v>
      </c>
      <c r="P22" s="9">
        <v>0</v>
      </c>
      <c r="Q22" s="9">
        <f>LOG(E22/$E$21,2)</f>
        <v>1.8365012677171204</v>
      </c>
      <c r="R22" s="9">
        <f>LOG(F22/$F$21,2)</f>
        <v>-2.1125947088868147</v>
      </c>
      <c r="S22" s="10">
        <f>LOG(G22/$G$21,2)</f>
        <v>-0.44057259138598126</v>
      </c>
      <c r="U22" s="2">
        <v>60</v>
      </c>
      <c r="V22" s="8">
        <f>STDEV(N4,N10,N16)</f>
        <v>4.6360997491253118</v>
      </c>
      <c r="W22" s="9">
        <v>0</v>
      </c>
      <c r="X22" s="9">
        <v>0</v>
      </c>
      <c r="Y22" s="9">
        <f t="shared" si="1"/>
        <v>0.64076836898703193</v>
      </c>
      <c r="Z22" s="9">
        <f t="shared" si="1"/>
        <v>3.7642002438447459</v>
      </c>
      <c r="AA22" s="10">
        <f t="shared" si="1"/>
        <v>1.1227096513811745</v>
      </c>
    </row>
    <row r="23" spans="1:27" ht="17" thickBot="1" x14ac:dyDescent="0.25">
      <c r="A23" s="9">
        <v>120</v>
      </c>
      <c r="B23" s="5">
        <f t="shared" si="0"/>
        <v>500</v>
      </c>
      <c r="C23" s="6">
        <f t="shared" si="0"/>
        <v>0</v>
      </c>
      <c r="D23" s="6">
        <f t="shared" si="0"/>
        <v>0</v>
      </c>
      <c r="E23" s="6">
        <f t="shared" si="0"/>
        <v>11666.666666666666</v>
      </c>
      <c r="F23" s="6">
        <f t="shared" si="0"/>
        <v>388.88888888888886</v>
      </c>
      <c r="G23" s="7">
        <f t="shared" si="0"/>
        <v>15555.555555555557</v>
      </c>
      <c r="M23" s="9">
        <v>120</v>
      </c>
      <c r="N23" s="11">
        <f>LOG(B23/$B$21,2)</f>
        <v>-0.53051471669877959</v>
      </c>
      <c r="O23" s="19">
        <v>0</v>
      </c>
      <c r="P23" s="19">
        <v>0</v>
      </c>
      <c r="Q23" s="19">
        <f>LOG(E23/$E$21,2)</f>
        <v>3.9068905956085187</v>
      </c>
      <c r="R23" s="19">
        <f>LOG(F23/$F$21,2)</f>
        <v>-0.89308479608348856</v>
      </c>
      <c r="S23" s="12">
        <f>LOG(G23/$G$21,2)</f>
        <v>1.0740005814437767</v>
      </c>
      <c r="U23" s="9">
        <v>120</v>
      </c>
      <c r="V23" s="11">
        <f>STDEV(N5,N11,N17)</f>
        <v>0.5024004466985782</v>
      </c>
      <c r="W23" s="19">
        <v>0</v>
      </c>
      <c r="X23" s="19">
        <v>0</v>
      </c>
      <c r="Y23" s="19">
        <f t="shared" si="1"/>
        <v>0.72921325420390382</v>
      </c>
      <c r="Z23" s="19">
        <f t="shared" si="1"/>
        <v>0.5024004466985782</v>
      </c>
      <c r="AA23" s="12">
        <f t="shared" si="1"/>
        <v>1.1227096513811745</v>
      </c>
    </row>
    <row r="24" spans="1:27" x14ac:dyDescent="0.2">
      <c r="O24" s="9"/>
      <c r="W24" s="9"/>
    </row>
    <row r="25" spans="1:27" x14ac:dyDescent="0.2">
      <c r="C25" s="22"/>
      <c r="O25" s="9"/>
      <c r="W25" s="23"/>
    </row>
    <row r="26" spans="1:27" x14ac:dyDescent="0.2">
      <c r="B26" t="s">
        <v>48</v>
      </c>
      <c r="C26" s="22"/>
      <c r="O26" s="9"/>
      <c r="W26" s="23"/>
    </row>
    <row r="27" spans="1:27" x14ac:dyDescent="0.2">
      <c r="C27" s="22" t="s">
        <v>52</v>
      </c>
      <c r="D27" t="s">
        <v>53</v>
      </c>
      <c r="O27" s="9"/>
      <c r="W27" s="23"/>
    </row>
    <row r="28" spans="1:27" x14ac:dyDescent="0.2">
      <c r="B28" t="s">
        <v>49</v>
      </c>
      <c r="C28" s="22">
        <f>AVERAGE(3,2,2)/(0.005*10^0)</f>
        <v>466.66666666666669</v>
      </c>
      <c r="D28" s="22">
        <f>AVERAGE(1,0,0)/(0.005*10^0)</f>
        <v>66.666666666666657</v>
      </c>
      <c r="E28">
        <f>C28/D28</f>
        <v>7.0000000000000009</v>
      </c>
      <c r="O28" s="9"/>
      <c r="W28" s="23"/>
    </row>
    <row r="29" spans="1:27" x14ac:dyDescent="0.2">
      <c r="B29" t="s">
        <v>50</v>
      </c>
      <c r="C29" s="22">
        <v>0</v>
      </c>
      <c r="D29" s="22">
        <f>AVERAGE(1,2,0)/(0.005*10^0)</f>
        <v>200</v>
      </c>
      <c r="O29" s="9"/>
      <c r="W29" s="23"/>
    </row>
    <row r="30" spans="1:27" x14ac:dyDescent="0.2">
      <c r="B30" t="s">
        <v>51</v>
      </c>
      <c r="C30" s="22">
        <f>AVERAGE(1,0,0)/(0.005*10^0)</f>
        <v>66.666666666666657</v>
      </c>
      <c r="D30" s="22">
        <f>AVERAGE(1,0,0)/(0.005*10^0)</f>
        <v>66.666666666666657</v>
      </c>
      <c r="O30" s="9"/>
      <c r="W30" s="23"/>
    </row>
  </sheetData>
  <mergeCells count="12">
    <mergeCell ref="V19:AA19"/>
    <mergeCell ref="B1:G1"/>
    <mergeCell ref="H1:M1"/>
    <mergeCell ref="N1:S1"/>
    <mergeCell ref="B7:G7"/>
    <mergeCell ref="H7:M7"/>
    <mergeCell ref="N7:S7"/>
    <mergeCell ref="B13:G13"/>
    <mergeCell ref="H13:M13"/>
    <mergeCell ref="N13:S13"/>
    <mergeCell ref="B19:G19"/>
    <mergeCell ref="N19:S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204E-058F-1049-B61C-89ABF02CC0AA}">
  <dimension ref="A1:AA34"/>
  <sheetViews>
    <sheetView topLeftCell="H17" workbookViewId="0">
      <selection activeCell="K35" sqref="A1:XFD1048576"/>
    </sheetView>
  </sheetViews>
  <sheetFormatPr baseColWidth="10" defaultRowHeight="16" x14ac:dyDescent="0.2"/>
  <cols>
    <col min="4" max="7" width="12.1640625" bestFit="1" customWidth="1"/>
  </cols>
  <sheetData>
    <row r="1" spans="1:19" x14ac:dyDescent="0.2">
      <c r="A1" s="2" t="s">
        <v>30</v>
      </c>
      <c r="B1" s="28" t="s">
        <v>13</v>
      </c>
      <c r="C1" s="29"/>
      <c r="D1" s="29"/>
      <c r="E1" s="29"/>
      <c r="F1" s="29"/>
      <c r="G1" s="30"/>
      <c r="H1" s="28" t="s">
        <v>12</v>
      </c>
      <c r="I1" s="29"/>
      <c r="J1" s="29"/>
      <c r="K1" s="29"/>
      <c r="L1" s="29"/>
      <c r="M1" s="29"/>
      <c r="N1" s="31" t="s">
        <v>11</v>
      </c>
      <c r="O1" s="32"/>
      <c r="P1" s="32"/>
      <c r="Q1" s="32"/>
      <c r="R1" s="32"/>
      <c r="S1" s="33"/>
    </row>
    <row r="2" spans="1:19" ht="34" x14ac:dyDescent="0.2">
      <c r="A2" s="16" t="s">
        <v>15</v>
      </c>
      <c r="B2" s="15" t="s">
        <v>38</v>
      </c>
      <c r="C2" s="16" t="s">
        <v>39</v>
      </c>
      <c r="D2" s="16" t="s">
        <v>40</v>
      </c>
      <c r="E2" s="16" t="s">
        <v>41</v>
      </c>
      <c r="F2" s="16" t="s">
        <v>42</v>
      </c>
      <c r="G2" s="17" t="s">
        <v>43</v>
      </c>
      <c r="H2" s="15" t="s">
        <v>38</v>
      </c>
      <c r="I2" s="16" t="s">
        <v>39</v>
      </c>
      <c r="J2" s="16" t="s">
        <v>40</v>
      </c>
      <c r="K2" s="16" t="s">
        <v>41</v>
      </c>
      <c r="L2" s="16" t="s">
        <v>42</v>
      </c>
      <c r="M2" s="17" t="s">
        <v>43</v>
      </c>
      <c r="N2" s="15" t="s">
        <v>38</v>
      </c>
      <c r="O2" s="16" t="s">
        <v>39</v>
      </c>
      <c r="P2" s="16" t="s">
        <v>40</v>
      </c>
      <c r="Q2" s="16" t="s">
        <v>41</v>
      </c>
      <c r="R2" s="16" t="s">
        <v>42</v>
      </c>
      <c r="S2" s="17" t="s">
        <v>43</v>
      </c>
    </row>
    <row r="3" spans="1:19" x14ac:dyDescent="0.2">
      <c r="A3" s="2">
        <v>0</v>
      </c>
      <c r="B3" s="3">
        <f>AVERAGE(3,1,1)/(0.002*10^0)</f>
        <v>833.33333333333337</v>
      </c>
      <c r="C3" s="2">
        <v>0</v>
      </c>
      <c r="D3" s="2">
        <v>0</v>
      </c>
      <c r="E3" s="2">
        <f>AVERAGE(1,0,0)/(0.002*10^0)</f>
        <v>166.66666666666666</v>
      </c>
      <c r="F3" s="2">
        <f>AVERAGE(2,1,3)/(0.002*10^0)</f>
        <v>1000</v>
      </c>
      <c r="G3" s="4">
        <f>E31*((AVERAGE(2,1,2)/(0.002*10^0)))</f>
        <v>5833.3333333333339</v>
      </c>
      <c r="H3" s="3">
        <f>B3/$B$3</f>
        <v>1</v>
      </c>
      <c r="I3" s="2" t="e">
        <f>C3/$C$3</f>
        <v>#DIV/0!</v>
      </c>
      <c r="J3" s="2" t="e">
        <f>D3/$D$3</f>
        <v>#DIV/0!</v>
      </c>
      <c r="K3" s="2">
        <f>E3/$E$3</f>
        <v>1</v>
      </c>
      <c r="L3" s="2">
        <f>F3/$F$3</f>
        <v>1</v>
      </c>
      <c r="M3" s="2">
        <f>G3/$G$3</f>
        <v>1</v>
      </c>
      <c r="N3" s="8">
        <f>LOG(B3/$B$3,2)</f>
        <v>0</v>
      </c>
      <c r="O3" s="9" t="e">
        <f>LOG(C3/$C$3,2)</f>
        <v>#DIV/0!</v>
      </c>
      <c r="P3" s="9" t="e">
        <f>LOG(D3/$D$3,2)</f>
        <v>#DIV/0!</v>
      </c>
      <c r="Q3" s="9">
        <f>LOG(E3/$E$3,2)</f>
        <v>0</v>
      </c>
      <c r="R3" s="9">
        <f>LOG(F3/$F$3,2)</f>
        <v>0</v>
      </c>
      <c r="S3" s="10">
        <f>LOG(G3/$G$3,2)</f>
        <v>0</v>
      </c>
    </row>
    <row r="4" spans="1:19" x14ac:dyDescent="0.2">
      <c r="A4" s="2">
        <v>2</v>
      </c>
      <c r="B4" s="3">
        <f>AVERAGE(1,1,0)/(0.002*10^0)</f>
        <v>333.33333333333331</v>
      </c>
      <c r="C4" s="2">
        <v>0</v>
      </c>
      <c r="D4" s="2">
        <v>0</v>
      </c>
      <c r="E4" s="2">
        <v>1</v>
      </c>
      <c r="F4" s="2">
        <f>AVERAGE(1,1,1)/(0.002*10^0)</f>
        <v>500</v>
      </c>
      <c r="G4" s="4">
        <f>(AVERAGE(1,0,0)/(0.002*10^0))*E31</f>
        <v>1166.6666666666667</v>
      </c>
      <c r="H4" s="3">
        <f>B4/$B$3</f>
        <v>0.39999999999999997</v>
      </c>
      <c r="I4" s="2" t="e">
        <f>C4/$C$3</f>
        <v>#DIV/0!</v>
      </c>
      <c r="J4" s="2" t="e">
        <f>D4/$D$3</f>
        <v>#DIV/0!</v>
      </c>
      <c r="K4" s="2">
        <f>E4/$E$3</f>
        <v>6.0000000000000001E-3</v>
      </c>
      <c r="L4" s="2">
        <f>F4/$F$3</f>
        <v>0.5</v>
      </c>
      <c r="M4" s="2">
        <f>G4/$G$3</f>
        <v>0.19999999999999998</v>
      </c>
      <c r="N4" s="8">
        <f>LOG(B4/$B$3,2)</f>
        <v>-1.3219280948873624</v>
      </c>
      <c r="O4" s="9" t="e">
        <f>LOG(C4/$C$3,2)</f>
        <v>#DIV/0!</v>
      </c>
      <c r="P4" s="9" t="e">
        <f>LOG(D4/$D$3,2)</f>
        <v>#DIV/0!</v>
      </c>
      <c r="Q4" s="9">
        <f>LOG(E4/$E$3,2)</f>
        <v>-7.3808217839409318</v>
      </c>
      <c r="R4" s="9">
        <f>LOG(F4/$F$3,2)</f>
        <v>-1</v>
      </c>
      <c r="S4" s="10">
        <f>LOG(G4/$G$3,2)</f>
        <v>-2.3219280948873626</v>
      </c>
    </row>
    <row r="5" spans="1:19" x14ac:dyDescent="0.2">
      <c r="A5" s="2">
        <v>4</v>
      </c>
      <c r="B5" s="3">
        <f>AVERAGE(1,0,0)/(0.002*10^0)</f>
        <v>166.66666666666666</v>
      </c>
      <c r="C5" s="2">
        <v>0</v>
      </c>
      <c r="D5" s="2">
        <v>0</v>
      </c>
      <c r="E5" s="2">
        <f>AVERAGE(1,0,0)/(0.002*10^-1)</f>
        <v>1666.6666666666665</v>
      </c>
      <c r="F5" s="2">
        <f>AVERAGE(2,1,1)/(0.002*10^0)</f>
        <v>666.66666666666663</v>
      </c>
      <c r="G5" s="4">
        <f>E31*(AVERAGE(0,2,1)/(0.002*10^0))</f>
        <v>3500.0000000000005</v>
      </c>
      <c r="H5" s="3">
        <f>B5/$B$3</f>
        <v>0.19999999999999998</v>
      </c>
      <c r="I5" s="2" t="e">
        <f>C5/$C$3</f>
        <v>#DIV/0!</v>
      </c>
      <c r="J5" s="2" t="e">
        <f>D5/$D$3</f>
        <v>#DIV/0!</v>
      </c>
      <c r="K5" s="2">
        <f>E5/$E$3</f>
        <v>10</v>
      </c>
      <c r="L5" s="2">
        <f>F5/$F$3</f>
        <v>0.66666666666666663</v>
      </c>
      <c r="M5" s="2">
        <f>G5/$G$3</f>
        <v>0.6</v>
      </c>
      <c r="N5" s="8">
        <f>LOG(B5/$B$3,2)</f>
        <v>-2.3219280948873626</v>
      </c>
      <c r="O5" s="9" t="e">
        <f>LOG(C5/$C$3,2)</f>
        <v>#DIV/0!</v>
      </c>
      <c r="P5" s="9" t="e">
        <f>LOG(D5/$D$3,2)</f>
        <v>#DIV/0!</v>
      </c>
      <c r="Q5" s="9">
        <f>LOG(E5/$E$3,2)</f>
        <v>3.3219280948873626</v>
      </c>
      <c r="R5" s="9">
        <f>LOG(F5/$F$3,2)</f>
        <v>-0.5849625007211563</v>
      </c>
      <c r="S5" s="10">
        <f>LOG(G5/$G$3,2)</f>
        <v>-0.73696559416620622</v>
      </c>
    </row>
    <row r="6" spans="1:19" ht="17" thickBot="1" x14ac:dyDescent="0.25">
      <c r="A6" s="2">
        <v>24</v>
      </c>
      <c r="B6" s="5">
        <v>1</v>
      </c>
      <c r="C6" s="6">
        <v>0</v>
      </c>
      <c r="D6" s="6">
        <v>0</v>
      </c>
      <c r="E6" s="6">
        <f>AVERAGE(3,1,0)/(0.002*10^-5)</f>
        <v>66666666.666666664</v>
      </c>
      <c r="F6" s="6">
        <f>AVERAGE(26,37,28)/(0.002*10^-5)</f>
        <v>1516666666.6666665</v>
      </c>
      <c r="G6" s="7">
        <f>E31*(AVERAGE(3,2,3)/(0.002*10^-6))</f>
        <v>9333333333.333334</v>
      </c>
      <c r="H6" s="5">
        <f>B6/$B$3</f>
        <v>1.1999999999999999E-3</v>
      </c>
      <c r="I6" s="6" t="e">
        <f>C6/$C$3</f>
        <v>#DIV/0!</v>
      </c>
      <c r="J6" s="6" t="e">
        <f>D6/$D$3</f>
        <v>#DIV/0!</v>
      </c>
      <c r="K6" s="6">
        <f>E6/$E$3</f>
        <v>400000</v>
      </c>
      <c r="L6" s="6">
        <f>F6/$F$3</f>
        <v>1516666.6666666665</v>
      </c>
      <c r="M6" s="6">
        <f>G6/$G$3</f>
        <v>1600000</v>
      </c>
      <c r="N6" s="11">
        <f>LOG(B6/$B$3,2)</f>
        <v>-9.7027498788282944</v>
      </c>
      <c r="O6" s="19" t="e">
        <f>LOG(C6/$C$3,2)</f>
        <v>#DIV/0!</v>
      </c>
      <c r="P6" s="19" t="e">
        <f>LOG(D6/$D$3,2)</f>
        <v>#DIV/0!</v>
      </c>
      <c r="Q6" s="19">
        <f>LOG(E6/$E$3,2)</f>
        <v>18.609640474436812</v>
      </c>
      <c r="R6" s="19">
        <f>LOG(F6/$F$3,2)</f>
        <v>20.532472613914354</v>
      </c>
      <c r="S6" s="12">
        <f>LOG(G6/$G$3,2)</f>
        <v>20.609640474436812</v>
      </c>
    </row>
    <row r="7" spans="1:19" ht="17" thickBot="1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9" x14ac:dyDescent="0.2">
      <c r="A8" s="2" t="s">
        <v>31</v>
      </c>
      <c r="B8" s="28" t="s">
        <v>13</v>
      </c>
      <c r="C8" s="29"/>
      <c r="D8" s="29"/>
      <c r="E8" s="29"/>
      <c r="F8" s="29"/>
      <c r="G8" s="30"/>
      <c r="H8" s="28" t="s">
        <v>12</v>
      </c>
      <c r="I8" s="29"/>
      <c r="J8" s="29"/>
      <c r="K8" s="29"/>
      <c r="L8" s="29"/>
      <c r="M8" s="29"/>
      <c r="N8" s="31" t="s">
        <v>11</v>
      </c>
      <c r="O8" s="32"/>
      <c r="P8" s="32"/>
      <c r="Q8" s="32"/>
      <c r="R8" s="32"/>
      <c r="S8" s="33"/>
    </row>
    <row r="9" spans="1:19" ht="34" x14ac:dyDescent="0.2">
      <c r="A9" s="16" t="s">
        <v>15</v>
      </c>
      <c r="B9" s="15" t="s">
        <v>38</v>
      </c>
      <c r="C9" s="16" t="s">
        <v>39</v>
      </c>
      <c r="D9" s="16" t="s">
        <v>40</v>
      </c>
      <c r="E9" s="16" t="s">
        <v>41</v>
      </c>
      <c r="F9" s="16" t="s">
        <v>42</v>
      </c>
      <c r="G9" s="17" t="s">
        <v>43</v>
      </c>
      <c r="H9" s="15" t="s">
        <v>38</v>
      </c>
      <c r="I9" s="16" t="s">
        <v>39</v>
      </c>
      <c r="J9" s="16" t="s">
        <v>40</v>
      </c>
      <c r="K9" s="16" t="s">
        <v>41</v>
      </c>
      <c r="L9" s="16" t="s">
        <v>42</v>
      </c>
      <c r="M9" s="17" t="s">
        <v>43</v>
      </c>
      <c r="N9" s="15" t="s">
        <v>38</v>
      </c>
      <c r="O9" s="16" t="s">
        <v>39</v>
      </c>
      <c r="P9" s="16" t="s">
        <v>40</v>
      </c>
      <c r="Q9" s="16" t="s">
        <v>41</v>
      </c>
      <c r="R9" s="16" t="s">
        <v>42</v>
      </c>
      <c r="S9" s="17" t="s">
        <v>43</v>
      </c>
    </row>
    <row r="10" spans="1:19" x14ac:dyDescent="0.2">
      <c r="A10" s="2">
        <v>0</v>
      </c>
      <c r="B10" s="3">
        <f>AVERAGE(2,1,2)/(0.002*10^0)</f>
        <v>833.33333333333337</v>
      </c>
      <c r="C10" s="2">
        <v>0</v>
      </c>
      <c r="D10" s="2">
        <v>0</v>
      </c>
      <c r="E10" s="2">
        <f>AVERAGE(1,0,0)/(0.002*10^0)</f>
        <v>166.66666666666666</v>
      </c>
      <c r="F10" s="2">
        <f>AVERAGE(5,2,3)/(0.002*10^0)</f>
        <v>1666.6666666666667</v>
      </c>
      <c r="G10" s="4">
        <f>E31*((AVERAGE(2,1,3)/(0.002*10^0)))</f>
        <v>7000.0000000000009</v>
      </c>
      <c r="H10" s="3">
        <f>B10/$B$10</f>
        <v>1</v>
      </c>
      <c r="I10" s="2" t="e">
        <f>C10/$C$10</f>
        <v>#DIV/0!</v>
      </c>
      <c r="J10" s="2" t="e">
        <f>D10/$D$10</f>
        <v>#DIV/0!</v>
      </c>
      <c r="K10" s="2">
        <f>E10/$E$10</f>
        <v>1</v>
      </c>
      <c r="L10" s="2">
        <f>F10/$F$10</f>
        <v>1</v>
      </c>
      <c r="M10" s="2">
        <f>G10/$G$10</f>
        <v>1</v>
      </c>
      <c r="N10" s="8">
        <f>LOG(B10/$B$10,2)</f>
        <v>0</v>
      </c>
      <c r="O10" s="9" t="e">
        <f>LOG(C10/$C$10,2)</f>
        <v>#DIV/0!</v>
      </c>
      <c r="P10" s="9" t="e">
        <f>LOG(D10/$D$10,2)</f>
        <v>#DIV/0!</v>
      </c>
      <c r="Q10" s="9">
        <f>LOG(E10/$E$10,2)</f>
        <v>0</v>
      </c>
      <c r="R10" s="9">
        <f>LOG(F10/$F$10,2)</f>
        <v>0</v>
      </c>
      <c r="S10" s="10">
        <f>LOG(G10/$G$10,2)</f>
        <v>0</v>
      </c>
    </row>
    <row r="11" spans="1:19" x14ac:dyDescent="0.2">
      <c r="A11" s="2">
        <v>2</v>
      </c>
      <c r="B11" s="3">
        <v>1</v>
      </c>
      <c r="C11" s="2">
        <v>0</v>
      </c>
      <c r="D11" s="2">
        <v>0</v>
      </c>
      <c r="E11" s="2">
        <v>1</v>
      </c>
      <c r="F11" s="2">
        <f>AVERAGE(2,0,0)/(0.002*10^0)</f>
        <v>333.33333333333331</v>
      </c>
      <c r="G11" s="4">
        <f>E31*(AVERAGE(2,0,0)/(0.002*10^0))</f>
        <v>2333.3333333333335</v>
      </c>
      <c r="H11" s="3">
        <f>B11/$B$10</f>
        <v>1.1999999999999999E-3</v>
      </c>
      <c r="I11" s="2" t="e">
        <f>C11/$C$10</f>
        <v>#DIV/0!</v>
      </c>
      <c r="J11" s="2" t="e">
        <f>D11/$D$10</f>
        <v>#DIV/0!</v>
      </c>
      <c r="K11" s="2">
        <f>E11/$E$10</f>
        <v>6.0000000000000001E-3</v>
      </c>
      <c r="L11" s="2">
        <f>F11/$F$10</f>
        <v>0.19999999999999998</v>
      </c>
      <c r="M11" s="2">
        <f>G11/$G$10</f>
        <v>0.33333333333333331</v>
      </c>
      <c r="N11" s="8">
        <f>LOG(B11/$B$10,2)</f>
        <v>-9.7027498788282944</v>
      </c>
      <c r="O11" s="9" t="e">
        <f>LOG(C11/$C$10,2)</f>
        <v>#DIV/0!</v>
      </c>
      <c r="P11" s="9" t="e">
        <f>LOG(D11/$D$10,2)</f>
        <v>#DIV/0!</v>
      </c>
      <c r="Q11" s="9">
        <f>LOG(E11/$E$10,2)</f>
        <v>-7.3808217839409318</v>
      </c>
      <c r="R11" s="9">
        <f>LOG(F11/$F$10,2)</f>
        <v>-2.3219280948873626</v>
      </c>
      <c r="S11" s="10">
        <f>LOG(G11/$G10,2)</f>
        <v>-1.5849625007211563</v>
      </c>
    </row>
    <row r="12" spans="1:19" x14ac:dyDescent="0.2">
      <c r="A12" s="2">
        <v>4</v>
      </c>
      <c r="B12" s="3">
        <f>AVERAGE(1,0,0)/(0.002*10^0)</f>
        <v>166.66666666666666</v>
      </c>
      <c r="C12" s="2">
        <v>0</v>
      </c>
      <c r="D12" s="2">
        <v>0</v>
      </c>
      <c r="E12" s="2">
        <f>AVERAGE(1,0,0)/(0.002*10^-1)</f>
        <v>1666.6666666666665</v>
      </c>
      <c r="F12" s="2">
        <f>AVERAGE(1,2,0)/(0.002*10^0)</f>
        <v>500</v>
      </c>
      <c r="G12" s="4">
        <f>E31*(AVERAGE(1,2,0)/(0.002*10^0))</f>
        <v>3500.0000000000005</v>
      </c>
      <c r="H12" s="3">
        <f>B12/$B$10</f>
        <v>0.19999999999999998</v>
      </c>
      <c r="I12" s="2" t="e">
        <f>C12/$C$10</f>
        <v>#DIV/0!</v>
      </c>
      <c r="J12" s="2" t="e">
        <f>D12/$D$10</f>
        <v>#DIV/0!</v>
      </c>
      <c r="K12" s="2">
        <f>E12/$E$10</f>
        <v>10</v>
      </c>
      <c r="L12" s="2">
        <f>F12/$F$10</f>
        <v>0.3</v>
      </c>
      <c r="M12" s="2">
        <f>G12/$G$10</f>
        <v>0.5</v>
      </c>
      <c r="N12" s="8">
        <f>LOG(B12/$B$10,2)</f>
        <v>-2.3219280948873626</v>
      </c>
      <c r="O12" s="9" t="e">
        <f>LOG(C12/$C$10,2)</f>
        <v>#DIV/0!</v>
      </c>
      <c r="P12" s="9" t="e">
        <f>LOG(D12/$D$10,2)</f>
        <v>#DIV/0!</v>
      </c>
      <c r="Q12" s="9">
        <f>LOG(E12/$E$10,2)</f>
        <v>3.3219280948873626</v>
      </c>
      <c r="R12" s="9">
        <f>LOG(F12/$F$10,2)</f>
        <v>-1.7369655941662063</v>
      </c>
      <c r="S12" s="10">
        <f>LOG(G12/$G10,2)</f>
        <v>-1</v>
      </c>
    </row>
    <row r="13" spans="1:19" ht="17" thickBot="1" x14ac:dyDescent="0.25">
      <c r="A13" s="2">
        <v>24</v>
      </c>
      <c r="B13" s="5">
        <f>AVERAGE(3,2,3)/(0.002*10^-4)</f>
        <v>13333333.333333332</v>
      </c>
      <c r="C13" s="6">
        <v>0</v>
      </c>
      <c r="D13" s="6">
        <v>0</v>
      </c>
      <c r="E13" s="6">
        <f>AVERAGE(6,3,2)/(0.002*10^-5)</f>
        <v>183333333.33333331</v>
      </c>
      <c r="F13" s="6">
        <f>AVERAGE(36,37,36)/(0.002*10^-6)</f>
        <v>18166666666.666668</v>
      </c>
      <c r="G13" s="7">
        <f>E31*(AVERAGE(10,12,9)/(0.002*10^-6))</f>
        <v>36166666666.666672</v>
      </c>
      <c r="H13" s="5">
        <f>B13/$B$10</f>
        <v>15999.999999999998</v>
      </c>
      <c r="I13" s="6" t="e">
        <f>C13/$C$10</f>
        <v>#DIV/0!</v>
      </c>
      <c r="J13" s="6" t="e">
        <f>D13/$D$10</f>
        <v>#DIV/0!</v>
      </c>
      <c r="K13" s="6">
        <f>E13/$E$10</f>
        <v>1100000</v>
      </c>
      <c r="L13" s="6">
        <f>F13/$F$10</f>
        <v>10900000</v>
      </c>
      <c r="M13" s="6">
        <f>G13/$G$10</f>
        <v>5166666.666666667</v>
      </c>
      <c r="N13" s="11">
        <f>LOG(B13/$B$10,2)</f>
        <v>13.965784284662087</v>
      </c>
      <c r="O13" s="19" t="e">
        <f>LOG(C13/$C$10,2)</f>
        <v>#DIV/0!</v>
      </c>
      <c r="P13" s="19" t="e">
        <f>LOG(D13/$D$10,2)</f>
        <v>#DIV/0!</v>
      </c>
      <c r="Q13" s="19">
        <f>LOG(E13/$E$10,2)</f>
        <v>20.069072093074109</v>
      </c>
      <c r="R13" s="19">
        <f>LOG(F13/$F$10,2)</f>
        <v>23.377824799213737</v>
      </c>
      <c r="S13" s="12">
        <f>LOG(G13/$G$10,2)</f>
        <v>22.300802378989896</v>
      </c>
    </row>
    <row r="14" spans="1:19" ht="17" thickBot="1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9" x14ac:dyDescent="0.2">
      <c r="A15" s="2" t="s">
        <v>32</v>
      </c>
      <c r="B15" s="28" t="s">
        <v>13</v>
      </c>
      <c r="C15" s="29"/>
      <c r="D15" s="29"/>
      <c r="E15" s="29"/>
      <c r="F15" s="29"/>
      <c r="G15" s="30"/>
      <c r="H15" s="28" t="s">
        <v>12</v>
      </c>
      <c r="I15" s="29"/>
      <c r="J15" s="29"/>
      <c r="K15" s="29"/>
      <c r="L15" s="29"/>
      <c r="M15" s="29"/>
      <c r="N15" s="31" t="s">
        <v>11</v>
      </c>
      <c r="O15" s="32"/>
      <c r="P15" s="32"/>
      <c r="Q15" s="32"/>
      <c r="R15" s="32"/>
      <c r="S15" s="33"/>
    </row>
    <row r="16" spans="1:19" ht="34" x14ac:dyDescent="0.2">
      <c r="A16" s="16" t="s">
        <v>15</v>
      </c>
      <c r="B16" s="15" t="s">
        <v>38</v>
      </c>
      <c r="C16" s="16" t="s">
        <v>39</v>
      </c>
      <c r="D16" s="16" t="s">
        <v>40</v>
      </c>
      <c r="E16" s="16" t="s">
        <v>41</v>
      </c>
      <c r="F16" s="16" t="s">
        <v>42</v>
      </c>
      <c r="G16" s="17" t="s">
        <v>43</v>
      </c>
      <c r="H16" s="15" t="s">
        <v>38</v>
      </c>
      <c r="I16" s="16" t="s">
        <v>39</v>
      </c>
      <c r="J16" s="16" t="s">
        <v>40</v>
      </c>
      <c r="K16" s="16" t="s">
        <v>41</v>
      </c>
      <c r="L16" s="16" t="s">
        <v>42</v>
      </c>
      <c r="M16" s="17" t="s">
        <v>43</v>
      </c>
      <c r="N16" s="15" t="s">
        <v>38</v>
      </c>
      <c r="O16" s="16" t="s">
        <v>39</v>
      </c>
      <c r="P16" s="16" t="s">
        <v>40</v>
      </c>
      <c r="Q16" s="16" t="s">
        <v>41</v>
      </c>
      <c r="R16" s="16" t="s">
        <v>42</v>
      </c>
      <c r="S16" s="17" t="s">
        <v>43</v>
      </c>
    </row>
    <row r="17" spans="1:27" x14ac:dyDescent="0.2">
      <c r="A17" s="2">
        <v>0</v>
      </c>
      <c r="B17" s="3">
        <f>AVERAGE(1,2,0)/(0.002*10^0)</f>
        <v>500</v>
      </c>
      <c r="C17" s="2">
        <v>0</v>
      </c>
      <c r="D17" s="2">
        <v>0</v>
      </c>
      <c r="E17" s="2">
        <f>AVERAGE(3,2,1)/(0.002*10^0)</f>
        <v>1000</v>
      </c>
      <c r="F17" s="2">
        <f>AVERAGE(5,1,3)/(0.002*10^0)</f>
        <v>1500</v>
      </c>
      <c r="G17" s="4">
        <f>E31*((AVERAGE(2,1,2)/(0.002*10^0)))</f>
        <v>5833.3333333333339</v>
      </c>
      <c r="H17" s="3">
        <f>B17/$B$17</f>
        <v>1</v>
      </c>
      <c r="I17" s="2" t="e">
        <f>C17/$C$17</f>
        <v>#DIV/0!</v>
      </c>
      <c r="J17" s="2" t="e">
        <f>D17/$D$17</f>
        <v>#DIV/0!</v>
      </c>
      <c r="K17" s="2">
        <f>E17/$E$17</f>
        <v>1</v>
      </c>
      <c r="L17" s="2">
        <f>F17/$F$17</f>
        <v>1</v>
      </c>
      <c r="M17" s="2">
        <f>G17/$G$17</f>
        <v>1</v>
      </c>
      <c r="N17" s="8">
        <f>LOG(B17/$B$17,2)</f>
        <v>0</v>
      </c>
      <c r="O17" s="9" t="e">
        <f>LOG(C17/$C$17,2)</f>
        <v>#DIV/0!</v>
      </c>
      <c r="P17" s="9" t="e">
        <f>LOG(D17/$D$17,2)</f>
        <v>#DIV/0!</v>
      </c>
      <c r="Q17" s="9">
        <f>LOG(E17/$E$17,2)</f>
        <v>0</v>
      </c>
      <c r="R17" s="9">
        <f>LOG(F17/$F$17,2)</f>
        <v>0</v>
      </c>
      <c r="S17" s="10">
        <f>LOG(G17/$G$17,2)</f>
        <v>0</v>
      </c>
    </row>
    <row r="18" spans="1:27" x14ac:dyDescent="0.2">
      <c r="A18" s="2">
        <v>2</v>
      </c>
      <c r="B18" s="3">
        <f>AVERAGE(0,1,0)/(0.002*10^0)</f>
        <v>166.66666666666666</v>
      </c>
      <c r="C18" s="2">
        <v>0</v>
      </c>
      <c r="D18" s="2">
        <v>0</v>
      </c>
      <c r="E18" s="2">
        <f>AVERAGE(1,0,0)/(0.002*10^0)</f>
        <v>166.66666666666666</v>
      </c>
      <c r="F18" s="2">
        <f>AVERAGE(1,2,0)/(0.002*10^0)</f>
        <v>500</v>
      </c>
      <c r="G18" s="4">
        <f>E31*(AVERAGE(2,2,0)/(0.002*10^0))</f>
        <v>4666.666666666667</v>
      </c>
      <c r="H18" s="3">
        <f>B18/$B$17</f>
        <v>0.33333333333333331</v>
      </c>
      <c r="I18" s="2" t="e">
        <f>C18/$C$17</f>
        <v>#DIV/0!</v>
      </c>
      <c r="J18" s="2" t="e">
        <f>D18/$D$17</f>
        <v>#DIV/0!</v>
      </c>
      <c r="K18" s="2">
        <f>E18/$E$17</f>
        <v>0.16666666666666666</v>
      </c>
      <c r="L18" s="2">
        <f>F18/$F$17</f>
        <v>0.33333333333333331</v>
      </c>
      <c r="M18" s="2">
        <f>G18/$G$17</f>
        <v>0.79999999999999993</v>
      </c>
      <c r="N18" s="8">
        <f>LOG(B18/$B$17,2)</f>
        <v>-1.5849625007211563</v>
      </c>
      <c r="O18" s="9" t="e">
        <f>LOG(C18/$C$17,2)</f>
        <v>#DIV/0!</v>
      </c>
      <c r="P18" s="9" t="e">
        <f>LOG(D18/$D$17,2)</f>
        <v>#DIV/0!</v>
      </c>
      <c r="Q18" s="9">
        <f>LOG(E18/$E$17,2)</f>
        <v>-2.5849625007211561</v>
      </c>
      <c r="R18" s="9">
        <f>LOG(F18/$F$17,2)</f>
        <v>-1.5849625007211563</v>
      </c>
      <c r="S18" s="10">
        <f>LOG(G18/$G17,2)</f>
        <v>-0.32192809488736251</v>
      </c>
    </row>
    <row r="19" spans="1:27" x14ac:dyDescent="0.2">
      <c r="A19" s="2">
        <v>4</v>
      </c>
      <c r="B19" s="3">
        <f>AVERAGE(1,0,0)/(0.002*10^0)</f>
        <v>166.66666666666666</v>
      </c>
      <c r="C19" s="2">
        <v>0</v>
      </c>
      <c r="D19" s="2">
        <v>0</v>
      </c>
      <c r="E19" s="2">
        <f>AVERAGE(1,0,2)/(0.002*10^-1)</f>
        <v>5000</v>
      </c>
      <c r="F19" s="2">
        <f>AVERAGE(1,3,1)/(0.002*10^0)</f>
        <v>833.33333333333337</v>
      </c>
      <c r="G19" s="4">
        <f>E31*(AVERAGE(4,2,1)/(0.002*10^0))</f>
        <v>8166.6666666666679</v>
      </c>
      <c r="H19" s="3">
        <f>B19/$B$17</f>
        <v>0.33333333333333331</v>
      </c>
      <c r="I19" s="2" t="e">
        <f>C19/$C$17</f>
        <v>#DIV/0!</v>
      </c>
      <c r="J19" s="2" t="e">
        <f>D19/$D$17</f>
        <v>#DIV/0!</v>
      </c>
      <c r="K19" s="2">
        <f>E19/$E$17</f>
        <v>5</v>
      </c>
      <c r="L19" s="2">
        <f>F19/$F$17</f>
        <v>0.55555555555555558</v>
      </c>
      <c r="M19" s="2">
        <f>G19/$G$17</f>
        <v>1.4000000000000001</v>
      </c>
      <c r="N19" s="8">
        <f>LOG(B19/$B$17,2)</f>
        <v>-1.5849625007211563</v>
      </c>
      <c r="O19" s="9" t="e">
        <f>LOG(C19/$C$17,2)</f>
        <v>#DIV/0!</v>
      </c>
      <c r="P19" s="9" t="e">
        <f>LOG(D19/$D$17,2)</f>
        <v>#DIV/0!</v>
      </c>
      <c r="Q19" s="9">
        <f>LOG(E19/$E$17,2)</f>
        <v>2.3219280948873622</v>
      </c>
      <c r="R19" s="9">
        <f>LOG(F19/$F$17,2)</f>
        <v>-0.84799690655494997</v>
      </c>
      <c r="S19" s="10">
        <f>LOG(G19/$G17,2)</f>
        <v>0.48542682717024188</v>
      </c>
    </row>
    <row r="20" spans="1:27" ht="17" thickBot="1" x14ac:dyDescent="0.25">
      <c r="A20" s="2">
        <v>24</v>
      </c>
      <c r="B20" s="5">
        <f>AVERAGE(27,26,32)/(0.002*10^-4)</f>
        <v>141666666.66666666</v>
      </c>
      <c r="C20" s="6">
        <v>0</v>
      </c>
      <c r="D20" s="6">
        <v>0</v>
      </c>
      <c r="E20" s="6">
        <f>AVERAGE(5,7,5)/(0.002*10^-5)</f>
        <v>283333333.33333331</v>
      </c>
      <c r="F20" s="6">
        <f>AVERAGE(19,13,3)/(0.002*10^-6)</f>
        <v>5833333333.333333</v>
      </c>
      <c r="G20" s="7">
        <f>E31*(AVERAGE(1,3,0)/(0.002*10^-6))</f>
        <v>4666666666.666667</v>
      </c>
      <c r="H20" s="5">
        <f>B20/$B$17</f>
        <v>283333.33333333331</v>
      </c>
      <c r="I20" s="6" t="e">
        <f>C20/$C$17</f>
        <v>#DIV/0!</v>
      </c>
      <c r="J20" s="6" t="e">
        <f>D20/$D$17</f>
        <v>#DIV/0!</v>
      </c>
      <c r="K20" s="6">
        <f>E20/$E$17</f>
        <v>283333.33333333331</v>
      </c>
      <c r="L20" s="6">
        <f>F20/$F$17</f>
        <v>3888888.8888888885</v>
      </c>
      <c r="M20" s="6">
        <f>G20/$G$17</f>
        <v>800000</v>
      </c>
      <c r="N20" s="11">
        <f>LOG(B20/$B$17,2)</f>
        <v>18.112140814965997</v>
      </c>
      <c r="O20" s="19" t="e">
        <f>LOG(C20/$C$17,2)</f>
        <v>#DIV/0!</v>
      </c>
      <c r="P20" s="19" t="e">
        <f>LOG(D20/$D$17,2)</f>
        <v>#DIV/0!</v>
      </c>
      <c r="Q20" s="19">
        <f>LOG(E20/$E$17,2)</f>
        <v>18.112140814965997</v>
      </c>
      <c r="R20" s="19">
        <f>LOG(F20/$F$10,2)</f>
        <v>21.738923491381779</v>
      </c>
      <c r="S20" s="12">
        <f>LOG(G20/$G$17,2)</f>
        <v>19.609640474436812</v>
      </c>
    </row>
    <row r="21" spans="1:27" ht="17" thickBot="1" x14ac:dyDescent="0.25"/>
    <row r="22" spans="1:27" x14ac:dyDescent="0.2">
      <c r="A22" t="s">
        <v>36</v>
      </c>
      <c r="B22" s="28" t="s">
        <v>13</v>
      </c>
      <c r="C22" s="29"/>
      <c r="D22" s="29"/>
      <c r="E22" s="29"/>
      <c r="F22" s="29"/>
      <c r="G22" s="30"/>
      <c r="M22" t="s">
        <v>36</v>
      </c>
      <c r="N22" s="31" t="s">
        <v>11</v>
      </c>
      <c r="O22" s="32"/>
      <c r="P22" s="32"/>
      <c r="Q22" s="32"/>
      <c r="R22" s="32"/>
      <c r="S22" s="33"/>
      <c r="U22" t="s">
        <v>37</v>
      </c>
      <c r="V22" s="31" t="s">
        <v>11</v>
      </c>
      <c r="W22" s="32"/>
      <c r="X22" s="32"/>
      <c r="Y22" s="32"/>
      <c r="Z22" s="32"/>
      <c r="AA22" s="33"/>
    </row>
    <row r="23" spans="1:27" ht="34" x14ac:dyDescent="0.2">
      <c r="A23" s="16" t="s">
        <v>15</v>
      </c>
      <c r="B23" s="15" t="s">
        <v>38</v>
      </c>
      <c r="C23" s="16" t="s">
        <v>39</v>
      </c>
      <c r="D23" s="16" t="s">
        <v>40</v>
      </c>
      <c r="E23" s="16" t="s">
        <v>41</v>
      </c>
      <c r="F23" s="16" t="s">
        <v>42</v>
      </c>
      <c r="G23" s="17" t="s">
        <v>43</v>
      </c>
      <c r="M23" s="16" t="s">
        <v>15</v>
      </c>
      <c r="N23" s="15" t="s">
        <v>38</v>
      </c>
      <c r="O23" s="16" t="s">
        <v>39</v>
      </c>
      <c r="P23" s="16" t="s">
        <v>40</v>
      </c>
      <c r="Q23" s="16" t="s">
        <v>41</v>
      </c>
      <c r="R23" s="16" t="s">
        <v>42</v>
      </c>
      <c r="S23" s="17" t="s">
        <v>43</v>
      </c>
      <c r="U23" s="16" t="s">
        <v>15</v>
      </c>
      <c r="V23" s="15" t="s">
        <v>38</v>
      </c>
      <c r="W23" s="16" t="s">
        <v>39</v>
      </c>
      <c r="X23" s="16" t="s">
        <v>40</v>
      </c>
      <c r="Y23" s="16" t="s">
        <v>41</v>
      </c>
      <c r="Z23" s="16" t="s">
        <v>42</v>
      </c>
      <c r="AA23" s="17" t="s">
        <v>43</v>
      </c>
    </row>
    <row r="24" spans="1:27" x14ac:dyDescent="0.2">
      <c r="A24" s="2">
        <v>0</v>
      </c>
      <c r="B24" s="3">
        <f t="shared" ref="B24:G27" si="0">AVERAGE(B17,B10,B3)</f>
        <v>722.22222222222229</v>
      </c>
      <c r="C24" s="2">
        <f t="shared" si="0"/>
        <v>0</v>
      </c>
      <c r="D24" s="2">
        <f t="shared" si="0"/>
        <v>0</v>
      </c>
      <c r="E24" s="2">
        <f t="shared" si="0"/>
        <v>444.44444444444451</v>
      </c>
      <c r="F24" s="2">
        <f t="shared" si="0"/>
        <v>1388.8888888888889</v>
      </c>
      <c r="G24" s="4">
        <f t="shared" si="0"/>
        <v>6222.2222222222235</v>
      </c>
      <c r="I24" s="22"/>
      <c r="M24" s="2">
        <v>0</v>
      </c>
      <c r="N24" s="8">
        <f>LOG(B24/$B$24,2)</f>
        <v>0</v>
      </c>
      <c r="O24" s="9">
        <v>0</v>
      </c>
      <c r="P24" s="9">
        <v>0</v>
      </c>
      <c r="Q24" s="9">
        <f>LOG(E24/$E$24,2)</f>
        <v>0</v>
      </c>
      <c r="R24" s="9">
        <f>LOG(F24/$F$24,2)</f>
        <v>0</v>
      </c>
      <c r="S24" s="10">
        <f>LOG(G24/$G$24,2)</f>
        <v>0</v>
      </c>
      <c r="U24" s="2">
        <v>0</v>
      </c>
      <c r="V24" s="8">
        <f>STDEV(N3,N10,N17)</f>
        <v>0</v>
      </c>
      <c r="W24" s="9">
        <v>0</v>
      </c>
      <c r="X24" s="9">
        <v>0</v>
      </c>
      <c r="Y24" s="9">
        <f t="shared" ref="Y24:AA27" si="1">STDEV(Q3,Q10,Q17)</f>
        <v>0</v>
      </c>
      <c r="Z24" s="9">
        <f t="shared" si="1"/>
        <v>0</v>
      </c>
      <c r="AA24" s="10">
        <f t="shared" si="1"/>
        <v>0</v>
      </c>
    </row>
    <row r="25" spans="1:27" x14ac:dyDescent="0.2">
      <c r="A25" s="2">
        <v>2</v>
      </c>
      <c r="B25" s="3">
        <f t="shared" si="0"/>
        <v>167</v>
      </c>
      <c r="C25" s="2">
        <f t="shared" si="0"/>
        <v>0</v>
      </c>
      <c r="D25" s="2">
        <f t="shared" si="0"/>
        <v>0</v>
      </c>
      <c r="E25" s="2">
        <f t="shared" si="0"/>
        <v>56.222222222222221</v>
      </c>
      <c r="F25" s="2">
        <f t="shared" si="0"/>
        <v>444.4444444444444</v>
      </c>
      <c r="G25" s="4">
        <f t="shared" si="0"/>
        <v>2722.2222222222222</v>
      </c>
      <c r="M25" s="2">
        <v>2</v>
      </c>
      <c r="N25" s="8">
        <f>LOG(B25/$B$24,2)</f>
        <v>-2.1125947088868147</v>
      </c>
      <c r="O25" s="9">
        <v>0</v>
      </c>
      <c r="P25" s="9">
        <v>0</v>
      </c>
      <c r="Q25" s="9">
        <f>LOG(E25/$E$24,2)</f>
        <v>-2.9827907099677771</v>
      </c>
      <c r="R25" s="9">
        <f>LOG(F25/$F$24,2)</f>
        <v>-1.643856189774725</v>
      </c>
      <c r="S25" s="10">
        <f>LOG(G25/$G$24,2)</f>
        <v>-1.1926450779423963</v>
      </c>
      <c r="U25" s="2">
        <v>2</v>
      </c>
      <c r="V25" s="8">
        <f>STDEV(N4,N11,N18)</f>
        <v>4.7645537179779813</v>
      </c>
      <c r="W25" s="9">
        <v>0</v>
      </c>
      <c r="X25" s="9">
        <v>0</v>
      </c>
      <c r="Y25" s="9">
        <f t="shared" si="1"/>
        <v>2.7688906481625031</v>
      </c>
      <c r="Z25" s="9">
        <f t="shared" si="1"/>
        <v>0.66241896388504629</v>
      </c>
      <c r="AA25" s="10">
        <f t="shared" si="1"/>
        <v>1.0114654547820436</v>
      </c>
    </row>
    <row r="26" spans="1:27" x14ac:dyDescent="0.2">
      <c r="A26" s="2">
        <v>4</v>
      </c>
      <c r="B26" s="3">
        <f t="shared" si="0"/>
        <v>166.66666666666666</v>
      </c>
      <c r="C26" s="2">
        <f t="shared" si="0"/>
        <v>0</v>
      </c>
      <c r="D26" s="2">
        <f t="shared" si="0"/>
        <v>0</v>
      </c>
      <c r="E26" s="2">
        <f t="shared" si="0"/>
        <v>2777.7777777777774</v>
      </c>
      <c r="F26" s="2">
        <f t="shared" si="0"/>
        <v>666.66666666666663</v>
      </c>
      <c r="G26" s="4">
        <f t="shared" si="0"/>
        <v>5055.5555555555557</v>
      </c>
      <c r="M26" s="2">
        <v>4</v>
      </c>
      <c r="N26" s="8">
        <f>LOG(B26/$B$24,2)</f>
        <v>-2.1154772174199361</v>
      </c>
      <c r="O26" s="9">
        <v>0</v>
      </c>
      <c r="P26" s="9">
        <v>0</v>
      </c>
      <c r="Q26" s="9">
        <f>LOG(E26/$E$24,2)</f>
        <v>2.6438561897747244</v>
      </c>
      <c r="R26" s="9">
        <f>LOG(F26/$F$24,2)</f>
        <v>-1.0588936890535685</v>
      </c>
      <c r="S26" s="10">
        <f>LOG(G26/$G$24,2)</f>
        <v>-0.29956028185890804</v>
      </c>
      <c r="U26" s="2">
        <v>4</v>
      </c>
      <c r="V26" s="8">
        <f>STDEV(N5,N12,N19)</f>
        <v>0.42548728417535242</v>
      </c>
      <c r="W26" s="9">
        <v>0</v>
      </c>
      <c r="X26" s="9">
        <v>0</v>
      </c>
      <c r="Y26" s="9">
        <f t="shared" si="1"/>
        <v>0.57735026918962629</v>
      </c>
      <c r="Z26" s="9">
        <f t="shared" si="1"/>
        <v>0.60367810869598659</v>
      </c>
      <c r="AA26" s="10">
        <f t="shared" si="1"/>
        <v>0.79266672160816043</v>
      </c>
    </row>
    <row r="27" spans="1:27" ht="17" thickBot="1" x14ac:dyDescent="0.25">
      <c r="A27" s="2">
        <v>24</v>
      </c>
      <c r="B27" s="5">
        <f t="shared" si="0"/>
        <v>51666667</v>
      </c>
      <c r="C27" s="6">
        <f t="shared" si="0"/>
        <v>0</v>
      </c>
      <c r="D27" s="6">
        <f t="shared" si="0"/>
        <v>0</v>
      </c>
      <c r="E27" s="6">
        <f t="shared" si="0"/>
        <v>177777777.77777776</v>
      </c>
      <c r="F27" s="6">
        <f t="shared" si="0"/>
        <v>8505555555.5555563</v>
      </c>
      <c r="G27" s="7">
        <f t="shared" si="0"/>
        <v>16722222222.222223</v>
      </c>
      <c r="M27" s="2">
        <v>24</v>
      </c>
      <c r="N27" s="11">
        <f>LOG(B27/$B$24,2)</f>
        <v>16.126431481824099</v>
      </c>
      <c r="O27" s="19">
        <v>0</v>
      </c>
      <c r="P27" s="19">
        <v>0</v>
      </c>
      <c r="Q27" s="19">
        <f>LOG(E27/$E$24,2)</f>
        <v>18.609640474436812</v>
      </c>
      <c r="R27" s="19">
        <f>LOG(F27/$F$24,2)</f>
        <v>22.546042852161875</v>
      </c>
      <c r="S27" s="12">
        <f>LOG(G27/$G$24,2)</f>
        <v>21.357833324026274</v>
      </c>
      <c r="U27" s="2">
        <v>24</v>
      </c>
      <c r="V27" s="11">
        <f>STDEV(N13,N20)</f>
        <v>2.9319168197950303</v>
      </c>
      <c r="W27" s="19">
        <v>0</v>
      </c>
      <c r="X27" s="19">
        <v>0</v>
      </c>
      <c r="Y27" s="19">
        <f t="shared" si="1"/>
        <v>1.0171059095860915</v>
      </c>
      <c r="Z27" s="19">
        <f t="shared" si="1"/>
        <v>1.4281427493393413</v>
      </c>
      <c r="AA27" s="12">
        <f t="shared" si="1"/>
        <v>1.3602929209015606</v>
      </c>
    </row>
    <row r="28" spans="1:27" x14ac:dyDescent="0.2">
      <c r="O28" s="9"/>
      <c r="W28" s="9"/>
    </row>
    <row r="29" spans="1:27" x14ac:dyDescent="0.2">
      <c r="B29" t="s">
        <v>48</v>
      </c>
      <c r="C29" s="22"/>
      <c r="O29" s="9"/>
      <c r="W29" s="23"/>
    </row>
    <row r="30" spans="1:27" x14ac:dyDescent="0.2">
      <c r="C30" s="22" t="s">
        <v>52</v>
      </c>
      <c r="D30" t="s">
        <v>53</v>
      </c>
      <c r="O30" s="9"/>
      <c r="W30" s="23"/>
    </row>
    <row r="31" spans="1:27" x14ac:dyDescent="0.2">
      <c r="B31" t="s">
        <v>49</v>
      </c>
      <c r="C31" s="22">
        <f>AVERAGE(3,2,2)/(0.005*10^0)</f>
        <v>466.66666666666669</v>
      </c>
      <c r="D31" s="22">
        <f>AVERAGE(1,0,0)/(0.005*10^0)</f>
        <v>66.666666666666657</v>
      </c>
      <c r="E31">
        <f>C31/D31</f>
        <v>7.0000000000000009</v>
      </c>
      <c r="O31" s="9"/>
      <c r="W31" s="23"/>
    </row>
    <row r="32" spans="1:27" x14ac:dyDescent="0.2">
      <c r="B32" t="s">
        <v>50</v>
      </c>
      <c r="C32" s="22">
        <v>0</v>
      </c>
      <c r="D32" s="22">
        <f>AVERAGE(1,2,0)/(0.005*10^0)</f>
        <v>200</v>
      </c>
      <c r="O32" s="9"/>
      <c r="W32" s="23"/>
    </row>
    <row r="33" spans="2:23" x14ac:dyDescent="0.2">
      <c r="B33" t="s">
        <v>51</v>
      </c>
      <c r="C33" s="22">
        <f>AVERAGE(1,0,0)/(0.005*10^0)</f>
        <v>66.666666666666657</v>
      </c>
      <c r="D33" s="22">
        <f>AVERAGE(1,0,0)/(0.005*10^0)</f>
        <v>66.666666666666657</v>
      </c>
      <c r="O33" s="9"/>
      <c r="W33" s="23"/>
    </row>
    <row r="34" spans="2:23" x14ac:dyDescent="0.2">
      <c r="C34" s="22"/>
      <c r="O34" s="9"/>
      <c r="W34" s="23"/>
    </row>
  </sheetData>
  <mergeCells count="12">
    <mergeCell ref="V22:AA22"/>
    <mergeCell ref="B1:G1"/>
    <mergeCell ref="H1:M1"/>
    <mergeCell ref="N1:S1"/>
    <mergeCell ref="B8:G8"/>
    <mergeCell ref="H8:M8"/>
    <mergeCell ref="N8:S8"/>
    <mergeCell ref="B15:G15"/>
    <mergeCell ref="H15:M15"/>
    <mergeCell ref="N15:S15"/>
    <mergeCell ref="B22:G22"/>
    <mergeCell ref="N22:S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DB16-654D-BC4F-ACDA-45BECC146863}">
  <dimension ref="A1:U60"/>
  <sheetViews>
    <sheetView topLeftCell="G1" zoomScaleNormal="100" workbookViewId="0">
      <selection activeCell="D24" sqref="D24"/>
    </sheetView>
  </sheetViews>
  <sheetFormatPr baseColWidth="10" defaultRowHeight="16" x14ac:dyDescent="0.2"/>
  <cols>
    <col min="2" max="5" width="12.1640625" bestFit="1" customWidth="1"/>
    <col min="6" max="6" width="11.1640625" bestFit="1" customWidth="1"/>
    <col min="7" max="7" width="12.1640625" bestFit="1" customWidth="1"/>
    <col min="11" max="11" width="12.83203125" bestFit="1" customWidth="1"/>
    <col min="12" max="12" width="11.83203125" bestFit="1" customWidth="1"/>
  </cols>
  <sheetData>
    <row r="1" spans="1:21" x14ac:dyDescent="0.2">
      <c r="A1" s="2" t="s">
        <v>30</v>
      </c>
      <c r="B1" s="28" t="s">
        <v>13</v>
      </c>
      <c r="C1" s="29"/>
      <c r="D1" s="29"/>
      <c r="E1" s="30"/>
      <c r="F1" s="29" t="s">
        <v>12</v>
      </c>
      <c r="G1" s="29"/>
      <c r="H1" s="29"/>
      <c r="I1" s="29"/>
      <c r="J1" s="31" t="s">
        <v>11</v>
      </c>
      <c r="K1" s="32"/>
      <c r="L1" s="32"/>
      <c r="M1" s="33"/>
      <c r="P1" t="s">
        <v>69</v>
      </c>
    </row>
    <row r="2" spans="1:21" ht="34" x14ac:dyDescent="0.2">
      <c r="A2" s="16" t="s">
        <v>15</v>
      </c>
      <c r="B2" s="15" t="s">
        <v>38</v>
      </c>
      <c r="C2" s="16" t="s">
        <v>41</v>
      </c>
      <c r="D2" s="16" t="s">
        <v>42</v>
      </c>
      <c r="E2" s="17" t="s">
        <v>43</v>
      </c>
      <c r="F2" s="16" t="s">
        <v>38</v>
      </c>
      <c r="G2" s="16" t="s">
        <v>41</v>
      </c>
      <c r="H2" s="16" t="s">
        <v>42</v>
      </c>
      <c r="I2" s="17" t="s">
        <v>43</v>
      </c>
      <c r="J2" s="15" t="s">
        <v>38</v>
      </c>
      <c r="K2" s="16" t="s">
        <v>41</v>
      </c>
      <c r="L2" s="16" t="s">
        <v>42</v>
      </c>
      <c r="M2" s="17" t="s">
        <v>43</v>
      </c>
      <c r="P2" s="21" t="s">
        <v>72</v>
      </c>
      <c r="R2" t="s">
        <v>70</v>
      </c>
      <c r="S2" t="s">
        <v>71</v>
      </c>
      <c r="T2" t="s">
        <v>73</v>
      </c>
      <c r="U2" t="s">
        <v>74</v>
      </c>
    </row>
    <row r="3" spans="1:21" ht="34" x14ac:dyDescent="0.2">
      <c r="A3" s="2">
        <v>0</v>
      </c>
      <c r="B3" s="3">
        <f>AVERAGE(3,0,0)/(0.002*10^0)</f>
        <v>500</v>
      </c>
      <c r="C3" s="2">
        <f>AVERAGE(1,0,0)/(0.002*10^0)</f>
        <v>166.66666666666666</v>
      </c>
      <c r="D3" s="2">
        <f>AVERAGE(1,2,1)/(0.002*10^0)</f>
        <v>666.66666666666663</v>
      </c>
      <c r="E3" s="4">
        <f>AVERAGE(1,0,0)/(0.002*10^0)*E34</f>
        <v>1277.7777777777778</v>
      </c>
      <c r="F3" s="2">
        <f>B3/$B$3</f>
        <v>1</v>
      </c>
      <c r="G3" s="2">
        <f>C3/$C$3</f>
        <v>1</v>
      </c>
      <c r="H3" s="2">
        <f>D3/$D$3</f>
        <v>1</v>
      </c>
      <c r="I3" s="2">
        <f>E3/$E$3</f>
        <v>1</v>
      </c>
      <c r="J3" s="8">
        <f>LOG(B3/$B$3,2)</f>
        <v>0</v>
      </c>
      <c r="K3" s="9">
        <f>LOG(C3/$C$3,2)</f>
        <v>0</v>
      </c>
      <c r="L3" s="9">
        <f>LOG(D3/$D$3,2)</f>
        <v>0</v>
      </c>
      <c r="M3" s="10">
        <f>LOG(E3/$E$3,2)</f>
        <v>0</v>
      </c>
      <c r="O3" s="14" t="s">
        <v>76</v>
      </c>
      <c r="P3">
        <f>C36/(C36+(E34*D36))</f>
        <v>0.49450549450549447</v>
      </c>
      <c r="Q3">
        <v>1</v>
      </c>
      <c r="R3">
        <f>D7/(E7+D7)</f>
        <v>0.53370501773948298</v>
      </c>
      <c r="S3">
        <f>R3-P3</f>
        <v>3.9199523233988509E-2</v>
      </c>
      <c r="T3">
        <f>AVERAGE(S3:S5)</f>
        <v>-1.8291729662274676E-2</v>
      </c>
      <c r="U3">
        <f>STDEV(S3:S5)</f>
        <v>5.4923643633932789E-2</v>
      </c>
    </row>
    <row r="4" spans="1:21" ht="17" x14ac:dyDescent="0.2">
      <c r="A4" s="2">
        <v>1</v>
      </c>
      <c r="B4" s="3">
        <f>AVERAGE(0,1,0)/(0.002*10^0)</f>
        <v>166.66666666666666</v>
      </c>
      <c r="C4" s="2">
        <f>AVERAGE(2,1,0)/(0.002*10^0)</f>
        <v>500</v>
      </c>
      <c r="D4" s="2">
        <f>AVERAGE(0,0,1)/(0.002*10^0)</f>
        <v>166.66666666666666</v>
      </c>
      <c r="E4" s="4">
        <f>AVERAGE(4,2,1)/(0.002*10^0)*E34</f>
        <v>8944.4444444444453</v>
      </c>
      <c r="F4" s="2">
        <f>B4/$B$3</f>
        <v>0.33333333333333331</v>
      </c>
      <c r="G4" s="2">
        <f>C4/$C$3</f>
        <v>3</v>
      </c>
      <c r="H4" s="2">
        <f>D4/$D$3</f>
        <v>0.25</v>
      </c>
      <c r="I4" s="2">
        <f>E4/$E$3</f>
        <v>7</v>
      </c>
      <c r="J4" s="8">
        <f>LOG(B4/$B$3,2)</f>
        <v>-1.5849625007211563</v>
      </c>
      <c r="K4" s="9">
        <f>LOG(C4/$C$3,2)</f>
        <v>1.5849625007211563</v>
      </c>
      <c r="L4" s="9">
        <f>LOG(D4/$D$3,2)</f>
        <v>-2</v>
      </c>
      <c r="M4" s="10">
        <f>LOG(E4/$E$3,2)</f>
        <v>2.8073549220576042</v>
      </c>
      <c r="O4" s="14" t="s">
        <v>77</v>
      </c>
      <c r="Q4">
        <v>2</v>
      </c>
      <c r="R4">
        <f>D15/(E15+D15)</f>
        <v>0.47065592635212883</v>
      </c>
      <c r="S4">
        <f>R4-P3</f>
        <v>-2.3849568153365641E-2</v>
      </c>
    </row>
    <row r="5" spans="1:21" x14ac:dyDescent="0.2">
      <c r="A5" s="2">
        <v>2</v>
      </c>
      <c r="B5" s="3">
        <f>AVERAGE(1,1,0)/(0.002*10^0)</f>
        <v>333.33333333333331</v>
      </c>
      <c r="C5" s="2">
        <f>AVERAGE(2,2,2)/(0.002*10^0)</f>
        <v>1000</v>
      </c>
      <c r="D5" s="2">
        <f>AVERAGE(1,0,0)/(0.002*10^0)</f>
        <v>166.66666666666666</v>
      </c>
      <c r="E5" s="4">
        <f>AVERAGE(2,1,0)/(0.002*10^-1)*E34</f>
        <v>38333.333333333336</v>
      </c>
      <c r="F5" s="2">
        <f>B5/$B$3</f>
        <v>0.66666666666666663</v>
      </c>
      <c r="G5" s="2">
        <f>C5/$C$3</f>
        <v>6</v>
      </c>
      <c r="H5" s="2">
        <f>D5/$D$3</f>
        <v>0.25</v>
      </c>
      <c r="I5" s="2">
        <f>E5/$E$3</f>
        <v>30</v>
      </c>
      <c r="J5" s="8">
        <f>LOG(B5/$B$3,2)</f>
        <v>-0.5849625007211563</v>
      </c>
      <c r="K5" s="9">
        <f>LOG(C5/$C$3,2)</f>
        <v>2.5849625007211561</v>
      </c>
      <c r="L5" s="9">
        <f>LOG(D5/$D$3,2)</f>
        <v>-2</v>
      </c>
      <c r="M5" s="10">
        <f>LOG(E5/$E$3,2)</f>
        <v>4.9068905956085187</v>
      </c>
      <c r="O5" t="s">
        <v>37</v>
      </c>
      <c r="P5">
        <v>8.8388347648318447E-2</v>
      </c>
      <c r="Q5">
        <v>3</v>
      </c>
      <c r="R5">
        <f>D23/(E23+D23)</f>
        <v>0.42428035043804757</v>
      </c>
      <c r="S5">
        <f>R5-P3</f>
        <v>-7.0225144067446899E-2</v>
      </c>
    </row>
    <row r="6" spans="1:21" x14ac:dyDescent="0.2">
      <c r="A6" s="2">
        <v>4</v>
      </c>
      <c r="B6" s="3">
        <f>AVERAGE(15,7,13)/(0.002*10^-2)</f>
        <v>583333.33333333326</v>
      </c>
      <c r="C6" s="2">
        <f>AVERAGE(7,0,5)/(0.002*10^-3)</f>
        <v>2000000</v>
      </c>
      <c r="D6" s="2">
        <f>AVERAGE(7,8,15)/(0.002*10^-2)</f>
        <v>499999.99999999994</v>
      </c>
      <c r="E6" s="4">
        <f>AVERAGE(7,7,4)/(0.002*10^-2)*E34</f>
        <v>2300000</v>
      </c>
      <c r="F6" s="2">
        <f>B6/$B$3</f>
        <v>1166.6666666666665</v>
      </c>
      <c r="G6" s="2">
        <f>C6/$C$3</f>
        <v>12000</v>
      </c>
      <c r="H6" s="2">
        <f>D6/$D$3</f>
        <v>750</v>
      </c>
      <c r="I6" s="2">
        <f>E6/$E$3</f>
        <v>1800</v>
      </c>
      <c r="J6" s="8">
        <f>LOG(B6/$B$3,2)</f>
        <v>10.188176705998535</v>
      </c>
      <c r="K6" s="9">
        <f>LOG(C6/$C$3,2)</f>
        <v>13.550746785383243</v>
      </c>
      <c r="L6" s="9">
        <f>LOG(D6/$D$3,2)</f>
        <v>9.5507467853832431</v>
      </c>
      <c r="M6" s="10">
        <f>LOG(E6/$E$3,2)</f>
        <v>10.813781191217037</v>
      </c>
      <c r="R6">
        <f>AVERAGE(R3:R5)</f>
        <v>0.4762137648432197</v>
      </c>
    </row>
    <row r="7" spans="1:21" ht="17" thickBot="1" x14ac:dyDescent="0.25">
      <c r="A7" s="2">
        <v>24</v>
      </c>
      <c r="B7" s="5">
        <f>AVERAGE(19,10,8)/(0.002*10^-5)</f>
        <v>616666666.66666663</v>
      </c>
      <c r="C7" s="6">
        <f>AVERAGE(2,1,1)/(0.002*10^-7)</f>
        <v>6666666666.666666</v>
      </c>
      <c r="D7" s="6">
        <f>AVERAGE(3,6,2)/(0.002*10^-6)+D39</f>
        <v>58500000000</v>
      </c>
      <c r="E7" s="6">
        <f>AVERAGE(2,2,0)/(0.002*10^-7)*E34</f>
        <v>51111111111.111107</v>
      </c>
      <c r="F7" s="6">
        <f>B7/$B$3</f>
        <v>1233333.3333333333</v>
      </c>
      <c r="G7" s="6">
        <f>C7/$C$3</f>
        <v>40000000</v>
      </c>
      <c r="H7" s="6">
        <f>D7/$D$3</f>
        <v>87750000</v>
      </c>
      <c r="I7" s="6">
        <f>E7/$E$3</f>
        <v>39999999.999999993</v>
      </c>
      <c r="J7" s="11">
        <f>LOG(B7/$B$3,2)</f>
        <v>20.234131339344607</v>
      </c>
      <c r="K7" s="19">
        <f>LOG(C7/$C$3,2)</f>
        <v>25.253496664211539</v>
      </c>
      <c r="L7" s="19">
        <f>LOG(D7/$D$3,2)</f>
        <v>26.386895789628735</v>
      </c>
      <c r="M7" s="12">
        <f>LOG(E7/$E$3,2)</f>
        <v>25.253496664211539</v>
      </c>
    </row>
    <row r="8" spans="1:21" ht="17" thickBot="1" x14ac:dyDescent="0.25">
      <c r="B8" s="9"/>
      <c r="C8" s="9"/>
      <c r="D8" s="9"/>
      <c r="E8" s="9"/>
      <c r="F8" s="9"/>
      <c r="G8" s="9"/>
      <c r="H8" s="9"/>
      <c r="I8" s="9"/>
    </row>
    <row r="9" spans="1:21" x14ac:dyDescent="0.2">
      <c r="A9" s="2" t="s">
        <v>31</v>
      </c>
      <c r="B9" s="28" t="s">
        <v>13</v>
      </c>
      <c r="C9" s="29"/>
      <c r="D9" s="29"/>
      <c r="E9" s="30"/>
      <c r="F9" s="29" t="s">
        <v>12</v>
      </c>
      <c r="G9" s="29"/>
      <c r="H9" s="29"/>
      <c r="I9" s="29"/>
      <c r="J9" s="31" t="s">
        <v>11</v>
      </c>
      <c r="K9" s="32"/>
      <c r="L9" s="32"/>
      <c r="M9" s="33"/>
    </row>
    <row r="10" spans="1:21" ht="34" x14ac:dyDescent="0.2">
      <c r="A10" s="16" t="s">
        <v>15</v>
      </c>
      <c r="B10" s="15" t="s">
        <v>38</v>
      </c>
      <c r="C10" s="16" t="s">
        <v>41</v>
      </c>
      <c r="D10" s="16" t="s">
        <v>42</v>
      </c>
      <c r="E10" s="17" t="s">
        <v>43</v>
      </c>
      <c r="F10" s="16" t="s">
        <v>38</v>
      </c>
      <c r="G10" s="16" t="s">
        <v>41</v>
      </c>
      <c r="H10" s="16" t="s">
        <v>42</v>
      </c>
      <c r="I10" s="17" t="s">
        <v>43</v>
      </c>
      <c r="J10" s="15" t="s">
        <v>38</v>
      </c>
      <c r="K10" s="16" t="s">
        <v>41</v>
      </c>
      <c r="L10" s="16" t="s">
        <v>42</v>
      </c>
      <c r="M10" s="17" t="s">
        <v>43</v>
      </c>
    </row>
    <row r="11" spans="1:21" x14ac:dyDescent="0.2">
      <c r="A11" s="2">
        <v>0</v>
      </c>
      <c r="B11" s="3">
        <f>AVERAGE(1,2,4)/(0.002*10^0)</f>
        <v>1166.6666666666667</v>
      </c>
      <c r="C11" s="2">
        <f>AVERAGE(1,0,0)/(0.002*10^0)</f>
        <v>166.66666666666666</v>
      </c>
      <c r="D11" s="2">
        <f>AVERAGE(3,2,1)/(0.002*10^0)</f>
        <v>1000</v>
      </c>
      <c r="E11" s="4">
        <f>AVERAGE(1,0,0)/(0.002*10^0)*E34</f>
        <v>1277.7777777777778</v>
      </c>
      <c r="F11" s="2">
        <f>B11/$B$11</f>
        <v>1</v>
      </c>
      <c r="G11" s="2">
        <f>C11/$C$11</f>
        <v>1</v>
      </c>
      <c r="H11" s="2">
        <f>D11/$D$11</f>
        <v>1</v>
      </c>
      <c r="I11" s="2">
        <f>E11/$E$11</f>
        <v>1</v>
      </c>
      <c r="J11" s="8">
        <f>LOG(B11/$B$11,2)</f>
        <v>0</v>
      </c>
      <c r="K11" s="9">
        <f>LOG(C11/$C$11,2)</f>
        <v>0</v>
      </c>
      <c r="L11" s="9">
        <f>LOG(D11/$D$11,2)</f>
        <v>0</v>
      </c>
      <c r="M11" s="10">
        <f>LOG(E11/$E$11,2)</f>
        <v>0</v>
      </c>
    </row>
    <row r="12" spans="1:21" x14ac:dyDescent="0.2">
      <c r="A12" s="2">
        <v>1</v>
      </c>
      <c r="B12" s="3">
        <f>AVERAGE(0,1,0)/(0.002*10^0)</f>
        <v>166.66666666666666</v>
      </c>
      <c r="C12" s="2">
        <f>AVERAGE(2,1,0)/(0.002*10^0)</f>
        <v>500</v>
      </c>
      <c r="D12" s="2">
        <f>AVERAGE(3,2,1)/(0.002*10^0)</f>
        <v>1000</v>
      </c>
      <c r="E12" s="4">
        <f>AVERAGE(3,4,1)/(0.002*10^0)*E34</f>
        <v>10222.222222222223</v>
      </c>
      <c r="F12" s="2">
        <f>B12/$B$11</f>
        <v>0.14285714285714285</v>
      </c>
      <c r="G12" s="2">
        <f>C12/$C$11</f>
        <v>3</v>
      </c>
      <c r="H12" s="2">
        <f>D12/$D$11</f>
        <v>1</v>
      </c>
      <c r="I12" s="2">
        <f>E12/$E$11</f>
        <v>8</v>
      </c>
      <c r="J12" s="8">
        <f>LOG(B12/$B$11,2)</f>
        <v>-2.8073549220576046</v>
      </c>
      <c r="K12" s="9">
        <f>LOG(C12/$C$11,2)</f>
        <v>1.5849625007211563</v>
      </c>
      <c r="L12" s="9">
        <f>LOG(D12/$D$11,2)</f>
        <v>0</v>
      </c>
      <c r="M12" s="10">
        <f>LOG(E12/$E11,2)</f>
        <v>3</v>
      </c>
    </row>
    <row r="13" spans="1:21" x14ac:dyDescent="0.2">
      <c r="A13" s="2">
        <v>2</v>
      </c>
      <c r="B13" s="3">
        <f>AVERAGE(1,4,0)/(0.002*10^0)</f>
        <v>833.33333333333337</v>
      </c>
      <c r="C13" s="2">
        <f>AVERAGE(3,1,2)/(0.002*10^0)</f>
        <v>1000</v>
      </c>
      <c r="D13" s="2">
        <f>AVERAGE(2,1,0)/(0.002*10^0)</f>
        <v>500</v>
      </c>
      <c r="E13" s="4">
        <f>AVERAGE(1,0,0)/(0.002*10^-1)*E34</f>
        <v>12777.777777777777</v>
      </c>
      <c r="F13" s="2">
        <f>B13/$B$11</f>
        <v>0.7142857142857143</v>
      </c>
      <c r="G13" s="2">
        <f>C13/$C$11</f>
        <v>6</v>
      </c>
      <c r="H13" s="2">
        <f>D13/$D$11</f>
        <v>0.5</v>
      </c>
      <c r="I13" s="2">
        <f>E13/$E$11</f>
        <v>10</v>
      </c>
      <c r="J13" s="8">
        <f>LOG(B13/$B$11,2)</f>
        <v>-0.48542682717024171</v>
      </c>
      <c r="K13" s="9">
        <f>LOG(C13/$C$11,2)</f>
        <v>2.5849625007211561</v>
      </c>
      <c r="L13" s="9">
        <f>LOG(D13/$D$11,2)</f>
        <v>-1</v>
      </c>
      <c r="M13" s="10">
        <f>LOG(E13/$E11,2)</f>
        <v>3.3219280948873626</v>
      </c>
    </row>
    <row r="14" spans="1:21" x14ac:dyDescent="0.2">
      <c r="A14" s="2">
        <v>4</v>
      </c>
      <c r="B14" s="3">
        <f>AVERAGE(4,6,5)/(0.002*10^-2)</f>
        <v>249999.99999999997</v>
      </c>
      <c r="C14" s="2">
        <f>AVERAGE(2,3,3)/(0.002*10^-3)</f>
        <v>1333333.3333333333</v>
      </c>
      <c r="D14" s="2">
        <f>AVERAGE(6,6,15)/(0.002*10^-2)</f>
        <v>449999.99999999994</v>
      </c>
      <c r="E14" s="4">
        <f>AVERAGE(6,6,2)/(0.002*10^-2)*E34</f>
        <v>1788888.888888889</v>
      </c>
      <c r="F14" s="2">
        <f>B14/$B$11</f>
        <v>214.28571428571425</v>
      </c>
      <c r="G14" s="2">
        <f>C14/$C$11</f>
        <v>8000</v>
      </c>
      <c r="H14" s="2">
        <f>D14/$D$11</f>
        <v>449.99999999999994</v>
      </c>
      <c r="I14" s="2">
        <f>E14/$E$11</f>
        <v>1400</v>
      </c>
      <c r="J14" s="8">
        <f>LOG(B14/$B$11,2)</f>
        <v>7.7433918633256393</v>
      </c>
      <c r="K14" s="9">
        <f>LOG(C14/$C$11,2)</f>
        <v>12.965784284662087</v>
      </c>
      <c r="L14" s="9">
        <f>LOG(D14/$D$11,2)</f>
        <v>8.8137811912170374</v>
      </c>
      <c r="M14" s="10">
        <f>LOG(E14/$E11,2)</f>
        <v>10.451211111832329</v>
      </c>
    </row>
    <row r="15" spans="1:21" ht="17" thickBot="1" x14ac:dyDescent="0.25">
      <c r="A15" s="2">
        <v>24</v>
      </c>
      <c r="B15" s="5">
        <f>AVERAGE(20,27,35)/(0.002*10^-5)</f>
        <v>1366666666.6666665</v>
      </c>
      <c r="C15" s="6">
        <f>AVERAGE(5,7,5)/(0.002*10^-7)</f>
        <v>28333333333.333332</v>
      </c>
      <c r="D15" s="6">
        <f>AVERAGE(20,22,27)/(0.002*10^-6)+D39</f>
        <v>68166666666.666664</v>
      </c>
      <c r="E15" s="6">
        <f>AVERAGE(2,1,3)/(0.002*10^-7)*E34</f>
        <v>76666666666.666672</v>
      </c>
      <c r="F15" s="6">
        <f>B15/$B$11</f>
        <v>1171428.5714285711</v>
      </c>
      <c r="G15" s="6">
        <f>C15/$C$11</f>
        <v>170000000</v>
      </c>
      <c r="H15" s="6">
        <f>D15/$D$11</f>
        <v>68166666.666666657</v>
      </c>
      <c r="I15" s="6">
        <f>E15/$E$11</f>
        <v>60000000</v>
      </c>
      <c r="J15" s="11">
        <f>LOG(B15/$B$11,2)</f>
        <v>20.159837556997292</v>
      </c>
      <c r="K15" s="19">
        <f>LOG(C15/$C$11,2)</f>
        <v>27.340959505461875</v>
      </c>
      <c r="L15" s="19">
        <f>LOG(D15/$D$11,2)</f>
        <v>26.022563101544769</v>
      </c>
      <c r="M15" s="12">
        <f>LOG(E15/$E$11,2)</f>
        <v>25.838459164932694</v>
      </c>
    </row>
    <row r="16" spans="1:21" ht="17" thickBot="1" x14ac:dyDescent="0.25">
      <c r="B16" s="9"/>
      <c r="C16" s="9"/>
      <c r="D16" s="9"/>
      <c r="E16" s="9"/>
      <c r="F16" s="9"/>
      <c r="G16" s="9"/>
      <c r="H16" s="9"/>
      <c r="I16" s="9"/>
    </row>
    <row r="17" spans="1:19" ht="68" x14ac:dyDescent="0.2">
      <c r="A17" s="2" t="s">
        <v>32</v>
      </c>
      <c r="B17" s="28" t="s">
        <v>13</v>
      </c>
      <c r="C17" s="29"/>
      <c r="D17" s="29"/>
      <c r="E17" s="30"/>
      <c r="F17" s="29" t="s">
        <v>12</v>
      </c>
      <c r="G17" s="29"/>
      <c r="H17" s="29"/>
      <c r="I17" s="29"/>
      <c r="J17" s="31" t="s">
        <v>11</v>
      </c>
      <c r="K17" s="32"/>
      <c r="L17" s="32"/>
      <c r="M17" s="33"/>
      <c r="O17" s="14" t="s">
        <v>57</v>
      </c>
      <c r="P17" s="31" t="s">
        <v>11</v>
      </c>
      <c r="Q17" s="32"/>
      <c r="R17" s="32"/>
      <c r="S17" s="33"/>
    </row>
    <row r="18" spans="1:19" ht="34" x14ac:dyDescent="0.2">
      <c r="A18" s="16" t="s">
        <v>15</v>
      </c>
      <c r="B18" s="15" t="s">
        <v>38</v>
      </c>
      <c r="C18" s="16" t="s">
        <v>41</v>
      </c>
      <c r="D18" s="16" t="s">
        <v>42</v>
      </c>
      <c r="E18" s="17" t="s">
        <v>43</v>
      </c>
      <c r="F18" s="16" t="s">
        <v>38</v>
      </c>
      <c r="G18" s="16" t="s">
        <v>41</v>
      </c>
      <c r="H18" s="16" t="s">
        <v>42</v>
      </c>
      <c r="I18" s="17" t="s">
        <v>43</v>
      </c>
      <c r="J18" s="15" t="s">
        <v>38</v>
      </c>
      <c r="K18" s="16" t="s">
        <v>41</v>
      </c>
      <c r="L18" s="16" t="s">
        <v>42</v>
      </c>
      <c r="M18" s="17" t="s">
        <v>43</v>
      </c>
      <c r="O18" s="16" t="s">
        <v>15</v>
      </c>
      <c r="P18" s="15" t="s">
        <v>38</v>
      </c>
      <c r="Q18" s="16" t="s">
        <v>41</v>
      </c>
      <c r="R18" s="16" t="s">
        <v>42</v>
      </c>
      <c r="S18" s="17" t="s">
        <v>43</v>
      </c>
    </row>
    <row r="19" spans="1:19" x14ac:dyDescent="0.2">
      <c r="A19" s="2">
        <v>0</v>
      </c>
      <c r="B19" s="3">
        <f>AVERAGE(1,1,0)/(0.002*10^0)</f>
        <v>333.33333333333331</v>
      </c>
      <c r="C19" s="2">
        <f>AVERAGE(1,0,0)/(0.002*10^0)</f>
        <v>166.66666666666666</v>
      </c>
      <c r="D19" s="2">
        <f>AVERAGE(1,2,1)/(0.002*10^0)</f>
        <v>666.66666666666663</v>
      </c>
      <c r="E19" s="4">
        <f>AVERAGE(1,0,0)/(0.002*10^0)*E34</f>
        <v>1277.7777777777778</v>
      </c>
      <c r="F19" s="2">
        <f>B19/$B$19</f>
        <v>1</v>
      </c>
      <c r="G19" s="2">
        <f>C19/$C$19</f>
        <v>1</v>
      </c>
      <c r="H19" s="2">
        <f>D19/$D$19</f>
        <v>1</v>
      </c>
      <c r="I19" s="2">
        <f>E19/$E$19</f>
        <v>1</v>
      </c>
      <c r="J19" s="8">
        <f>LOG(B19/$B$19,2)</f>
        <v>0</v>
      </c>
      <c r="K19" s="9">
        <f>LOG(C19/$C$19,2)</f>
        <v>0</v>
      </c>
      <c r="L19" s="9">
        <f>LOG(D19/$D$19,2)</f>
        <v>0</v>
      </c>
      <c r="M19" s="10">
        <f>LOG(E19/$E$19,2)</f>
        <v>0</v>
      </c>
      <c r="O19" s="2">
        <v>0</v>
      </c>
      <c r="P19" s="8">
        <f>AVERAGE(J3,J11,J19)</f>
        <v>0</v>
      </c>
      <c r="Q19" s="9">
        <f>AVERAGE(K3,K11,K19)</f>
        <v>0</v>
      </c>
      <c r="R19" s="9">
        <f>AVERAGE(L3,L11,L19)</f>
        <v>0</v>
      </c>
      <c r="S19" s="10">
        <f>AVERAGE(M3,M11,M19)</f>
        <v>0</v>
      </c>
    </row>
    <row r="20" spans="1:19" x14ac:dyDescent="0.2">
      <c r="A20" s="2">
        <v>1</v>
      </c>
      <c r="B20" s="3">
        <f>AVERAGE(2,1,0)/(0.002*10^0)</f>
        <v>500</v>
      </c>
      <c r="C20" s="2">
        <f>AVERAGE(2,0,0)/(0.002*10^0)</f>
        <v>333.33333333333331</v>
      </c>
      <c r="D20" s="2">
        <f>AVERAGE(3,2,0)/(0.002*10^0)</f>
        <v>833.33333333333337</v>
      </c>
      <c r="E20" s="4">
        <f>AVERAGE(3,1,5)/(0.002*10^0)*E34</f>
        <v>11500</v>
      </c>
      <c r="F20" s="2">
        <f>B20/$B$19</f>
        <v>1.5</v>
      </c>
      <c r="G20" s="2">
        <f>C20/$C$19</f>
        <v>2</v>
      </c>
      <c r="H20" s="2">
        <f>D20/$D$19</f>
        <v>1.2500000000000002</v>
      </c>
      <c r="I20" s="2">
        <f>E20/$E$19</f>
        <v>9</v>
      </c>
      <c r="J20" s="8">
        <f>LOG(B20/$B$19,2)</f>
        <v>0.58496250072115619</v>
      </c>
      <c r="K20" s="9">
        <f>LOG(C20/$C$19,2)</f>
        <v>1</v>
      </c>
      <c r="L20" s="9">
        <f>LOG(D20/$D$19,2)</f>
        <v>0.32192809488736263</v>
      </c>
      <c r="M20" s="10">
        <f>LOG(E20/$E19,2)</f>
        <v>3.1699250014423126</v>
      </c>
      <c r="O20" s="2">
        <v>1</v>
      </c>
      <c r="P20" s="8">
        <f t="shared" ref="P20:P23" si="0">AVERAGE(J4,J12,J20)</f>
        <v>-1.2691183073525349</v>
      </c>
      <c r="Q20" s="9">
        <f t="shared" ref="Q20:Q23" si="1">AVERAGE(K4,K12,K20)</f>
        <v>1.3899750004807707</v>
      </c>
      <c r="R20" s="9">
        <f t="shared" ref="R20:R23" si="2">AVERAGE(L4,L12,L20)</f>
        <v>-0.5593573017042125</v>
      </c>
      <c r="S20" s="10">
        <f t="shared" ref="S20:S23" si="3">AVERAGE(M4,M12,M20)</f>
        <v>2.9924266411666385</v>
      </c>
    </row>
    <row r="21" spans="1:19" x14ac:dyDescent="0.2">
      <c r="A21" s="2">
        <v>2</v>
      </c>
      <c r="B21" s="3">
        <f>AVERAGE(1,1,1)/(0.002*10^0)</f>
        <v>500</v>
      </c>
      <c r="C21" s="2">
        <f>AVERAGE(2,1,1)/(0.002*10^0)</f>
        <v>666.66666666666663</v>
      </c>
      <c r="D21" s="2">
        <f>AVERAGE(5,2,1)/(0.002*10^0)</f>
        <v>1333.3333333333333</v>
      </c>
      <c r="E21" s="4">
        <f>AVERAGE(2,1,0)/(0.002*10^-1)*E34</f>
        <v>38333.333333333336</v>
      </c>
      <c r="F21" s="2">
        <f>B21/$B$19</f>
        <v>1.5</v>
      </c>
      <c r="G21" s="2">
        <f>C21/$C$19</f>
        <v>4</v>
      </c>
      <c r="H21" s="2">
        <f>D21/$D$19</f>
        <v>2</v>
      </c>
      <c r="I21" s="2">
        <f>E21/$E$19</f>
        <v>30</v>
      </c>
      <c r="J21" s="8">
        <f>LOG(B21/$B$19,2)</f>
        <v>0.58496250072115619</v>
      </c>
      <c r="K21" s="9">
        <f>LOG(C21/$C$19,2)</f>
        <v>2</v>
      </c>
      <c r="L21" s="9">
        <f>LOG(D21/$D$19,2)</f>
        <v>1</v>
      </c>
      <c r="M21" s="10">
        <f>LOG(E21/$E19,2)</f>
        <v>4.9068905956085187</v>
      </c>
      <c r="O21" s="2">
        <v>2</v>
      </c>
      <c r="P21" s="8">
        <f t="shared" si="0"/>
        <v>-0.16180894239008062</v>
      </c>
      <c r="Q21" s="9">
        <f t="shared" si="1"/>
        <v>2.3899750004807707</v>
      </c>
      <c r="R21" s="9">
        <f t="shared" si="2"/>
        <v>-0.66666666666666663</v>
      </c>
      <c r="S21" s="10">
        <f t="shared" si="3"/>
        <v>4.3785697620348003</v>
      </c>
    </row>
    <row r="22" spans="1:19" x14ac:dyDescent="0.2">
      <c r="A22" s="2">
        <v>4</v>
      </c>
      <c r="B22" s="3">
        <f>AVERAGE(2,13,5)/(0.002*10^-2)</f>
        <v>333333.33333333331</v>
      </c>
      <c r="C22" s="2">
        <f>AVERAGE(2,5,3)/(0.002*10^-2)</f>
        <v>166666.66666666666</v>
      </c>
      <c r="D22" s="2">
        <f>AVERAGE(12,10,21)/(0.002*10^-2)</f>
        <v>716666.66666666663</v>
      </c>
      <c r="E22" s="4">
        <f>AVERAGE(2,7,6)/(0.002*10^-2)*E34</f>
        <v>1916666.6666666665</v>
      </c>
      <c r="F22" s="2">
        <f>B22/$B$19</f>
        <v>1000</v>
      </c>
      <c r="G22" s="2">
        <f>C22/$C$19</f>
        <v>1000</v>
      </c>
      <c r="H22" s="2">
        <f>D22/$D$19</f>
        <v>1075</v>
      </c>
      <c r="I22" s="2">
        <f>E22/$E$19</f>
        <v>1499.9999999999998</v>
      </c>
      <c r="J22" s="8">
        <f>LOG(B22/$B$19,2)</f>
        <v>9.965784284662087</v>
      </c>
      <c r="K22" s="9">
        <f>LOG(C22/$C$19,2)</f>
        <v>9.965784284662087</v>
      </c>
      <c r="L22" s="9">
        <f>LOG(D22/$D$19,2)</f>
        <v>10.070120944476823</v>
      </c>
      <c r="M22" s="10">
        <f>LOG(E22/$E19,2)</f>
        <v>10.550746785383243</v>
      </c>
      <c r="O22" s="2">
        <v>4</v>
      </c>
      <c r="P22" s="8">
        <f t="shared" si="0"/>
        <v>9.2991176179954209</v>
      </c>
      <c r="Q22" s="9">
        <f t="shared" si="1"/>
        <v>12.160771784902472</v>
      </c>
      <c r="R22" s="9">
        <f t="shared" si="2"/>
        <v>9.4782163070257006</v>
      </c>
      <c r="S22" s="10">
        <f t="shared" si="3"/>
        <v>10.60524636281087</v>
      </c>
    </row>
    <row r="23" spans="1:19" ht="17" thickBot="1" x14ac:dyDescent="0.25">
      <c r="A23" s="2">
        <v>24</v>
      </c>
      <c r="B23" s="5">
        <f>AVERAGE(25,16,13)/(0.002*10^-5)</f>
        <v>900000000</v>
      </c>
      <c r="C23" s="6">
        <f>AVERAGE(2,1,1)/(0.002*10^-7)</f>
        <v>6666666666.666666</v>
      </c>
      <c r="D23" s="6">
        <f>AVERAGE(52,35,25)/(0.002*10^-6)+D39</f>
        <v>75333333333.333328</v>
      </c>
      <c r="E23" s="6">
        <f>AVERAGE(1,2,5)/(0.002*10^-7)*E34</f>
        <v>102222222222.22221</v>
      </c>
      <c r="F23" s="6">
        <f>B23/$B$19</f>
        <v>2700000</v>
      </c>
      <c r="G23" s="6">
        <f>C23/$C$19</f>
        <v>40000000</v>
      </c>
      <c r="H23" s="6">
        <f>D23/$D$19</f>
        <v>113000000</v>
      </c>
      <c r="I23" s="6">
        <f>E23/$E$19</f>
        <v>79999999.999999985</v>
      </c>
      <c r="J23" s="11">
        <f>LOG(B23/$B$19,2)</f>
        <v>21.364527976600282</v>
      </c>
      <c r="K23" s="19">
        <f>LOG(C23/$C$19,2)</f>
        <v>25.253496664211539</v>
      </c>
      <c r="L23" s="19">
        <f>LOG(D23/$D$11,2)</f>
        <v>26.166785031018208</v>
      </c>
      <c r="M23" s="12">
        <f>LOG(E23/$E$19,2)</f>
        <v>26.253496664211536</v>
      </c>
      <c r="O23" s="2">
        <v>24</v>
      </c>
      <c r="P23" s="11">
        <f t="shared" si="0"/>
        <v>20.586165624314063</v>
      </c>
      <c r="Q23" s="19">
        <f t="shared" si="1"/>
        <v>25.949317611294987</v>
      </c>
      <c r="R23" s="19">
        <f t="shared" si="2"/>
        <v>26.192081307397235</v>
      </c>
      <c r="S23" s="12">
        <f t="shared" si="3"/>
        <v>25.781817497785255</v>
      </c>
    </row>
    <row r="24" spans="1:19" ht="17" thickBot="1" x14ac:dyDescent="0.25"/>
    <row r="25" spans="1:19" ht="68" x14ac:dyDescent="0.2">
      <c r="A25" t="s">
        <v>36</v>
      </c>
      <c r="B25" s="28" t="s">
        <v>13</v>
      </c>
      <c r="C25" s="29"/>
      <c r="D25" s="29"/>
      <c r="E25" s="30"/>
      <c r="I25" s="14" t="s">
        <v>56</v>
      </c>
      <c r="J25" s="31" t="s">
        <v>11</v>
      </c>
      <c r="K25" s="32"/>
      <c r="L25" s="32"/>
      <c r="M25" s="33"/>
      <c r="O25" s="14" t="s">
        <v>58</v>
      </c>
      <c r="P25" s="31" t="s">
        <v>11</v>
      </c>
      <c r="Q25" s="32"/>
      <c r="R25" s="32"/>
      <c r="S25" s="33"/>
    </row>
    <row r="26" spans="1:19" ht="34" x14ac:dyDescent="0.2">
      <c r="A26" s="16" t="s">
        <v>15</v>
      </c>
      <c r="B26" s="15" t="s">
        <v>38</v>
      </c>
      <c r="C26" s="16" t="s">
        <v>41</v>
      </c>
      <c r="D26" s="16" t="s">
        <v>42</v>
      </c>
      <c r="E26" s="17" t="s">
        <v>43</v>
      </c>
      <c r="I26" s="16" t="s">
        <v>15</v>
      </c>
      <c r="J26" s="15" t="s">
        <v>38</v>
      </c>
      <c r="K26" s="16" t="s">
        <v>41</v>
      </c>
      <c r="L26" s="16" t="s">
        <v>42</v>
      </c>
      <c r="M26" s="17" t="s">
        <v>43</v>
      </c>
      <c r="O26" s="16" t="s">
        <v>15</v>
      </c>
      <c r="P26" s="15" t="s">
        <v>38</v>
      </c>
      <c r="Q26" s="16" t="s">
        <v>41</v>
      </c>
      <c r="R26" s="16" t="s">
        <v>42</v>
      </c>
      <c r="S26" s="17" t="s">
        <v>43</v>
      </c>
    </row>
    <row r="27" spans="1:19" x14ac:dyDescent="0.2">
      <c r="A27" s="2">
        <v>0</v>
      </c>
      <c r="B27" s="3">
        <f>AVERAGE(B19,B11,B3)</f>
        <v>666.66666666666663</v>
      </c>
      <c r="C27" s="2">
        <f>AVERAGE(C19,C11,C3)</f>
        <v>166.66666666666666</v>
      </c>
      <c r="D27" s="2">
        <f>AVERAGE(D19,D11,D3)</f>
        <v>777.77777777777771</v>
      </c>
      <c r="E27" s="4">
        <f>AVERAGE(E19,E11,E3)</f>
        <v>1277.7777777777778</v>
      </c>
      <c r="I27" s="2">
        <v>0</v>
      </c>
      <c r="J27" s="8">
        <f>LOG(B27/$B$27,2)</f>
        <v>0</v>
      </c>
      <c r="K27" s="9">
        <f>LOG(C27/$C$27,2)</f>
        <v>0</v>
      </c>
      <c r="L27" s="9">
        <f>LOG(D27/$D$27,2)</f>
        <v>0</v>
      </c>
      <c r="M27" s="10">
        <f>LOG(E27/$E$27,2)</f>
        <v>0</v>
      </c>
      <c r="O27" s="2">
        <v>0</v>
      </c>
      <c r="P27" s="8">
        <f t="shared" ref="P27:S30" si="4">STDEV(J3,J11,J19)</f>
        <v>0</v>
      </c>
      <c r="Q27" s="9">
        <f t="shared" si="4"/>
        <v>0</v>
      </c>
      <c r="R27" s="9">
        <f t="shared" si="4"/>
        <v>0</v>
      </c>
      <c r="S27" s="10">
        <f t="shared" si="4"/>
        <v>0</v>
      </c>
    </row>
    <row r="28" spans="1:19" x14ac:dyDescent="0.2">
      <c r="A28" s="2">
        <v>1</v>
      </c>
      <c r="B28" s="3">
        <f>AVERAGE(B4,B12,B20)</f>
        <v>277.77777777777777</v>
      </c>
      <c r="C28">
        <f>AVERAGE(C4,C12,C20)</f>
        <v>444.4444444444444</v>
      </c>
      <c r="D28" s="2">
        <f t="shared" ref="D28:E31" si="5">AVERAGE(D20,D12,D4)</f>
        <v>666.66666666666674</v>
      </c>
      <c r="E28" s="4">
        <f t="shared" si="5"/>
        <v>10222.222222222223</v>
      </c>
      <c r="I28" s="2">
        <v>1</v>
      </c>
      <c r="J28" s="8">
        <f>LOG(B28/$B$27,2)</f>
        <v>-1.2630344058337937</v>
      </c>
      <c r="K28" s="9">
        <f>LOG(C28/$C$27,2)</f>
        <v>1.4150374992788437</v>
      </c>
      <c r="L28" s="9">
        <f>LOG(D28/$D$27,2)</f>
        <v>-0.22239242133644765</v>
      </c>
      <c r="M28" s="10">
        <f>LOG(E28/$E$27,2)</f>
        <v>3</v>
      </c>
      <c r="O28" s="2">
        <v>1</v>
      </c>
      <c r="P28" s="8">
        <f t="shared" si="4"/>
        <v>1.7180723326116365</v>
      </c>
      <c r="Q28" s="9">
        <f t="shared" si="4"/>
        <v>0.33772825725719763</v>
      </c>
      <c r="R28" s="9">
        <f t="shared" si="4"/>
        <v>1.2579737527803103</v>
      </c>
      <c r="S28" s="10">
        <f t="shared" si="4"/>
        <v>0.18140364505508863</v>
      </c>
    </row>
    <row r="29" spans="1:19" x14ac:dyDescent="0.2">
      <c r="A29" s="2">
        <v>2</v>
      </c>
      <c r="B29" s="3">
        <f>AVERAGE(B5,B13,B21)</f>
        <v>555.55555555555554</v>
      </c>
      <c r="C29" s="2">
        <f>AVERAGE(C21,C13,C5)</f>
        <v>888.8888888888888</v>
      </c>
      <c r="D29" s="2">
        <f t="shared" si="5"/>
        <v>666.66666666666663</v>
      </c>
      <c r="E29" s="4">
        <f t="shared" si="5"/>
        <v>29814.814814814814</v>
      </c>
      <c r="I29" s="2">
        <v>2</v>
      </c>
      <c r="J29" s="8">
        <f>LOG(B29/$B$27,2)</f>
        <v>-0.26303440583379378</v>
      </c>
      <c r="K29" s="9">
        <f>LOG(C29/$C$27,2)</f>
        <v>2.4150374992788439</v>
      </c>
      <c r="L29" s="9">
        <f>LOG(D29/$D$27,2)</f>
        <v>-0.22239242133644782</v>
      </c>
      <c r="M29" s="10">
        <f>LOG(E29/$E$27,2)</f>
        <v>4.5443205162238103</v>
      </c>
      <c r="O29" s="2">
        <v>2</v>
      </c>
      <c r="P29" s="8">
        <f t="shared" si="4"/>
        <v>0.64863512760421627</v>
      </c>
      <c r="Q29" s="9">
        <f t="shared" si="4"/>
        <v>0.33772825725719302</v>
      </c>
      <c r="R29" s="9">
        <f t="shared" si="4"/>
        <v>1.5275252316519468</v>
      </c>
      <c r="S29" s="10">
        <f t="shared" si="4"/>
        <v>0.91507852644682108</v>
      </c>
    </row>
    <row r="30" spans="1:19" x14ac:dyDescent="0.2">
      <c r="A30" s="2">
        <v>4</v>
      </c>
      <c r="B30" s="3">
        <f>AVERAGE(B22,B14,B6)</f>
        <v>388888.88888888882</v>
      </c>
      <c r="C30" s="2">
        <f>AVERAGE(C22,C14,C6)</f>
        <v>1166666.6666666667</v>
      </c>
      <c r="D30" s="2">
        <f t="shared" si="5"/>
        <v>555555.5555555555</v>
      </c>
      <c r="E30" s="4">
        <f t="shared" si="5"/>
        <v>2001851.8518518519</v>
      </c>
      <c r="I30" s="2">
        <v>4</v>
      </c>
      <c r="J30" s="8">
        <f>LOG(B30/$B$27,2)</f>
        <v>9.1881767059985364</v>
      </c>
      <c r="K30" s="9">
        <f>LOG(C30/$C$27,2)</f>
        <v>12.773139206719691</v>
      </c>
      <c r="L30" s="9">
        <f>LOG(D30/$D$27,2)</f>
        <v>9.480357457491845</v>
      </c>
      <c r="M30" s="10">
        <f>LOG(E30/$E$27,2)</f>
        <v>10.613482540731207</v>
      </c>
      <c r="O30" s="2">
        <v>4</v>
      </c>
      <c r="P30" s="8">
        <f t="shared" si="4"/>
        <v>1.3518789017785884</v>
      </c>
      <c r="Q30" s="9">
        <f t="shared" si="4"/>
        <v>1.9232843982290047</v>
      </c>
      <c r="R30" s="9">
        <f t="shared" si="4"/>
        <v>0.63130253969336703</v>
      </c>
      <c r="S30" s="10">
        <f t="shared" si="4"/>
        <v>0.18732837097220711</v>
      </c>
    </row>
    <row r="31" spans="1:19" ht="17" thickBot="1" x14ac:dyDescent="0.25">
      <c r="A31" s="2">
        <v>24</v>
      </c>
      <c r="B31" s="5">
        <f>AVERAGE(B23,B15,B7)</f>
        <v>961111111.11111104</v>
      </c>
      <c r="C31" s="6">
        <f>AVERAGE(C23,C15,C7)</f>
        <v>13888888888.888887</v>
      </c>
      <c r="D31" s="6">
        <f t="shared" si="5"/>
        <v>67333333333.333336</v>
      </c>
      <c r="E31" s="7">
        <f t="shared" si="5"/>
        <v>76666666666.666672</v>
      </c>
      <c r="I31" s="2">
        <v>24</v>
      </c>
      <c r="J31" s="11">
        <f>LOG(B31/$B$27,2)</f>
        <v>20.45930620135238</v>
      </c>
      <c r="K31" s="19">
        <f>LOG(C31/$C$27,2)</f>
        <v>26.312390353265108</v>
      </c>
      <c r="L31" s="19">
        <f>LOG(D31/$D$27,2)</f>
        <v>26.367387630739522</v>
      </c>
      <c r="M31" s="12">
        <f>LOG(E31/$E$27,2)</f>
        <v>25.838459164932694</v>
      </c>
      <c r="O31" s="2">
        <v>24</v>
      </c>
      <c r="P31" s="11">
        <f>STDEV(J15,J23)</f>
        <v>0.85184476493174155</v>
      </c>
      <c r="Q31" s="19">
        <f>STDEV(K7,K15,K23)</f>
        <v>1.2051972333192222</v>
      </c>
      <c r="R31" s="19">
        <f>STDEV(L7,L15,L23)</f>
        <v>0.18347889006805465</v>
      </c>
      <c r="S31" s="12">
        <f>STDEV(M7,M15,M23)</f>
        <v>0.50240044669857631</v>
      </c>
    </row>
    <row r="32" spans="1:19" ht="17" thickBot="1" x14ac:dyDescent="0.25"/>
    <row r="33" spans="1:12" ht="34" x14ac:dyDescent="0.2">
      <c r="B33" s="24" t="s">
        <v>48</v>
      </c>
      <c r="C33" s="25" t="s">
        <v>54</v>
      </c>
      <c r="D33" s="26" t="s">
        <v>55</v>
      </c>
      <c r="E33" s="23" t="s">
        <v>60</v>
      </c>
      <c r="G33" t="s">
        <v>52</v>
      </c>
      <c r="H33" t="s">
        <v>53</v>
      </c>
    </row>
    <row r="34" spans="1:12" x14ac:dyDescent="0.2">
      <c r="B34" s="8" t="s">
        <v>49</v>
      </c>
      <c r="C34" s="9">
        <f>AVERAGE(12,11)/(0.01*10^0)</f>
        <v>1150</v>
      </c>
      <c r="D34" s="10">
        <f>AVERAGE(1,2)/(0.01*10^0)</f>
        <v>150</v>
      </c>
      <c r="E34">
        <f>C34/D34</f>
        <v>7.666666666666667</v>
      </c>
      <c r="G34">
        <f>7/(0.01*10^0)</f>
        <v>700</v>
      </c>
      <c r="H34">
        <f>1/(0.01*10^0)</f>
        <v>100</v>
      </c>
      <c r="I34">
        <f>G34/(G34+(E34*H34))</f>
        <v>0.47727272727272724</v>
      </c>
      <c r="J34">
        <f>AVERAGE(I34:I35)</f>
        <v>0.49395551257253378</v>
      </c>
    </row>
    <row r="35" spans="1:12" x14ac:dyDescent="0.2">
      <c r="B35" s="8" t="s">
        <v>50</v>
      </c>
      <c r="C35" s="9">
        <v>0</v>
      </c>
      <c r="D35" s="10">
        <f>AVERAGE(1,0)/(0.01*10^0)</f>
        <v>50</v>
      </c>
      <c r="G35">
        <f>8/(0.01*10^0)</f>
        <v>800</v>
      </c>
      <c r="H35">
        <f>1/(0.01*10^0)</f>
        <v>100</v>
      </c>
      <c r="I35">
        <f>G35/(G35+(E34*H35))</f>
        <v>0.51063829787234039</v>
      </c>
    </row>
    <row r="36" spans="1:12" ht="17" thickBot="1" x14ac:dyDescent="0.25">
      <c r="B36" s="11" t="s">
        <v>51</v>
      </c>
      <c r="C36" s="19">
        <f>AVERAGE(7,8)/(0.01*10^0)</f>
        <v>750</v>
      </c>
      <c r="D36" s="12">
        <f>AVERAGE(1,1)/(0.01*10^0)</f>
        <v>100</v>
      </c>
      <c r="I36">
        <f>STDEV(I34:I35)</f>
        <v>2.3593021229144955E-2</v>
      </c>
    </row>
    <row r="37" spans="1:12" ht="17" thickBot="1" x14ac:dyDescent="0.25"/>
    <row r="38" spans="1:12" ht="17" x14ac:dyDescent="0.2">
      <c r="B38" s="24" t="s">
        <v>59</v>
      </c>
      <c r="C38" s="25" t="s">
        <v>54</v>
      </c>
      <c r="D38" s="26" t="s">
        <v>55</v>
      </c>
      <c r="E38" s="23"/>
    </row>
    <row r="39" spans="1:12" x14ac:dyDescent="0.2">
      <c r="B39" s="8" t="s">
        <v>49</v>
      </c>
      <c r="C39" s="9">
        <f>AVERAGE(13,20,12)/(0.002*10^-5)</f>
        <v>750000000</v>
      </c>
      <c r="D39" s="10">
        <f>AVERAGE(6,25,3)/(0.002*10^-7)</f>
        <v>56666666666.666664</v>
      </c>
      <c r="E39">
        <f>D39/C39</f>
        <v>75.555555555555557</v>
      </c>
    </row>
    <row r="40" spans="1:12" x14ac:dyDescent="0.2">
      <c r="B40" s="8" t="s">
        <v>50</v>
      </c>
      <c r="C40" s="9">
        <v>0</v>
      </c>
      <c r="D40" s="10">
        <f>AVERAGE(6,25,3)/(0.002*10^-6)</f>
        <v>5666666666.666667</v>
      </c>
    </row>
    <row r="41" spans="1:12" ht="17" thickBot="1" x14ac:dyDescent="0.25">
      <c r="B41" s="11" t="s">
        <v>51</v>
      </c>
      <c r="C41" s="19">
        <f>AVERAGE(3,2,1)/(0.002*10^-6)</f>
        <v>999999999.99999988</v>
      </c>
      <c r="D41" s="12">
        <f>AVERAGE(7,11,25)/(0.002*10^-6)</f>
        <v>7166666666.666667</v>
      </c>
      <c r="E41">
        <f>D41/C41</f>
        <v>7.1666666666666679</v>
      </c>
    </row>
    <row r="43" spans="1:12" ht="17" thickBot="1" x14ac:dyDescent="0.25">
      <c r="B43" t="s">
        <v>61</v>
      </c>
    </row>
    <row r="44" spans="1:12" x14ac:dyDescent="0.2">
      <c r="B44" s="31" t="s">
        <v>50</v>
      </c>
      <c r="C44" s="32"/>
      <c r="D44" s="32"/>
      <c r="E44" s="31" t="s">
        <v>49</v>
      </c>
      <c r="F44" s="32"/>
      <c r="G44" s="32"/>
      <c r="H44" s="31" t="s">
        <v>62</v>
      </c>
      <c r="I44" s="32"/>
      <c r="J44" s="33"/>
      <c r="K44" t="s">
        <v>66</v>
      </c>
    </row>
    <row r="45" spans="1:12" x14ac:dyDescent="0.2">
      <c r="A45" t="s">
        <v>63</v>
      </c>
      <c r="B45" s="8">
        <f>1/(0.002*10^-7)</f>
        <v>5000000000</v>
      </c>
      <c r="C45" s="9">
        <f>2/(0.002*10^-7)</f>
        <v>10000000000</v>
      </c>
      <c r="D45" s="9">
        <f>3/(0.002*10^-7)</f>
        <v>15000000000</v>
      </c>
      <c r="E45" s="8">
        <f>12/(0.002*10^-6)</f>
        <v>6000000000</v>
      </c>
      <c r="F45" s="9">
        <f>7/(0.002*10^-6)</f>
        <v>3500000000</v>
      </c>
      <c r="G45" s="9">
        <f>7/(0.002*10^-6)</f>
        <v>3500000000</v>
      </c>
      <c r="H45" s="8">
        <f>2/(0.002*10^-4)</f>
        <v>10000000</v>
      </c>
      <c r="I45" s="9">
        <f>1/(0.002*10^-4)</f>
        <v>5000000</v>
      </c>
      <c r="J45" s="10">
        <f>3/(0.002*10^-4)</f>
        <v>14999999.999999998</v>
      </c>
      <c r="K45">
        <f>AVERAGE(7,2,6)/(0.002*10^-8)</f>
        <v>249999999999.99997</v>
      </c>
      <c r="L45" t="s">
        <v>36</v>
      </c>
    </row>
    <row r="46" spans="1:12" x14ac:dyDescent="0.2">
      <c r="A46" t="s">
        <v>64</v>
      </c>
      <c r="B46" s="8">
        <f>1/(0.002*10^-7)</f>
        <v>5000000000</v>
      </c>
      <c r="C46" s="9">
        <f>1/(0.002*10^-7)</f>
        <v>5000000000</v>
      </c>
      <c r="D46" s="9">
        <f>1/(0.002*10^-7)</f>
        <v>5000000000</v>
      </c>
      <c r="E46" s="8">
        <f>2/(0.002*10^-7)</f>
        <v>10000000000</v>
      </c>
      <c r="F46" s="9">
        <f>20/(0.002*10^-7)</f>
        <v>100000000000</v>
      </c>
      <c r="G46" s="9">
        <f>27/(0.002*10^-7)</f>
        <v>135000000000</v>
      </c>
      <c r="H46" s="8">
        <f>20/(0.002*10^-4)</f>
        <v>99999999.999999985</v>
      </c>
      <c r="I46" s="9">
        <f>20/(0.002*10^-4)</f>
        <v>99999999.999999985</v>
      </c>
      <c r="J46" s="10">
        <f>32/(0.002*10^-4)</f>
        <v>160000000</v>
      </c>
      <c r="K46">
        <f>7/(0.002*10^-8)</f>
        <v>349999999999.99994</v>
      </c>
    </row>
    <row r="47" spans="1:12" ht="17" thickBot="1" x14ac:dyDescent="0.25">
      <c r="A47" t="s">
        <v>65</v>
      </c>
      <c r="B47" s="11">
        <f>5/(0.002*10^-7)</f>
        <v>25000000000</v>
      </c>
      <c r="C47" s="19">
        <f>1/(0.002*10^-7)</f>
        <v>5000000000</v>
      </c>
      <c r="D47" s="19">
        <f>0/(0.002*10^-7)</f>
        <v>0</v>
      </c>
      <c r="E47" s="11">
        <f>37/(0.002*10^-6)</f>
        <v>18500000000</v>
      </c>
      <c r="F47" s="19">
        <f>0/(0.002*10^-6)</f>
        <v>0</v>
      </c>
      <c r="G47" s="19">
        <f>51/(0.002*10^-6)</f>
        <v>25500000000</v>
      </c>
      <c r="H47" s="11">
        <f>23/(0.002*10^-4)</f>
        <v>114999999.99999999</v>
      </c>
      <c r="I47" s="19">
        <f>52/(0.002*10^-4)</f>
        <v>259999999.99999997</v>
      </c>
      <c r="J47" s="12">
        <f>37/(0.002*10^-4)</f>
        <v>184999999.99999997</v>
      </c>
      <c r="K47">
        <f>2/(0.002*10^-8)</f>
        <v>99999999999.999985</v>
      </c>
    </row>
    <row r="48" spans="1:12" x14ac:dyDescent="0.2">
      <c r="K48">
        <f>6/(0.002*10^-8)</f>
        <v>300000000000</v>
      </c>
    </row>
    <row r="49" spans="1:13" ht="17" thickBot="1" x14ac:dyDescent="0.25">
      <c r="B49" t="s">
        <v>67</v>
      </c>
      <c r="F49" t="s">
        <v>68</v>
      </c>
      <c r="K49">
        <f>STDEV(K46:K48)</f>
        <v>132287565553.22948</v>
      </c>
      <c r="L49" t="s">
        <v>37</v>
      </c>
    </row>
    <row r="50" spans="1:13" x14ac:dyDescent="0.2">
      <c r="B50" s="18" t="s">
        <v>50</v>
      </c>
      <c r="C50" s="25" t="s">
        <v>49</v>
      </c>
      <c r="D50" s="26" t="s">
        <v>62</v>
      </c>
      <c r="F50" s="18" t="s">
        <v>50</v>
      </c>
      <c r="G50" s="25" t="s">
        <v>49</v>
      </c>
      <c r="H50" s="26" t="s">
        <v>62</v>
      </c>
    </row>
    <row r="51" spans="1:13" x14ac:dyDescent="0.2">
      <c r="A51" t="s">
        <v>63</v>
      </c>
      <c r="B51" s="8">
        <f>AVERAGE(B45,C45,D45)</f>
        <v>10000000000</v>
      </c>
      <c r="C51" s="9">
        <f>AVERAGE(E45,F45,G45)</f>
        <v>4333333333.333333</v>
      </c>
      <c r="D51" s="10">
        <f>AVERAGE(H45,I45,J45)</f>
        <v>10000000</v>
      </c>
      <c r="F51" s="8">
        <f>STDEV(B45,C45,D45)</f>
        <v>5000000000</v>
      </c>
      <c r="G51" s="9">
        <f>STDEV(E45,F45,G45)</f>
        <v>1443375672.9740639</v>
      </c>
      <c r="H51" s="10">
        <f>STDEV(H45,I45,J45)</f>
        <v>4999999.9999999972</v>
      </c>
    </row>
    <row r="52" spans="1:13" x14ac:dyDescent="0.2">
      <c r="A52" t="s">
        <v>64</v>
      </c>
      <c r="B52" s="8">
        <f>AVERAGE(B46,C46,D46)</f>
        <v>5000000000</v>
      </c>
      <c r="C52" s="9">
        <f>AVERAGE(E46,F46,G46)</f>
        <v>81666666666.666672</v>
      </c>
      <c r="D52" s="10">
        <f>AVERAGE(H46,I46,J46)</f>
        <v>120000000</v>
      </c>
      <c r="F52" s="8">
        <f>STDEV(B46,C46,D46)</f>
        <v>0</v>
      </c>
      <c r="G52" s="9">
        <f>STDEV(E46,F46,G46)</f>
        <v>64485140407.177017</v>
      </c>
      <c r="H52" s="10">
        <f>STDEV(H46,I46,J46)</f>
        <v>34641016.151377544</v>
      </c>
    </row>
    <row r="53" spans="1:13" ht="17" thickBot="1" x14ac:dyDescent="0.25">
      <c r="A53" t="s">
        <v>65</v>
      </c>
      <c r="B53" s="11">
        <f>AVERAGE(B47,C47,D47)</f>
        <v>10000000000</v>
      </c>
      <c r="C53" s="19">
        <f>AVERAGE(E47,F47,G47)</f>
        <v>14666666666.666666</v>
      </c>
      <c r="D53" s="12">
        <f>AVERAGE(H47,I47,J47)</f>
        <v>186666666.66666663</v>
      </c>
      <c r="F53" s="11">
        <f>STDEV(B47,C47,D47)</f>
        <v>13228756555.322952</v>
      </c>
      <c r="G53" s="19">
        <f>STDEV(E47,F47,G47)</f>
        <v>13175102782.647779</v>
      </c>
      <c r="H53" s="12">
        <f>STDEV(H47,I47,J47)</f>
        <v>72514366.392690331</v>
      </c>
    </row>
    <row r="54" spans="1:13" ht="34" x14ac:dyDescent="0.2">
      <c r="A54" s="14" t="s">
        <v>101</v>
      </c>
      <c r="B54">
        <f>AVERAGE(B51:B53)</f>
        <v>8333333333.333333</v>
      </c>
      <c r="C54">
        <f>AVERAGE(C51:C53)</f>
        <v>33555555555.555557</v>
      </c>
      <c r="D54">
        <f>AVERAGE(D51:D53)</f>
        <v>105555555.55555554</v>
      </c>
      <c r="E54" s="14" t="s">
        <v>102</v>
      </c>
      <c r="F54">
        <f>AVERAGE(F51:F53)</f>
        <v>6076252185.1076508</v>
      </c>
      <c r="G54">
        <f>AVERAGE(G51:G53)</f>
        <v>26367872954.266285</v>
      </c>
      <c r="H54">
        <f>AVERAGE(H51:H53)</f>
        <v>37385127.514689289</v>
      </c>
    </row>
    <row r="56" spans="1:13" ht="34" x14ac:dyDescent="0.2">
      <c r="A56" s="14" t="s">
        <v>89</v>
      </c>
      <c r="B56" s="14" t="s">
        <v>91</v>
      </c>
      <c r="C56" s="14" t="s">
        <v>92</v>
      </c>
      <c r="D56" s="14" t="s">
        <v>100</v>
      </c>
      <c r="E56" s="14" t="s">
        <v>95</v>
      </c>
      <c r="J56" s="9"/>
      <c r="K56" s="9"/>
      <c r="L56" s="9"/>
      <c r="M56" s="9"/>
    </row>
    <row r="57" spans="1:13" x14ac:dyDescent="0.2">
      <c r="A57" t="s">
        <v>53</v>
      </c>
      <c r="B57">
        <v>0.39900000000000002</v>
      </c>
      <c r="C57" t="s">
        <v>99</v>
      </c>
      <c r="D57">
        <v>7.9799999999999996E-2</v>
      </c>
      <c r="E57">
        <f>(D57*E60)/B60</f>
        <v>17211764.705882356</v>
      </c>
      <c r="J57" s="9"/>
      <c r="K57" s="9"/>
      <c r="L57" s="9"/>
      <c r="M57" s="9"/>
    </row>
    <row r="58" spans="1:13" x14ac:dyDescent="0.2">
      <c r="J58" s="9"/>
      <c r="K58" s="9"/>
      <c r="L58" s="9"/>
      <c r="M58" s="9"/>
    </row>
    <row r="59" spans="1:13" x14ac:dyDescent="0.2">
      <c r="J59" s="9"/>
      <c r="K59" s="9"/>
      <c r="L59" s="9"/>
      <c r="M59" s="9"/>
    </row>
    <row r="60" spans="1:13" x14ac:dyDescent="0.2">
      <c r="A60" t="s">
        <v>111</v>
      </c>
      <c r="B60" s="1">
        <v>0.10199999999999999</v>
      </c>
      <c r="E60">
        <v>22000000</v>
      </c>
      <c r="J60" s="9"/>
      <c r="K60" s="9"/>
      <c r="L60" s="9"/>
      <c r="M60" s="9"/>
    </row>
  </sheetData>
  <mergeCells count="16">
    <mergeCell ref="P17:S17"/>
    <mergeCell ref="B17:E17"/>
    <mergeCell ref="F17:I17"/>
    <mergeCell ref="J17:M17"/>
    <mergeCell ref="B25:E25"/>
    <mergeCell ref="J25:M25"/>
    <mergeCell ref="P25:S25"/>
    <mergeCell ref="B44:D44"/>
    <mergeCell ref="E44:G44"/>
    <mergeCell ref="H44:J44"/>
    <mergeCell ref="B1:E1"/>
    <mergeCell ref="F1:I1"/>
    <mergeCell ref="J1:M1"/>
    <mergeCell ref="B9:E9"/>
    <mergeCell ref="F9:I9"/>
    <mergeCell ref="J9:M9"/>
  </mergeCell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2F22F-E7B7-9A49-8E45-D84D09741B35}">
  <dimension ref="A1:V64"/>
  <sheetViews>
    <sheetView tabSelected="1" workbookViewId="0">
      <selection activeCell="D24" sqref="D24"/>
    </sheetView>
  </sheetViews>
  <sheetFormatPr baseColWidth="10" defaultRowHeight="16" x14ac:dyDescent="0.2"/>
  <cols>
    <col min="2" max="5" width="12.1640625" bestFit="1" customWidth="1"/>
    <col min="6" max="6" width="11.1640625" bestFit="1" customWidth="1"/>
    <col min="7" max="7" width="12.1640625" bestFit="1" customWidth="1"/>
    <col min="11" max="11" width="12.1640625" bestFit="1" customWidth="1"/>
    <col min="13" max="13" width="11.1640625" bestFit="1" customWidth="1"/>
    <col min="14" max="14" width="12.1640625" bestFit="1" customWidth="1"/>
    <col min="15" max="15" width="11.1640625" bestFit="1" customWidth="1"/>
    <col min="16" max="17" width="12.1640625" bestFit="1" customWidth="1"/>
    <col min="20" max="20" width="11.1640625" bestFit="1" customWidth="1"/>
    <col min="22" max="22" width="12.1640625" bestFit="1" customWidth="1"/>
  </cols>
  <sheetData>
    <row r="1" spans="1:21" x14ac:dyDescent="0.2">
      <c r="A1" s="2" t="s">
        <v>30</v>
      </c>
      <c r="B1" s="28" t="s">
        <v>13</v>
      </c>
      <c r="C1" s="29"/>
      <c r="D1" s="29"/>
      <c r="E1" s="30"/>
      <c r="F1" s="29" t="s">
        <v>12</v>
      </c>
      <c r="G1" s="29"/>
      <c r="H1" s="29"/>
      <c r="I1" s="29"/>
      <c r="J1" s="31" t="s">
        <v>11</v>
      </c>
      <c r="K1" s="32"/>
      <c r="L1" s="32"/>
      <c r="M1" s="33"/>
      <c r="P1" t="s">
        <v>69</v>
      </c>
    </row>
    <row r="2" spans="1:21" ht="34" x14ac:dyDescent="0.2">
      <c r="A2" s="16" t="s">
        <v>15</v>
      </c>
      <c r="B2" s="15" t="s">
        <v>38</v>
      </c>
      <c r="C2" s="16" t="s">
        <v>41</v>
      </c>
      <c r="D2" s="16" t="s">
        <v>42</v>
      </c>
      <c r="E2" s="17" t="s">
        <v>43</v>
      </c>
      <c r="F2" s="16" t="s">
        <v>38</v>
      </c>
      <c r="G2" s="16" t="s">
        <v>41</v>
      </c>
      <c r="H2" s="16" t="s">
        <v>42</v>
      </c>
      <c r="I2" s="17" t="s">
        <v>43</v>
      </c>
      <c r="J2" s="15" t="s">
        <v>38</v>
      </c>
      <c r="K2" s="16" t="s">
        <v>41</v>
      </c>
      <c r="L2" s="16" t="s">
        <v>42</v>
      </c>
      <c r="M2" s="17" t="s">
        <v>43</v>
      </c>
      <c r="P2" s="21" t="s">
        <v>72</v>
      </c>
      <c r="R2" t="s">
        <v>70</v>
      </c>
      <c r="S2" t="s">
        <v>71</v>
      </c>
      <c r="T2" t="s">
        <v>73</v>
      </c>
      <c r="U2" t="s">
        <v>74</v>
      </c>
    </row>
    <row r="3" spans="1:21" ht="34" x14ac:dyDescent="0.2">
      <c r="A3" s="2">
        <v>0</v>
      </c>
      <c r="B3" s="3">
        <f>AVERAGE(1,0,0)/(0.002*10^0)</f>
        <v>166.66666666666666</v>
      </c>
      <c r="C3" s="2">
        <f>AVERAGE(1,1,1)/(0.002*10^0)</f>
        <v>500</v>
      </c>
      <c r="D3" s="2">
        <f>AVERAGE(1,1,1)/(0.002*10^0)</f>
        <v>500</v>
      </c>
      <c r="E3" s="4">
        <f>AVERAGE(1,1,1)/(0.002*10^0)*E34</f>
        <v>3833.3333333333335</v>
      </c>
      <c r="F3" s="2">
        <f>B3/$B$3</f>
        <v>1</v>
      </c>
      <c r="G3" s="2">
        <f>C3/$C$3</f>
        <v>1</v>
      </c>
      <c r="H3" s="2">
        <f>D3/$D$3</f>
        <v>1</v>
      </c>
      <c r="I3" s="2">
        <f>E3/$E$3</f>
        <v>1</v>
      </c>
      <c r="J3" s="8">
        <f>LOG(B3/$B$3,2)</f>
        <v>0</v>
      </c>
      <c r="K3" s="9">
        <f>LOG(C3/$C$3,2)</f>
        <v>0</v>
      </c>
      <c r="L3" s="9">
        <f>LOG(D3/$D$3,2)</f>
        <v>0</v>
      </c>
      <c r="M3" s="10">
        <f>LOG(E3/$E$3,2)</f>
        <v>0</v>
      </c>
      <c r="O3" s="14" t="s">
        <v>76</v>
      </c>
      <c r="P3">
        <f>C36/(C36+(E34*D36))</f>
        <v>0.49450549450549447</v>
      </c>
      <c r="Q3">
        <v>1</v>
      </c>
      <c r="R3">
        <f>D7/(E7+D7)</f>
        <v>0.23696682464454971</v>
      </c>
      <c r="S3">
        <f>R3-P3</f>
        <v>-0.25753866986094476</v>
      </c>
      <c r="T3">
        <f>AVERAGE(S3:S5)</f>
        <v>-1.8277894180190917E-2</v>
      </c>
      <c r="U3">
        <f>STDEV(S3:S5)</f>
        <v>0.20724730479924858</v>
      </c>
    </row>
    <row r="4" spans="1:21" ht="17" x14ac:dyDescent="0.2">
      <c r="A4" s="2">
        <v>1</v>
      </c>
      <c r="B4" s="3">
        <f>AVERAGE(0,1,0)/(0.002*10^0)</f>
        <v>166.66666666666666</v>
      </c>
      <c r="C4" s="2">
        <f>AVERAGE(1,0,0)/(0.002*10^0)</f>
        <v>166.66666666666666</v>
      </c>
      <c r="D4" s="2">
        <f>AVERAGE(0,0,1)/(0.002*10^0)</f>
        <v>166.66666666666666</v>
      </c>
      <c r="E4" s="4">
        <f>AVERAGE(1,0,0)/(0.002*10^0)*E34</f>
        <v>1277.7777777777778</v>
      </c>
      <c r="F4" s="2">
        <f>B4/$B$3</f>
        <v>1</v>
      </c>
      <c r="G4" s="2">
        <f>C4/$C$3</f>
        <v>0.33333333333333331</v>
      </c>
      <c r="H4" s="2">
        <f>D4/$D$3</f>
        <v>0.33333333333333331</v>
      </c>
      <c r="I4" s="2">
        <f>E4/$E$3</f>
        <v>0.33333333333333331</v>
      </c>
      <c r="J4" s="8">
        <f>LOG(B4/$B$3,2)</f>
        <v>0</v>
      </c>
      <c r="K4" s="9">
        <f>LOG(C4/$C$3,2)</f>
        <v>-1.5849625007211563</v>
      </c>
      <c r="L4" s="9">
        <f>LOG(D4/$D$3,2)</f>
        <v>-1.5849625007211563</v>
      </c>
      <c r="M4" s="10">
        <f>LOG(E4/$E$3,2)</f>
        <v>-1.5849625007211563</v>
      </c>
      <c r="O4" s="14" t="s">
        <v>77</v>
      </c>
      <c r="Q4">
        <v>2</v>
      </c>
      <c r="R4">
        <f>D15/(E15+D15)</f>
        <v>0.6</v>
      </c>
      <c r="S4">
        <f>R4-P3</f>
        <v>0.10549450549450551</v>
      </c>
    </row>
    <row r="5" spans="1:21" x14ac:dyDescent="0.2">
      <c r="A5" s="2">
        <v>2</v>
      </c>
      <c r="B5" s="3">
        <f>AVERAGE(2,0,0)/(0.002*10^0)</f>
        <v>333.33333333333331</v>
      </c>
      <c r="C5" s="2">
        <f>AVERAGE(2,1,0)/(0.002*10^0)</f>
        <v>500</v>
      </c>
      <c r="D5" s="2">
        <f>AVERAGE(1,0,0)/(0.002*10^0)</f>
        <v>166.66666666666666</v>
      </c>
      <c r="E5" s="4">
        <f>AVERAGE(1,1,1)/(0.002*10^0)*E34</f>
        <v>3833.3333333333335</v>
      </c>
      <c r="F5" s="2">
        <f>B5/$B$3</f>
        <v>2</v>
      </c>
      <c r="G5" s="2">
        <f>C5/$C$3</f>
        <v>1</v>
      </c>
      <c r="H5" s="2">
        <f>D5/$D$3</f>
        <v>0.33333333333333331</v>
      </c>
      <c r="I5" s="2">
        <f>E5/$E$3</f>
        <v>1</v>
      </c>
      <c r="J5" s="8">
        <f>LOG(B5/$B$3,2)</f>
        <v>1</v>
      </c>
      <c r="K5" s="9">
        <f>LOG(C5/$C$3,2)</f>
        <v>0</v>
      </c>
      <c r="L5" s="9">
        <f>LOG(D5/$D$3,2)</f>
        <v>-1.5849625007211563</v>
      </c>
      <c r="M5" s="10">
        <f>LOG(E5/$E$3,2)</f>
        <v>0</v>
      </c>
      <c r="Q5">
        <v>3</v>
      </c>
      <c r="R5">
        <f>D23/(E23+D23)</f>
        <v>0.59171597633136097</v>
      </c>
      <c r="S5">
        <f>R5-P3</f>
        <v>9.7210481825866502E-2</v>
      </c>
    </row>
    <row r="6" spans="1:21" x14ac:dyDescent="0.2">
      <c r="A6" s="2">
        <v>4</v>
      </c>
      <c r="B6" s="3">
        <f>AVERAGE(1,2,1)/(0.002*10^0)</f>
        <v>666.66666666666663</v>
      </c>
      <c r="C6" s="2">
        <f>AVERAGE(1,1,6)/(0.002*10^-2)</f>
        <v>133333.33333333331</v>
      </c>
      <c r="D6" s="2">
        <f>AVERAGE(1,1,1)/(0.002*10^0)</f>
        <v>500</v>
      </c>
      <c r="E6" s="4">
        <f>AVERAGE(2,3,2)/(0.002*10^-1)*E34</f>
        <v>89444.444444444438</v>
      </c>
      <c r="F6" s="2">
        <f>B6/$B$3</f>
        <v>4</v>
      </c>
      <c r="G6" s="2">
        <f>C6/$C$3</f>
        <v>266.66666666666663</v>
      </c>
      <c r="H6" s="2">
        <f>D6/$D$3</f>
        <v>1</v>
      </c>
      <c r="I6" s="2">
        <f>E6/$E$3</f>
        <v>23.333333333333332</v>
      </c>
      <c r="J6" s="8">
        <f>LOG(B6/$B$3,2)</f>
        <v>2</v>
      </c>
      <c r="K6" s="9">
        <f>LOG(C6/$C$3,2)</f>
        <v>8.0588936890535674</v>
      </c>
      <c r="L6" s="9">
        <f>LOG(D6/$D$3,2)</f>
        <v>0</v>
      </c>
      <c r="M6" s="10">
        <f>LOG(E6/$E$3,2)</f>
        <v>4.5443205162238103</v>
      </c>
      <c r="R6">
        <f>AVERAGE(R3:R5)</f>
        <v>0.47622760032530359</v>
      </c>
    </row>
    <row r="7" spans="1:21" ht="17" thickBot="1" x14ac:dyDescent="0.25">
      <c r="A7" s="2">
        <v>24</v>
      </c>
      <c r="B7" s="5">
        <f>AVERAGE(2,2,2)/(0.002*10^-7)</f>
        <v>10000000000</v>
      </c>
      <c r="C7" s="6">
        <f>AVERAGE(4,3,5)/(0.002*10^-6)</f>
        <v>1999999999.9999998</v>
      </c>
      <c r="D7" s="6">
        <f>AVERAGE(1,2,2)/(0.002*10^-7)</f>
        <v>8333333333.333333</v>
      </c>
      <c r="E7" s="7">
        <f>AVERAGE(5,9,7)/(0.002*10^-6)*E34</f>
        <v>26833333333.333336</v>
      </c>
      <c r="F7" s="6">
        <f>B7/$B$3</f>
        <v>60000000</v>
      </c>
      <c r="G7" s="6">
        <f>C7/$C$3</f>
        <v>3999999.9999999995</v>
      </c>
      <c r="H7" s="6">
        <f>D7/$D$3</f>
        <v>16666666.666666666</v>
      </c>
      <c r="I7" s="6">
        <f>E7/$E$3</f>
        <v>7000000</v>
      </c>
      <c r="J7" s="11">
        <f>LOG(B7/$B$3,2)</f>
        <v>25.838459164932694</v>
      </c>
      <c r="K7" s="19">
        <f>LOG(C7/$C$3,2)</f>
        <v>21.931568569324174</v>
      </c>
      <c r="L7" s="19">
        <f>LOG(D7/$D$3,2)</f>
        <v>23.990462258377743</v>
      </c>
      <c r="M7" s="12">
        <f>LOG(E7/$E$3,2)</f>
        <v>22.738923491381779</v>
      </c>
    </row>
    <row r="8" spans="1:21" ht="17" thickBot="1" x14ac:dyDescent="0.25">
      <c r="B8" s="9"/>
      <c r="C8" s="9"/>
      <c r="D8" s="9"/>
      <c r="E8" s="9"/>
      <c r="F8" s="9"/>
      <c r="G8" s="9"/>
      <c r="H8" s="9"/>
      <c r="I8" s="9"/>
    </row>
    <row r="9" spans="1:21" x14ac:dyDescent="0.2">
      <c r="A9" s="2" t="s">
        <v>31</v>
      </c>
      <c r="B9" s="28" t="s">
        <v>13</v>
      </c>
      <c r="C9" s="29"/>
      <c r="D9" s="29"/>
      <c r="E9" s="30"/>
      <c r="F9" s="29" t="s">
        <v>12</v>
      </c>
      <c r="G9" s="29"/>
      <c r="H9" s="29"/>
      <c r="I9" s="29"/>
      <c r="J9" s="31" t="s">
        <v>11</v>
      </c>
      <c r="K9" s="32"/>
      <c r="L9" s="32"/>
      <c r="M9" s="33"/>
    </row>
    <row r="10" spans="1:21" ht="34" x14ac:dyDescent="0.2">
      <c r="A10" s="16" t="s">
        <v>15</v>
      </c>
      <c r="B10" s="15" t="s">
        <v>38</v>
      </c>
      <c r="C10" s="16" t="s">
        <v>41</v>
      </c>
      <c r="D10" s="16" t="s">
        <v>42</v>
      </c>
      <c r="E10" s="17" t="s">
        <v>43</v>
      </c>
      <c r="F10" s="16" t="s">
        <v>38</v>
      </c>
      <c r="G10" s="16" t="s">
        <v>41</v>
      </c>
      <c r="H10" s="16" t="s">
        <v>42</v>
      </c>
      <c r="I10" s="17" t="s">
        <v>43</v>
      </c>
      <c r="J10" s="15" t="s">
        <v>38</v>
      </c>
      <c r="K10" s="16" t="s">
        <v>41</v>
      </c>
      <c r="L10" s="16" t="s">
        <v>42</v>
      </c>
      <c r="M10" s="17" t="s">
        <v>43</v>
      </c>
    </row>
    <row r="11" spans="1:21" x14ac:dyDescent="0.2">
      <c r="A11" s="2">
        <v>0</v>
      </c>
      <c r="B11" s="3">
        <v>1</v>
      </c>
      <c r="C11" s="2">
        <f>AVERAGE(1,0,0)/(0.002*10^0)</f>
        <v>166.66666666666666</v>
      </c>
      <c r="D11" s="2">
        <f>AVERAGE(1,1,0)/(0.002*10^0)</f>
        <v>333.33333333333331</v>
      </c>
      <c r="E11" s="4">
        <f>AVERAGE(1,1,1)/(0.002*10^0)*E34</f>
        <v>3833.3333333333335</v>
      </c>
      <c r="F11" s="2">
        <f>B11/$B$11</f>
        <v>1</v>
      </c>
      <c r="G11" s="2">
        <f>C11/$C$11</f>
        <v>1</v>
      </c>
      <c r="H11" s="2">
        <f>D11/$D$11</f>
        <v>1</v>
      </c>
      <c r="I11" s="2">
        <f>E11/$E$11</f>
        <v>1</v>
      </c>
      <c r="J11" s="8">
        <f>LOG(B11/$B$11,2)</f>
        <v>0</v>
      </c>
      <c r="K11" s="9">
        <f>LOG(C11/$C$11,2)</f>
        <v>0</v>
      </c>
      <c r="L11" s="9">
        <f>LOG(D11/$D$11,2)</f>
        <v>0</v>
      </c>
      <c r="M11" s="10">
        <f>LOG(E11/$E$11,2)</f>
        <v>0</v>
      </c>
    </row>
    <row r="12" spans="1:21" x14ac:dyDescent="0.2">
      <c r="A12" s="2">
        <v>1</v>
      </c>
      <c r="B12" s="3">
        <f>AVERAGE(0,1,0)/(0.002*10^0)</f>
        <v>166.66666666666666</v>
      </c>
      <c r="C12" s="2">
        <v>1</v>
      </c>
      <c r="D12" s="2">
        <v>1</v>
      </c>
      <c r="E12" s="4">
        <f>AVERAGE(1,0,0)/(0.002*10^0)*E34</f>
        <v>1277.7777777777778</v>
      </c>
      <c r="F12" s="2">
        <f>B12/$B$11</f>
        <v>166.66666666666666</v>
      </c>
      <c r="G12" s="2">
        <f>C12/$C$11</f>
        <v>6.0000000000000001E-3</v>
      </c>
      <c r="H12" s="2">
        <f>D12/$D$11</f>
        <v>3.0000000000000001E-3</v>
      </c>
      <c r="I12" s="2">
        <f>E12/$E$11</f>
        <v>0.33333333333333331</v>
      </c>
      <c r="J12" s="8">
        <f>LOG(B12/$B$11,2)</f>
        <v>7.3808217839409318</v>
      </c>
      <c r="K12" s="9">
        <f>LOG(C12/$C$11,2)</f>
        <v>-7.3808217839409318</v>
      </c>
      <c r="L12" s="9">
        <f>LOG(D12/$D$11,2)</f>
        <v>-8.3808217839409309</v>
      </c>
      <c r="M12" s="10">
        <f>LOG(E12/$E11,2)</f>
        <v>-1.5849625007211563</v>
      </c>
    </row>
    <row r="13" spans="1:21" x14ac:dyDescent="0.2">
      <c r="A13" s="2">
        <v>2</v>
      </c>
      <c r="B13" s="3">
        <f>AVERAGE(1,0,0)/(0.002*10^0)</f>
        <v>166.66666666666666</v>
      </c>
      <c r="C13" s="2">
        <f>AVERAGE(1,1,0)/(0.002*10^0)</f>
        <v>333.33333333333331</v>
      </c>
      <c r="D13" s="2">
        <f>AVERAGE(1,0,0)/(0.002*10^0)</f>
        <v>166.66666666666666</v>
      </c>
      <c r="E13" s="4">
        <f>AVERAGE(1,1,0)/(0.002*10^-1)*E34</f>
        <v>25555.555555555555</v>
      </c>
      <c r="F13" s="2">
        <f>B13/$B$11</f>
        <v>166.66666666666666</v>
      </c>
      <c r="G13" s="2">
        <f>C13/$C$11</f>
        <v>2</v>
      </c>
      <c r="H13" s="2">
        <f>D13/$D$11</f>
        <v>0.5</v>
      </c>
      <c r="I13" s="2">
        <f>E13/$E$11</f>
        <v>6.6666666666666661</v>
      </c>
      <c r="J13" s="8">
        <f>LOG(B13/$B$11,2)</f>
        <v>7.3808217839409318</v>
      </c>
      <c r="K13" s="9">
        <f>LOG(C13/$C$11,2)</f>
        <v>1</v>
      </c>
      <c r="L13" s="9">
        <f>LOG(D13/$D$11,2)</f>
        <v>-1</v>
      </c>
      <c r="M13" s="10">
        <f>LOG(E13/$E11,2)</f>
        <v>2.7369655941662061</v>
      </c>
    </row>
    <row r="14" spans="1:21" x14ac:dyDescent="0.2">
      <c r="A14" s="2">
        <v>4</v>
      </c>
      <c r="B14" s="3">
        <f>AVERAGE(1,1,1)/(0.002*10^0)</f>
        <v>500</v>
      </c>
      <c r="C14" s="2">
        <f>AVERAGE(1,1,6)/(0.002*10^-2)</f>
        <v>133333.33333333331</v>
      </c>
      <c r="D14" s="2">
        <f>AVERAGE(1,1,1)/(0.002*10^0)</f>
        <v>500</v>
      </c>
      <c r="E14" s="4">
        <f>AVERAGE(9,7,8)/(0.002*10^-1)*E34</f>
        <v>306666.66666666669</v>
      </c>
      <c r="F14" s="2">
        <f>B14/$B$11</f>
        <v>500</v>
      </c>
      <c r="G14" s="2">
        <f>C14/$C$11</f>
        <v>799.99999999999989</v>
      </c>
      <c r="H14" s="2">
        <f>D14/$D$11</f>
        <v>1.5</v>
      </c>
      <c r="I14" s="2">
        <f>E14/$E$11</f>
        <v>80</v>
      </c>
      <c r="J14" s="8">
        <f>LOG(B14/$B$11,2)</f>
        <v>8.965784284662087</v>
      </c>
      <c r="K14" s="9">
        <f>LOG(C14/$C$11,2)</f>
        <v>9.6438561897747253</v>
      </c>
      <c r="L14" s="9">
        <f>LOG(D14/$D$11,2)</f>
        <v>0.58496250072115619</v>
      </c>
      <c r="M14" s="10">
        <f>LOG(E14/$E11,2)</f>
        <v>6.3219280948873617</v>
      </c>
    </row>
    <row r="15" spans="1:21" ht="17" thickBot="1" x14ac:dyDescent="0.25">
      <c r="A15" s="2">
        <v>24</v>
      </c>
      <c r="B15" s="5">
        <f>AVERAGE(3,2,5)/(0.002*10^-7)</f>
        <v>16666666666.666666</v>
      </c>
      <c r="C15" s="6">
        <f>AVERAGE(2,5,5)/(0.002*10^-6)</f>
        <v>1999999999.9999998</v>
      </c>
      <c r="D15" s="6">
        <f>AVERAGE(12,6,5)/(0.002*10^-7)</f>
        <v>38333333333.333336</v>
      </c>
      <c r="E15" s="7">
        <f>AVERAGE(9,4,7)/(0.002*10^-6)*E34</f>
        <v>25555555555.555557</v>
      </c>
      <c r="F15" s="6">
        <f>B15/$B$11</f>
        <v>16666666666.666666</v>
      </c>
      <c r="G15" s="6">
        <f>C15/$C$11</f>
        <v>12000000</v>
      </c>
      <c r="H15" s="6">
        <f>D15/$D$11</f>
        <v>115000000.00000001</v>
      </c>
      <c r="I15" s="6">
        <f>E15/$E$11</f>
        <v>6666666.666666667</v>
      </c>
      <c r="J15" s="11">
        <f>LOG(B15/$B$11,2)</f>
        <v>33.956246543039832</v>
      </c>
      <c r="K15" s="19">
        <f>LOG(C15/$C$11,2)</f>
        <v>23.516531070045332</v>
      </c>
      <c r="L15" s="19">
        <f>LOG(D15/$D$11,2)</f>
        <v>26.777058620268548</v>
      </c>
      <c r="M15" s="12">
        <f>LOG(E15/$E$11,2)</f>
        <v>22.668534163490381</v>
      </c>
    </row>
    <row r="16" spans="1:21" ht="17" thickBot="1" x14ac:dyDescent="0.25">
      <c r="B16" s="9"/>
      <c r="C16" s="9"/>
      <c r="D16" s="9"/>
      <c r="E16" s="9"/>
      <c r="F16" s="9"/>
      <c r="G16" s="9"/>
      <c r="H16" s="9"/>
      <c r="I16" s="9"/>
    </row>
    <row r="17" spans="1:19" ht="68" x14ac:dyDescent="0.2">
      <c r="A17" s="2" t="s">
        <v>32</v>
      </c>
      <c r="B17" s="28" t="s">
        <v>13</v>
      </c>
      <c r="C17" s="29"/>
      <c r="D17" s="29"/>
      <c r="E17" s="30"/>
      <c r="F17" s="29" t="s">
        <v>12</v>
      </c>
      <c r="G17" s="29"/>
      <c r="H17" s="29"/>
      <c r="I17" s="29"/>
      <c r="J17" s="31" t="s">
        <v>11</v>
      </c>
      <c r="K17" s="32"/>
      <c r="L17" s="32"/>
      <c r="M17" s="33"/>
      <c r="O17" s="14" t="s">
        <v>57</v>
      </c>
      <c r="P17" s="31" t="s">
        <v>11</v>
      </c>
      <c r="Q17" s="32"/>
      <c r="R17" s="32"/>
      <c r="S17" s="33"/>
    </row>
    <row r="18" spans="1:19" ht="34" x14ac:dyDescent="0.2">
      <c r="A18" s="16" t="s">
        <v>15</v>
      </c>
      <c r="B18" s="15" t="s">
        <v>38</v>
      </c>
      <c r="C18" s="16" t="s">
        <v>41</v>
      </c>
      <c r="D18" s="16" t="s">
        <v>42</v>
      </c>
      <c r="E18" s="17" t="s">
        <v>43</v>
      </c>
      <c r="F18" s="16" t="s">
        <v>38</v>
      </c>
      <c r="G18" s="16" t="s">
        <v>41</v>
      </c>
      <c r="H18" s="16" t="s">
        <v>42</v>
      </c>
      <c r="I18" s="17" t="s">
        <v>43</v>
      </c>
      <c r="J18" s="15" t="s">
        <v>38</v>
      </c>
      <c r="K18" s="16" t="s">
        <v>41</v>
      </c>
      <c r="L18" s="16" t="s">
        <v>42</v>
      </c>
      <c r="M18" s="17" t="s">
        <v>43</v>
      </c>
      <c r="O18" s="16" t="s">
        <v>15</v>
      </c>
      <c r="P18" s="15" t="s">
        <v>38</v>
      </c>
      <c r="Q18" s="16" t="s">
        <v>41</v>
      </c>
      <c r="R18" s="16" t="s">
        <v>42</v>
      </c>
      <c r="S18" s="17" t="s">
        <v>43</v>
      </c>
    </row>
    <row r="19" spans="1:19" x14ac:dyDescent="0.2">
      <c r="A19" s="2">
        <v>0</v>
      </c>
      <c r="B19" s="3">
        <f>AVERAGE(1,1,1)/(0.002*10^0)</f>
        <v>500</v>
      </c>
      <c r="C19" s="2">
        <f>AVERAGE(3,0,0)/(0.002*10^0)</f>
        <v>500</v>
      </c>
      <c r="D19" s="2">
        <f>AVERAGE(1,1,1)/(0.002*10^0)</f>
        <v>500</v>
      </c>
      <c r="E19" s="4">
        <f>AVERAGE(1,1,1)/(0.002*10^0)*E34</f>
        <v>3833.3333333333335</v>
      </c>
      <c r="F19" s="2">
        <f>B19/$B$19</f>
        <v>1</v>
      </c>
      <c r="G19" s="2">
        <f>C19/$C$19</f>
        <v>1</v>
      </c>
      <c r="H19" s="2">
        <f>D19/$D$19</f>
        <v>1</v>
      </c>
      <c r="I19" s="2">
        <f>E19/$E$19</f>
        <v>1</v>
      </c>
      <c r="J19" s="8">
        <f>LOG(B19/$B$19,2)</f>
        <v>0</v>
      </c>
      <c r="K19" s="9">
        <f>LOG(C19/$C$19,2)</f>
        <v>0</v>
      </c>
      <c r="L19" s="9">
        <f>LOG(D19/$D$19,2)</f>
        <v>0</v>
      </c>
      <c r="M19" s="10">
        <f>LOG(E19/$E$19,2)</f>
        <v>0</v>
      </c>
      <c r="O19" s="2">
        <v>0</v>
      </c>
      <c r="P19" s="8">
        <f>AVERAGE(J3,J11,J19)</f>
        <v>0</v>
      </c>
      <c r="Q19" s="9">
        <f>AVERAGE(K3,K11,K19)</f>
        <v>0</v>
      </c>
      <c r="R19" s="9">
        <f>AVERAGE(L3,L11,L19)</f>
        <v>0</v>
      </c>
      <c r="S19" s="10">
        <f>AVERAGE(M3,M11,M19)</f>
        <v>0</v>
      </c>
    </row>
    <row r="20" spans="1:19" x14ac:dyDescent="0.2">
      <c r="A20" s="2">
        <v>1</v>
      </c>
      <c r="B20" s="3">
        <v>1</v>
      </c>
      <c r="C20" s="2">
        <f>AVERAGE(1,0,0)/(0.002*10^0)</f>
        <v>166.66666666666666</v>
      </c>
      <c r="D20" s="2">
        <v>1</v>
      </c>
      <c r="E20" s="4">
        <f>AVERAGE(1,0,0)/(0.002*10^0)*E34</f>
        <v>1277.7777777777778</v>
      </c>
      <c r="F20" s="2">
        <f>B20/$B$19</f>
        <v>2E-3</v>
      </c>
      <c r="G20" s="2">
        <f>C20/$C$19</f>
        <v>0.33333333333333331</v>
      </c>
      <c r="H20" s="2">
        <f>D20/$D$19</f>
        <v>2E-3</v>
      </c>
      <c r="I20" s="2">
        <f>E20/$E$19</f>
        <v>0.33333333333333331</v>
      </c>
      <c r="J20" s="8">
        <f>LOG(B20/$B$19,2)</f>
        <v>-8.965784284662087</v>
      </c>
      <c r="K20" s="9">
        <f>LOG(C20/$C$19,2)</f>
        <v>-1.5849625007211563</v>
      </c>
      <c r="L20" s="9">
        <f>LOG(D20/$D$19,2)</f>
        <v>-8.965784284662087</v>
      </c>
      <c r="M20" s="10">
        <f>LOG(E20/$E19,2)</f>
        <v>-1.5849625007211563</v>
      </c>
      <c r="O20" s="2">
        <v>1</v>
      </c>
      <c r="P20" s="8">
        <f t="shared" ref="P20:S23" si="0">AVERAGE(J4,J12,J20)</f>
        <v>-0.5283208335737184</v>
      </c>
      <c r="Q20" s="9">
        <f t="shared" si="0"/>
        <v>-3.5169155951277484</v>
      </c>
      <c r="R20" s="9">
        <f t="shared" si="0"/>
        <v>-6.3105228564413913</v>
      </c>
      <c r="S20" s="10">
        <f t="shared" si="0"/>
        <v>-1.5849625007211563</v>
      </c>
    </row>
    <row r="21" spans="1:19" x14ac:dyDescent="0.2">
      <c r="A21" s="2">
        <v>2</v>
      </c>
      <c r="B21" s="3">
        <f>AVERAGE(1,1,0)/(0.002*10^0)</f>
        <v>333.33333333333331</v>
      </c>
      <c r="C21" s="2">
        <f>AVERAGE(2,2,0)/(0.002*10^0)</f>
        <v>666.66666666666663</v>
      </c>
      <c r="D21" s="2">
        <f>AVERAGE(1,0,0)/(0.002*10^0)</f>
        <v>166.66666666666666</v>
      </c>
      <c r="E21" s="4">
        <f>AVERAGE(1,1,1)/(0.002*10^0)*E34</f>
        <v>3833.3333333333335</v>
      </c>
      <c r="F21" s="2">
        <f>B21/$B$19</f>
        <v>0.66666666666666663</v>
      </c>
      <c r="G21" s="2">
        <f>C21/$C$19</f>
        <v>1.3333333333333333</v>
      </c>
      <c r="H21" s="2">
        <f>D21/$D$19</f>
        <v>0.33333333333333331</v>
      </c>
      <c r="I21" s="2">
        <f>E21/$E$19</f>
        <v>1</v>
      </c>
      <c r="J21" s="8">
        <f>LOG(B21/$B$19,2)</f>
        <v>-0.5849625007211563</v>
      </c>
      <c r="K21" s="9">
        <f>LOG(C21/$C$19,2)</f>
        <v>0.4150374992788437</v>
      </c>
      <c r="L21" s="9">
        <f>LOG(D21/$D$19,2)</f>
        <v>-1.5849625007211563</v>
      </c>
      <c r="M21" s="10">
        <f>LOG(E21/$E19,2)</f>
        <v>0</v>
      </c>
      <c r="O21" s="2">
        <v>2</v>
      </c>
      <c r="P21" s="8">
        <f t="shared" si="0"/>
        <v>2.5986197610732584</v>
      </c>
      <c r="Q21" s="9">
        <f t="shared" si="0"/>
        <v>0.47167916642628122</v>
      </c>
      <c r="R21" s="9">
        <f t="shared" si="0"/>
        <v>-1.3899750004807707</v>
      </c>
      <c r="S21" s="10">
        <f t="shared" si="0"/>
        <v>0.91232186472206867</v>
      </c>
    </row>
    <row r="22" spans="1:19" x14ac:dyDescent="0.2">
      <c r="A22" s="2">
        <v>4</v>
      </c>
      <c r="B22" s="3">
        <f>AVERAGE(1,2,3)/(0.002*10^0)</f>
        <v>1000</v>
      </c>
      <c r="C22" s="2">
        <f>AVERAGE(1,3,1)/(0.002*10^-2)</f>
        <v>83333.333333333328</v>
      </c>
      <c r="D22" s="2">
        <f>AVERAGE(3,0,0)/(0.002*10^0)</f>
        <v>500</v>
      </c>
      <c r="E22" s="4">
        <f>AVERAGE(6,4,3)/(0.002*10^-1)*E34</f>
        <v>166111.11111111109</v>
      </c>
      <c r="F22" s="2">
        <f>B22/$B$19</f>
        <v>2</v>
      </c>
      <c r="G22" s="2">
        <f>C22/$C$19</f>
        <v>166.66666666666666</v>
      </c>
      <c r="H22" s="2">
        <f>D22/$D$19</f>
        <v>1</v>
      </c>
      <c r="I22" s="2">
        <f>E22/$E$19</f>
        <v>43.333333333333329</v>
      </c>
      <c r="J22" s="8">
        <f>LOG(B22/$B$19,2)</f>
        <v>1</v>
      </c>
      <c r="K22" s="9">
        <f>LOG(C22/$C$19,2)</f>
        <v>7.3808217839409318</v>
      </c>
      <c r="L22" s="9">
        <f>LOG(D22/$D$19,2)</f>
        <v>0</v>
      </c>
      <c r="M22" s="10">
        <f>LOG(E22/$E19,2)</f>
        <v>5.4374053123072983</v>
      </c>
      <c r="O22" s="2">
        <v>4</v>
      </c>
      <c r="P22" s="8">
        <f t="shared" si="0"/>
        <v>3.9885947615540291</v>
      </c>
      <c r="Q22" s="9">
        <f t="shared" si="0"/>
        <v>8.3611905542564084</v>
      </c>
      <c r="R22" s="9">
        <f t="shared" si="0"/>
        <v>0.19498750024038539</v>
      </c>
      <c r="S22" s="10">
        <f t="shared" si="0"/>
        <v>5.4345513078061565</v>
      </c>
    </row>
    <row r="23" spans="1:19" ht="17" thickBot="1" x14ac:dyDescent="0.25">
      <c r="A23" s="2">
        <v>24</v>
      </c>
      <c r="B23" s="5">
        <f>AVERAGE(4,3,2)/(0.002*10^-7)</f>
        <v>15000000000</v>
      </c>
      <c r="C23" s="6">
        <f>AVERAGE(4,1,0)/(0.002*10^-6)</f>
        <v>833333333.33333337</v>
      </c>
      <c r="D23" s="6">
        <f>AVERAGE(3,4,3)/(0.002*10^-7)</f>
        <v>16666666666.666666</v>
      </c>
      <c r="E23" s="7">
        <f>AVERAGE(4,3,2)/(0.002*10^-6)*E34</f>
        <v>11500000000</v>
      </c>
      <c r="F23" s="6">
        <f>B23/$B$19</f>
        <v>30000000</v>
      </c>
      <c r="G23" s="6">
        <f>C23/$C$19</f>
        <v>1666666.6666666667</v>
      </c>
      <c r="H23" s="6">
        <f>D23/$D$19</f>
        <v>33333333.333333332</v>
      </c>
      <c r="I23" s="6">
        <f>E23/$E$19</f>
        <v>3000000</v>
      </c>
      <c r="J23" s="11">
        <f>LOG(B23/$B$19,2)</f>
        <v>24.83845916493269</v>
      </c>
      <c r="K23" s="19">
        <f>LOG(C23/$C$19,2)</f>
        <v>20.668534163490381</v>
      </c>
      <c r="L23" s="19">
        <f>LOG(D23/$D$11,2)</f>
        <v>25.575424759098901</v>
      </c>
      <c r="M23" s="12">
        <f>LOG(E23/$E$19,2)</f>
        <v>21.516531070045332</v>
      </c>
      <c r="O23" s="2">
        <v>24</v>
      </c>
      <c r="P23" s="11">
        <f t="shared" si="0"/>
        <v>28.211054957635071</v>
      </c>
      <c r="Q23" s="19">
        <f t="shared" si="0"/>
        <v>22.038877934286628</v>
      </c>
      <c r="R23" s="19">
        <f t="shared" si="0"/>
        <v>25.447648545915069</v>
      </c>
      <c r="S23" s="12">
        <f t="shared" si="0"/>
        <v>22.307996241639163</v>
      </c>
    </row>
    <row r="24" spans="1:19" ht="17" thickBot="1" x14ac:dyDescent="0.25">
      <c r="D24" t="s">
        <v>116</v>
      </c>
    </row>
    <row r="25" spans="1:19" ht="68" x14ac:dyDescent="0.2">
      <c r="A25" t="s">
        <v>36</v>
      </c>
      <c r="B25" s="28" t="s">
        <v>13</v>
      </c>
      <c r="C25" s="29"/>
      <c r="D25" s="29"/>
      <c r="E25" s="30"/>
      <c r="I25" s="14" t="s">
        <v>56</v>
      </c>
      <c r="J25" s="31" t="s">
        <v>11</v>
      </c>
      <c r="K25" s="32"/>
      <c r="L25" s="32"/>
      <c r="M25" s="33"/>
      <c r="O25" s="14" t="s">
        <v>58</v>
      </c>
      <c r="P25" s="31" t="s">
        <v>11</v>
      </c>
      <c r="Q25" s="32"/>
      <c r="R25" s="32"/>
      <c r="S25" s="33"/>
    </row>
    <row r="26" spans="1:19" ht="34" x14ac:dyDescent="0.2">
      <c r="A26" s="16" t="s">
        <v>15</v>
      </c>
      <c r="B26" s="15" t="s">
        <v>38</v>
      </c>
      <c r="C26" s="16" t="s">
        <v>41</v>
      </c>
      <c r="D26" s="16" t="s">
        <v>42</v>
      </c>
      <c r="E26" s="17" t="s">
        <v>43</v>
      </c>
      <c r="I26" s="16" t="s">
        <v>15</v>
      </c>
      <c r="J26" s="15" t="s">
        <v>38</v>
      </c>
      <c r="K26" s="16" t="s">
        <v>41</v>
      </c>
      <c r="L26" s="16" t="s">
        <v>42</v>
      </c>
      <c r="M26" s="17" t="s">
        <v>43</v>
      </c>
      <c r="O26" s="16" t="s">
        <v>15</v>
      </c>
      <c r="P26" s="15" t="s">
        <v>38</v>
      </c>
      <c r="Q26" s="16" t="s">
        <v>41</v>
      </c>
      <c r="R26" s="16" t="s">
        <v>42</v>
      </c>
      <c r="S26" s="17" t="s">
        <v>43</v>
      </c>
    </row>
    <row r="27" spans="1:19" x14ac:dyDescent="0.2">
      <c r="A27" s="2">
        <v>0</v>
      </c>
      <c r="B27" s="3">
        <f>AVERAGE(B19,B11,B3)</f>
        <v>222.55555555555554</v>
      </c>
      <c r="C27" s="2">
        <f>AVERAGE(C19,C11,C3)</f>
        <v>388.88888888888886</v>
      </c>
      <c r="D27" s="2">
        <f>AVERAGE(D19,D11,D3)</f>
        <v>444.4444444444444</v>
      </c>
      <c r="E27" s="4">
        <f>AVERAGE(E19,E11,E3)</f>
        <v>3833.3333333333335</v>
      </c>
      <c r="I27" s="2">
        <v>0</v>
      </c>
      <c r="J27" s="8">
        <f>LOG(B27/$B$27,2)</f>
        <v>0</v>
      </c>
      <c r="K27" s="9">
        <f>LOG(C27/$C$27,2)</f>
        <v>0</v>
      </c>
      <c r="L27" s="9">
        <f>LOG(D27/$D$27,2)</f>
        <v>0</v>
      </c>
      <c r="M27" s="10">
        <f>LOG(E27/$E$27,2)</f>
        <v>0</v>
      </c>
      <c r="O27" s="2">
        <v>0</v>
      </c>
      <c r="P27" s="8">
        <f t="shared" ref="P27:S30" si="1">STDEV(J3,J11,J19)</f>
        <v>0</v>
      </c>
      <c r="Q27" s="9">
        <f t="shared" si="1"/>
        <v>0</v>
      </c>
      <c r="R27" s="9">
        <f t="shared" si="1"/>
        <v>0</v>
      </c>
      <c r="S27" s="10">
        <f t="shared" si="1"/>
        <v>0</v>
      </c>
    </row>
    <row r="28" spans="1:19" x14ac:dyDescent="0.2">
      <c r="A28" s="2">
        <v>1</v>
      </c>
      <c r="B28" s="3">
        <f>AVERAGE(B4,B12,B20)</f>
        <v>111.44444444444444</v>
      </c>
      <c r="C28">
        <f>AVERAGE(C4,C12,C20)</f>
        <v>111.44444444444444</v>
      </c>
      <c r="D28" s="2">
        <f t="shared" ref="D28:E31" si="2">AVERAGE(D20,D12,D4)</f>
        <v>56.222222222222221</v>
      </c>
      <c r="E28" s="4">
        <f t="shared" si="2"/>
        <v>1277.7777777777778</v>
      </c>
      <c r="I28" s="2">
        <v>1</v>
      </c>
      <c r="J28" s="8">
        <f>LOG(B28/$B$27,2)</f>
        <v>-0.99784081520052703</v>
      </c>
      <c r="K28" s="9">
        <f>LOG(C28/$C$27,2)</f>
        <v>-1.8030333161075105</v>
      </c>
      <c r="L28" s="9">
        <f>LOG(D28/$D$27,2)</f>
        <v>-2.9827907099677771</v>
      </c>
      <c r="M28" s="10">
        <f>LOG(E28/$E$27,2)</f>
        <v>-1.5849625007211563</v>
      </c>
      <c r="O28" s="2">
        <v>1</v>
      </c>
      <c r="P28" s="8">
        <f t="shared" si="1"/>
        <v>8.1860994782566188</v>
      </c>
      <c r="Q28" s="9">
        <f t="shared" si="1"/>
        <v>3.3462409173521284</v>
      </c>
      <c r="R28" s="9">
        <f t="shared" si="1"/>
        <v>4.1028935872721046</v>
      </c>
      <c r="S28" s="10">
        <f t="shared" si="1"/>
        <v>0</v>
      </c>
    </row>
    <row r="29" spans="1:19" x14ac:dyDescent="0.2">
      <c r="A29" s="2">
        <v>2</v>
      </c>
      <c r="B29" s="3">
        <f>AVERAGE(B5,B13,B21)</f>
        <v>277.77777777777777</v>
      </c>
      <c r="C29" s="2">
        <f>AVERAGE(C21,C13,C5)</f>
        <v>500</v>
      </c>
      <c r="D29" s="2">
        <f t="shared" si="2"/>
        <v>166.66666666666666</v>
      </c>
      <c r="E29" s="4">
        <f t="shared" si="2"/>
        <v>11074.074074074073</v>
      </c>
      <c r="I29" s="2">
        <v>2</v>
      </c>
      <c r="J29" s="8">
        <f>LOG(B29/$B$27,2)</f>
        <v>0.31976567373674175</v>
      </c>
      <c r="K29" s="9">
        <f>LOG(C29/$C$27,2)</f>
        <v>0.36257007938470842</v>
      </c>
      <c r="L29" s="9">
        <f>LOG(D29/$D$27,2)</f>
        <v>-1.4150374992788437</v>
      </c>
      <c r="M29" s="10">
        <f>LOG(E29/$E$27,2)</f>
        <v>1.5305147166987798</v>
      </c>
      <c r="O29" s="2">
        <v>2</v>
      </c>
      <c r="P29" s="8">
        <f t="shared" si="1"/>
        <v>4.2166478004230825</v>
      </c>
      <c r="Q29" s="9">
        <f t="shared" si="1"/>
        <v>0.5024004466985782</v>
      </c>
      <c r="R29" s="9">
        <f t="shared" si="1"/>
        <v>0.33772825725719763</v>
      </c>
      <c r="S29" s="10">
        <f t="shared" si="1"/>
        <v>1.5801878225546033</v>
      </c>
    </row>
    <row r="30" spans="1:19" x14ac:dyDescent="0.2">
      <c r="A30" s="2">
        <v>4</v>
      </c>
      <c r="B30" s="3">
        <f>AVERAGE(B22,B14,B6)</f>
        <v>722.22222222222217</v>
      </c>
      <c r="C30" s="2">
        <f>AVERAGE(C22,C14,C6)</f>
        <v>116666.66666666664</v>
      </c>
      <c r="D30" s="2">
        <f t="shared" si="2"/>
        <v>500</v>
      </c>
      <c r="E30" s="4">
        <f t="shared" si="2"/>
        <v>187407.40740740742</v>
      </c>
      <c r="I30" s="2">
        <v>4</v>
      </c>
      <c r="J30" s="8">
        <f>LOG(B30/$B$27,2)</f>
        <v>1.6982772969904716</v>
      </c>
      <c r="K30" s="9">
        <f>LOG(C30/$C$27,2)</f>
        <v>8.2288186904958813</v>
      </c>
      <c r="L30" s="9">
        <f>LOG(D30/$D$27,2)</f>
        <v>0.16992500144231265</v>
      </c>
      <c r="M30" s="10">
        <f>LOG(E30/$E$27,2)</f>
        <v>5.6114347120823469</v>
      </c>
      <c r="O30" s="2">
        <v>4</v>
      </c>
      <c r="P30" s="8">
        <f t="shared" si="1"/>
        <v>4.3392754765862076</v>
      </c>
      <c r="Q30" s="9">
        <f t="shared" si="1"/>
        <v>1.1614080792428143</v>
      </c>
      <c r="R30" s="9">
        <f t="shared" si="1"/>
        <v>0.33772825725719618</v>
      </c>
      <c r="S30" s="10">
        <f t="shared" si="1"/>
        <v>0.88880722597017281</v>
      </c>
    </row>
    <row r="31" spans="1:19" ht="17" thickBot="1" x14ac:dyDescent="0.25">
      <c r="A31" s="2">
        <v>24</v>
      </c>
      <c r="B31" s="5">
        <f>AVERAGE(B23,B15,B7)</f>
        <v>13888888888.888887</v>
      </c>
      <c r="C31" s="6">
        <f>AVERAGE(C23,C15,C7)</f>
        <v>1611111111.1111109</v>
      </c>
      <c r="D31" s="6">
        <f t="shared" si="2"/>
        <v>21111111111.111111</v>
      </c>
      <c r="E31" s="7">
        <f t="shared" si="2"/>
        <v>21296296296.296299</v>
      </c>
      <c r="I31" s="2">
        <v>24</v>
      </c>
      <c r="J31" s="11">
        <f>LOG(B31/$B$27,2)</f>
        <v>25.895190432835644</v>
      </c>
      <c r="K31" s="19">
        <f>LOG(C31/$C$27,2)</f>
        <v>21.982194642394141</v>
      </c>
      <c r="L31" s="19">
        <f>LOG(D31/$D$27,2)</f>
        <v>25.501424177655121</v>
      </c>
      <c r="M31" s="12">
        <f>LOG(E31/$E$27,2)</f>
        <v>22.405499757656585</v>
      </c>
      <c r="O31" s="2">
        <v>24</v>
      </c>
      <c r="P31" s="11">
        <f>STDEV(J15,J23)</f>
        <v>6.4472492844766576</v>
      </c>
      <c r="Q31" s="19">
        <f>STDEV(K7,K15,K23)</f>
        <v>1.42702770463405</v>
      </c>
      <c r="R31" s="19">
        <f>STDEV(L7,L15,L23)</f>
        <v>1.3976855481536139</v>
      </c>
      <c r="S31" s="12">
        <f>STDEV(M7,M15,M23)</f>
        <v>0.68633191879351763</v>
      </c>
    </row>
    <row r="32" spans="1:19" ht="17" thickBot="1" x14ac:dyDescent="0.25"/>
    <row r="33" spans="1:22" ht="34" x14ac:dyDescent="0.2">
      <c r="B33" s="24" t="s">
        <v>48</v>
      </c>
      <c r="C33" s="25" t="s">
        <v>54</v>
      </c>
      <c r="D33" s="26" t="s">
        <v>55</v>
      </c>
      <c r="E33" s="23" t="s">
        <v>60</v>
      </c>
    </row>
    <row r="34" spans="1:22" x14ac:dyDescent="0.2">
      <c r="B34" s="8" t="s">
        <v>49</v>
      </c>
      <c r="C34" s="9">
        <f>AVERAGE(12,11)/(0.01*10^0)</f>
        <v>1150</v>
      </c>
      <c r="D34" s="10">
        <f>AVERAGE(1,2)/(0.01*10^0)</f>
        <v>150</v>
      </c>
      <c r="E34">
        <f>C34/D34</f>
        <v>7.666666666666667</v>
      </c>
    </row>
    <row r="35" spans="1:22" x14ac:dyDescent="0.2">
      <c r="B35" s="8" t="s">
        <v>50</v>
      </c>
      <c r="C35" s="9">
        <v>0</v>
      </c>
      <c r="D35" s="10">
        <f>AVERAGE(1,0)/(0.01*10^0)</f>
        <v>50</v>
      </c>
    </row>
    <row r="36" spans="1:22" ht="17" thickBot="1" x14ac:dyDescent="0.25">
      <c r="B36" s="11" t="s">
        <v>51</v>
      </c>
      <c r="C36" s="19">
        <f>AVERAGE(7,8)/(0.01*10^0)</f>
        <v>750</v>
      </c>
      <c r="D36" s="12">
        <f>AVERAGE(1,1)/(0.01*10^0)</f>
        <v>100</v>
      </c>
    </row>
    <row r="37" spans="1:22" ht="17" thickBot="1" x14ac:dyDescent="0.25"/>
    <row r="38" spans="1:22" ht="17" x14ac:dyDescent="0.2">
      <c r="B38" s="24" t="s">
        <v>59</v>
      </c>
      <c r="C38" s="25" t="s">
        <v>54</v>
      </c>
      <c r="D38" s="26" t="s">
        <v>55</v>
      </c>
      <c r="E38" s="23"/>
    </row>
    <row r="39" spans="1:22" x14ac:dyDescent="0.2">
      <c r="B39" s="8" t="s">
        <v>49</v>
      </c>
      <c r="C39" s="9">
        <f>AVERAGE(4,2,1)/(0.002*10^-7)</f>
        <v>11666666666.666666</v>
      </c>
      <c r="D39" s="10">
        <f>AVERAGE(11,25,15)/(0.002*10^-3)</f>
        <v>8500000</v>
      </c>
    </row>
    <row r="40" spans="1:22" x14ac:dyDescent="0.2">
      <c r="B40" s="8" t="s">
        <v>50</v>
      </c>
      <c r="C40" s="9">
        <v>0</v>
      </c>
      <c r="D40" s="10">
        <f>AVERAGE(2,2,1)/(0.002*10^-7)</f>
        <v>8333333333.333333</v>
      </c>
    </row>
    <row r="41" spans="1:22" ht="17" thickBot="1" x14ac:dyDescent="0.25">
      <c r="B41" s="11" t="s">
        <v>51</v>
      </c>
      <c r="C41" s="19">
        <f>AVERAGE(2,5,1)/(0.002*10^-7)</f>
        <v>13333333333.333332</v>
      </c>
      <c r="D41" s="12">
        <f>AVERAGE(8,8,1)/(0.002*10^-6)</f>
        <v>2833333333.3333335</v>
      </c>
    </row>
    <row r="43" spans="1:22" ht="17" thickBot="1" x14ac:dyDescent="0.25">
      <c r="B43" t="s">
        <v>79</v>
      </c>
      <c r="M43" t="s">
        <v>80</v>
      </c>
    </row>
    <row r="44" spans="1:22" x14ac:dyDescent="0.2">
      <c r="B44" s="31" t="s">
        <v>50</v>
      </c>
      <c r="C44" s="32"/>
      <c r="D44" s="33"/>
      <c r="E44" s="31" t="s">
        <v>49</v>
      </c>
      <c r="F44" s="32"/>
      <c r="G44" s="33"/>
      <c r="H44" s="31" t="s">
        <v>62</v>
      </c>
      <c r="I44" s="32"/>
      <c r="J44" s="33"/>
      <c r="K44" t="s">
        <v>66</v>
      </c>
      <c r="M44" s="31" t="s">
        <v>50</v>
      </c>
      <c r="N44" s="32"/>
      <c r="O44" s="32"/>
      <c r="P44" s="31" t="s">
        <v>49</v>
      </c>
      <c r="Q44" s="32"/>
      <c r="R44" s="32"/>
      <c r="S44" s="31" t="s">
        <v>62</v>
      </c>
      <c r="T44" s="32"/>
      <c r="U44" s="33"/>
      <c r="V44" t="s">
        <v>66</v>
      </c>
    </row>
    <row r="45" spans="1:22" x14ac:dyDescent="0.2">
      <c r="A45" t="s">
        <v>63</v>
      </c>
      <c r="B45" s="8">
        <f>5/(0.002*10^-6)</f>
        <v>2500000000</v>
      </c>
      <c r="C45" s="9">
        <f>4/(0.002*10^-6)</f>
        <v>1999999999.9999998</v>
      </c>
      <c r="D45" s="10">
        <f>2/(0.002*10^-6)</f>
        <v>999999999.99999988</v>
      </c>
      <c r="E45" s="8">
        <f>1/(0.002*10^-1)</f>
        <v>5000</v>
      </c>
      <c r="F45" s="9">
        <f>0/(0.002*10^-1)</f>
        <v>0</v>
      </c>
      <c r="G45" s="10">
        <f>0/(0.002*10^-1)</f>
        <v>0</v>
      </c>
      <c r="H45" s="8">
        <f>0/(0.002*10^-5)</f>
        <v>0</v>
      </c>
      <c r="I45" s="9">
        <f>0/(0.002*10^-5)</f>
        <v>0</v>
      </c>
      <c r="J45" s="10">
        <f>3/(0.002*10^-5)</f>
        <v>150000000</v>
      </c>
      <c r="K45">
        <f>AVERAGE(1,6,3)/(0.002*10^-8)</f>
        <v>166666666666.66666</v>
      </c>
      <c r="L45" t="s">
        <v>63</v>
      </c>
      <c r="M45" s="8">
        <f>0/(0.002*10^-6)</f>
        <v>0</v>
      </c>
      <c r="N45" s="9">
        <f>1/(0.002*10^-6)</f>
        <v>499999999.99999994</v>
      </c>
      <c r="O45" s="10">
        <f>2/(0.002*10^-6)</f>
        <v>999999999.99999988</v>
      </c>
      <c r="P45" s="8">
        <f>0/(0.002*10^-1)</f>
        <v>0</v>
      </c>
      <c r="Q45" s="9">
        <f>0/(0.002*10^-1)</f>
        <v>0</v>
      </c>
      <c r="R45" s="10">
        <f>0/(0.002*10^-1)</f>
        <v>0</v>
      </c>
      <c r="S45" s="8">
        <f>5/(0.002*10^-5)</f>
        <v>250000000</v>
      </c>
      <c r="T45" s="9">
        <f>5/(0.002*10^-5)</f>
        <v>250000000</v>
      </c>
      <c r="U45" s="10">
        <f>4/(0.002*10^-5)</f>
        <v>200000000</v>
      </c>
      <c r="V45">
        <f>AVERAGE(0,6,3)/(0.002*10^-8)</f>
        <v>150000000000</v>
      </c>
    </row>
    <row r="46" spans="1:22" x14ac:dyDescent="0.2">
      <c r="A46" t="s">
        <v>64</v>
      </c>
      <c r="B46" s="8">
        <f>13/(0.002*10^-6)</f>
        <v>6500000000</v>
      </c>
      <c r="C46" s="9">
        <f>3/(0.002*10^-6)</f>
        <v>1500000000</v>
      </c>
      <c r="D46" s="10">
        <f>3/(0.002*10^-6)</f>
        <v>1500000000</v>
      </c>
      <c r="E46" s="8">
        <f>9/(0.002*10^-1)</f>
        <v>45000</v>
      </c>
      <c r="F46" s="9">
        <f>11/(0.002*10^-1)</f>
        <v>55000</v>
      </c>
      <c r="G46" s="10">
        <f>10/(0.002*10^-1)</f>
        <v>50000</v>
      </c>
      <c r="H46" s="8">
        <f>0/(0.002*10^-5)</f>
        <v>0</v>
      </c>
      <c r="I46" s="9">
        <f>0/(0.002*10^-5)</f>
        <v>0</v>
      </c>
      <c r="J46" s="10">
        <f>0/(0.002*10^-5)</f>
        <v>0</v>
      </c>
      <c r="L46" t="s">
        <v>64</v>
      </c>
      <c r="M46" s="8">
        <f>1/(0.002*10^-6)</f>
        <v>499999999.99999994</v>
      </c>
      <c r="N46" s="9">
        <f>2/(0.002*10^-6)</f>
        <v>999999999.99999988</v>
      </c>
      <c r="O46" s="10">
        <f>2/(0.002*10^-6)</f>
        <v>999999999.99999988</v>
      </c>
      <c r="P46" s="8">
        <f>13/(0.002*10^-1)</f>
        <v>65000</v>
      </c>
      <c r="Q46" s="9">
        <f>13/(0.002*10^-1)</f>
        <v>65000</v>
      </c>
      <c r="R46" s="10">
        <f>13/(0.002*10^-1)</f>
        <v>65000</v>
      </c>
      <c r="S46" s="8">
        <f>0/(0.002*10^-5)</f>
        <v>0</v>
      </c>
      <c r="T46" s="9">
        <f>3/(0.002*10^-5)</f>
        <v>150000000</v>
      </c>
      <c r="U46" s="10">
        <f>17/(0.002*10^-5)</f>
        <v>850000000</v>
      </c>
    </row>
    <row r="47" spans="1:22" ht="17" thickBot="1" x14ac:dyDescent="0.25">
      <c r="A47" t="s">
        <v>65</v>
      </c>
      <c r="B47" s="11">
        <f>3/(0.002*10^-6)</f>
        <v>1500000000</v>
      </c>
      <c r="C47" s="19">
        <f>5/(0.002*10^-6)</f>
        <v>2500000000</v>
      </c>
      <c r="D47" s="12">
        <f>3/(0.002*10^-6)</f>
        <v>1500000000</v>
      </c>
      <c r="E47" s="11">
        <f>12/(0.002*10^-1)</f>
        <v>60000</v>
      </c>
      <c r="F47" s="19">
        <f>13/(0.002*10^-1)</f>
        <v>65000</v>
      </c>
      <c r="G47" s="12">
        <f>9/(0.002*10^-1)</f>
        <v>45000</v>
      </c>
      <c r="H47" s="11">
        <f>0/(0.002*10^-5)</f>
        <v>0</v>
      </c>
      <c r="I47" s="19">
        <f>5/(0.002*10^-5)</f>
        <v>250000000</v>
      </c>
      <c r="J47" s="12">
        <f>1/(0.002*10^-5)</f>
        <v>50000000</v>
      </c>
      <c r="L47" t="s">
        <v>65</v>
      </c>
      <c r="M47" s="11">
        <f>3/(0.002*10^-6)</f>
        <v>1500000000</v>
      </c>
      <c r="N47" s="19">
        <f>4/(0.002*10^-6)</f>
        <v>1999999999.9999998</v>
      </c>
      <c r="O47" s="12">
        <f>2/(0.002*10^-6)</f>
        <v>999999999.99999988</v>
      </c>
      <c r="P47" s="11">
        <f>3/(0.002*10^-1)</f>
        <v>15000</v>
      </c>
      <c r="Q47" s="19">
        <f>8/(0.002*10^-1)</f>
        <v>40000</v>
      </c>
      <c r="R47" s="12">
        <f>4/(0.002*10^-1)</f>
        <v>20000</v>
      </c>
      <c r="S47" s="11">
        <f>4/(0.002*10^-5)</f>
        <v>200000000</v>
      </c>
      <c r="T47" s="19">
        <f>12/(0.002*10^-5)</f>
        <v>600000000</v>
      </c>
      <c r="U47" s="12">
        <f>7/(0.002*10^-5)</f>
        <v>350000000</v>
      </c>
    </row>
    <row r="49" spans="1:20" ht="17" thickBot="1" x14ac:dyDescent="0.25">
      <c r="B49" t="s">
        <v>67</v>
      </c>
      <c r="F49" t="s">
        <v>68</v>
      </c>
      <c r="N49" t="s">
        <v>67</v>
      </c>
      <c r="R49" t="s">
        <v>68</v>
      </c>
    </row>
    <row r="50" spans="1:20" x14ac:dyDescent="0.2">
      <c r="B50" s="18" t="s">
        <v>50</v>
      </c>
      <c r="C50" s="25" t="s">
        <v>49</v>
      </c>
      <c r="D50" s="26" t="s">
        <v>62</v>
      </c>
      <c r="F50" s="18" t="s">
        <v>50</v>
      </c>
      <c r="G50" s="25" t="s">
        <v>49</v>
      </c>
      <c r="H50" s="26" t="s">
        <v>62</v>
      </c>
      <c r="N50" s="18" t="s">
        <v>50</v>
      </c>
      <c r="O50" s="25" t="s">
        <v>49</v>
      </c>
      <c r="P50" s="26" t="s">
        <v>62</v>
      </c>
      <c r="R50" s="18" t="s">
        <v>50</v>
      </c>
      <c r="S50" s="25" t="s">
        <v>49</v>
      </c>
      <c r="T50" s="26" t="s">
        <v>62</v>
      </c>
    </row>
    <row r="51" spans="1:20" x14ac:dyDescent="0.2">
      <c r="A51" t="s">
        <v>63</v>
      </c>
      <c r="B51" s="8">
        <f>AVERAGE(B45,C45,D45)</f>
        <v>1833333333.3333333</v>
      </c>
      <c r="C51" s="9">
        <f>AVERAGE(E45,F45,G45)</f>
        <v>1666.6666666666667</v>
      </c>
      <c r="D51" s="10">
        <f>AVERAGE(H45,I45,J45)</f>
        <v>50000000</v>
      </c>
      <c r="F51" s="8">
        <f>STDEV(B45,C45,D45)</f>
        <v>763762615.82597315</v>
      </c>
      <c r="G51" s="9">
        <f>STDEV(E45,F45,G45)</f>
        <v>2886.7513459481288</v>
      </c>
      <c r="H51" s="10">
        <f>STDEV(H45,I45,J45)</f>
        <v>86602540.378443867</v>
      </c>
      <c r="M51" t="s">
        <v>63</v>
      </c>
      <c r="N51" s="8">
        <f>AVERAGE(M45,N45,O45)</f>
        <v>499999999.99999994</v>
      </c>
      <c r="O51" s="9">
        <f>AVERAGE(P45:R45)</f>
        <v>0</v>
      </c>
      <c r="P51" s="10">
        <f>AVERAGE(S45:U45)</f>
        <v>233333333.33333334</v>
      </c>
      <c r="R51" s="8">
        <f>STDEV(M45:O45)</f>
        <v>500000000</v>
      </c>
      <c r="S51" s="9">
        <f>STDEV(P45:R45)</f>
        <v>0</v>
      </c>
      <c r="T51" s="10">
        <f>STDEV(S45:U45)</f>
        <v>28867513.459481195</v>
      </c>
    </row>
    <row r="52" spans="1:20" x14ac:dyDescent="0.2">
      <c r="A52" t="s">
        <v>64</v>
      </c>
      <c r="B52" s="8">
        <f>AVERAGE(B46,C46,D46)</f>
        <v>3166666666.6666665</v>
      </c>
      <c r="C52" s="9">
        <f>AVERAGE(E46,F46,G46)</f>
        <v>50000</v>
      </c>
      <c r="D52" s="10">
        <f>AVERAGE(H46,I46,J46)</f>
        <v>0</v>
      </c>
      <c r="F52" s="8">
        <f>STDEV(B46,C46,D46)</f>
        <v>2886751345.9481292</v>
      </c>
      <c r="G52" s="9">
        <f>STDEV(E46,F46,G46)</f>
        <v>5000</v>
      </c>
      <c r="H52" s="10">
        <f>STDEV(H46,I46,J46)</f>
        <v>0</v>
      </c>
      <c r="M52" t="s">
        <v>64</v>
      </c>
      <c r="N52" s="8">
        <f>AVERAGE(M46,N46,O46)</f>
        <v>833333333.33333313</v>
      </c>
      <c r="O52" s="9">
        <f>AVERAGE(P46:R46)</f>
        <v>65000</v>
      </c>
      <c r="P52" s="10">
        <f t="shared" ref="P52:P53" si="3">AVERAGE(S46:U46)</f>
        <v>333333333.33333331</v>
      </c>
      <c r="R52" s="8">
        <f t="shared" ref="R52:R53" si="4">STDEV(M46:O46)</f>
        <v>288675134.59481293</v>
      </c>
      <c r="S52" s="9">
        <f t="shared" ref="S52:S53" si="5">STDEV(P46:R46)</f>
        <v>0</v>
      </c>
      <c r="T52" s="10">
        <f t="shared" ref="T52:T53" si="6">STDEV(S46:U46)</f>
        <v>453688586.29387331</v>
      </c>
    </row>
    <row r="53" spans="1:20" ht="17" thickBot="1" x14ac:dyDescent="0.25">
      <c r="A53" t="s">
        <v>65</v>
      </c>
      <c r="B53" s="11">
        <f>AVERAGE(B47,C47,D47)</f>
        <v>1833333333.3333333</v>
      </c>
      <c r="C53" s="19">
        <f>AVERAGE(E47,F47,G47)</f>
        <v>56666.666666666664</v>
      </c>
      <c r="D53" s="12">
        <f>AVERAGE(H47,I47,J47)</f>
        <v>100000000</v>
      </c>
      <c r="F53" s="11">
        <f>STDEV(B47,C47,D47)</f>
        <v>577350269.1896255</v>
      </c>
      <c r="G53" s="19">
        <f>STDEV(E47,F47,G47)</f>
        <v>10408.329997330648</v>
      </c>
      <c r="H53" s="12">
        <f>STDEV(H47,I47,J47)</f>
        <v>132287565.55322953</v>
      </c>
      <c r="M53" t="s">
        <v>65</v>
      </c>
      <c r="N53" s="11">
        <f t="shared" ref="N53" si="7">AVERAGE(M47,N47,O47)</f>
        <v>1500000000</v>
      </c>
      <c r="O53" s="19">
        <f>AVERAGE(P47:R47)</f>
        <v>25000</v>
      </c>
      <c r="P53" s="12">
        <f t="shared" si="3"/>
        <v>383333333.33333331</v>
      </c>
      <c r="R53" s="11">
        <f t="shared" si="4"/>
        <v>499999999.99999946</v>
      </c>
      <c r="S53" s="19">
        <f t="shared" si="5"/>
        <v>13228.756555322952</v>
      </c>
      <c r="T53" s="12">
        <f t="shared" si="6"/>
        <v>202072594.21636903</v>
      </c>
    </row>
    <row r="55" spans="1:20" x14ac:dyDescent="0.2">
      <c r="I55" s="27" t="s">
        <v>78</v>
      </c>
      <c r="J55" s="27"/>
      <c r="K55" s="27"/>
    </row>
    <row r="56" spans="1:20" ht="34" x14ac:dyDescent="0.2">
      <c r="A56" s="14" t="s">
        <v>89</v>
      </c>
      <c r="B56" s="14" t="s">
        <v>91</v>
      </c>
      <c r="C56" s="14" t="s">
        <v>92</v>
      </c>
      <c r="D56" s="14" t="s">
        <v>100</v>
      </c>
      <c r="E56" s="14" t="s">
        <v>95</v>
      </c>
      <c r="F56" s="14"/>
      <c r="H56" t="s">
        <v>87</v>
      </c>
      <c r="I56" t="s">
        <v>50</v>
      </c>
      <c r="J56" t="s">
        <v>49</v>
      </c>
      <c r="K56" t="s">
        <v>62</v>
      </c>
      <c r="L56" t="s">
        <v>66</v>
      </c>
      <c r="N56" t="s">
        <v>66</v>
      </c>
    </row>
    <row r="57" spans="1:20" x14ac:dyDescent="0.2">
      <c r="A57" t="s">
        <v>97</v>
      </c>
      <c r="B57">
        <v>0.39200000000000002</v>
      </c>
      <c r="C57" t="s">
        <v>98</v>
      </c>
      <c r="D57">
        <v>7.9699999999999993E-2</v>
      </c>
      <c r="E57">
        <f>(D57*E63)/A63</f>
        <v>2203396524.4865708</v>
      </c>
      <c r="H57">
        <v>1</v>
      </c>
      <c r="I57">
        <f>B51/N51</f>
        <v>3.666666666666667</v>
      </c>
      <c r="J57">
        <f>C51/1</f>
        <v>1666.6666666666667</v>
      </c>
      <c r="K57">
        <f>D51/P51</f>
        <v>0.21428571428571427</v>
      </c>
      <c r="L57" t="e">
        <v>#DIV/0!</v>
      </c>
      <c r="N57" t="s">
        <v>81</v>
      </c>
      <c r="Q57" t="s">
        <v>82</v>
      </c>
      <c r="S57" t="s">
        <v>78</v>
      </c>
    </row>
    <row r="58" spans="1:20" x14ac:dyDescent="0.2">
      <c r="D58" t="s">
        <v>90</v>
      </c>
      <c r="E58">
        <f>E57*C64</f>
        <v>1699763033.1753538</v>
      </c>
      <c r="F58">
        <f>E58/E59</f>
        <v>3.374999999999992</v>
      </c>
      <c r="H58">
        <v>2</v>
      </c>
      <c r="I58">
        <f t="shared" ref="I58:I59" si="8">B52/N52</f>
        <v>3.8000000000000007</v>
      </c>
      <c r="J58">
        <f t="shared" ref="J58:J59" si="9">C52/O52</f>
        <v>0.76923076923076927</v>
      </c>
      <c r="K58">
        <f t="shared" ref="K58:K59" si="10">D52/P52</f>
        <v>0</v>
      </c>
      <c r="L58">
        <v>1</v>
      </c>
      <c r="N58">
        <f>1/(0.002*10^-8)</f>
        <v>49999999999.999992</v>
      </c>
      <c r="Q58">
        <f>0/(0.002*10^-8)</f>
        <v>0</v>
      </c>
      <c r="S58" t="e">
        <f>N58/Q58</f>
        <v>#DIV/0!</v>
      </c>
    </row>
    <row r="59" spans="1:20" x14ac:dyDescent="0.2">
      <c r="D59" t="s">
        <v>53</v>
      </c>
      <c r="E59">
        <f>E57*B64</f>
        <v>503633491.31121713</v>
      </c>
      <c r="H59">
        <v>3</v>
      </c>
      <c r="I59">
        <f t="shared" si="8"/>
        <v>1.2222222222222221</v>
      </c>
      <c r="J59">
        <f t="shared" si="9"/>
        <v>2.2666666666666666</v>
      </c>
      <c r="K59">
        <f t="shared" si="10"/>
        <v>0.2608695652173913</v>
      </c>
      <c r="L59">
        <v>3.0000000000000004</v>
      </c>
      <c r="N59">
        <f>6/(0.002*10^-8)</f>
        <v>300000000000</v>
      </c>
      <c r="Q59">
        <f>6/(0.002*10^-8)</f>
        <v>300000000000</v>
      </c>
      <c r="S59">
        <f t="shared" ref="S59:S60" si="11">N59/Q59</f>
        <v>1</v>
      </c>
    </row>
    <row r="60" spans="1:20" x14ac:dyDescent="0.2">
      <c r="H60" t="s">
        <v>36</v>
      </c>
      <c r="I60">
        <f>AVERAGE(I57:I59)</f>
        <v>2.8962962962962968</v>
      </c>
      <c r="J60">
        <f>AVERAGE(J58:J59)</f>
        <v>1.5179487179487179</v>
      </c>
      <c r="K60">
        <f>AVERAGE(K57,K59)</f>
        <v>0.23757763975155277</v>
      </c>
      <c r="L60">
        <v>2</v>
      </c>
      <c r="N60">
        <f>3/(0.002*10^-8)</f>
        <v>150000000000</v>
      </c>
      <c r="Q60">
        <f>1/(0.002*10^-8)</f>
        <v>49999999999.999992</v>
      </c>
      <c r="S60">
        <f t="shared" si="11"/>
        <v>3.0000000000000004</v>
      </c>
    </row>
    <row r="61" spans="1:20" x14ac:dyDescent="0.2">
      <c r="H61" t="s">
        <v>37</v>
      </c>
      <c r="I61">
        <f>STDEV(I57:I59)</f>
        <v>1.4513226548771541</v>
      </c>
      <c r="J61">
        <f>STDEV(J58:J59)</f>
        <v>1.0588470774690866</v>
      </c>
      <c r="K61">
        <f>STDEV(K57:K59)</f>
        <v>0.13912904835156598</v>
      </c>
      <c r="L61">
        <v>1.4142135623730963</v>
      </c>
      <c r="S61">
        <f>AVERAGE(S59:S60)</f>
        <v>2</v>
      </c>
      <c r="T61" t="s">
        <v>36</v>
      </c>
    </row>
    <row r="62" spans="1:20" x14ac:dyDescent="0.2">
      <c r="A62" t="s">
        <v>111</v>
      </c>
      <c r="S62">
        <f>STDEV(S59:S60)</f>
        <v>1.4142135623730963</v>
      </c>
    </row>
    <row r="63" spans="1:20" x14ac:dyDescent="0.2">
      <c r="A63">
        <v>0.21099999999999999</v>
      </c>
      <c r="E63">
        <v>5833333333.3333302</v>
      </c>
    </row>
    <row r="64" spans="1:20" x14ac:dyDescent="0.2">
      <c r="B64">
        <v>0.22857142857142901</v>
      </c>
      <c r="C64">
        <v>0.77142857142857102</v>
      </c>
    </row>
  </sheetData>
  <mergeCells count="20">
    <mergeCell ref="B1:E1"/>
    <mergeCell ref="F1:I1"/>
    <mergeCell ref="J1:M1"/>
    <mergeCell ref="B9:E9"/>
    <mergeCell ref="F9:I9"/>
    <mergeCell ref="J9:M9"/>
    <mergeCell ref="P44:R44"/>
    <mergeCell ref="S44:U44"/>
    <mergeCell ref="B17:E17"/>
    <mergeCell ref="F17:I17"/>
    <mergeCell ref="J17:M17"/>
    <mergeCell ref="P17:S17"/>
    <mergeCell ref="B25:E25"/>
    <mergeCell ref="J25:M25"/>
    <mergeCell ref="P25:S25"/>
    <mergeCell ref="I55:K55"/>
    <mergeCell ref="B44:D44"/>
    <mergeCell ref="E44:G44"/>
    <mergeCell ref="H44:J44"/>
    <mergeCell ref="M44:O4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D01F-F871-5040-8544-E984B9C87B64}">
  <dimension ref="A1:V62"/>
  <sheetViews>
    <sheetView topLeftCell="A3" workbookViewId="0">
      <selection activeCell="D23" sqref="D23"/>
    </sheetView>
  </sheetViews>
  <sheetFormatPr baseColWidth="10" defaultRowHeight="16" x14ac:dyDescent="0.2"/>
  <cols>
    <col min="2" max="5" width="12.1640625" bestFit="1" customWidth="1"/>
    <col min="6" max="6" width="11.1640625" bestFit="1" customWidth="1"/>
    <col min="7" max="7" width="12.1640625" bestFit="1" customWidth="1"/>
    <col min="11" max="11" width="12.1640625" bestFit="1" customWidth="1"/>
    <col min="13" max="13" width="12.1640625" bestFit="1" customWidth="1"/>
  </cols>
  <sheetData>
    <row r="1" spans="1:21" x14ac:dyDescent="0.2">
      <c r="A1" s="2" t="s">
        <v>30</v>
      </c>
      <c r="B1" s="28" t="s">
        <v>13</v>
      </c>
      <c r="C1" s="29"/>
      <c r="D1" s="29"/>
      <c r="E1" s="30"/>
      <c r="F1" s="29" t="s">
        <v>12</v>
      </c>
      <c r="G1" s="29"/>
      <c r="H1" s="29"/>
      <c r="I1" s="29"/>
      <c r="J1" s="31" t="s">
        <v>11</v>
      </c>
      <c r="K1" s="32"/>
      <c r="L1" s="32"/>
      <c r="M1" s="33"/>
      <c r="P1" t="s">
        <v>69</v>
      </c>
    </row>
    <row r="2" spans="1:21" ht="34" x14ac:dyDescent="0.2">
      <c r="A2" s="16" t="s">
        <v>15</v>
      </c>
      <c r="B2" s="15" t="s">
        <v>38</v>
      </c>
      <c r="C2" s="16" t="s">
        <v>41</v>
      </c>
      <c r="D2" s="16" t="s">
        <v>42</v>
      </c>
      <c r="E2" s="17" t="s">
        <v>43</v>
      </c>
      <c r="F2" s="16" t="s">
        <v>38</v>
      </c>
      <c r="G2" s="16" t="s">
        <v>41</v>
      </c>
      <c r="H2" s="16" t="s">
        <v>42</v>
      </c>
      <c r="I2" s="17" t="s">
        <v>43</v>
      </c>
      <c r="J2" s="15" t="s">
        <v>38</v>
      </c>
      <c r="K2" s="16" t="s">
        <v>41</v>
      </c>
      <c r="L2" s="16" t="s">
        <v>42</v>
      </c>
      <c r="M2" s="17" t="s">
        <v>43</v>
      </c>
      <c r="P2" s="21" t="s">
        <v>72</v>
      </c>
      <c r="R2" t="s">
        <v>70</v>
      </c>
      <c r="S2" t="s">
        <v>71</v>
      </c>
      <c r="T2" t="s">
        <v>73</v>
      </c>
      <c r="U2" t="s">
        <v>74</v>
      </c>
    </row>
    <row r="3" spans="1:21" ht="34" x14ac:dyDescent="0.2">
      <c r="A3" s="2">
        <v>0</v>
      </c>
      <c r="B3" s="3">
        <f>AVERAGE(2,1,0)/(0.002*10^0)</f>
        <v>500</v>
      </c>
      <c r="C3" s="2">
        <f>AVERAGE(1,0,0)/(0.002*10^0)</f>
        <v>166.66666666666666</v>
      </c>
      <c r="D3" s="2">
        <f>AVERAGE(1,1,1)/(0.002*10^0)</f>
        <v>500</v>
      </c>
      <c r="E3" s="4">
        <f>AVERAGE(1,0,0)/(0.002*10^0)*E34</f>
        <v>944.44444444444446</v>
      </c>
      <c r="F3" s="2">
        <f>B3/$B$3</f>
        <v>1</v>
      </c>
      <c r="G3" s="2">
        <f>C3/$C$3</f>
        <v>1</v>
      </c>
      <c r="H3" s="2">
        <f>D3/$D$3</f>
        <v>1</v>
      </c>
      <c r="I3" s="2">
        <f>E3/$E$3</f>
        <v>1</v>
      </c>
      <c r="J3" s="8">
        <f>LOG(B3/$B$3,2)</f>
        <v>0</v>
      </c>
      <c r="K3" s="9">
        <f>LOG(C3/$C$3,2)</f>
        <v>0</v>
      </c>
      <c r="L3" s="9">
        <f>LOG(D3/$D$3,2)</f>
        <v>0</v>
      </c>
      <c r="M3" s="10">
        <f>LOG(E3/$E$3,2)</f>
        <v>0</v>
      </c>
      <c r="O3" s="14" t="s">
        <v>76</v>
      </c>
      <c r="P3">
        <f>C36/(C36+(E34*D36))</f>
        <v>0.22727272727272727</v>
      </c>
      <c r="Q3">
        <v>1</v>
      </c>
      <c r="R3">
        <f>D7/(E7+D7)</f>
        <v>8.7884966198089928E-2</v>
      </c>
      <c r="S3">
        <f>R3-P3</f>
        <v>-0.13938776107463735</v>
      </c>
      <c r="T3">
        <f>AVERAGE(S3:S5)</f>
        <v>-0.15380755896208279</v>
      </c>
      <c r="U3">
        <f>STDEV(S3:S5)</f>
        <v>3.1316753570452847E-2</v>
      </c>
    </row>
    <row r="4" spans="1:21" ht="17" x14ac:dyDescent="0.2">
      <c r="A4" s="2">
        <v>1</v>
      </c>
      <c r="B4" s="3">
        <f>AVERAGE(0,1,0)/(0.002*10^0)</f>
        <v>166.66666666666666</v>
      </c>
      <c r="C4" s="2">
        <f>AVERAGE(3,3,1,3)/(0.002*10^0)</f>
        <v>1250</v>
      </c>
      <c r="D4" s="2">
        <f>AVERAGE(0,0,1)/(0.002*10^0)</f>
        <v>166.66666666666666</v>
      </c>
      <c r="E4" s="4">
        <f>AVERAGE(1,2,2,4,1)/(0.002*10^0)*E34</f>
        <v>5666.666666666667</v>
      </c>
      <c r="F4" s="2">
        <f>B4/$B$3</f>
        <v>0.33333333333333331</v>
      </c>
      <c r="G4" s="2">
        <f>C4/$C$3</f>
        <v>7.5</v>
      </c>
      <c r="H4" s="2">
        <f>D4/$D$3</f>
        <v>0.33333333333333331</v>
      </c>
      <c r="I4" s="2">
        <f>E4/$E$3</f>
        <v>6</v>
      </c>
      <c r="J4" s="8">
        <f>LOG(B4/$B$3,2)</f>
        <v>-1.5849625007211563</v>
      </c>
      <c r="K4" s="9">
        <f>LOG(C4/$C$3,2)</f>
        <v>2.9068905956085187</v>
      </c>
      <c r="L4" s="9">
        <f>LOG(D4/$D$3,2)</f>
        <v>-1.5849625007211563</v>
      </c>
      <c r="M4" s="10">
        <f>LOG(E4/$E$3,2)</f>
        <v>2.5849625007211561</v>
      </c>
      <c r="O4" s="14" t="s">
        <v>75</v>
      </c>
      <c r="Q4">
        <v>2</v>
      </c>
      <c r="R4">
        <f>D15/(E15+D15)</f>
        <v>9.4974446337308352E-2</v>
      </c>
      <c r="S4">
        <f>R4-P3</f>
        <v>-0.1322982809354189</v>
      </c>
    </row>
    <row r="5" spans="1:21" x14ac:dyDescent="0.2">
      <c r="A5" s="2">
        <v>2</v>
      </c>
      <c r="B5" s="3">
        <f>AVERAGE(6,12,8,7)/(0.002*10^0)</f>
        <v>4125</v>
      </c>
      <c r="C5" s="2">
        <f>AVERAGE(3,4,5,6)/(0.002*10^-2)</f>
        <v>224999.99999999997</v>
      </c>
      <c r="D5" s="2">
        <f>AVERAGE(8,5,4,8)/(0.002*10^0)</f>
        <v>3125</v>
      </c>
      <c r="E5" s="4">
        <f>AVERAGE(3,3,2,3)/(0.002*10^-2)*E34</f>
        <v>779166.66666666674</v>
      </c>
      <c r="F5" s="2">
        <f>B5/$B$3</f>
        <v>8.25</v>
      </c>
      <c r="G5" s="2">
        <f>C5/$C$3</f>
        <v>1350</v>
      </c>
      <c r="H5" s="2">
        <f>D5/$D$3</f>
        <v>6.25</v>
      </c>
      <c r="I5" s="2">
        <f>E5/$E$3</f>
        <v>825.00000000000011</v>
      </c>
      <c r="J5" s="8">
        <f>LOG(B5/$B$3,2)</f>
        <v>3.0443941193584534</v>
      </c>
      <c r="K5" s="9">
        <f>LOG(C5/$C$3,2)</f>
        <v>10.398743691938193</v>
      </c>
      <c r="L5" s="9">
        <f>LOG(D5/$D$3,2)</f>
        <v>2.6438561897747248</v>
      </c>
      <c r="M5" s="10">
        <f>LOG(E5/$E$3,2)</f>
        <v>9.6882503091331778</v>
      </c>
      <c r="Q5">
        <v>3</v>
      </c>
      <c r="R5">
        <f>D23/(E23+D23)</f>
        <v>3.7536092396535124E-2</v>
      </c>
      <c r="S5">
        <f>R5-P3</f>
        <v>-0.18973663487619213</v>
      </c>
    </row>
    <row r="6" spans="1:21" x14ac:dyDescent="0.2">
      <c r="A6" s="2">
        <v>4</v>
      </c>
      <c r="B6" s="3">
        <f>AVERAGE(16,12,25)/(0.002*10^-2)</f>
        <v>883333.33333333337</v>
      </c>
      <c r="C6" s="2">
        <f>AVERAGE(42,45,57)/(0.002*10^-5)</f>
        <v>2400000000</v>
      </c>
      <c r="D6" s="2">
        <f>AVERAGE(5,3,4)/(0.002*10^-3)</f>
        <v>2000000</v>
      </c>
      <c r="E6" s="4">
        <f>AVERAGE(27,36,28)/(0.002*10^-5)*E34</f>
        <v>8594444444.4444447</v>
      </c>
      <c r="F6" s="2">
        <f>B6/$B$3</f>
        <v>1766.6666666666667</v>
      </c>
      <c r="G6" s="2">
        <f>C6/$C$3</f>
        <v>14400000</v>
      </c>
      <c r="H6" s="2">
        <f>D6/$D$3</f>
        <v>4000</v>
      </c>
      <c r="I6" s="2">
        <f>E6/$E$3</f>
        <v>9100000</v>
      </c>
      <c r="J6" s="8">
        <f>LOG(B6/$B$3,2)</f>
        <v>10.786814143616768</v>
      </c>
      <c r="K6" s="9">
        <f>LOG(C6/$C$3,2)</f>
        <v>23.779565475879128</v>
      </c>
      <c r="L6" s="9">
        <f>LOG(D6/$D$3,2)</f>
        <v>11.965784284662087</v>
      </c>
      <c r="M6" s="10">
        <f>LOG(E6/$E$3,2)</f>
        <v>23.117435114635509</v>
      </c>
      <c r="R6">
        <f>AVERAGE(R3:R5)</f>
        <v>7.3465168310644466E-2</v>
      </c>
    </row>
    <row r="7" spans="1:21" ht="17" thickBot="1" x14ac:dyDescent="0.25">
      <c r="A7" s="2">
        <v>24</v>
      </c>
      <c r="B7" s="5">
        <f>AVERAGE(21,22,15)/(0.002*10^-5)</f>
        <v>966666666.66666663</v>
      </c>
      <c r="C7" s="6">
        <f>AVERAGE(6,3,6)/(0.002*10^-6)</f>
        <v>2500000000</v>
      </c>
      <c r="D7" s="6">
        <f>AVERAGE(7,7,7)/(0.002*10^-6)+C39</f>
        <v>3640000000</v>
      </c>
      <c r="E7" s="7">
        <f>AVERAGE(2,1,1)/(0.002*10^-7)*E34</f>
        <v>37777777777.777779</v>
      </c>
      <c r="F7" s="6">
        <f>B7/$B$3</f>
        <v>1933333.3333333333</v>
      </c>
      <c r="G7" s="6">
        <f>C7/$C$3</f>
        <v>15000000</v>
      </c>
      <c r="H7" s="6">
        <f>D7/$D$3</f>
        <v>7280000</v>
      </c>
      <c r="I7" s="6">
        <f>E7/$E$3</f>
        <v>40000000</v>
      </c>
      <c r="J7" s="11">
        <f>LOG(B7/$B$3,2)</f>
        <v>20.882658968843227</v>
      </c>
      <c r="K7" s="19">
        <f>LOG(C7/$C$3,2)</f>
        <v>23.838459164932694</v>
      </c>
      <c r="L7" s="19">
        <f>LOG(D7/$D$3,2)</f>
        <v>22.795507019748147</v>
      </c>
      <c r="M7" s="12">
        <f>LOG(E7/$E$3,2)</f>
        <v>25.253496664211539</v>
      </c>
    </row>
    <row r="8" spans="1:21" ht="17" thickBot="1" x14ac:dyDescent="0.25">
      <c r="B8" s="9"/>
      <c r="C8" s="9"/>
      <c r="D8" s="9"/>
      <c r="E8" s="9"/>
      <c r="F8" s="9"/>
      <c r="G8" s="9"/>
      <c r="H8" s="9"/>
      <c r="I8" s="9"/>
    </row>
    <row r="9" spans="1:21" x14ac:dyDescent="0.2">
      <c r="A9" s="2" t="s">
        <v>31</v>
      </c>
      <c r="B9" s="28" t="s">
        <v>13</v>
      </c>
      <c r="C9" s="29"/>
      <c r="D9" s="29"/>
      <c r="E9" s="30"/>
      <c r="F9" s="29" t="s">
        <v>12</v>
      </c>
      <c r="G9" s="29"/>
      <c r="H9" s="29"/>
      <c r="I9" s="29"/>
      <c r="J9" s="31" t="s">
        <v>11</v>
      </c>
      <c r="K9" s="32"/>
      <c r="L9" s="32"/>
      <c r="M9" s="33"/>
    </row>
    <row r="10" spans="1:21" ht="34" x14ac:dyDescent="0.2">
      <c r="A10" s="16" t="s">
        <v>15</v>
      </c>
      <c r="B10" s="15" t="s">
        <v>38</v>
      </c>
      <c r="C10" s="16" t="s">
        <v>41</v>
      </c>
      <c r="D10" s="16" t="s">
        <v>42</v>
      </c>
      <c r="E10" s="17" t="s">
        <v>43</v>
      </c>
      <c r="F10" s="16" t="s">
        <v>38</v>
      </c>
      <c r="G10" s="16" t="s">
        <v>41</v>
      </c>
      <c r="H10" s="16" t="s">
        <v>42</v>
      </c>
      <c r="I10" s="17" t="s">
        <v>43</v>
      </c>
      <c r="J10" s="15" t="s">
        <v>38</v>
      </c>
      <c r="K10" s="16" t="s">
        <v>41</v>
      </c>
      <c r="L10" s="16" t="s">
        <v>42</v>
      </c>
      <c r="M10" s="17" t="s">
        <v>43</v>
      </c>
    </row>
    <row r="11" spans="1:21" x14ac:dyDescent="0.2">
      <c r="A11" s="2">
        <v>0</v>
      </c>
      <c r="B11" s="3">
        <f>AVERAGE(0,1,0)/(0.002*10^0)</f>
        <v>166.66666666666666</v>
      </c>
      <c r="C11" s="2">
        <f>AVERAGE(1,0,0)/(0.002*10^0)</f>
        <v>166.66666666666666</v>
      </c>
      <c r="D11" s="2">
        <f>AVERAGE(1,1,1)/(0.002*10^0)</f>
        <v>500</v>
      </c>
      <c r="E11" s="4">
        <f>AVERAGE(1,0,0)/(0.002*10^0)*E34</f>
        <v>944.44444444444446</v>
      </c>
      <c r="F11" s="2">
        <f>B11/$B$11</f>
        <v>1</v>
      </c>
      <c r="G11" s="2">
        <f>C11/$C$11</f>
        <v>1</v>
      </c>
      <c r="H11" s="2">
        <f>D11/$D$11</f>
        <v>1</v>
      </c>
      <c r="I11" s="2">
        <f>E11/$E$11</f>
        <v>1</v>
      </c>
      <c r="J11" s="8">
        <f>LOG(B11/$B$11,2)</f>
        <v>0</v>
      </c>
      <c r="K11" s="9">
        <f>LOG(C11/$C$11,2)</f>
        <v>0</v>
      </c>
      <c r="L11" s="9">
        <f>LOG(D11/$D$11,2)</f>
        <v>0</v>
      </c>
      <c r="M11" s="10">
        <f>LOG(E11/$E$11,2)</f>
        <v>0</v>
      </c>
    </row>
    <row r="12" spans="1:21" x14ac:dyDescent="0.2">
      <c r="A12" s="2">
        <v>1</v>
      </c>
      <c r="B12" s="3">
        <f>AVERAGE(0,1,0)/(0.002*10^0)</f>
        <v>166.66666666666666</v>
      </c>
      <c r="C12" s="2">
        <f>AVERAGE(2,4,3,4,5)/(0.002*10^0)</f>
        <v>1800</v>
      </c>
      <c r="D12" s="2">
        <f>AVERAGE(1,0,0)/(0.002*10^0)</f>
        <v>166.66666666666666</v>
      </c>
      <c r="E12" s="4">
        <f>AVERAGE(2,4,1,1)/(0.002*10^0)*E34</f>
        <v>5666.666666666667</v>
      </c>
      <c r="F12" s="2">
        <f>B12/$B$11</f>
        <v>1</v>
      </c>
      <c r="G12" s="2">
        <f>C12/$C$11</f>
        <v>10.8</v>
      </c>
      <c r="H12" s="2">
        <f>D12/$D$11</f>
        <v>0.33333333333333331</v>
      </c>
      <c r="I12" s="2">
        <f>E12/$E$11</f>
        <v>6</v>
      </c>
      <c r="J12" s="8">
        <f>LOG(B12/$B$11,2)</f>
        <v>0</v>
      </c>
      <c r="K12" s="9">
        <f>LOG(C12/$C$11,2)</f>
        <v>3.4329594072761065</v>
      </c>
      <c r="L12" s="9">
        <f>LOG(D12/$D$11,2)</f>
        <v>-1.5849625007211563</v>
      </c>
      <c r="M12" s="10">
        <f>LOG(E12/$E11,2)</f>
        <v>2.5849625007211561</v>
      </c>
    </row>
    <row r="13" spans="1:21" x14ac:dyDescent="0.2">
      <c r="A13" s="2">
        <v>2</v>
      </c>
      <c r="B13" s="3">
        <f>AVERAGE(9,10,7,5)/(0.002*10^0)</f>
        <v>3875</v>
      </c>
      <c r="C13" s="2">
        <f>AVERAGE(4,3,6,5)/(0.002*10^-2)</f>
        <v>224999.99999999997</v>
      </c>
      <c r="D13" s="2">
        <f>AVERAGE(10,8,8,6)/(0.002*10^0)</f>
        <v>4000</v>
      </c>
      <c r="E13" s="4">
        <f>AVERAGE(5,2,5)/(0.002*10^-2)*E34</f>
        <v>1133333.3333333333</v>
      </c>
      <c r="F13" s="2">
        <f>B13/$B$11</f>
        <v>23.25</v>
      </c>
      <c r="G13" s="2">
        <f>C13/$C$11</f>
        <v>1350</v>
      </c>
      <c r="H13" s="2">
        <f>D13/$D$11</f>
        <v>8</v>
      </c>
      <c r="I13" s="2">
        <f>E13/$E$11</f>
        <v>1200</v>
      </c>
      <c r="J13" s="8">
        <f>LOG(B13/$B$11,2)</f>
        <v>4.5391588111080319</v>
      </c>
      <c r="K13" s="9">
        <f>LOG(C13/$C$11,2)</f>
        <v>10.398743691938193</v>
      </c>
      <c r="L13" s="9">
        <f>LOG(D13/$D$11,2)</f>
        <v>3</v>
      </c>
      <c r="M13" s="10">
        <f>LOG(E13/$E11,2)</f>
        <v>10.228818690495881</v>
      </c>
    </row>
    <row r="14" spans="1:21" x14ac:dyDescent="0.2">
      <c r="A14" s="2">
        <v>4</v>
      </c>
      <c r="B14" s="3">
        <f>AVERAGE(23,20,21)/(0.002*10^-2)</f>
        <v>1066666.6666666665</v>
      </c>
      <c r="C14" s="2">
        <f>AVERAGE(8,22,17)/(0.002*10^-5)</f>
        <v>783333333.33333325</v>
      </c>
      <c r="D14" s="2">
        <f>AVERAGE(1,0,2)/(0.002*10^-3)</f>
        <v>500000</v>
      </c>
      <c r="E14" s="4">
        <f>AVERAGE(35,27,35)/(0.002*10^-5)*E34</f>
        <v>9161111111.1111126</v>
      </c>
      <c r="F14" s="2">
        <f>B14/$B$11</f>
        <v>6399.9999999999991</v>
      </c>
      <c r="G14" s="2">
        <f>C14/$C$11</f>
        <v>4700000</v>
      </c>
      <c r="H14" s="2">
        <f>D14/$D$11</f>
        <v>1000</v>
      </c>
      <c r="I14" s="2">
        <f>E14/$E$11</f>
        <v>9700000.0000000019</v>
      </c>
      <c r="J14" s="8">
        <f>LOG(B14/$B$11,2)</f>
        <v>12.643856189774723</v>
      </c>
      <c r="K14" s="9">
        <f>LOG(C14/$C$11,2)</f>
        <v>22.164229326114448</v>
      </c>
      <c r="L14" s="9">
        <f>LOG(D14/$D$11,2)</f>
        <v>9.965784284662087</v>
      </c>
      <c r="M14" s="10">
        <f>LOG(E14/$E11,2)</f>
        <v>23.209553316623939</v>
      </c>
    </row>
    <row r="15" spans="1:21" ht="17" thickBot="1" x14ac:dyDescent="0.25">
      <c r="A15" s="2">
        <v>24</v>
      </c>
      <c r="B15" s="5">
        <f>AVERAGE(10,20,13)/(0.002*10^-5)</f>
        <v>716666666.66666663</v>
      </c>
      <c r="C15" s="6">
        <f>AVERAGE(7,9,6)/(0.002*10^-6)</f>
        <v>3666666666.6666665</v>
      </c>
      <c r="D15" s="6">
        <f>AVERAGE(8,6,3)/(0.002*10^-6)+C39</f>
        <v>2973333333.3333335</v>
      </c>
      <c r="E15" s="7">
        <f>AVERAGE(1,1,1)/(0.002*10^-7)*E34</f>
        <v>28333333333.333336</v>
      </c>
      <c r="F15" s="6">
        <f>B15/$B$11</f>
        <v>4300000</v>
      </c>
      <c r="G15" s="6">
        <f>C15/$C$11</f>
        <v>22000000</v>
      </c>
      <c r="H15" s="6">
        <f>D15/$D$11</f>
        <v>5946666.666666667</v>
      </c>
      <c r="I15" s="6">
        <f>E15/$E$11</f>
        <v>30000000.000000004</v>
      </c>
      <c r="J15" s="11">
        <f>LOG(B15/$B$11,2)</f>
        <v>22.035905229138908</v>
      </c>
      <c r="K15" s="19">
        <f>LOG(C15/$C$11,2)</f>
        <v>24.39100018796147</v>
      </c>
      <c r="L15" s="19">
        <f>LOG(D15/$D$11,2)</f>
        <v>22.503649778748599</v>
      </c>
      <c r="M15" s="12">
        <f>LOG(E15/$E$11,2)</f>
        <v>24.838459164932697</v>
      </c>
    </row>
    <row r="16" spans="1:21" ht="17" thickBot="1" x14ac:dyDescent="0.25">
      <c r="B16" s="9"/>
      <c r="C16" s="9"/>
      <c r="D16" s="9"/>
      <c r="E16" s="9"/>
      <c r="F16" s="9"/>
      <c r="G16" s="9"/>
      <c r="H16" s="9"/>
      <c r="I16" s="9"/>
    </row>
    <row r="17" spans="1:19" ht="68" x14ac:dyDescent="0.2">
      <c r="A17" s="2" t="s">
        <v>32</v>
      </c>
      <c r="B17" s="28" t="s">
        <v>13</v>
      </c>
      <c r="C17" s="29"/>
      <c r="D17" s="29"/>
      <c r="E17" s="30"/>
      <c r="F17" s="29" t="s">
        <v>12</v>
      </c>
      <c r="G17" s="29"/>
      <c r="H17" s="29"/>
      <c r="I17" s="29"/>
      <c r="J17" s="31" t="s">
        <v>11</v>
      </c>
      <c r="K17" s="32"/>
      <c r="L17" s="32"/>
      <c r="M17" s="33"/>
      <c r="O17" s="14" t="s">
        <v>57</v>
      </c>
      <c r="P17" s="31" t="s">
        <v>11</v>
      </c>
      <c r="Q17" s="32"/>
      <c r="R17" s="32"/>
      <c r="S17" s="33"/>
    </row>
    <row r="18" spans="1:19" ht="34" x14ac:dyDescent="0.2">
      <c r="A18" s="16" t="s">
        <v>15</v>
      </c>
      <c r="B18" s="15" t="s">
        <v>38</v>
      </c>
      <c r="C18" s="16" t="s">
        <v>41</v>
      </c>
      <c r="D18" s="16" t="s">
        <v>42</v>
      </c>
      <c r="E18" s="17" t="s">
        <v>43</v>
      </c>
      <c r="F18" s="16" t="s">
        <v>38</v>
      </c>
      <c r="G18" s="16" t="s">
        <v>41</v>
      </c>
      <c r="H18" s="16" t="s">
        <v>42</v>
      </c>
      <c r="I18" s="17" t="s">
        <v>43</v>
      </c>
      <c r="J18" s="15" t="s">
        <v>38</v>
      </c>
      <c r="K18" s="16" t="s">
        <v>41</v>
      </c>
      <c r="L18" s="16" t="s">
        <v>42</v>
      </c>
      <c r="M18" s="17" t="s">
        <v>43</v>
      </c>
      <c r="O18" s="16" t="s">
        <v>15</v>
      </c>
      <c r="P18" s="15" t="s">
        <v>38</v>
      </c>
      <c r="Q18" s="16" t="s">
        <v>41</v>
      </c>
      <c r="R18" s="16" t="s">
        <v>42</v>
      </c>
      <c r="S18" s="17" t="s">
        <v>43</v>
      </c>
    </row>
    <row r="19" spans="1:19" x14ac:dyDescent="0.2">
      <c r="A19" s="2">
        <v>0</v>
      </c>
      <c r="B19" s="3">
        <f>AVERAGE(2,1,0)/(0.002*10^0)</f>
        <v>500</v>
      </c>
      <c r="C19" s="2">
        <f>AVERAGE(1,0,0)/(0.002*10^0)</f>
        <v>166.66666666666666</v>
      </c>
      <c r="D19" s="2">
        <f>AVERAGE(1,1,1)/(0.002*10^0)</f>
        <v>500</v>
      </c>
      <c r="E19" s="4">
        <f>AVERAGE(1,0,0)/(0.002*10^0)*E34</f>
        <v>944.44444444444446</v>
      </c>
      <c r="F19" s="2">
        <f>B19/$B$19</f>
        <v>1</v>
      </c>
      <c r="G19" s="2">
        <f>C19/$C$19</f>
        <v>1</v>
      </c>
      <c r="H19" s="2">
        <f>D19/$D$19</f>
        <v>1</v>
      </c>
      <c r="I19" s="2">
        <f>E19/$E$19</f>
        <v>1</v>
      </c>
      <c r="J19" s="8">
        <f>LOG(B19/$B$19,2)</f>
        <v>0</v>
      </c>
      <c r="K19" s="9">
        <f>LOG(C19/$C$19,2)</f>
        <v>0</v>
      </c>
      <c r="L19" s="9">
        <f>LOG(D19/$D$19,2)</f>
        <v>0</v>
      </c>
      <c r="M19" s="10">
        <f>LOG(E19/$E$19,2)</f>
        <v>0</v>
      </c>
      <c r="O19" s="2">
        <v>0</v>
      </c>
      <c r="P19" s="8">
        <f>AVERAGE(J3,J11,J19)</f>
        <v>0</v>
      </c>
      <c r="Q19" s="9">
        <f>AVERAGE(K3,K11,K19)</f>
        <v>0</v>
      </c>
      <c r="R19" s="9">
        <f>AVERAGE(L3,L11,L19)</f>
        <v>0</v>
      </c>
      <c r="S19" s="10">
        <f>AVERAGE(M3,M11,M19)</f>
        <v>0</v>
      </c>
    </row>
    <row r="20" spans="1:19" x14ac:dyDescent="0.2">
      <c r="A20" s="2">
        <v>1</v>
      </c>
      <c r="B20" s="3">
        <f>AVERAGE(1,0,0)/(0.002*10^0)</f>
        <v>166.66666666666666</v>
      </c>
      <c r="C20" s="2">
        <f>AVERAGE(7,6,7,6,8)/(0.002*10^0)</f>
        <v>3400</v>
      </c>
      <c r="D20" s="2">
        <f>AVERAGE(1,0,1)/(0.002*10^0)</f>
        <v>333.33333333333331</v>
      </c>
      <c r="E20" s="4">
        <f>AVERAGE(2,1,1)/(0.002*10^0)*E34</f>
        <v>3777.7777777777778</v>
      </c>
      <c r="F20" s="2">
        <f>B20/$B$19</f>
        <v>0.33333333333333331</v>
      </c>
      <c r="G20" s="2">
        <f>C20/$C$19</f>
        <v>20.400000000000002</v>
      </c>
      <c r="H20" s="2">
        <f>D20/$D$19</f>
        <v>0.66666666666666663</v>
      </c>
      <c r="I20" s="2">
        <f>E20/$E$19</f>
        <v>4</v>
      </c>
      <c r="J20" s="8">
        <f>LOG(B20/$B$19,2)</f>
        <v>-1.5849625007211563</v>
      </c>
      <c r="K20" s="9">
        <f>LOG(C20/$C$19,2)</f>
        <v>4.3504972470841334</v>
      </c>
      <c r="L20" s="9">
        <f>LOG(D20/$D$19,2)</f>
        <v>-0.5849625007211563</v>
      </c>
      <c r="M20" s="10">
        <f>LOG(E20/$E19,2)</f>
        <v>2</v>
      </c>
      <c r="O20" s="2">
        <v>1</v>
      </c>
      <c r="P20" s="8">
        <f t="shared" ref="P20:S23" si="0">AVERAGE(J4,J12,J20)</f>
        <v>-1.0566416671474375</v>
      </c>
      <c r="Q20" s="9">
        <f t="shared" si="0"/>
        <v>3.56344908332292</v>
      </c>
      <c r="R20" s="9">
        <f t="shared" si="0"/>
        <v>-1.251629167387823</v>
      </c>
      <c r="S20" s="10">
        <f t="shared" si="0"/>
        <v>2.3899750004807707</v>
      </c>
    </row>
    <row r="21" spans="1:19" x14ac:dyDescent="0.2">
      <c r="A21" s="2">
        <v>2</v>
      </c>
      <c r="B21" s="3">
        <f>AVERAGE(9,7,10,6)/(0.002*10^0)</f>
        <v>4000</v>
      </c>
      <c r="C21" s="2">
        <f>AVERAGE(13,10,5,10)/(0.002*10^-2)</f>
        <v>474999.99999999994</v>
      </c>
      <c r="D21" s="2">
        <f>AVERAGE(7,8,10,7)/(0.002*10^0)</f>
        <v>4000</v>
      </c>
      <c r="E21" s="4">
        <f>AVERAGE(4,4,3,8)/(0.002*10^-2)*E34</f>
        <v>1345833.3333333333</v>
      </c>
      <c r="F21" s="2">
        <f>B21/$B$19</f>
        <v>8</v>
      </c>
      <c r="G21" s="2">
        <f>C21/$C$19</f>
        <v>2850</v>
      </c>
      <c r="H21" s="2">
        <f>D21/$D$19</f>
        <v>8</v>
      </c>
      <c r="I21" s="2">
        <f>E21/$E$19</f>
        <v>1425</v>
      </c>
      <c r="J21" s="8">
        <f>LOG(B21/$B$19,2)</f>
        <v>3</v>
      </c>
      <c r="K21" s="9">
        <f>LOG(C21/$C$19,2)</f>
        <v>11.476746203939467</v>
      </c>
      <c r="L21" s="9">
        <f>LOG(D21/$D$19,2)</f>
        <v>3</v>
      </c>
      <c r="M21" s="10">
        <f>LOG(E21/$E19,2)</f>
        <v>10.476746203939467</v>
      </c>
      <c r="O21" s="2">
        <v>2</v>
      </c>
      <c r="P21" s="8">
        <f t="shared" si="0"/>
        <v>3.5278509768221618</v>
      </c>
      <c r="Q21" s="9">
        <f t="shared" si="0"/>
        <v>10.758077862605285</v>
      </c>
      <c r="R21" s="9">
        <f t="shared" si="0"/>
        <v>2.8812853965915752</v>
      </c>
      <c r="S21" s="10">
        <f t="shared" si="0"/>
        <v>10.131271734522842</v>
      </c>
    </row>
    <row r="22" spans="1:19" x14ac:dyDescent="0.2">
      <c r="A22" s="2">
        <v>4</v>
      </c>
      <c r="B22" s="3">
        <f>AVERAGE(20,18,15)/(0.002*10^-2)</f>
        <v>883333.33333333337</v>
      </c>
      <c r="C22" s="2">
        <f>AVERAGE(27,24,20)/(0.002*10^-5)</f>
        <v>1183333333.3333333</v>
      </c>
      <c r="D22" s="2">
        <f>AVERAGE(3,1,2)/(0.002*10^-3)</f>
        <v>1000000</v>
      </c>
      <c r="E22" s="4">
        <f>AVERAGE(20,27,31)/(0.002*10^-5)*E34</f>
        <v>7366666666.666667</v>
      </c>
      <c r="F22" s="2">
        <f>B22/$B$19</f>
        <v>1766.6666666666667</v>
      </c>
      <c r="G22" s="2">
        <f>C22/$C$19</f>
        <v>7100000</v>
      </c>
      <c r="H22" s="2">
        <f>D22/$D$19</f>
        <v>2000</v>
      </c>
      <c r="I22" s="2">
        <f>E22/$E$19</f>
        <v>7800000</v>
      </c>
      <c r="J22" s="8">
        <f>LOG(B22/$B$19,2)</f>
        <v>10.786814143616768</v>
      </c>
      <c r="K22" s="9">
        <f>LOG(C22/$C$19,2)</f>
        <v>22.759387593941494</v>
      </c>
      <c r="L22" s="9">
        <f>LOG(D22/$D$19,2)</f>
        <v>10.965784284662087</v>
      </c>
      <c r="M22" s="10">
        <f>LOG(E22/$E19,2)</f>
        <v>22.895042693299061</v>
      </c>
      <c r="O22" s="2">
        <v>4</v>
      </c>
      <c r="P22" s="8">
        <f t="shared" si="0"/>
        <v>11.405828159002752</v>
      </c>
      <c r="Q22" s="9">
        <f>AVERAGE(K6,K14,K22)</f>
        <v>22.901060798645023</v>
      </c>
      <c r="R22" s="9">
        <f t="shared" si="0"/>
        <v>10.965784284662087</v>
      </c>
      <c r="S22" s="10">
        <f t="shared" si="0"/>
        <v>23.074010374852836</v>
      </c>
    </row>
    <row r="23" spans="1:19" ht="17" thickBot="1" x14ac:dyDescent="0.25">
      <c r="A23" s="2">
        <v>24</v>
      </c>
      <c r="B23" s="5">
        <f>AVERAGE(20,14,18)/(0.002*10^-5)</f>
        <v>866666666.66666663</v>
      </c>
      <c r="C23" s="6">
        <f>AVERAGE(9,10,11)/(0.002*10^-6)</f>
        <v>5000000000</v>
      </c>
      <c r="D23" s="6">
        <f>AVERAGE(3,1,4)/(0.002*10^-6)+C39</f>
        <v>1473333333.3333333</v>
      </c>
      <c r="E23" s="7">
        <f>AVERAGE(2,0,2)/(0.002*10^-7)*E34</f>
        <v>37777777777.777779</v>
      </c>
      <c r="F23" s="6">
        <f>B23/$B$19</f>
        <v>1733333.3333333333</v>
      </c>
      <c r="G23" s="6">
        <f>C23/$C$19</f>
        <v>30000000</v>
      </c>
      <c r="H23" s="6">
        <f>D23/$D$19</f>
        <v>2946666.6666666665</v>
      </c>
      <c r="I23" s="6">
        <f>E23/$E$19</f>
        <v>40000000</v>
      </c>
      <c r="J23" s="11">
        <f>LOG(B23/$B$19,2)</f>
        <v>20.725117691856749</v>
      </c>
      <c r="K23" s="19">
        <f>LOG(C23/$C$19,2)</f>
        <v>24.83845916493269</v>
      </c>
      <c r="L23" s="19">
        <f>LOG(D23/$D$11,2)</f>
        <v>21.490652438219726</v>
      </c>
      <c r="M23" s="12">
        <f>LOG(E23/$E$19,2)</f>
        <v>25.253496664211539</v>
      </c>
      <c r="O23" s="2">
        <v>24</v>
      </c>
      <c r="P23" s="11">
        <f t="shared" si="0"/>
        <v>21.214560629946295</v>
      </c>
      <c r="Q23" s="19">
        <f t="shared" si="0"/>
        <v>24.355972839275619</v>
      </c>
      <c r="R23" s="19">
        <f t="shared" si="0"/>
        <v>22.26326974557216</v>
      </c>
      <c r="S23" s="12">
        <f t="shared" si="0"/>
        <v>25.115150831118594</v>
      </c>
    </row>
    <row r="24" spans="1:19" ht="17" thickBot="1" x14ac:dyDescent="0.25"/>
    <row r="25" spans="1:19" ht="68" x14ac:dyDescent="0.2">
      <c r="A25" t="s">
        <v>36</v>
      </c>
      <c r="B25" s="28" t="s">
        <v>13</v>
      </c>
      <c r="C25" s="29"/>
      <c r="D25" s="29"/>
      <c r="E25" s="30"/>
      <c r="I25" s="14" t="s">
        <v>56</v>
      </c>
      <c r="J25" s="31" t="s">
        <v>11</v>
      </c>
      <c r="K25" s="32"/>
      <c r="L25" s="32"/>
      <c r="M25" s="33"/>
      <c r="O25" s="14" t="s">
        <v>58</v>
      </c>
      <c r="P25" s="31" t="s">
        <v>11</v>
      </c>
      <c r="Q25" s="32"/>
      <c r="R25" s="32"/>
      <c r="S25" s="33"/>
    </row>
    <row r="26" spans="1:19" ht="34" x14ac:dyDescent="0.2">
      <c r="A26" s="16" t="s">
        <v>15</v>
      </c>
      <c r="B26" s="15" t="s">
        <v>38</v>
      </c>
      <c r="C26" s="16" t="s">
        <v>41</v>
      </c>
      <c r="D26" s="16" t="s">
        <v>42</v>
      </c>
      <c r="E26" s="17" t="s">
        <v>43</v>
      </c>
      <c r="I26" s="16" t="s">
        <v>15</v>
      </c>
      <c r="J26" s="15" t="s">
        <v>38</v>
      </c>
      <c r="K26" s="16" t="s">
        <v>41</v>
      </c>
      <c r="L26" s="16" t="s">
        <v>42</v>
      </c>
      <c r="M26" s="17" t="s">
        <v>43</v>
      </c>
      <c r="O26" s="16" t="s">
        <v>15</v>
      </c>
      <c r="P26" s="15" t="s">
        <v>38</v>
      </c>
      <c r="Q26" s="16" t="s">
        <v>41</v>
      </c>
      <c r="R26" s="16" t="s">
        <v>42</v>
      </c>
      <c r="S26" s="17" t="s">
        <v>43</v>
      </c>
    </row>
    <row r="27" spans="1:19" x14ac:dyDescent="0.2">
      <c r="A27" s="2">
        <v>0</v>
      </c>
      <c r="B27" s="3">
        <f>AVERAGE(B19,B11,B3)</f>
        <v>388.88888888888886</v>
      </c>
      <c r="C27" s="2">
        <f>AVERAGE(C19,C11,C3)</f>
        <v>166.66666666666666</v>
      </c>
      <c r="D27" s="2">
        <f>AVERAGE(D19,D11,D3)</f>
        <v>500</v>
      </c>
      <c r="E27" s="4">
        <f>AVERAGE(E19,E11,E3)</f>
        <v>944.44444444444446</v>
      </c>
      <c r="I27" s="2">
        <v>0</v>
      </c>
      <c r="J27" s="8">
        <f>LOG(B27/$B$27,2)</f>
        <v>0</v>
      </c>
      <c r="K27" s="9">
        <f>LOG(C27/$C$27,2)</f>
        <v>0</v>
      </c>
      <c r="L27" s="9">
        <f>LOG(D27/$D$27,2)</f>
        <v>0</v>
      </c>
      <c r="M27" s="10">
        <f>LOG(E27/$E$27,2)</f>
        <v>0</v>
      </c>
      <c r="O27" s="2">
        <v>0</v>
      </c>
      <c r="P27" s="8">
        <f t="shared" ref="P27:S30" si="1">STDEV(J3,J11,J19)</f>
        <v>0</v>
      </c>
      <c r="Q27" s="9">
        <f t="shared" si="1"/>
        <v>0</v>
      </c>
      <c r="R27" s="9">
        <f t="shared" si="1"/>
        <v>0</v>
      </c>
      <c r="S27" s="10">
        <f t="shared" si="1"/>
        <v>0</v>
      </c>
    </row>
    <row r="28" spans="1:19" x14ac:dyDescent="0.2">
      <c r="A28" s="2">
        <v>1</v>
      </c>
      <c r="B28" s="3">
        <f>AVERAGE(B4,B12,B20)</f>
        <v>166.66666666666666</v>
      </c>
      <c r="C28">
        <f>AVERAGE(C4,C12,C20)</f>
        <v>2150</v>
      </c>
      <c r="D28" s="2">
        <f t="shared" ref="D28:E31" si="2">AVERAGE(D20,D12,D4)</f>
        <v>222.2222222222222</v>
      </c>
      <c r="E28" s="4">
        <f t="shared" si="2"/>
        <v>5037.0370370370374</v>
      </c>
      <c r="I28" s="2">
        <v>1</v>
      </c>
      <c r="J28" s="8">
        <f>LOG(B28/$B$27,2)</f>
        <v>-1.2223924213364479</v>
      </c>
      <c r="K28" s="9">
        <f>LOG(C28/$C$27,2)</f>
        <v>3.6892991605358918</v>
      </c>
      <c r="L28" s="9">
        <f>LOG(D28/$D$27,2)</f>
        <v>-1.1699250014423124</v>
      </c>
      <c r="M28" s="10">
        <f>LOG(E28/$E$27,2)</f>
        <v>2.4150374992788439</v>
      </c>
      <c r="O28" s="2">
        <v>1</v>
      </c>
      <c r="P28" s="8">
        <f t="shared" si="1"/>
        <v>0.91507852644682197</v>
      </c>
      <c r="Q28" s="9">
        <f t="shared" si="1"/>
        <v>0.73059613173918281</v>
      </c>
      <c r="R28" s="9">
        <f t="shared" si="1"/>
        <v>0.57735026918962551</v>
      </c>
      <c r="S28" s="10">
        <f t="shared" si="1"/>
        <v>0.33772825725719302</v>
      </c>
    </row>
    <row r="29" spans="1:19" x14ac:dyDescent="0.2">
      <c r="A29" s="2">
        <v>2</v>
      </c>
      <c r="B29" s="3">
        <f>AVERAGE(B5,B13,B21)</f>
        <v>4000</v>
      </c>
      <c r="C29" s="2">
        <f>AVERAGE(C21,C13,C5)</f>
        <v>308333.33333333331</v>
      </c>
      <c r="D29" s="2">
        <f t="shared" si="2"/>
        <v>3708.3333333333335</v>
      </c>
      <c r="E29" s="4">
        <f t="shared" si="2"/>
        <v>1086111.111111111</v>
      </c>
      <c r="I29" s="2">
        <v>2</v>
      </c>
      <c r="J29" s="8">
        <f>LOG(B29/$B$27,2)</f>
        <v>3.362570079384708</v>
      </c>
      <c r="K29" s="9">
        <f>LOG(C29/$C$27,2)</f>
        <v>10.853309555403674</v>
      </c>
      <c r="L29" s="9">
        <f>LOG(D29/$D$27,2)</f>
        <v>2.890770930245242</v>
      </c>
      <c r="M29" s="10">
        <f>LOG(E29/$E$27,2)</f>
        <v>10.167418145831737</v>
      </c>
      <c r="O29" s="2">
        <v>2</v>
      </c>
      <c r="P29" s="8">
        <f t="shared" si="1"/>
        <v>0.8760995155941973</v>
      </c>
      <c r="Q29" s="9">
        <f t="shared" si="1"/>
        <v>0.62238504049102783</v>
      </c>
      <c r="R29" s="9">
        <f t="shared" si="1"/>
        <v>0.20561972470378162</v>
      </c>
      <c r="S29" s="10">
        <f t="shared" si="1"/>
        <v>0.40319722282810566</v>
      </c>
    </row>
    <row r="30" spans="1:19" x14ac:dyDescent="0.2">
      <c r="A30" s="2">
        <v>4</v>
      </c>
      <c r="B30" s="3">
        <f>AVERAGE(B22,B14,B6)</f>
        <v>944444.4444444445</v>
      </c>
      <c r="C30" s="2">
        <f>AVERAGE(C22,C14,C6)</f>
        <v>1455555555.5555553</v>
      </c>
      <c r="D30" s="2">
        <f t="shared" si="2"/>
        <v>1166666.6666666667</v>
      </c>
      <c r="E30" s="4">
        <f t="shared" si="2"/>
        <v>8374074074.0740738</v>
      </c>
      <c r="I30" s="2">
        <v>4</v>
      </c>
      <c r="J30" s="8">
        <f>LOG(B30/$B$27,2)</f>
        <v>11.245892203854822</v>
      </c>
      <c r="K30" s="9">
        <f>LOG(C30/$C$27,2)</f>
        <v>23.058100975253108</v>
      </c>
      <c r="L30" s="9">
        <f>LOG(D30/$D$27,2)</f>
        <v>11.188176705998536</v>
      </c>
      <c r="M30" s="10">
        <f>LOG(E30/$E$27,2)</f>
        <v>23.079960409216849</v>
      </c>
      <c r="O30" s="2">
        <v>4</v>
      </c>
      <c r="P30" s="8">
        <f t="shared" si="1"/>
        <v>1.072163725245749</v>
      </c>
      <c r="Q30" s="9">
        <f t="shared" si="1"/>
        <v>0.81693401929554332</v>
      </c>
      <c r="R30" s="9">
        <f t="shared" si="1"/>
        <v>1</v>
      </c>
      <c r="S30" s="10">
        <f t="shared" si="1"/>
        <v>0.16168956077912222</v>
      </c>
    </row>
    <row r="31" spans="1:19" ht="17" thickBot="1" x14ac:dyDescent="0.25">
      <c r="A31" s="2">
        <v>24</v>
      </c>
      <c r="B31" s="5">
        <f>AVERAGE(B23,B15,B7)</f>
        <v>850000000</v>
      </c>
      <c r="C31" s="6">
        <f>AVERAGE(C23,C15,C7)</f>
        <v>3722222222.2222219</v>
      </c>
      <c r="D31" s="6">
        <f t="shared" si="2"/>
        <v>2695555555.5555558</v>
      </c>
      <c r="E31" s="7">
        <f t="shared" si="2"/>
        <v>34629629629.629631</v>
      </c>
      <c r="I31" s="2">
        <v>24</v>
      </c>
      <c r="J31" s="11">
        <f>LOG(B31/$B$27,2)</f>
        <v>21.059673395071862</v>
      </c>
      <c r="K31" s="19">
        <f>LOG(C31/$C$27,2)</f>
        <v>24.412695259060794</v>
      </c>
      <c r="L31" s="19">
        <f>LOG(D31/$D$27,2)</f>
        <v>22.362151213227648</v>
      </c>
      <c r="M31" s="12">
        <f>LOG(E31/$E$27,2)</f>
        <v>25.127965782127681</v>
      </c>
      <c r="O31" s="2">
        <v>24</v>
      </c>
      <c r="P31" s="11">
        <f>STDEV(J15,J23)</f>
        <v>0.92686675630702953</v>
      </c>
      <c r="Q31" s="19">
        <f>STDEV(K7,K15,K23)</f>
        <v>0.50091934117876546</v>
      </c>
      <c r="R31" s="19">
        <f>STDEV(L7,L15,L23)</f>
        <v>0.68483449825221121</v>
      </c>
      <c r="S31" s="12">
        <f>STDEV(M7,M15,M23)</f>
        <v>0.23962201193242863</v>
      </c>
    </row>
    <row r="32" spans="1:19" ht="17" thickBot="1" x14ac:dyDescent="0.25"/>
    <row r="33" spans="1:22" ht="34" x14ac:dyDescent="0.2">
      <c r="B33" s="24" t="s">
        <v>48</v>
      </c>
      <c r="C33" s="25" t="s">
        <v>54</v>
      </c>
      <c r="D33" s="26" t="s">
        <v>55</v>
      </c>
      <c r="E33" s="23" t="s">
        <v>60</v>
      </c>
      <c r="G33" t="s">
        <v>52</v>
      </c>
      <c r="H33" t="s">
        <v>53</v>
      </c>
    </row>
    <row r="34" spans="1:22" x14ac:dyDescent="0.2">
      <c r="B34" s="8" t="s">
        <v>49</v>
      </c>
      <c r="C34" s="9">
        <f>AVERAGE(7,10)/(0.01*10^0)</f>
        <v>850</v>
      </c>
      <c r="D34" s="10">
        <f>AVERAGE(1,2)/(0.01*10^0)</f>
        <v>150</v>
      </c>
      <c r="E34">
        <f>C34/D34</f>
        <v>5.666666666666667</v>
      </c>
      <c r="G34">
        <f>3/(0.01*10^0)</f>
        <v>300</v>
      </c>
      <c r="H34">
        <f>3/(0.01*10^0)</f>
        <v>300</v>
      </c>
      <c r="I34">
        <f>G34/(G34+(E34*H34))</f>
        <v>0.15</v>
      </c>
    </row>
    <row r="35" spans="1:22" x14ac:dyDescent="0.2">
      <c r="B35" s="8" t="s">
        <v>50</v>
      </c>
      <c r="C35" s="9">
        <v>0</v>
      </c>
      <c r="D35" s="10">
        <f>AVERAGE(5,3)/(0.01*10^0)</f>
        <v>400</v>
      </c>
      <c r="G35">
        <f>7/(0.01*10^0)</f>
        <v>700</v>
      </c>
      <c r="H35">
        <f>3/(0.01*10^0)</f>
        <v>300</v>
      </c>
      <c r="I35">
        <f>G35/(G35+(E34*H35))</f>
        <v>0.29166666666666669</v>
      </c>
    </row>
    <row r="36" spans="1:22" ht="17" thickBot="1" x14ac:dyDescent="0.25">
      <c r="B36" s="11" t="s">
        <v>51</v>
      </c>
      <c r="C36" s="19">
        <f>AVERAGE(3,7)/(0.01*10^0)</f>
        <v>500</v>
      </c>
      <c r="D36" s="12">
        <f>AVERAGE(3,3)/(0.01*10^0)</f>
        <v>300</v>
      </c>
      <c r="I36">
        <f>AVERAGE(I34:I35)</f>
        <v>0.22083333333333333</v>
      </c>
    </row>
    <row r="37" spans="1:22" ht="17" thickBot="1" x14ac:dyDescent="0.25">
      <c r="I37">
        <f>STDEV(I34:I35)</f>
        <v>0.10017346066809438</v>
      </c>
    </row>
    <row r="38" spans="1:22" ht="17" x14ac:dyDescent="0.2">
      <c r="B38" s="24" t="s">
        <v>59</v>
      </c>
      <c r="C38" s="25" t="s">
        <v>54</v>
      </c>
      <c r="D38" s="26" t="s">
        <v>55</v>
      </c>
      <c r="E38" s="23" t="s">
        <v>60</v>
      </c>
    </row>
    <row r="39" spans="1:22" x14ac:dyDescent="0.2">
      <c r="B39" s="8" t="s">
        <v>49</v>
      </c>
      <c r="C39" s="9">
        <f>AVERAGE(15,12,15)/(0.01*10^-5)</f>
        <v>140000000</v>
      </c>
      <c r="D39" s="10">
        <f>AVERAGE(5,2,11)/(0.01*10^-4)</f>
        <v>5999999.9999999991</v>
      </c>
      <c r="E39">
        <f>C39/D39</f>
        <v>23.333333333333336</v>
      </c>
    </row>
    <row r="40" spans="1:22" x14ac:dyDescent="0.2">
      <c r="B40" s="8" t="s">
        <v>50</v>
      </c>
      <c r="C40" s="9">
        <v>0</v>
      </c>
      <c r="D40" s="10">
        <f>AVERAGE(4,0,2)/(0.01*10^-5)</f>
        <v>20000000</v>
      </c>
    </row>
    <row r="41" spans="1:22" ht="17" thickBot="1" x14ac:dyDescent="0.25">
      <c r="B41" s="11" t="s">
        <v>51</v>
      </c>
      <c r="C41" s="19">
        <f>AVERAGE(9,6,1)/(0.01*10^-6)</f>
        <v>533333333.33333331</v>
      </c>
      <c r="D41" s="12">
        <f>AVERAGE(9,3,5)/(0.01*10^-6)</f>
        <v>566666666.66666663</v>
      </c>
    </row>
    <row r="43" spans="1:22" ht="17" thickBot="1" x14ac:dyDescent="0.25">
      <c r="B43" t="s">
        <v>79</v>
      </c>
      <c r="M43" t="s">
        <v>80</v>
      </c>
    </row>
    <row r="44" spans="1:22" x14ac:dyDescent="0.2">
      <c r="B44" s="31" t="s">
        <v>50</v>
      </c>
      <c r="C44" s="32"/>
      <c r="D44" s="33"/>
      <c r="E44" s="31" t="s">
        <v>49</v>
      </c>
      <c r="F44" s="32"/>
      <c r="G44" s="33"/>
      <c r="H44" s="31" t="s">
        <v>62</v>
      </c>
      <c r="I44" s="32"/>
      <c r="J44" s="33"/>
      <c r="K44" t="s">
        <v>66</v>
      </c>
      <c r="M44" s="31" t="s">
        <v>50</v>
      </c>
      <c r="N44" s="32"/>
      <c r="O44" s="33"/>
      <c r="P44" s="31" t="s">
        <v>49</v>
      </c>
      <c r="Q44" s="32"/>
      <c r="R44" s="33"/>
      <c r="S44" s="31" t="s">
        <v>62</v>
      </c>
      <c r="T44" s="32"/>
      <c r="U44" s="33"/>
      <c r="V44" t="s">
        <v>66</v>
      </c>
    </row>
    <row r="45" spans="1:22" x14ac:dyDescent="0.2">
      <c r="A45" t="s">
        <v>63</v>
      </c>
      <c r="B45" s="8">
        <f>8/(0.002*10^-6)</f>
        <v>3999999999.9999995</v>
      </c>
      <c r="C45" s="9">
        <f>8/(0.002*10^-6)</f>
        <v>3999999999.9999995</v>
      </c>
      <c r="D45" s="10">
        <f>12/(0.002*10^-6)</f>
        <v>6000000000</v>
      </c>
      <c r="E45" s="8">
        <f>1/(0.002*10^-3)</f>
        <v>500000</v>
      </c>
      <c r="F45" s="9">
        <f>0/(0.002*10^-3)</f>
        <v>0</v>
      </c>
      <c r="G45" s="10">
        <f>0/(0.002*10^-3)</f>
        <v>0</v>
      </c>
      <c r="H45" s="8">
        <f>0/(0.002*10^-4)</f>
        <v>0</v>
      </c>
      <c r="I45" s="9">
        <f>0/(0.002*10^-4)</f>
        <v>0</v>
      </c>
      <c r="J45" s="10">
        <f>0/(0.002*10^-4)</f>
        <v>0</v>
      </c>
      <c r="K45">
        <f>AVERAGE(0,1)/(0.002*10^-8)</f>
        <v>24999999999.999996</v>
      </c>
      <c r="L45" t="s">
        <v>63</v>
      </c>
      <c r="M45" s="8">
        <f>2/(0.002*10^-6)</f>
        <v>999999999.99999988</v>
      </c>
      <c r="N45" s="9">
        <f>1/(0.002*10^-6)</f>
        <v>499999999.99999994</v>
      </c>
      <c r="O45" s="10">
        <f>1/(0.002*10^-6)</f>
        <v>499999999.99999994</v>
      </c>
      <c r="P45" s="8">
        <f>4/(0.002*10^-3)</f>
        <v>2000000</v>
      </c>
      <c r="Q45" s="9">
        <f>5/(0.002*10^-3)</f>
        <v>2500000</v>
      </c>
      <c r="R45" s="10">
        <f>3/(0.002*10^-3)</f>
        <v>1500000</v>
      </c>
      <c r="S45" s="8">
        <f>5/(0.002*10^-4)</f>
        <v>24999999.999999996</v>
      </c>
      <c r="T45" s="9">
        <f>5/(0.002*10^-4)</f>
        <v>24999999.999999996</v>
      </c>
      <c r="U45" s="10">
        <f>0/(0.002*10^-4)</f>
        <v>0</v>
      </c>
      <c r="V45">
        <f>AVERAGE(2,3)/(0.002*10^-8)</f>
        <v>124999999999.99998</v>
      </c>
    </row>
    <row r="46" spans="1:22" x14ac:dyDescent="0.2">
      <c r="A46" t="s">
        <v>64</v>
      </c>
      <c r="B46" s="8">
        <f>20/(0.002*10^-5)</f>
        <v>1000000000</v>
      </c>
      <c r="C46" s="9">
        <f>16/(0.002*10^-5)</f>
        <v>800000000</v>
      </c>
      <c r="D46" s="10">
        <f>13/(0.002*10^-5)</f>
        <v>650000000</v>
      </c>
      <c r="E46" s="8">
        <f>2/(0.002*10^-3)</f>
        <v>1000000</v>
      </c>
      <c r="F46" s="9">
        <f>12/(0.002*10^-3)</f>
        <v>6000000</v>
      </c>
      <c r="G46" s="10">
        <f>0/(0.002*10^-3)</f>
        <v>0</v>
      </c>
      <c r="H46" s="8">
        <f>2/(0.002*10^-4)</f>
        <v>10000000</v>
      </c>
      <c r="I46" s="9">
        <f>0/(0.002*10^-4)</f>
        <v>0</v>
      </c>
      <c r="J46" s="10">
        <f>0/(0.002*10^-4)</f>
        <v>0</v>
      </c>
      <c r="L46" t="s">
        <v>64</v>
      </c>
      <c r="M46" s="8">
        <f>8/(0.002*10^-5)</f>
        <v>400000000</v>
      </c>
      <c r="N46" s="9">
        <f>3/(0.002*10^-5)</f>
        <v>150000000</v>
      </c>
      <c r="O46" s="10">
        <f>4/(0.002*10^-5)</f>
        <v>200000000</v>
      </c>
      <c r="P46" s="8">
        <f>1/(0.002*10^-3)</f>
        <v>500000</v>
      </c>
      <c r="Q46" s="9">
        <f>25/(0.002*10^-3)</f>
        <v>12500000</v>
      </c>
      <c r="R46" s="10">
        <f>0/(0.002*10^-3)</f>
        <v>0</v>
      </c>
      <c r="S46" s="8">
        <f>12/(0.002*10^-4)</f>
        <v>59999999.999999993</v>
      </c>
      <c r="T46" s="9">
        <f>1/(0.002*10^-4)</f>
        <v>5000000</v>
      </c>
      <c r="U46" s="10">
        <f>1/(0.002*10^-4)</f>
        <v>5000000</v>
      </c>
    </row>
    <row r="47" spans="1:22" ht="17" thickBot="1" x14ac:dyDescent="0.25">
      <c r="A47" t="s">
        <v>65</v>
      </c>
      <c r="B47" s="11">
        <f>11/(0.002*10^-5)</f>
        <v>550000000</v>
      </c>
      <c r="C47" s="19">
        <f>12/(0.002*10^-5)</f>
        <v>600000000</v>
      </c>
      <c r="D47" s="12">
        <f>15/(0.002*10^-5)</f>
        <v>750000000</v>
      </c>
      <c r="E47" s="11">
        <f>0/(0.002*10^-3)</f>
        <v>0</v>
      </c>
      <c r="F47" s="19">
        <f>0/(0.002*10^-3)</f>
        <v>0</v>
      </c>
      <c r="G47" s="12">
        <f>0/(0.002*10^-3)</f>
        <v>0</v>
      </c>
      <c r="H47" s="11">
        <f>2/(0.002*10^-4)</f>
        <v>10000000</v>
      </c>
      <c r="I47" s="19">
        <f>0/(0.002*10^-4)</f>
        <v>0</v>
      </c>
      <c r="J47" s="12">
        <f>2/(0.002*10^-4)</f>
        <v>10000000</v>
      </c>
      <c r="L47" t="s">
        <v>65</v>
      </c>
      <c r="M47" s="11">
        <f>5/(0.002*10^-5)</f>
        <v>250000000</v>
      </c>
      <c r="N47" s="19">
        <f>4/(0.002*10^-5)</f>
        <v>200000000</v>
      </c>
      <c r="O47" s="12">
        <f>1/(0.002*10^-5)</f>
        <v>50000000</v>
      </c>
      <c r="P47" s="11">
        <f>3/(0.002*10^-3)</f>
        <v>1500000</v>
      </c>
      <c r="Q47" s="19">
        <f>2/(0.002*10^-3)</f>
        <v>1000000</v>
      </c>
      <c r="R47" s="12">
        <f>3/(0.002*10^-3)</f>
        <v>1500000</v>
      </c>
      <c r="S47" s="11">
        <f>7/(0.002*10^-4)</f>
        <v>35000000</v>
      </c>
      <c r="T47" s="19">
        <f>0/(0.002*10^-4)</f>
        <v>0</v>
      </c>
      <c r="U47" s="12">
        <f>1/(0.002*10^-4)</f>
        <v>5000000</v>
      </c>
    </row>
    <row r="49" spans="1:20" ht="17" thickBot="1" x14ac:dyDescent="0.25">
      <c r="B49" t="s">
        <v>67</v>
      </c>
      <c r="F49" t="s">
        <v>68</v>
      </c>
      <c r="N49" t="s">
        <v>67</v>
      </c>
      <c r="R49" t="s">
        <v>68</v>
      </c>
    </row>
    <row r="50" spans="1:20" x14ac:dyDescent="0.2">
      <c r="B50" s="18" t="s">
        <v>50</v>
      </c>
      <c r="C50" s="25" t="s">
        <v>49</v>
      </c>
      <c r="D50" s="26" t="s">
        <v>62</v>
      </c>
      <c r="F50" s="18" t="s">
        <v>50</v>
      </c>
      <c r="G50" s="25" t="s">
        <v>49</v>
      </c>
      <c r="H50" s="26" t="s">
        <v>62</v>
      </c>
      <c r="N50" s="18" t="s">
        <v>50</v>
      </c>
      <c r="O50" s="25" t="s">
        <v>49</v>
      </c>
      <c r="P50" s="26" t="s">
        <v>62</v>
      </c>
      <c r="R50" s="18" t="s">
        <v>50</v>
      </c>
      <c r="S50" s="25" t="s">
        <v>49</v>
      </c>
      <c r="T50" s="26" t="s">
        <v>62</v>
      </c>
    </row>
    <row r="51" spans="1:20" x14ac:dyDescent="0.2">
      <c r="A51" t="s">
        <v>63</v>
      </c>
      <c r="B51" s="8">
        <f>AVERAGE(B45,C45,D45)</f>
        <v>4666666666.666667</v>
      </c>
      <c r="C51" s="9">
        <f>AVERAGE(E45,F45,G45)</f>
        <v>166666.66666666666</v>
      </c>
      <c r="D51" s="10">
        <f>AVERAGE(H45,I45,J45)</f>
        <v>0</v>
      </c>
      <c r="F51" s="8">
        <f>STDEV(B45,C45,D45)</f>
        <v>1154700538.3792491</v>
      </c>
      <c r="G51" s="9">
        <f>STDEV(E45,F45,G45)</f>
        <v>288675.13459481287</v>
      </c>
      <c r="H51" s="10">
        <f>STDEV(H45,I45,J45)</f>
        <v>0</v>
      </c>
      <c r="M51" t="s">
        <v>63</v>
      </c>
      <c r="N51" s="8">
        <f>AVERAGE(M45,N45,O45)</f>
        <v>666666666.66666663</v>
      </c>
      <c r="O51" s="9">
        <f>AVERAGE(P45:R45)</f>
        <v>2000000</v>
      </c>
      <c r="P51" s="10">
        <f>AVERAGE(S45:U45)</f>
        <v>16666666.666666664</v>
      </c>
      <c r="R51" s="8">
        <f>STDEV(M45:O45)</f>
        <v>288675134.59481293</v>
      </c>
      <c r="S51" s="9">
        <f>STDEV(P45:R45)</f>
        <v>500000</v>
      </c>
      <c r="T51" s="10">
        <f>STDEV(S45:U45)</f>
        <v>14433756.729740644</v>
      </c>
    </row>
    <row r="52" spans="1:20" x14ac:dyDescent="0.2">
      <c r="A52" t="s">
        <v>64</v>
      </c>
      <c r="B52" s="8">
        <f>AVERAGE(B46,C46,D46)</f>
        <v>816666666.66666663</v>
      </c>
      <c r="C52" s="9">
        <f>AVERAGE(E46,F46,G46)</f>
        <v>2333333.3333333335</v>
      </c>
      <c r="D52" s="10">
        <f>AVERAGE(H46,I46,J46)</f>
        <v>3333333.3333333335</v>
      </c>
      <c r="F52" s="8">
        <f>STDEV(B46,C46,D46)</f>
        <v>175594229.21421245</v>
      </c>
      <c r="G52" s="9">
        <f>STDEV(E46,F46,G46)</f>
        <v>3214550.253664318</v>
      </c>
      <c r="H52" s="10">
        <f>STDEV(H46,I46,J46)</f>
        <v>5773502.6918962579</v>
      </c>
      <c r="M52" t="s">
        <v>64</v>
      </c>
      <c r="N52" s="8">
        <f>AVERAGE(M46,N46,O46)</f>
        <v>250000000</v>
      </c>
      <c r="O52" s="9">
        <f>AVERAGE(P46:R46)</f>
        <v>4333333.333333333</v>
      </c>
      <c r="P52" s="10">
        <f t="shared" ref="P52:P53" si="3">AVERAGE(S46:U46)</f>
        <v>23333333.333333332</v>
      </c>
      <c r="R52" s="8">
        <f t="shared" ref="R52:R53" si="4">STDEV(M46:O46)</f>
        <v>132287565.55322953</v>
      </c>
      <c r="S52" s="9">
        <f t="shared" ref="S52:S53" si="5">STDEV(P46:R46)</f>
        <v>7076957.9151873812</v>
      </c>
      <c r="T52" s="10">
        <f t="shared" ref="T52:T53" si="6">STDEV(S46:U46)</f>
        <v>31754264.80542941</v>
      </c>
    </row>
    <row r="53" spans="1:20" ht="17" thickBot="1" x14ac:dyDescent="0.25">
      <c r="A53" t="s">
        <v>65</v>
      </c>
      <c r="B53" s="11">
        <f>AVERAGE(B47,C47,D47)</f>
        <v>633333333.33333337</v>
      </c>
      <c r="C53" s="19">
        <f>AVERAGE(E47,F47,G47)</f>
        <v>0</v>
      </c>
      <c r="D53" s="12">
        <f>AVERAGE(H47,I47,J47)</f>
        <v>6666666.666666667</v>
      </c>
      <c r="F53" s="11">
        <f>STDEV(B47,C47,D47)</f>
        <v>104083299.97330683</v>
      </c>
      <c r="G53" s="19">
        <f>STDEV(E47,F47,G47)</f>
        <v>0</v>
      </c>
      <c r="H53" s="12">
        <f>STDEV(H47,I47,J47)</f>
        <v>5773502.6918962579</v>
      </c>
      <c r="M53" t="s">
        <v>65</v>
      </c>
      <c r="N53" s="11">
        <f t="shared" ref="N53" si="7">AVERAGE(M47,N47,O47)</f>
        <v>166666666.66666666</v>
      </c>
      <c r="O53" s="19">
        <f>AVERAGE(P47:R47)</f>
        <v>1333333.3333333333</v>
      </c>
      <c r="P53" s="12">
        <f t="shared" si="3"/>
        <v>13333333.333333334</v>
      </c>
      <c r="R53" s="11">
        <f t="shared" si="4"/>
        <v>104083299.97330666</v>
      </c>
      <c r="S53" s="19">
        <f t="shared" si="5"/>
        <v>288675.13459481316</v>
      </c>
      <c r="T53" s="12">
        <f t="shared" si="6"/>
        <v>18929694.486000914</v>
      </c>
    </row>
    <row r="55" spans="1:20" x14ac:dyDescent="0.2">
      <c r="I55" s="27" t="s">
        <v>86</v>
      </c>
      <c r="J55" s="27"/>
      <c r="K55" s="27"/>
    </row>
    <row r="56" spans="1:20" ht="34" x14ac:dyDescent="0.2">
      <c r="A56" s="14" t="s">
        <v>89</v>
      </c>
      <c r="B56" s="14" t="s">
        <v>91</v>
      </c>
      <c r="C56" s="14" t="s">
        <v>92</v>
      </c>
      <c r="D56" s="14" t="s">
        <v>100</v>
      </c>
      <c r="E56" s="14" t="s">
        <v>95</v>
      </c>
      <c r="H56" t="s">
        <v>88</v>
      </c>
      <c r="I56" t="s">
        <v>50</v>
      </c>
      <c r="J56" t="s">
        <v>49</v>
      </c>
      <c r="K56" t="s">
        <v>62</v>
      </c>
      <c r="L56" t="s">
        <v>66</v>
      </c>
      <c r="O56" t="s">
        <v>66</v>
      </c>
      <c r="R56" t="s">
        <v>85</v>
      </c>
    </row>
    <row r="57" spans="1:20" x14ac:dyDescent="0.2">
      <c r="A57" t="s">
        <v>90</v>
      </c>
      <c r="B57">
        <v>0.63900000000000001</v>
      </c>
      <c r="C57" t="s">
        <v>93</v>
      </c>
      <c r="D57">
        <v>3.9870000000000003E-2</v>
      </c>
      <c r="E57">
        <f>(D57*E61)/B61</f>
        <v>8391881.4432989694</v>
      </c>
      <c r="F57">
        <f>E57/E58</f>
        <v>0.97758326543683727</v>
      </c>
      <c r="H57">
        <v>1</v>
      </c>
      <c r="I57">
        <f>B51/N51</f>
        <v>7.0000000000000009</v>
      </c>
      <c r="J57">
        <f>C51/O51</f>
        <v>8.3333333333333329E-2</v>
      </c>
      <c r="K57">
        <f>D51/P51</f>
        <v>0</v>
      </c>
      <c r="L57">
        <v>0</v>
      </c>
      <c r="O57" t="s">
        <v>83</v>
      </c>
      <c r="Q57" t="s">
        <v>84</v>
      </c>
    </row>
    <row r="58" spans="1:20" x14ac:dyDescent="0.2">
      <c r="A58" t="s">
        <v>53</v>
      </c>
      <c r="B58">
        <v>0.63400000000000001</v>
      </c>
      <c r="C58" t="s">
        <v>94</v>
      </c>
      <c r="D58">
        <v>3.9800000000000002E-2</v>
      </c>
      <c r="E58">
        <f>(D58*E62)/B62</f>
        <v>8584313.7254901975</v>
      </c>
      <c r="H58">
        <v>2</v>
      </c>
      <c r="I58">
        <f>B52/N52</f>
        <v>3.2666666666666666</v>
      </c>
      <c r="J58">
        <f t="shared" ref="J58:J59" si="8">C52/O52</f>
        <v>0.53846153846153855</v>
      </c>
      <c r="K58">
        <f t="shared" ref="K58:K59" si="9">D52/P52</f>
        <v>0.14285714285714288</v>
      </c>
      <c r="L58">
        <v>0.33333333333333326</v>
      </c>
      <c r="O58">
        <f>0/(0.002*10^-8)</f>
        <v>0</v>
      </c>
      <c r="Q58">
        <f>2/(0.002*10^-8)</f>
        <v>99999999999.999985</v>
      </c>
      <c r="R58">
        <f>O58/Q58</f>
        <v>0</v>
      </c>
    </row>
    <row r="59" spans="1:20" x14ac:dyDescent="0.2">
      <c r="H59">
        <v>3</v>
      </c>
      <c r="I59">
        <f t="shared" ref="I58:I59" si="10">B53/N53</f>
        <v>3.8000000000000003</v>
      </c>
      <c r="J59">
        <f t="shared" si="8"/>
        <v>0</v>
      </c>
      <c r="K59">
        <f t="shared" si="9"/>
        <v>0.5</v>
      </c>
      <c r="L59">
        <v>0</v>
      </c>
      <c r="O59">
        <f>1/(0.002*10^-8)</f>
        <v>49999999999.999992</v>
      </c>
      <c r="Q59">
        <f>3/(0.002*10^-8)</f>
        <v>150000000000</v>
      </c>
      <c r="R59">
        <f>O59/Q59</f>
        <v>0.33333333333333326</v>
      </c>
    </row>
    <row r="60" spans="1:20" x14ac:dyDescent="0.2">
      <c r="A60" t="s">
        <v>111</v>
      </c>
      <c r="H60" t="s">
        <v>36</v>
      </c>
      <c r="I60">
        <f>AVERAGE(I57:I59)</f>
        <v>4.6888888888888891</v>
      </c>
      <c r="J60">
        <f>AVERAGE(J57:J58)</f>
        <v>0.31089743589743596</v>
      </c>
      <c r="K60">
        <f>AVERAGE(K58,K59)</f>
        <v>0.32142857142857145</v>
      </c>
      <c r="L60" s="1">
        <f>AVERAGE(L57:L59)</f>
        <v>0.11111111111111109</v>
      </c>
      <c r="R60">
        <f>AVERAGE(R58:R59)</f>
        <v>0.16666666666666663</v>
      </c>
    </row>
    <row r="61" spans="1:20" x14ac:dyDescent="0.2">
      <c r="A61" t="s">
        <v>90</v>
      </c>
      <c r="B61">
        <v>0.38800000000000001</v>
      </c>
      <c r="E61">
        <v>81666666.666666657</v>
      </c>
      <c r="H61" t="s">
        <v>37</v>
      </c>
      <c r="I61">
        <f>STDEV(I57:I59)</f>
        <v>2.0191674118400975</v>
      </c>
      <c r="J61">
        <f>STDEV(J57:J59)</f>
        <v>0.28983528539213238</v>
      </c>
      <c r="K61">
        <f>STDEV(K57:K59)</f>
        <v>0.25753937681885641</v>
      </c>
      <c r="L61">
        <f>STDEV(L57:L59)</f>
        <v>0.19245008972987521</v>
      </c>
      <c r="R61">
        <f>STDEV(R58:R59)</f>
        <v>0.23570226039551578</v>
      </c>
    </row>
    <row r="62" spans="1:20" x14ac:dyDescent="0.2">
      <c r="A62" t="s">
        <v>53</v>
      </c>
      <c r="B62" s="1">
        <v>0.10199999999999999</v>
      </c>
      <c r="E62">
        <v>22000000</v>
      </c>
    </row>
  </sheetData>
  <mergeCells count="20">
    <mergeCell ref="B1:E1"/>
    <mergeCell ref="F1:I1"/>
    <mergeCell ref="J1:M1"/>
    <mergeCell ref="B9:E9"/>
    <mergeCell ref="F9:I9"/>
    <mergeCell ref="J9:M9"/>
    <mergeCell ref="P44:R44"/>
    <mergeCell ref="S44:U44"/>
    <mergeCell ref="B17:E17"/>
    <mergeCell ref="F17:I17"/>
    <mergeCell ref="J17:M17"/>
    <mergeCell ref="P17:S17"/>
    <mergeCell ref="B25:E25"/>
    <mergeCell ref="J25:M25"/>
    <mergeCell ref="P25:S25"/>
    <mergeCell ref="I55:K55"/>
    <mergeCell ref="B44:D44"/>
    <mergeCell ref="E44:G44"/>
    <mergeCell ref="H44:J44"/>
    <mergeCell ref="M44:O4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A59B-72F7-2945-A457-EC9C180B8674}">
  <dimension ref="A1:K4"/>
  <sheetViews>
    <sheetView workbookViewId="0">
      <selection activeCell="J3" sqref="J3:K3"/>
    </sheetView>
  </sheetViews>
  <sheetFormatPr baseColWidth="10" defaultRowHeight="16" x14ac:dyDescent="0.2"/>
  <cols>
    <col min="7" max="7" width="11.1640625" bestFit="1" customWidth="1"/>
    <col min="10" max="11" width="11.1640625" bestFit="1" customWidth="1"/>
  </cols>
  <sheetData>
    <row r="1" spans="1:11" ht="51" x14ac:dyDescent="0.2">
      <c r="A1" s="14" t="s">
        <v>103</v>
      </c>
      <c r="B1" s="14" t="s">
        <v>91</v>
      </c>
      <c r="C1" s="14" t="s">
        <v>106</v>
      </c>
      <c r="D1" s="14" t="s">
        <v>109</v>
      </c>
      <c r="E1" s="14" t="s">
        <v>110</v>
      </c>
      <c r="F1" s="14" t="s">
        <v>107</v>
      </c>
      <c r="G1" s="14" t="s">
        <v>108</v>
      </c>
      <c r="J1" s="14" t="s">
        <v>112</v>
      </c>
      <c r="K1" s="14" t="s">
        <v>113</v>
      </c>
    </row>
    <row r="2" spans="1:11" x14ac:dyDescent="0.2">
      <c r="A2" t="s">
        <v>104</v>
      </c>
      <c r="B2">
        <v>0.21099999999999999</v>
      </c>
      <c r="C2">
        <f>AVERAGE(10,16,9)</f>
        <v>11.666666666666666</v>
      </c>
      <c r="D2">
        <f>(10^-5)</f>
        <v>1.0000000000000001E-5</v>
      </c>
      <c r="E2">
        <f>10^6</f>
        <v>1000000</v>
      </c>
      <c r="F2">
        <f>(C2*1000)/2</f>
        <v>5833.333333333333</v>
      </c>
      <c r="G2">
        <f>F2*E2</f>
        <v>5833333333.333333</v>
      </c>
      <c r="I2" t="s">
        <v>114</v>
      </c>
      <c r="J2">
        <f>AVERAGE(2, 5, 1)</f>
        <v>2.6666666666666665</v>
      </c>
      <c r="K2">
        <f>AVERAGE(8,11,8)</f>
        <v>9</v>
      </c>
    </row>
    <row r="3" spans="1:11" x14ac:dyDescent="0.2">
      <c r="A3" t="s">
        <v>105</v>
      </c>
      <c r="B3">
        <v>0.38800000000000001</v>
      </c>
      <c r="C3">
        <f>AVERAGE(14,16,19)</f>
        <v>16.333333333333332</v>
      </c>
      <c r="D3">
        <f>10^-3</f>
        <v>1E-3</v>
      </c>
      <c r="E3">
        <f>10^4</f>
        <v>10000</v>
      </c>
      <c r="F3">
        <f>(C3*1000)/2</f>
        <v>8166.6666666666661</v>
      </c>
      <c r="G3">
        <f>F3*E3</f>
        <v>81666666.666666657</v>
      </c>
      <c r="I3" t="s">
        <v>115</v>
      </c>
      <c r="J3">
        <f>J2/C2</f>
        <v>0.22857142857142856</v>
      </c>
      <c r="K3">
        <f>K2/C2</f>
        <v>0.77142857142857146</v>
      </c>
    </row>
    <row r="4" spans="1:11" x14ac:dyDescent="0.2">
      <c r="A4" t="s">
        <v>53</v>
      </c>
      <c r="B4">
        <v>0.10199999999999999</v>
      </c>
      <c r="C4">
        <f>AVERAGE(55,45,32)</f>
        <v>44</v>
      </c>
      <c r="D4">
        <f>10^-2</f>
        <v>0.01</v>
      </c>
      <c r="E4">
        <f>10^3</f>
        <v>1000</v>
      </c>
      <c r="F4">
        <f>(C4*1000)/2</f>
        <v>22000</v>
      </c>
      <c r="G4">
        <f>F4*E4</f>
        <v>22000000</v>
      </c>
      <c r="I4" t="s">
        <v>96</v>
      </c>
      <c r="J4">
        <f>J3*G2</f>
        <v>1333333333.3333333</v>
      </c>
      <c r="K4">
        <f>G2*K3</f>
        <v>4500000000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59AD-3E0E-D943-94C0-28F812C07C6D}">
  <dimension ref="A1:P15"/>
  <sheetViews>
    <sheetView topLeftCell="A17" workbookViewId="0">
      <selection activeCell="H7" sqref="H7"/>
    </sheetView>
  </sheetViews>
  <sheetFormatPr baseColWidth="10" defaultRowHeight="16" x14ac:dyDescent="0.2"/>
  <sheetData>
    <row r="1" spans="1:16" x14ac:dyDescent="0.2">
      <c r="A1" s="1"/>
      <c r="B1" s="1"/>
      <c r="D1" s="1"/>
      <c r="E1" s="28" t="s">
        <v>13</v>
      </c>
      <c r="F1" s="29"/>
      <c r="G1" s="29"/>
      <c r="H1" s="30"/>
      <c r="I1" s="28" t="s">
        <v>12</v>
      </c>
      <c r="J1" s="29"/>
      <c r="K1" s="29"/>
      <c r="L1" s="30"/>
      <c r="M1" s="31" t="s">
        <v>11</v>
      </c>
      <c r="N1" s="32"/>
      <c r="O1" s="32"/>
      <c r="P1" s="33"/>
    </row>
    <row r="2" spans="1:16" ht="34" x14ac:dyDescent="0.2">
      <c r="A2" s="13" t="s">
        <v>0</v>
      </c>
      <c r="B2" s="13" t="s">
        <v>10</v>
      </c>
      <c r="C2" s="14" t="s">
        <v>14</v>
      </c>
      <c r="D2" s="13" t="s">
        <v>2</v>
      </c>
      <c r="E2" s="15" t="s">
        <v>3</v>
      </c>
      <c r="F2" s="16" t="s">
        <v>4</v>
      </c>
      <c r="G2" s="16" t="s">
        <v>6</v>
      </c>
      <c r="H2" s="17" t="s">
        <v>5</v>
      </c>
      <c r="I2" s="15" t="s">
        <v>3</v>
      </c>
      <c r="J2" s="16" t="s">
        <v>4</v>
      </c>
      <c r="K2" s="16" t="s">
        <v>6</v>
      </c>
      <c r="L2" s="17" t="s">
        <v>5</v>
      </c>
      <c r="M2" s="15" t="s">
        <v>3</v>
      </c>
      <c r="N2" s="16" t="s">
        <v>4</v>
      </c>
      <c r="O2" s="16" t="s">
        <v>6</v>
      </c>
      <c r="P2" s="4" t="s">
        <v>5</v>
      </c>
    </row>
    <row r="3" spans="1:16" x14ac:dyDescent="0.2">
      <c r="A3" s="1">
        <v>0</v>
      </c>
      <c r="B3" s="1">
        <v>1</v>
      </c>
      <c r="C3">
        <v>1</v>
      </c>
      <c r="D3" s="1">
        <v>0.05</v>
      </c>
      <c r="E3" s="3">
        <f>AVERAGE(119,142,130)/($B3*$D3)</f>
        <v>2606.6666666666665</v>
      </c>
      <c r="F3" s="2">
        <f>AVERAGE(51,91,59)/($B3*$D3)</f>
        <v>1340</v>
      </c>
      <c r="G3" s="2">
        <f>AVERAGE(10,25,97)/($C3*$D3)</f>
        <v>880</v>
      </c>
      <c r="H3" s="4">
        <f>AVERAGE(9,3,50)/($C3*$D3)</f>
        <v>413.33333333333331</v>
      </c>
      <c r="I3" s="3">
        <f>E3/$E$3</f>
        <v>1</v>
      </c>
      <c r="J3" s="2">
        <f>F3/$F$3</f>
        <v>1</v>
      </c>
      <c r="K3" s="2">
        <f>G3/$G$3</f>
        <v>1</v>
      </c>
      <c r="L3" s="4">
        <f>H3/$H$3</f>
        <v>1</v>
      </c>
      <c r="M3" s="8">
        <f>LOG(I3/$I$3, 2)</f>
        <v>0</v>
      </c>
      <c r="N3" s="9">
        <f>LOG(J3/$J$3,2)</f>
        <v>0</v>
      </c>
      <c r="O3" s="9">
        <f>LOG(K3/$K$3, 2)</f>
        <v>0</v>
      </c>
      <c r="P3" s="10">
        <f>LOG(L3/$L$3, 2)</f>
        <v>0</v>
      </c>
    </row>
    <row r="4" spans="1:16" x14ac:dyDescent="0.2">
      <c r="A4" s="1">
        <v>30</v>
      </c>
      <c r="B4" s="1">
        <v>1</v>
      </c>
      <c r="C4">
        <v>1</v>
      </c>
      <c r="D4" s="1">
        <v>0.05</v>
      </c>
      <c r="E4" s="3">
        <f>AVERAGE(73,96,92)/(B4*D4)</f>
        <v>1740</v>
      </c>
      <c r="F4" s="2">
        <f>AVERAGE(19,27,29)/($B4*$D4)</f>
        <v>500</v>
      </c>
      <c r="G4" s="2">
        <f>AVERAGE(34,43,14)/($C4*$D4)</f>
        <v>606.66666666666663</v>
      </c>
      <c r="H4" s="4">
        <f>AVERAGE(2,2,9)/($C4*$D4)</f>
        <v>86.666666666666657</v>
      </c>
      <c r="I4" s="3">
        <f>E4/$E$3</f>
        <v>0.6675191815856778</v>
      </c>
      <c r="J4" s="2">
        <f>F4/$F$3</f>
        <v>0.37313432835820898</v>
      </c>
      <c r="K4" s="2">
        <f t="shared" ref="K4:K7" si="0">G4/$G$3</f>
        <v>0.68939393939393934</v>
      </c>
      <c r="L4" s="4">
        <f t="shared" ref="L4:L7" si="1">H4/$H$3</f>
        <v>0.20967741935483869</v>
      </c>
      <c r="M4" s="8">
        <f>LOG(I4/$I$3, 2)</f>
        <v>-0.58311880073746769</v>
      </c>
      <c r="N4" s="9">
        <f>LOG(J4/$J$3,2)</f>
        <v>-1.4222330006830477</v>
      </c>
      <c r="O4" s="9">
        <f>LOG(K4/$K$3, 2)</f>
        <v>-0.53659947915975725</v>
      </c>
      <c r="P4" s="10">
        <f>LOG(L4/$L$3, 2)</f>
        <v>-2.2537565922457832</v>
      </c>
    </row>
    <row r="5" spans="1:16" x14ac:dyDescent="0.2">
      <c r="A5" s="1">
        <v>60</v>
      </c>
      <c r="B5" s="1">
        <v>1</v>
      </c>
      <c r="C5" s="1">
        <f>10^-1</f>
        <v>0.1</v>
      </c>
      <c r="D5" s="1">
        <v>0.05</v>
      </c>
      <c r="E5" s="3">
        <f>AVERAGE(70,25,122)/(B5*D5)</f>
        <v>1446.6666666666665</v>
      </c>
      <c r="F5" s="2">
        <f>AVERAGE(7,8,3)/($B5*$D5)</f>
        <v>120</v>
      </c>
      <c r="G5" s="2">
        <f>AVERAGE(11,10,14)/($C5*$D5)</f>
        <v>2333.3333333333326</v>
      </c>
      <c r="H5" s="4">
        <f>AVERAGE(2,0,0)/($C5*$D5)</f>
        <v>133.33333333333329</v>
      </c>
      <c r="I5" s="3">
        <f>E5/$E$3</f>
        <v>0.55498721227621484</v>
      </c>
      <c r="J5" s="2">
        <f>F5/$F$3</f>
        <v>8.9552238805970144E-2</v>
      </c>
      <c r="K5" s="2">
        <f t="shared" si="0"/>
        <v>2.6515151515151505</v>
      </c>
      <c r="L5" s="4">
        <f t="shared" si="1"/>
        <v>0.3225806451612902</v>
      </c>
      <c r="M5" s="8">
        <f>LOG(I5/$I$3, 2)</f>
        <v>-0.84947356486287295</v>
      </c>
      <c r="N5" s="9">
        <f>LOG(J5/$J$3,2)</f>
        <v>-3.4811266897366164</v>
      </c>
      <c r="O5" s="9">
        <f>LOG(K5/$K$3, 2)</f>
        <v>1.4068169924738749</v>
      </c>
      <c r="P5" s="10">
        <f>LOG(L5/$L$3, 2)</f>
        <v>-1.6322682154995136</v>
      </c>
    </row>
    <row r="6" spans="1:16" x14ac:dyDescent="0.2">
      <c r="A6" s="1">
        <v>90</v>
      </c>
      <c r="B6" s="1">
        <f>10^-1</f>
        <v>0.1</v>
      </c>
      <c r="C6" s="1">
        <f>10^-1</f>
        <v>0.1</v>
      </c>
      <c r="D6" s="1">
        <v>0.05</v>
      </c>
      <c r="E6" s="3">
        <f>AVERAGE(6,69,3)/(B6*D6)</f>
        <v>5199.9999999999991</v>
      </c>
      <c r="F6" s="2">
        <f>AVERAGE(1,2,3)/($B6*$D6)</f>
        <v>399.99999999999994</v>
      </c>
      <c r="G6" s="2">
        <f>AVERAGE(158,220,144)/($C6*$D6)</f>
        <v>34799.999999999993</v>
      </c>
      <c r="H6" s="4">
        <f>AVERAGE(1,0,0)/($C6*$D6)</f>
        <v>66.666666666666643</v>
      </c>
      <c r="I6" s="3">
        <f>E6/$E$3</f>
        <v>1.9948849104859332</v>
      </c>
      <c r="J6" s="2">
        <f>F6/$F$3</f>
        <v>0.29850746268656714</v>
      </c>
      <c r="K6" s="2">
        <f t="shared" si="0"/>
        <v>39.54545454545454</v>
      </c>
      <c r="L6" s="4">
        <f t="shared" si="1"/>
        <v>0.1612903225806451</v>
      </c>
      <c r="M6" s="8">
        <f>LOG(I6/$I$3, 2)</f>
        <v>0.99630551644225829</v>
      </c>
      <c r="N6" s="9">
        <f>LOG(J6/$J$3,2)</f>
        <v>-1.7441610955704101</v>
      </c>
      <c r="O6" s="9">
        <f>LOG(K6/$K$3, 2)</f>
        <v>5.3054399720987933</v>
      </c>
      <c r="P6" s="10">
        <f>LOG(L6/$L$3, 2)</f>
        <v>-2.6322682154995136</v>
      </c>
    </row>
    <row r="7" spans="1:16" ht="17" thickBot="1" x14ac:dyDescent="0.25">
      <c r="A7" s="1">
        <v>120</v>
      </c>
      <c r="B7" s="1">
        <f>10^-1</f>
        <v>0.1</v>
      </c>
      <c r="C7">
        <f>10^-2</f>
        <v>0.01</v>
      </c>
      <c r="D7" s="1">
        <v>0.05</v>
      </c>
      <c r="E7" s="5">
        <f>AVERAGE(12,95,38)/(B7*D7)</f>
        <v>9666.6666666666661</v>
      </c>
      <c r="F7" s="6">
        <f>AVERAGE(1,12,1)/($B7*$D7)</f>
        <v>933.33333333333326</v>
      </c>
      <c r="G7" s="6">
        <f>AVERAGE(70,55,154)/($C7*$D7)</f>
        <v>186000</v>
      </c>
      <c r="H7" s="7">
        <f>AVERAGE(1,0,0)/($C6*$D7)</f>
        <v>66.666666666666643</v>
      </c>
      <c r="I7" s="5">
        <f>E7/$E$3</f>
        <v>3.7084398976982098</v>
      </c>
      <c r="J7" s="6">
        <f>F7/$F$3</f>
        <v>0.69651741293532332</v>
      </c>
      <c r="K7" s="6">
        <f t="shared" si="0"/>
        <v>211.36363636363637</v>
      </c>
      <c r="L7" s="7">
        <f t="shared" si="1"/>
        <v>0.1612903225806451</v>
      </c>
      <c r="M7" s="8">
        <f>LOG(I7/$I$3, 2)</f>
        <v>1.8908123875949445</v>
      </c>
      <c r="N7" s="9">
        <f>LOG(J7/$J$3,2)</f>
        <v>-0.52176867423396234</v>
      </c>
      <c r="O7" s="9">
        <f>LOG(K7/$K$3, 2)</f>
        <v>7.7235833822454598</v>
      </c>
      <c r="P7" s="10">
        <f>LOG(L7/$L$3, 2)</f>
        <v>-2.6322682154995136</v>
      </c>
    </row>
    <row r="8" spans="1:1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6" x14ac:dyDescent="0.2">
      <c r="A10" s="1"/>
    </row>
    <row r="11" spans="1:16" x14ac:dyDescent="0.2">
      <c r="A11" s="1"/>
    </row>
    <row r="12" spans="1:16" x14ac:dyDescent="0.2">
      <c r="A12" s="1"/>
    </row>
    <row r="13" spans="1:16" x14ac:dyDescent="0.2">
      <c r="A13" s="1"/>
    </row>
    <row r="14" spans="1:16" x14ac:dyDescent="0.2">
      <c r="A14" s="1"/>
    </row>
    <row r="15" spans="1:16" x14ac:dyDescent="0.2">
      <c r="A15" s="1"/>
    </row>
  </sheetData>
  <mergeCells count="3">
    <mergeCell ref="I1:L1"/>
    <mergeCell ref="M1:P1"/>
    <mergeCell ref="E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5181-DF8A-3D47-A597-C1327091E4EC}">
  <dimension ref="A1:R23"/>
  <sheetViews>
    <sheetView workbookViewId="0">
      <selection activeCell="A6" sqref="A6"/>
    </sheetView>
  </sheetViews>
  <sheetFormatPr baseColWidth="10" defaultRowHeight="16" x14ac:dyDescent="0.2"/>
  <sheetData>
    <row r="1" spans="1:18" x14ac:dyDescent="0.2">
      <c r="A1" s="1"/>
      <c r="B1" s="28" t="s">
        <v>13</v>
      </c>
      <c r="C1" s="29"/>
      <c r="D1" s="29"/>
      <c r="E1" s="30"/>
      <c r="F1" s="29" t="s">
        <v>12</v>
      </c>
      <c r="G1" s="29"/>
      <c r="H1" s="29"/>
      <c r="I1" s="29"/>
      <c r="J1" s="31" t="s">
        <v>11</v>
      </c>
      <c r="K1" s="32"/>
      <c r="L1" s="32"/>
      <c r="M1" s="33"/>
      <c r="O1" s="27"/>
      <c r="P1" s="27"/>
      <c r="Q1" s="27"/>
      <c r="R1" s="27"/>
    </row>
    <row r="2" spans="1:18" ht="34" x14ac:dyDescent="0.2">
      <c r="A2" s="13" t="s">
        <v>15</v>
      </c>
      <c r="B2" s="15" t="s">
        <v>3</v>
      </c>
      <c r="C2" s="16" t="s">
        <v>4</v>
      </c>
      <c r="D2" s="16" t="s">
        <v>6</v>
      </c>
      <c r="E2" s="17" t="s">
        <v>5</v>
      </c>
      <c r="F2" s="16" t="s">
        <v>3</v>
      </c>
      <c r="G2" s="16" t="s">
        <v>4</v>
      </c>
      <c r="H2" s="16" t="s">
        <v>6</v>
      </c>
      <c r="I2" s="16" t="s">
        <v>5</v>
      </c>
      <c r="J2" s="15" t="s">
        <v>3</v>
      </c>
      <c r="K2" s="16" t="s">
        <v>4</v>
      </c>
      <c r="L2" s="16" t="s">
        <v>6</v>
      </c>
      <c r="M2" s="4" t="s">
        <v>5</v>
      </c>
      <c r="O2" s="15"/>
      <c r="P2" s="16"/>
      <c r="Q2" s="16"/>
      <c r="R2" s="17"/>
    </row>
    <row r="3" spans="1:18" x14ac:dyDescent="0.2">
      <c r="A3" s="1" t="e">
        <f>LOG(0)</f>
        <v>#NUM!</v>
      </c>
      <c r="B3" s="3">
        <f>AVERAGE(16,6,0)/(0.05*10^0)</f>
        <v>146.66666666666666</v>
      </c>
      <c r="C3" s="2">
        <f>AVERAGE(7,7,4)/(0.05*10^0)</f>
        <v>120</v>
      </c>
      <c r="D3" s="2">
        <f>AVERAGE(10,10,0)/(0.05*10^0)</f>
        <v>133.33333333333334</v>
      </c>
      <c r="E3" s="4">
        <f>AVERAGE(5,5,8)/(0.05*10^0)</f>
        <v>120</v>
      </c>
      <c r="F3" s="2">
        <f>B3/$B$3</f>
        <v>1</v>
      </c>
      <c r="G3" s="2">
        <f>C3/$C$3</f>
        <v>1</v>
      </c>
      <c r="H3" s="2">
        <f>D3/$D$3</f>
        <v>1</v>
      </c>
      <c r="I3" s="2">
        <f>E3/$E$3</f>
        <v>1</v>
      </c>
      <c r="J3" s="8">
        <f>LOG(F3/$F$3,2)</f>
        <v>0</v>
      </c>
      <c r="K3" s="9">
        <f>LOG(G3/$G$3,2)</f>
        <v>0</v>
      </c>
      <c r="L3" s="9">
        <f>LOG(H3/$H$3, 2)</f>
        <v>0</v>
      </c>
      <c r="M3" s="10">
        <f>LOG(I3/$I$3,2)</f>
        <v>0</v>
      </c>
    </row>
    <row r="4" spans="1:18" x14ac:dyDescent="0.2">
      <c r="A4" s="1">
        <f>LOG(2)</f>
        <v>0.3010299956639812</v>
      </c>
      <c r="B4" s="3">
        <f>AVERAGE(3,6,1)/(0.05*10^-1)</f>
        <v>666.66666666666652</v>
      </c>
      <c r="C4" s="2">
        <f>AVERAGE(12,5,8)/(0.05*10^0)</f>
        <v>166.66666666666666</v>
      </c>
      <c r="D4" s="2">
        <f>AVERAGE(1,2,0)/(0.05*10^-2)</f>
        <v>2000</v>
      </c>
      <c r="E4" s="4">
        <f>AVERAGE(0,1,0)/(0.05*10^0)</f>
        <v>6.6666666666666661</v>
      </c>
      <c r="F4" s="2">
        <f>B4/$B$3</f>
        <v>4.545454545454545</v>
      </c>
      <c r="G4" s="2">
        <f>C4/$C$3</f>
        <v>1.3888888888888888</v>
      </c>
      <c r="H4" s="2">
        <f>D4/$D$3</f>
        <v>14.999999999999998</v>
      </c>
      <c r="I4" s="2">
        <f>E4/$E$3</f>
        <v>5.5555555555555552E-2</v>
      </c>
      <c r="J4" s="8">
        <f>LOG(F4/$F$3,2)</f>
        <v>2.1844245711374275</v>
      </c>
      <c r="K4" s="9">
        <f>LOG(G4/$G$3,2)</f>
        <v>0.47393118833241232</v>
      </c>
      <c r="L4" s="9">
        <f>LOG(H4/$H$3, 2)</f>
        <v>3.9068905956085187</v>
      </c>
      <c r="M4" s="10">
        <f>LOG(I4/$I$3,2)</f>
        <v>-4.169925001442313</v>
      </c>
    </row>
    <row r="5" spans="1:18" x14ac:dyDescent="0.2">
      <c r="A5" s="1">
        <f>LOG(4)</f>
        <v>0.6020599913279624</v>
      </c>
      <c r="B5" s="3">
        <f>AVERAGE(5,10,1,1)/(0.005*10^-2)</f>
        <v>85000</v>
      </c>
      <c r="C5" s="2">
        <f>AVERAGE(3,5,15)/(0.005*10^-2)</f>
        <v>153333.33333333334</v>
      </c>
      <c r="D5" s="2">
        <f>AVERAGE(3,8,1)/(0.005*10^-3)</f>
        <v>799999.99999999988</v>
      </c>
      <c r="E5" s="4">
        <f>AVERAGE(4,8,1)/(0.005*10^-2)</f>
        <v>86666.666666666657</v>
      </c>
      <c r="F5" s="2">
        <f>B5/$B$3</f>
        <v>579.54545454545462</v>
      </c>
      <c r="G5" s="2">
        <f>C5/$C$3</f>
        <v>1277.7777777777778</v>
      </c>
      <c r="H5" s="2">
        <f>D5/$D$3</f>
        <v>5999.9999999999991</v>
      </c>
      <c r="I5" s="2">
        <f>E5/$E$3</f>
        <v>722.22222222222217</v>
      </c>
      <c r="J5" s="8">
        <f>LOG(F5/$F$3,2)</f>
        <v>9.1787780079962857</v>
      </c>
      <c r="K5" s="9">
        <f>LOG(G5/$G$3,2)</f>
        <v>10.319421239276787</v>
      </c>
      <c r="L5" s="9">
        <f>LOG(H5/$H$3, 2)</f>
        <v>12.550746785383243</v>
      </c>
      <c r="M5" s="10">
        <f>LOG(I5/$I$3,2)</f>
        <v>9.4962990013608657</v>
      </c>
    </row>
    <row r="6" spans="1:18" ht="17" thickBot="1" x14ac:dyDescent="0.25">
      <c r="A6" s="1">
        <f>LOG(48)</f>
        <v>1.6812412373755872</v>
      </c>
      <c r="B6" s="5">
        <f>AVERAGE(3,8,4)/(0.005*10^-3)</f>
        <v>999999.99999999988</v>
      </c>
      <c r="C6" s="6">
        <f>AVERAGE(7,9,3)/(0.005*10^-2)</f>
        <v>126666.66666666666</v>
      </c>
      <c r="D6" s="6">
        <f>AVERAGE(4,1,1)/(0.005*10^-5)</f>
        <v>40000000</v>
      </c>
      <c r="E6" s="7">
        <f>AVERAGE(2,1,4)/(0.005*10^-4)</f>
        <v>4666666.666666666</v>
      </c>
      <c r="F6" s="6">
        <f>B6/$B$3</f>
        <v>6818.181818181818</v>
      </c>
      <c r="G6" s="6">
        <f>C6/$C$3</f>
        <v>1055.5555555555554</v>
      </c>
      <c r="H6" s="6">
        <f>D6/$D$3</f>
        <v>300000</v>
      </c>
      <c r="I6" s="6">
        <f>E6/$E$3</f>
        <v>38888.888888888883</v>
      </c>
      <c r="J6" s="8">
        <f>LOG(F6/$F$3,2)</f>
        <v>12.73517135652067</v>
      </c>
      <c r="K6" s="9">
        <f>LOG(G6/$G$3,2)</f>
        <v>10.04378679666336</v>
      </c>
      <c r="L6" s="9">
        <f>LOG(H6/$H$3, 2)</f>
        <v>18.194602975157967</v>
      </c>
      <c r="M6" s="10">
        <f>LOG(I6/$I$3,2)</f>
        <v>15.247070395052104</v>
      </c>
    </row>
    <row r="23" spans="1:1" x14ac:dyDescent="0.2">
      <c r="A23" t="s">
        <v>23</v>
      </c>
    </row>
  </sheetData>
  <mergeCells count="4">
    <mergeCell ref="B1:E1"/>
    <mergeCell ref="F1:I1"/>
    <mergeCell ref="J1:M1"/>
    <mergeCell ref="O1:R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E9AD-9830-F842-98FF-281BA2B17B3A}">
  <dimension ref="A1:M26"/>
  <sheetViews>
    <sheetView workbookViewId="0">
      <selection activeCell="A4" sqref="A4"/>
    </sheetView>
  </sheetViews>
  <sheetFormatPr baseColWidth="10" defaultRowHeight="16" x14ac:dyDescent="0.2"/>
  <cols>
    <col min="5" max="5" width="12.1640625" bestFit="1" customWidth="1"/>
  </cols>
  <sheetData>
    <row r="1" spans="1:13" x14ac:dyDescent="0.2">
      <c r="A1" s="1"/>
      <c r="B1" s="28" t="s">
        <v>13</v>
      </c>
      <c r="C1" s="29"/>
      <c r="D1" s="29"/>
      <c r="E1" s="30"/>
      <c r="F1" s="29" t="s">
        <v>12</v>
      </c>
      <c r="G1" s="29"/>
      <c r="H1" s="29"/>
      <c r="I1" s="29"/>
      <c r="J1" s="31" t="s">
        <v>11</v>
      </c>
      <c r="K1" s="32"/>
      <c r="L1" s="32"/>
      <c r="M1" s="33"/>
    </row>
    <row r="2" spans="1:13" ht="34" x14ac:dyDescent="0.2">
      <c r="A2" s="13" t="s">
        <v>15</v>
      </c>
      <c r="B2" s="15" t="s">
        <v>16</v>
      </c>
      <c r="C2" s="16" t="s">
        <v>17</v>
      </c>
      <c r="D2" s="16" t="s">
        <v>18</v>
      </c>
      <c r="E2" s="17" t="s">
        <v>19</v>
      </c>
      <c r="F2" s="16" t="s">
        <v>16</v>
      </c>
      <c r="G2" s="16" t="s">
        <v>17</v>
      </c>
      <c r="H2" s="16" t="s">
        <v>18</v>
      </c>
      <c r="I2" s="16" t="s">
        <v>19</v>
      </c>
      <c r="J2" s="15" t="s">
        <v>16</v>
      </c>
      <c r="K2" s="16" t="s">
        <v>17</v>
      </c>
      <c r="L2" s="16" t="s">
        <v>18</v>
      </c>
      <c r="M2" s="17" t="s">
        <v>19</v>
      </c>
    </row>
    <row r="3" spans="1:13" x14ac:dyDescent="0.2">
      <c r="A3" s="1" t="e">
        <f>LOG(0)</f>
        <v>#NUM!</v>
      </c>
      <c r="B3" s="3">
        <f>AVERAGE(180,190,226)/(0.05*10^0)</f>
        <v>3973.333333333333</v>
      </c>
      <c r="C3" s="2">
        <f>AVERAGE(104,97,124)/(0.05*10^0)</f>
        <v>2166.6666666666665</v>
      </c>
      <c r="D3" s="2">
        <f>AVERAGE(67,58,59)/(0.05*10^0)</f>
        <v>1226.6666666666667</v>
      </c>
      <c r="E3" s="4">
        <f>AVERAGE(29,59,29)/(0.05*10^0)</f>
        <v>780</v>
      </c>
      <c r="F3" s="2">
        <f>B3/$B$3</f>
        <v>1</v>
      </c>
      <c r="G3" s="2">
        <f>C3/$C$3</f>
        <v>1</v>
      </c>
      <c r="H3" s="2">
        <f>D3/$D$3</f>
        <v>1</v>
      </c>
      <c r="I3" s="2">
        <f>E3/$E$3</f>
        <v>1</v>
      </c>
      <c r="J3" s="8">
        <f>LOG(F3/$F$3, 2)</f>
        <v>0</v>
      </c>
      <c r="K3" s="9">
        <f>LOG(G3/$G$3, 2)</f>
        <v>0</v>
      </c>
      <c r="L3" s="9">
        <f>LOG(H3/$H$3,2)</f>
        <v>0</v>
      </c>
      <c r="M3" s="10">
        <f>LOG(I3/$I$3,2)</f>
        <v>0</v>
      </c>
    </row>
    <row r="4" spans="1:13" x14ac:dyDescent="0.2">
      <c r="A4" s="1">
        <f>LOG(2)</f>
        <v>0.3010299956639812</v>
      </c>
      <c r="B4" s="3">
        <f>AVERAGE(10,13,3)/(0.05*10^-1)</f>
        <v>1733.3333333333328</v>
      </c>
      <c r="C4" s="2">
        <f>AVERAGE(14,16,2)/(0.05*10^-1)</f>
        <v>2133.3333333333326</v>
      </c>
      <c r="D4" s="2">
        <f>AVERAGE(7,2,4)/(0.05*10^-1)</f>
        <v>866.6666666666664</v>
      </c>
      <c r="E4" s="4">
        <f>AVERAGE(11,15,31)/(0.05*10^-1)</f>
        <v>3799.9999999999991</v>
      </c>
      <c r="F4" s="2">
        <f>B4/$B$3</f>
        <v>0.43624161073825496</v>
      </c>
      <c r="G4" s="2">
        <f>C4/$C$3</f>
        <v>0.98461538461538434</v>
      </c>
      <c r="H4" s="2">
        <f>D4/$D$3</f>
        <v>0.70652173913043448</v>
      </c>
      <c r="I4" s="2">
        <f>E4/$E$3</f>
        <v>4.8717948717948705</v>
      </c>
      <c r="J4" s="8">
        <f>LOG(F4/$F$3, 2)</f>
        <v>-1.1968007074337073</v>
      </c>
      <c r="K4" s="9">
        <f>LOG(G4/$G$3, 2)</f>
        <v>-2.2367813028454916E-2</v>
      </c>
      <c r="L4" s="9">
        <f>LOG(H4/$H$3,2)</f>
        <v>-0.50119414302855902</v>
      </c>
      <c r="M4" s="10">
        <f>LOG(I4/$I$3,2)</f>
        <v>2.2844533894686991</v>
      </c>
    </row>
    <row r="5" spans="1:13" x14ac:dyDescent="0.2">
      <c r="A5" s="1">
        <f>LOG(4)</f>
        <v>0.6020599913279624</v>
      </c>
      <c r="B5" s="3">
        <f>AVERAGE(4,4,4,12,9,6)/(0.002*10^-2)</f>
        <v>325000</v>
      </c>
      <c r="C5" s="2">
        <f>AVERAGE(2,1,1)/(0.005*10^-1)</f>
        <v>2666.6666666666665</v>
      </c>
      <c r="D5" s="2">
        <f>AVERAGE(3,1,2,1)/(0.002*10^-3)</f>
        <v>875000</v>
      </c>
      <c r="E5" s="4">
        <f>AVERAGE(4,2,8,7,15)/(0.002*10^-3)</f>
        <v>3600000.0000000005</v>
      </c>
      <c r="F5" s="2">
        <f>B5/$B$3</f>
        <v>81.795302013422827</v>
      </c>
      <c r="G5" s="2">
        <f>C5/$C$3</f>
        <v>1.2307692307692308</v>
      </c>
      <c r="H5" s="2">
        <f>D5/$D$3</f>
        <v>713.31521739130426</v>
      </c>
      <c r="I5" s="2">
        <f>E5/$E$3</f>
        <v>4615.3846153846162</v>
      </c>
      <c r="J5" s="8">
        <f>LOG(F5/$F$3, 2)</f>
        <v>6.3539460779495371</v>
      </c>
      <c r="K5" s="9">
        <f>LOG(G5/$G$3, 2)</f>
        <v>0.29956028185890793</v>
      </c>
      <c r="L5" s="9">
        <f>LOG(H5/$H$3,2)</f>
        <v>9.4783959411585599</v>
      </c>
      <c r="M5" s="10">
        <f>LOG(I5/$I$3,2)</f>
        <v>12.172235162129516</v>
      </c>
    </row>
    <row r="6" spans="1:13" x14ac:dyDescent="0.2">
      <c r="A6" s="1">
        <f>LOG(24)</f>
        <v>1.3802112417116059</v>
      </c>
      <c r="B6" s="3">
        <f>AVERAGE(2,8,1,1,13)/(0.002*10^-2)</f>
        <v>249999.99999999997</v>
      </c>
      <c r="C6" s="2">
        <f>AVERAGE(7,12,14,12,11)/(0.002*10^-1)</f>
        <v>55999.999999999993</v>
      </c>
      <c r="D6" s="2">
        <f>AVERAGE(3,2,3,1,3,3)/(0.002*10^-2)</f>
        <v>124999.99999999999</v>
      </c>
      <c r="E6" s="4">
        <f>AVERAGE(4,10,5,8,3,5)/(0.002*10^-6)</f>
        <v>2916666666.6666665</v>
      </c>
      <c r="F6" s="2">
        <f>B6/$B$3</f>
        <v>62.919463087248317</v>
      </c>
      <c r="G6" s="2">
        <f>C6/$C$3</f>
        <v>25.846153846153843</v>
      </c>
      <c r="H6" s="2">
        <f>D6/$D$3</f>
        <v>101.90217391304346</v>
      </c>
      <c r="I6" s="2">
        <f>E6/$E$3</f>
        <v>3739316.239316239</v>
      </c>
      <c r="J6" s="8">
        <f>LOG(F6/$F$3, 2)</f>
        <v>5.9754344546958063</v>
      </c>
      <c r="K6" s="9">
        <f>LOG(G6/$G$3, 2)</f>
        <v>4.6918777046376681</v>
      </c>
      <c r="L6" s="9">
        <f>LOG(H6/$H$3,2)</f>
        <v>6.6710410191009553</v>
      </c>
      <c r="M6" s="10">
        <f>LOG(I6/$I$3,2)</f>
        <v>21.834343056460462</v>
      </c>
    </row>
    <row r="7" spans="1:13" ht="17" thickBot="1" x14ac:dyDescent="0.25">
      <c r="A7" s="1">
        <f>LOG(48)</f>
        <v>1.6812412373755872</v>
      </c>
      <c r="B7" s="5">
        <f>AVERAGE(1,1,9,3)/(0.002*10^-3)</f>
        <v>1750000</v>
      </c>
      <c r="C7" s="6">
        <f>AVERAGE(1,1,3)/(0.002*10^-1)</f>
        <v>8333.3333333333339</v>
      </c>
      <c r="D7" s="6">
        <f>AVERAGE(8,3,3,2,1,3)/(0.002*10^-3)</f>
        <v>1666666.6666666667</v>
      </c>
      <c r="E7" s="7">
        <f>AVERAGE(25,28,20,22,25,30)/(0.002*10^-6)</f>
        <v>12500000000</v>
      </c>
      <c r="F7" s="6">
        <f>B7/$B$3</f>
        <v>440.43624161073831</v>
      </c>
      <c r="G7" s="6">
        <f>C7/$C$3</f>
        <v>3.8461538461538467</v>
      </c>
      <c r="H7" s="6">
        <f>D7/$D$3</f>
        <v>1358.695652173913</v>
      </c>
      <c r="I7" s="6">
        <f>E7/$E$3</f>
        <v>16025641.025641026</v>
      </c>
      <c r="J7" s="8">
        <f>LOG(F7/$F$3, 2)</f>
        <v>8.7827893767534118</v>
      </c>
      <c r="K7" s="9">
        <f>LOG(G7/$G$3, 2)</f>
        <v>1.9434164716336328</v>
      </c>
      <c r="L7" s="9">
        <f>LOG(H7/$H$3,2)</f>
        <v>10.408006613267162</v>
      </c>
      <c r="M7" s="10">
        <f>LOG(I7/$I$3,2)</f>
        <v>23.933878730011376</v>
      </c>
    </row>
    <row r="26" spans="1:1" x14ac:dyDescent="0.2">
      <c r="A26" t="s">
        <v>24</v>
      </c>
    </row>
  </sheetData>
  <mergeCells count="3">
    <mergeCell ref="B1:E1"/>
    <mergeCell ref="F1:I1"/>
    <mergeCell ref="J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2CE0-5A78-2A40-BB00-7517AA23EC22}">
  <dimension ref="A1:G19"/>
  <sheetViews>
    <sheetView workbookViewId="0">
      <selection activeCell="C6" sqref="C6"/>
    </sheetView>
  </sheetViews>
  <sheetFormatPr baseColWidth="10" defaultRowHeight="16" x14ac:dyDescent="0.2"/>
  <cols>
    <col min="2" max="2" width="11.1640625" bestFit="1" customWidth="1"/>
  </cols>
  <sheetData>
    <row r="1" spans="1:7" ht="48" customHeight="1" x14ac:dyDescent="0.2">
      <c r="A1" s="1"/>
      <c r="B1" s="28" t="s">
        <v>13</v>
      </c>
      <c r="C1" s="30"/>
      <c r="D1" s="34" t="s">
        <v>12</v>
      </c>
      <c r="E1" s="34"/>
      <c r="F1" s="31" t="s">
        <v>11</v>
      </c>
      <c r="G1" s="33"/>
    </row>
    <row r="2" spans="1:7" ht="34" x14ac:dyDescent="0.2">
      <c r="A2" s="13" t="s">
        <v>15</v>
      </c>
      <c r="B2" s="15" t="s">
        <v>20</v>
      </c>
      <c r="C2" s="17" t="s">
        <v>21</v>
      </c>
      <c r="D2" s="16" t="s">
        <v>20</v>
      </c>
      <c r="E2" s="16" t="s">
        <v>21</v>
      </c>
      <c r="F2" s="15" t="s">
        <v>3</v>
      </c>
      <c r="G2" s="17" t="s">
        <v>4</v>
      </c>
    </row>
    <row r="3" spans="1:7" x14ac:dyDescent="0.2">
      <c r="A3" s="1" t="e">
        <f>LOG(0)</f>
        <v>#NUM!</v>
      </c>
      <c r="B3" s="3">
        <f>AVERAGE(7,11,12)/(0.05*10^0)</f>
        <v>200</v>
      </c>
      <c r="C3" s="4">
        <f>AVERAGE(10,1,10)/(0.05*10^0)</f>
        <v>140</v>
      </c>
      <c r="D3" s="2">
        <f>B3/$B$3</f>
        <v>1</v>
      </c>
      <c r="E3" s="2">
        <f>C3/$C$3</f>
        <v>1</v>
      </c>
      <c r="F3" s="8">
        <f>LOG(D3/D$3,2)</f>
        <v>0</v>
      </c>
      <c r="G3" s="10">
        <f>LOG(E3/$E$3,2)</f>
        <v>0</v>
      </c>
    </row>
    <row r="4" spans="1:7" x14ac:dyDescent="0.2">
      <c r="A4" s="1">
        <f>LOG(2)</f>
        <v>0.3010299956639812</v>
      </c>
      <c r="B4" s="3">
        <f>AVERAGE(1,1,1)/(0.05*10^-2)</f>
        <v>2000</v>
      </c>
      <c r="C4" s="4">
        <f>AVERAGE(15,6,17)/(0.05*10^0)</f>
        <v>253.33333333333331</v>
      </c>
      <c r="D4" s="2">
        <f>B4/$B$3</f>
        <v>10</v>
      </c>
      <c r="E4" s="2">
        <f>C4/$C$3</f>
        <v>1.8095238095238093</v>
      </c>
      <c r="F4" s="8">
        <f>LOG(D4/D$3,2)</f>
        <v>3.3219280948873626</v>
      </c>
      <c r="G4" s="10">
        <f>LOG(E4/$E$3,2)</f>
        <v>0.85561009066482507</v>
      </c>
    </row>
    <row r="5" spans="1:7" x14ac:dyDescent="0.2">
      <c r="A5" s="1">
        <f>LOG(4)</f>
        <v>0.6020599913279624</v>
      </c>
      <c r="B5" s="3">
        <f>AVERAGE(16,7,5,9,26,14)/(0.002*10^-5)</f>
        <v>641666666.66666663</v>
      </c>
      <c r="C5" s="4">
        <f>AVERAGE(1,11,5,5,7,4)/(0.002*10^0)</f>
        <v>2750</v>
      </c>
      <c r="D5" s="2">
        <f>B5/$B$3</f>
        <v>3208333.333333333</v>
      </c>
      <c r="E5" s="2">
        <f>C5/$C$3</f>
        <v>19.642857142857142</v>
      </c>
      <c r="F5" s="8">
        <f>LOG(D5/D$3,2)</f>
        <v>21.613392609297922</v>
      </c>
      <c r="G5" s="10">
        <f>LOG(E5/$E$3,2)</f>
        <v>4.2959328863544179</v>
      </c>
    </row>
    <row r="6" spans="1:7" x14ac:dyDescent="0.2">
      <c r="A6" s="1">
        <f>LOG(24)</f>
        <v>1.3802112417116059</v>
      </c>
      <c r="B6" s="3">
        <f>AVERAGE(37,52,53,34,24,36)/(0.002*10^-5)</f>
        <v>1966666666.6666667</v>
      </c>
      <c r="C6" s="4">
        <f>AVERAGE(7,7,7,10)/(0.002*10^-1)</f>
        <v>38750</v>
      </c>
      <c r="D6" s="2">
        <f>B6/$B$3</f>
        <v>9833333.333333334</v>
      </c>
      <c r="E6" s="2">
        <f>C6/$C$3</f>
        <v>276.78571428571428</v>
      </c>
      <c r="F6" s="8">
        <f>LOG(D6/D$3,2)</f>
        <v>23.229249117964859</v>
      </c>
      <c r="G6" s="10">
        <f>LOG(E6/$E$3,2)</f>
        <v>8.1126256729913582</v>
      </c>
    </row>
    <row r="7" spans="1:7" ht="17" thickBot="1" x14ac:dyDescent="0.25">
      <c r="A7" s="1">
        <f>LOG(48)</f>
        <v>1.6812412373755872</v>
      </c>
      <c r="B7" s="5">
        <f>AVERAGE(18,11,6,7,8,8)/(0.002*10^-6)</f>
        <v>4833333333.333333</v>
      </c>
      <c r="C7" s="7">
        <f>AVERAGE(13,11,9,7,13,15)/(0.002*10^0)</f>
        <v>5666.666666666667</v>
      </c>
      <c r="D7" s="6">
        <f>B7/$B$3</f>
        <v>24166666.666666664</v>
      </c>
      <c r="E7" s="6">
        <f>C7/$C$3</f>
        <v>40.476190476190482</v>
      </c>
      <c r="F7" s="11">
        <f>LOG(D7/D$3,2)</f>
        <v>24.526515158617954</v>
      </c>
      <c r="G7" s="12">
        <f>LOG(E7/$E$3,2)</f>
        <v>5.3390016082463037</v>
      </c>
    </row>
    <row r="10" spans="1:7" x14ac:dyDescent="0.2">
      <c r="A10" t="s">
        <v>22</v>
      </c>
    </row>
    <row r="12" spans="1:7" ht="17" thickBot="1" x14ac:dyDescent="0.25"/>
    <row r="13" spans="1:7" x14ac:dyDescent="0.2">
      <c r="A13" s="18"/>
      <c r="B13" s="31" t="s">
        <v>25</v>
      </c>
      <c r="C13" s="33"/>
      <c r="D13" s="31" t="s">
        <v>26</v>
      </c>
      <c r="E13" s="33"/>
    </row>
    <row r="14" spans="1:7" ht="34" x14ac:dyDescent="0.2">
      <c r="A14" s="15" t="s">
        <v>15</v>
      </c>
      <c r="B14" s="15" t="s">
        <v>3</v>
      </c>
      <c r="C14" s="17" t="s">
        <v>4</v>
      </c>
      <c r="D14" s="15" t="s">
        <v>3</v>
      </c>
      <c r="E14" s="17" t="s">
        <v>4</v>
      </c>
    </row>
    <row r="15" spans="1:7" x14ac:dyDescent="0.2">
      <c r="A15" s="3">
        <v>0</v>
      </c>
      <c r="B15" s="8">
        <v>0</v>
      </c>
      <c r="C15" s="10">
        <v>0</v>
      </c>
      <c r="D15" s="8">
        <v>0</v>
      </c>
      <c r="E15" s="10">
        <v>0</v>
      </c>
    </row>
    <row r="16" spans="1:7" x14ac:dyDescent="0.2">
      <c r="A16" s="3">
        <v>2</v>
      </c>
      <c r="B16" s="8">
        <v>3.3219280948873626</v>
      </c>
      <c r="C16" s="10">
        <v>0.85561009066482507</v>
      </c>
      <c r="D16" s="8">
        <v>2.1844245711374275</v>
      </c>
      <c r="E16" s="10">
        <v>0.47393118833241232</v>
      </c>
    </row>
    <row r="17" spans="1:5" x14ac:dyDescent="0.2">
      <c r="A17" s="3">
        <v>4</v>
      </c>
      <c r="B17" s="8">
        <v>21.613392609297922</v>
      </c>
      <c r="C17" s="10">
        <v>4.2959328863544179</v>
      </c>
      <c r="D17" s="8">
        <v>9.1787780079962857</v>
      </c>
      <c r="E17" s="10">
        <v>10.319421239276787</v>
      </c>
    </row>
    <row r="18" spans="1:5" x14ac:dyDescent="0.2">
      <c r="A18" s="3">
        <v>24</v>
      </c>
      <c r="B18" s="8">
        <v>23.229249117964859</v>
      </c>
      <c r="C18" s="10">
        <v>8.1126256729913582</v>
      </c>
      <c r="D18" s="8" t="s">
        <v>27</v>
      </c>
      <c r="E18" s="10" t="s">
        <v>27</v>
      </c>
    </row>
    <row r="19" spans="1:5" ht="17" thickBot="1" x14ac:dyDescent="0.25">
      <c r="A19" s="5">
        <v>48</v>
      </c>
      <c r="B19" s="11">
        <v>24.526515158617954</v>
      </c>
      <c r="C19" s="12">
        <v>5.3390016082463037</v>
      </c>
      <c r="D19" s="11">
        <v>12.73517135652067</v>
      </c>
      <c r="E19" s="12">
        <v>10.04378679666336</v>
      </c>
    </row>
  </sheetData>
  <mergeCells count="5">
    <mergeCell ref="B1:C1"/>
    <mergeCell ref="D1:E1"/>
    <mergeCell ref="F1:G1"/>
    <mergeCell ref="B13:C13"/>
    <mergeCell ref="D13:E13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ADA2B-F877-3C49-B87B-89C95D343DA1}">
  <dimension ref="A1:AJ31"/>
  <sheetViews>
    <sheetView topLeftCell="H1" workbookViewId="0">
      <selection activeCell="W15" sqref="W15"/>
    </sheetView>
  </sheetViews>
  <sheetFormatPr baseColWidth="10" defaultRowHeight="16" x14ac:dyDescent="0.2"/>
  <cols>
    <col min="2" max="2" width="12.1640625" bestFit="1" customWidth="1"/>
    <col min="5" max="6" width="11.1640625" bestFit="1" customWidth="1"/>
    <col min="7" max="7" width="12.1640625" bestFit="1" customWidth="1"/>
    <col min="16" max="16" width="12.1640625" bestFit="1" customWidth="1"/>
  </cols>
  <sheetData>
    <row r="1" spans="1:36" x14ac:dyDescent="0.2">
      <c r="A1" s="2" t="s">
        <v>30</v>
      </c>
      <c r="B1" s="28" t="s">
        <v>13</v>
      </c>
      <c r="C1" s="29"/>
      <c r="D1" s="29"/>
      <c r="E1" s="29"/>
      <c r="F1" s="29"/>
      <c r="G1" s="30"/>
      <c r="H1" s="29" t="s">
        <v>12</v>
      </c>
      <c r="I1" s="29"/>
      <c r="J1" s="29"/>
      <c r="K1" s="29"/>
      <c r="L1" s="29"/>
      <c r="M1" s="29"/>
      <c r="N1" s="31" t="s">
        <v>11</v>
      </c>
      <c r="O1" s="32"/>
      <c r="P1" s="32"/>
      <c r="Q1" s="32"/>
      <c r="R1" s="32"/>
      <c r="S1" s="33"/>
      <c r="U1" s="31" t="s">
        <v>33</v>
      </c>
      <c r="V1" s="32"/>
      <c r="W1" s="32"/>
      <c r="X1" s="32"/>
      <c r="Y1" s="32"/>
      <c r="Z1" s="33"/>
      <c r="AJ1" s="20"/>
    </row>
    <row r="2" spans="1:36" ht="34" x14ac:dyDescent="0.2">
      <c r="A2" s="16" t="s">
        <v>15</v>
      </c>
      <c r="B2" s="15" t="s">
        <v>3</v>
      </c>
      <c r="C2" s="16" t="s">
        <v>4</v>
      </c>
      <c r="D2" s="16" t="s">
        <v>28</v>
      </c>
      <c r="E2" s="16" t="s">
        <v>5</v>
      </c>
      <c r="F2" s="16" t="s">
        <v>6</v>
      </c>
      <c r="G2" s="17" t="s">
        <v>29</v>
      </c>
      <c r="H2" s="16" t="s">
        <v>3</v>
      </c>
      <c r="I2" s="16" t="s">
        <v>4</v>
      </c>
      <c r="J2" s="16" t="s">
        <v>28</v>
      </c>
      <c r="K2" s="16" t="s">
        <v>5</v>
      </c>
      <c r="L2" s="16" t="s">
        <v>6</v>
      </c>
      <c r="M2" s="16" t="s">
        <v>29</v>
      </c>
      <c r="N2" s="15" t="s">
        <v>3</v>
      </c>
      <c r="O2" s="16" t="s">
        <v>4</v>
      </c>
      <c r="P2" s="16" t="s">
        <v>28</v>
      </c>
      <c r="Q2" s="16" t="s">
        <v>5</v>
      </c>
      <c r="R2" s="16" t="s">
        <v>6</v>
      </c>
      <c r="S2" s="17" t="s">
        <v>29</v>
      </c>
      <c r="T2" s="16" t="s">
        <v>15</v>
      </c>
      <c r="U2" s="15" t="s">
        <v>3</v>
      </c>
      <c r="V2" s="16" t="s">
        <v>4</v>
      </c>
      <c r="W2" s="16" t="s">
        <v>28</v>
      </c>
      <c r="X2" s="16" t="s">
        <v>5</v>
      </c>
      <c r="Y2" s="16" t="s">
        <v>6</v>
      </c>
      <c r="Z2" s="17" t="s">
        <v>29</v>
      </c>
    </row>
    <row r="3" spans="1:36" x14ac:dyDescent="0.2">
      <c r="A3" s="2" t="e">
        <f>LOG(0)</f>
        <v>#NUM!</v>
      </c>
      <c r="B3" s="3">
        <f>AVERAGE(1,1,2)/(0.002*10^0)</f>
        <v>666.66666666666663</v>
      </c>
      <c r="C3" s="2">
        <f>AVERAGE(1,0,0)/(0.002*10^0)</f>
        <v>166.66666666666666</v>
      </c>
      <c r="D3" s="2">
        <f>AVERAGE(1,1,0)/(0.002*10^0)</f>
        <v>333.33333333333331</v>
      </c>
      <c r="E3" s="2">
        <f>AVERAGE(3,0,4)/(0.002*10^-1)</f>
        <v>11666.666666666666</v>
      </c>
      <c r="F3" s="2">
        <f>AVERAGE(1,1,0)/(0.002*10^0)</f>
        <v>333.33333333333331</v>
      </c>
      <c r="G3" s="4">
        <f>AVERAGE(2,0,4)/(0.002*10^0)</f>
        <v>1000</v>
      </c>
      <c r="H3" s="2">
        <f>B3/$B$3</f>
        <v>1</v>
      </c>
      <c r="I3" s="2">
        <f>C3/$C$3</f>
        <v>1</v>
      </c>
      <c r="J3" s="2">
        <f>D3/$D$3</f>
        <v>1</v>
      </c>
      <c r="K3" s="2">
        <f>E3/$E$3</f>
        <v>1</v>
      </c>
      <c r="L3" s="2">
        <f>F3/$F$3</f>
        <v>1</v>
      </c>
      <c r="M3" s="2">
        <f>G3/$G$3</f>
        <v>1</v>
      </c>
      <c r="N3" s="8">
        <f>LOG(B3/$B$3,2)</f>
        <v>0</v>
      </c>
      <c r="O3" s="9">
        <f>LOG(C3/$C$3,2)</f>
        <v>0</v>
      </c>
      <c r="P3" s="9">
        <f>LOG(D3/$D$3,2)</f>
        <v>0</v>
      </c>
      <c r="Q3" s="9">
        <f>LOG(E3/$E$3,2)</f>
        <v>0</v>
      </c>
      <c r="R3" s="9">
        <f>LOG(F3/$F$3,2)</f>
        <v>0</v>
      </c>
      <c r="S3" s="10">
        <f>LOG(G3/$G$3,2)</f>
        <v>0</v>
      </c>
      <c r="T3" s="2">
        <v>0</v>
      </c>
      <c r="U3" s="8">
        <f t="shared" ref="U3:Z3" si="0">AVERAGE(N3,N11,N19)</f>
        <v>0</v>
      </c>
      <c r="V3" s="9">
        <f t="shared" si="0"/>
        <v>0</v>
      </c>
      <c r="W3" s="9">
        <f t="shared" si="0"/>
        <v>0</v>
      </c>
      <c r="X3" s="9">
        <f t="shared" si="0"/>
        <v>0</v>
      </c>
      <c r="Y3" s="9">
        <f t="shared" si="0"/>
        <v>0</v>
      </c>
      <c r="Z3" s="10">
        <f t="shared" si="0"/>
        <v>0</v>
      </c>
    </row>
    <row r="4" spans="1:36" x14ac:dyDescent="0.2">
      <c r="A4" s="2">
        <f>LOG(2)</f>
        <v>0.3010299956639812</v>
      </c>
      <c r="B4" s="3">
        <f>AVERAGE(16,16,14)/(0.002*10^-1)</f>
        <v>76666.666666666672</v>
      </c>
      <c r="C4" s="2">
        <f>AVERAGE(1,0,0)/(0.002*10^0)</f>
        <v>166.66666666666666</v>
      </c>
      <c r="D4" s="2">
        <f>AVERAGE(0,2,0)/(0.002*10^0)</f>
        <v>333.33333333333331</v>
      </c>
      <c r="E4" s="2">
        <f>AVERAGE(2,1,4)/(0.002*10^-3)</f>
        <v>1166666.6666666667</v>
      </c>
      <c r="F4" s="2">
        <f>AVERAGE(1,1,2)/(0.002*10^-1)</f>
        <v>6666.6666666666661</v>
      </c>
      <c r="G4" s="4">
        <f>AVERAGE(6,9,5)/(0.002*10^0)</f>
        <v>3333.3333333333335</v>
      </c>
      <c r="H4" s="2">
        <f>B4/$B$3</f>
        <v>115.00000000000001</v>
      </c>
      <c r="I4" s="2">
        <f>C4/$C$3</f>
        <v>1</v>
      </c>
      <c r="J4" s="2">
        <f>D4/$D$3</f>
        <v>1</v>
      </c>
      <c r="K4" s="2">
        <f>E4/$E$3</f>
        <v>100.00000000000001</v>
      </c>
      <c r="L4" s="2">
        <f>F4/$F$3</f>
        <v>20</v>
      </c>
      <c r="M4" s="2">
        <f>G4/$G$3</f>
        <v>3.3333333333333335</v>
      </c>
      <c r="N4" s="8">
        <f>LOG(B4/$B$3,2)</f>
        <v>6.8454900509443757</v>
      </c>
      <c r="O4" s="9">
        <f>LOG(C4/$C$3,2)</f>
        <v>0</v>
      </c>
      <c r="P4" s="9">
        <f>LOG(D4/$D$3,2)</f>
        <v>0</v>
      </c>
      <c r="Q4" s="9">
        <f>LOG(E4/$E$3,2)</f>
        <v>6.6438561897747253</v>
      </c>
      <c r="R4" s="9">
        <f>LOG(F4/$F$3,2)</f>
        <v>4.3219280948873626</v>
      </c>
      <c r="S4" s="10">
        <f>LOG(G4/$G$3,2)</f>
        <v>1.7369655941662063</v>
      </c>
      <c r="T4" s="2">
        <f>LOG(2)</f>
        <v>0.3010299956639812</v>
      </c>
      <c r="U4" s="8">
        <f t="shared" ref="U4:U7" si="1">AVERAGE(N4,N12,N20)</f>
        <v>4.6037581118688209</v>
      </c>
      <c r="V4" s="9">
        <f t="shared" ref="V4:V7" si="2">AVERAGE(O4,O12,O20)</f>
        <v>-0.52832083357371873</v>
      </c>
      <c r="W4" s="9">
        <f t="shared" ref="W4:W7" si="3">AVERAGE(P4,P12,P20)</f>
        <v>0.66666666666666663</v>
      </c>
      <c r="X4" s="9">
        <f t="shared" ref="X4:X7" si="4">AVERAGE(Q4,Q12,Q20)</f>
        <v>6.5872145226272876</v>
      </c>
      <c r="Y4" s="9">
        <f t="shared" ref="Y4:Y7" si="5">AVERAGE(R4,R12,R20)</f>
        <v>3.7936072613136438</v>
      </c>
      <c r="Z4" s="10">
        <f t="shared" ref="Z4:Z7" si="6">AVERAGE(S4,S12,S20)</f>
        <v>1.2100167967498983</v>
      </c>
    </row>
    <row r="5" spans="1:36" x14ac:dyDescent="0.2">
      <c r="A5" s="2">
        <f>LOG(4)</f>
        <v>0.6020599913279624</v>
      </c>
      <c r="B5" s="3">
        <f>AVERAGE(2,7,5)/(0.002*10^-3)</f>
        <v>2333333.3333333335</v>
      </c>
      <c r="C5" s="2">
        <f>AVERAGE(1,0,0)/(0.002*10^0)</f>
        <v>166.66666666666666</v>
      </c>
      <c r="D5" s="2">
        <f>AVERAGE(0,1,0)/(0.002*10^0)</f>
        <v>166.66666666666666</v>
      </c>
      <c r="E5" s="2">
        <f>AVERAGE(7,8,5)/(0.002*10^-5)</f>
        <v>333333333.33333331</v>
      </c>
      <c r="F5" s="2">
        <f>AVERAGE(1,5,2)/(0.002*10^-3)</f>
        <v>1333333.3333333333</v>
      </c>
      <c r="G5" s="4">
        <f>AVERAGE(3,5,12)/(0.002*10^-2)</f>
        <v>333333.33333333331</v>
      </c>
      <c r="H5" s="2">
        <f>B5/$B$3</f>
        <v>3500.0000000000005</v>
      </c>
      <c r="I5" s="2">
        <f>C5/$C$3</f>
        <v>1</v>
      </c>
      <c r="J5" s="2">
        <f>D5/$D$3</f>
        <v>0.5</v>
      </c>
      <c r="K5" s="2">
        <f>E5/$E$3</f>
        <v>28571.428571428572</v>
      </c>
      <c r="L5" s="2">
        <f>F5/$F$3</f>
        <v>4000</v>
      </c>
      <c r="M5" s="2">
        <f>G5/$G$3</f>
        <v>333.33333333333331</v>
      </c>
      <c r="N5" s="8">
        <f>LOG(B5/$B$3,2)</f>
        <v>11.773139206719691</v>
      </c>
      <c r="O5" s="9">
        <f>LOG(C5/$C$3,2)</f>
        <v>0</v>
      </c>
      <c r="P5" s="9">
        <f>LOG(D5/$D$3,2)</f>
        <v>-1</v>
      </c>
      <c r="Q5" s="9">
        <f>LOG(E5/$E$3,2)</f>
        <v>14.802285552379209</v>
      </c>
      <c r="R5" s="9">
        <f>LOG(F5/$F$3,2)</f>
        <v>11.965784284662087</v>
      </c>
      <c r="S5" s="10">
        <f>LOG(G5/$G$3,2)</f>
        <v>8.3808217839409309</v>
      </c>
      <c r="T5" s="2">
        <f>LOG(4)</f>
        <v>0.6020599913279624</v>
      </c>
      <c r="U5" s="8">
        <f t="shared" si="1"/>
        <v>10.358290685528024</v>
      </c>
      <c r="V5" s="9">
        <f t="shared" si="2"/>
        <v>0.47167916642628122</v>
      </c>
      <c r="W5" s="9">
        <f t="shared" si="3"/>
        <v>0.19498750024038544</v>
      </c>
      <c r="X5" s="9">
        <f t="shared" si="4"/>
        <v>15.636075009392295</v>
      </c>
      <c r="Y5" s="9">
        <f t="shared" si="5"/>
        <v>11.91844461637128</v>
      </c>
      <c r="Z5" s="10">
        <f t="shared" si="6"/>
        <v>8.2141796516524774</v>
      </c>
    </row>
    <row r="6" spans="1:36" x14ac:dyDescent="0.2">
      <c r="A6" s="2">
        <f>LOG(24)</f>
        <v>1.3802112417116059</v>
      </c>
      <c r="B6" s="3">
        <f>AVERAGE(2,5,1)/(0.002*10^-6)</f>
        <v>1333333333.3333333</v>
      </c>
      <c r="C6" s="2">
        <f>AVERAGE(1,0,0)/(0.002*10^-1)</f>
        <v>1666.6666666666665</v>
      </c>
      <c r="D6" s="2">
        <f>AVERAGE(1,0,0)/(0.002*10^-1)</f>
        <v>1666.6666666666665</v>
      </c>
      <c r="E6" s="2">
        <f>AVERAGE(10,6,7)/(0.002*10^-5)</f>
        <v>383333333.33333331</v>
      </c>
      <c r="F6" s="2">
        <f>AVERAGE(7,3,5)/(0.002*10^-5)</f>
        <v>250000000</v>
      </c>
      <c r="G6" s="2">
        <f>AVERAGE(11,16,11)/(0.002*10^-6)</f>
        <v>6333333333.333333</v>
      </c>
      <c r="H6" s="2">
        <f>B6/$B$3</f>
        <v>2000000</v>
      </c>
      <c r="I6" s="2">
        <f>C6/$C$3</f>
        <v>10</v>
      </c>
      <c r="J6" s="2">
        <f>D6/$D$3</f>
        <v>5</v>
      </c>
      <c r="K6" s="2">
        <f>E6/$E$3</f>
        <v>32857.142857142855</v>
      </c>
      <c r="L6" s="2">
        <f>F6/$F$3</f>
        <v>750000</v>
      </c>
      <c r="M6" s="2">
        <f>G6/$G$3</f>
        <v>6333333.333333333</v>
      </c>
      <c r="N6" s="8">
        <f>LOG(B6/$B$3,2)</f>
        <v>20.931568569324174</v>
      </c>
      <c r="O6" s="9">
        <f>LOG(C6/$C$3,2)</f>
        <v>3.3219280948873626</v>
      </c>
      <c r="P6" s="9">
        <f>LOG(D6/$D$3,2)</f>
        <v>2.3219280948873622</v>
      </c>
      <c r="Q6" s="9">
        <f>LOG(E6/$E$3,2)</f>
        <v>15.003919413548859</v>
      </c>
      <c r="R6" s="9">
        <f>LOG(F6/$F$3,2)</f>
        <v>19.516531070045332</v>
      </c>
      <c r="S6" s="10">
        <f>LOG(G6/$G$3,2)</f>
        <v>22.594533582046605</v>
      </c>
      <c r="T6" s="2">
        <f>LOG(24)</f>
        <v>1.3802112417116059</v>
      </c>
      <c r="U6" s="8">
        <f t="shared" si="1"/>
        <v>21.946366609110324</v>
      </c>
      <c r="V6" s="9">
        <f t="shared" si="2"/>
        <v>2.7936072613136438</v>
      </c>
      <c r="W6" s="9">
        <f t="shared" si="3"/>
        <v>3.5169155951277475</v>
      </c>
      <c r="X6" s="9">
        <f t="shared" si="4"/>
        <v>13.836798939643423</v>
      </c>
      <c r="Y6" s="9">
        <f t="shared" si="5"/>
        <v>17.29110518088963</v>
      </c>
      <c r="Z6" s="10">
        <f t="shared" si="6"/>
        <v>23.524052245237282</v>
      </c>
    </row>
    <row r="7" spans="1:36" ht="17" thickBot="1" x14ac:dyDescent="0.25">
      <c r="A7" s="9">
        <f>LOG(48)</f>
        <v>1.6812412373755872</v>
      </c>
      <c r="B7" s="3">
        <f>AVERAGE(19,20,13)/(0.002*10^-6)</f>
        <v>8666666666.666666</v>
      </c>
      <c r="C7" s="2">
        <f>AVERAGE(1,2,0)/(0.002*10^-1)</f>
        <v>5000</v>
      </c>
      <c r="D7" s="2">
        <f>AVERAGE(1,0,0)/(0.002*10^-1)</f>
        <v>1666.6666666666665</v>
      </c>
      <c r="E7" s="2">
        <f>AVERAGE(0,1,2)/(0.002*10^-6)</f>
        <v>499999999.99999994</v>
      </c>
      <c r="F7" s="2">
        <f>AVERAGE(10,13,8)/(0.002*10^-6)</f>
        <v>5166666666.666667</v>
      </c>
      <c r="G7" s="2">
        <f>AVERAGE(22,16,17)/(0.002*10^-6)</f>
        <v>9166666666.666666</v>
      </c>
      <c r="H7" s="6">
        <f>B7/$B$3</f>
        <v>13000000</v>
      </c>
      <c r="I7" s="6">
        <f>C7/$C$3</f>
        <v>30</v>
      </c>
      <c r="J7" s="6">
        <f>D7/$D$3</f>
        <v>5</v>
      </c>
      <c r="K7" s="6">
        <f>E7/$E$3</f>
        <v>42857.142857142855</v>
      </c>
      <c r="L7" s="6">
        <f>F7/$F$3</f>
        <v>15500000.000000002</v>
      </c>
      <c r="M7" s="6">
        <f>G7/$G$3</f>
        <v>9166666.666666666</v>
      </c>
      <c r="N7" s="11">
        <f>LOG(B7/$B$3,2)</f>
        <v>23.632008287465265</v>
      </c>
      <c r="O7" s="19">
        <f>LOG(C7/$C$3,2)</f>
        <v>4.9068905956085187</v>
      </c>
      <c r="P7" s="19">
        <f>LOG(D7/$D$3,2)</f>
        <v>2.3219280948873622</v>
      </c>
      <c r="Q7" s="19">
        <f>LOG(E7/$E$3,2)</f>
        <v>15.387248053100363</v>
      </c>
      <c r="R7" s="19">
        <f>LOG(F7/$F$3,2)</f>
        <v>23.885764879711051</v>
      </c>
      <c r="S7" s="12">
        <f>LOG(G7/$G$3,2)</f>
        <v>23.127965782127681</v>
      </c>
      <c r="T7" s="9">
        <f>LOG(48)</f>
        <v>1.6812412373755872</v>
      </c>
      <c r="U7" s="11">
        <f t="shared" si="1"/>
        <v>23.475294254558833</v>
      </c>
      <c r="V7" s="19">
        <f t="shared" si="2"/>
        <v>2.2146187299249083</v>
      </c>
      <c r="W7" s="19">
        <f t="shared" si="3"/>
        <v>3.6552614282206961</v>
      </c>
      <c r="X7" s="19">
        <f t="shared" si="4"/>
        <v>16.661680208409237</v>
      </c>
      <c r="Y7" s="19">
        <f t="shared" si="5"/>
        <v>20.192992338972363</v>
      </c>
      <c r="Z7" s="12">
        <f t="shared" si="6"/>
        <v>23.299712686108496</v>
      </c>
    </row>
    <row r="8" spans="1:36" ht="17" thickBot="1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36" x14ac:dyDescent="0.2">
      <c r="A9" s="2" t="s">
        <v>31</v>
      </c>
      <c r="B9" s="28" t="s">
        <v>13</v>
      </c>
      <c r="C9" s="29"/>
      <c r="D9" s="29"/>
      <c r="E9" s="29"/>
      <c r="F9" s="29"/>
      <c r="G9" s="30"/>
      <c r="H9" s="28" t="s">
        <v>12</v>
      </c>
      <c r="I9" s="29"/>
      <c r="J9" s="29"/>
      <c r="K9" s="29"/>
      <c r="L9" s="29"/>
      <c r="M9" s="29"/>
      <c r="N9" s="31" t="s">
        <v>11</v>
      </c>
      <c r="O9" s="32"/>
      <c r="P9" s="32"/>
      <c r="Q9" s="32"/>
      <c r="R9" s="32"/>
      <c r="S9" s="33"/>
      <c r="U9" s="31" t="s">
        <v>34</v>
      </c>
      <c r="V9" s="32"/>
      <c r="W9" s="32"/>
      <c r="X9" s="32"/>
      <c r="Y9" s="32"/>
      <c r="Z9" s="33"/>
    </row>
    <row r="10" spans="1:36" ht="34" x14ac:dyDescent="0.2">
      <c r="A10" s="16" t="s">
        <v>15</v>
      </c>
      <c r="B10" s="15" t="s">
        <v>3</v>
      </c>
      <c r="C10" s="16" t="s">
        <v>4</v>
      </c>
      <c r="D10" s="16" t="s">
        <v>28</v>
      </c>
      <c r="E10" s="16" t="s">
        <v>5</v>
      </c>
      <c r="F10" s="16" t="s">
        <v>6</v>
      </c>
      <c r="G10" s="17" t="s">
        <v>29</v>
      </c>
      <c r="H10" s="15" t="s">
        <v>3</v>
      </c>
      <c r="I10" s="16" t="s">
        <v>4</v>
      </c>
      <c r="J10" s="16" t="s">
        <v>28</v>
      </c>
      <c r="K10" s="16" t="s">
        <v>5</v>
      </c>
      <c r="L10" s="16" t="s">
        <v>6</v>
      </c>
      <c r="M10" s="16" t="s">
        <v>29</v>
      </c>
      <c r="N10" s="15" t="s">
        <v>3</v>
      </c>
      <c r="O10" s="16" t="s">
        <v>4</v>
      </c>
      <c r="P10" s="16" t="s">
        <v>28</v>
      </c>
      <c r="Q10" s="16" t="s">
        <v>5</v>
      </c>
      <c r="R10" s="16" t="s">
        <v>6</v>
      </c>
      <c r="S10" s="17" t="s">
        <v>29</v>
      </c>
      <c r="U10" s="15" t="s">
        <v>3</v>
      </c>
      <c r="V10" s="16" t="s">
        <v>4</v>
      </c>
      <c r="W10" s="16" t="s">
        <v>28</v>
      </c>
      <c r="X10" s="16" t="s">
        <v>5</v>
      </c>
      <c r="Y10" s="16" t="s">
        <v>6</v>
      </c>
      <c r="Z10" s="17" t="s">
        <v>29</v>
      </c>
    </row>
    <row r="11" spans="1:36" x14ac:dyDescent="0.2">
      <c r="A11" s="2" t="e">
        <f>LOG(0)</f>
        <v>#NUM!</v>
      </c>
      <c r="B11" s="3">
        <f>AVERAGE(4,1,1)/(0.002*10^0)</f>
        <v>1000</v>
      </c>
      <c r="C11" s="2">
        <f>AVERAGE(1,1,1)/(0.002*10^0)</f>
        <v>500</v>
      </c>
      <c r="D11" s="2">
        <f>AVERAGE(0,1,0)/(0.002*10^0)</f>
        <v>166.66666666666666</v>
      </c>
      <c r="E11" s="2">
        <f>AVERAGE(4,0,5)/(0.002*10^-1)</f>
        <v>15000</v>
      </c>
      <c r="F11" s="2">
        <f>AVERAGE(1,2,3)/(0.002*10^0)</f>
        <v>1000</v>
      </c>
      <c r="G11" s="4">
        <f>AVERAGE(2,0,1)/(0.002*10^0)</f>
        <v>500</v>
      </c>
      <c r="H11" s="3">
        <f>B11/$B$11</f>
        <v>1</v>
      </c>
      <c r="I11" s="2">
        <f>C11/$C$11</f>
        <v>1</v>
      </c>
      <c r="J11" s="2">
        <f>D11/$D$11</f>
        <v>1</v>
      </c>
      <c r="K11" s="2">
        <f>E11/$E$11</f>
        <v>1</v>
      </c>
      <c r="L11" s="2">
        <f>F11/$F$11</f>
        <v>1</v>
      </c>
      <c r="M11" s="2">
        <f>G11/$G$11</f>
        <v>1</v>
      </c>
      <c r="N11" s="8">
        <f>LOG(B11/$B$11,2)</f>
        <v>0</v>
      </c>
      <c r="O11" s="9">
        <f>LOG(C11/$C$11,2)</f>
        <v>0</v>
      </c>
      <c r="P11" s="9">
        <f>LOG(D11/$D$11,2)</f>
        <v>0</v>
      </c>
      <c r="Q11" s="9">
        <f>LOG(E11/$E$11,2)</f>
        <v>0</v>
      </c>
      <c r="R11" s="9">
        <f>LOG(F11/$F$11,2)</f>
        <v>0</v>
      </c>
      <c r="S11" s="10">
        <f>LOG(G11/$G$11,2)</f>
        <v>0</v>
      </c>
      <c r="U11" s="8">
        <f t="shared" ref="U11:Z11" si="7">STDEV(N3,N11,N19)</f>
        <v>0</v>
      </c>
      <c r="V11" s="9">
        <f t="shared" si="7"/>
        <v>0</v>
      </c>
      <c r="W11" s="9">
        <f t="shared" si="7"/>
        <v>0</v>
      </c>
      <c r="X11" s="9">
        <f t="shared" si="7"/>
        <v>0</v>
      </c>
      <c r="Y11" s="9">
        <f t="shared" si="7"/>
        <v>0</v>
      </c>
      <c r="Z11" s="10">
        <f t="shared" si="7"/>
        <v>0</v>
      </c>
    </row>
    <row r="12" spans="1:36" x14ac:dyDescent="0.2">
      <c r="A12" s="2">
        <f>LOG(2)</f>
        <v>0.3010299956639812</v>
      </c>
      <c r="B12" s="3">
        <f>AVERAGE(2,4,4)/(0.002*10^-1)</f>
        <v>16666.666666666668</v>
      </c>
      <c r="C12" s="2">
        <f>AVERAGE(1,0,0)/(0.002*10^0)</f>
        <v>166.66666666666666</v>
      </c>
      <c r="D12" s="2">
        <f>AVERAGE(0,2,0)/(0.002*10^0)</f>
        <v>333.33333333333331</v>
      </c>
      <c r="E12" s="2">
        <f>AVERAGE(1,1,3)/(0.002*10^-3)</f>
        <v>833333.33333333337</v>
      </c>
      <c r="F12" s="2">
        <f>AVERAGE(3,3,2)/(0.002*10^-1)</f>
        <v>13333.333333333332</v>
      </c>
      <c r="G12" s="4">
        <f>AVERAGE(1,4,1)/(0.002*10^0)</f>
        <v>1000</v>
      </c>
      <c r="H12" s="3">
        <f>B12/$B$11</f>
        <v>16.666666666666668</v>
      </c>
      <c r="I12" s="2">
        <f>C12/$C$11</f>
        <v>0.33333333333333331</v>
      </c>
      <c r="J12" s="2">
        <f>D12/$D$11</f>
        <v>2</v>
      </c>
      <c r="K12" s="2">
        <f>E12/$E$11</f>
        <v>55.555555555555557</v>
      </c>
      <c r="L12" s="2">
        <f>F12/$F$11</f>
        <v>13.333333333333332</v>
      </c>
      <c r="M12" s="2">
        <f>G12/$G$11</f>
        <v>2</v>
      </c>
      <c r="N12" s="8">
        <f>LOG(B12/$B$11,2)</f>
        <v>4.0588936890535683</v>
      </c>
      <c r="O12" s="9">
        <f>LOG(C12/$C$11,2)</f>
        <v>-1.5849625007211563</v>
      </c>
      <c r="P12" s="9">
        <f>LOG(D12/$D$11,2)</f>
        <v>1</v>
      </c>
      <c r="Q12" s="9">
        <f>LOG(E12/$E$11,2)</f>
        <v>5.7958592832197748</v>
      </c>
      <c r="R12" s="9">
        <f>LOG(F12/$F$11,2)</f>
        <v>3.7369655941662066</v>
      </c>
      <c r="S12" s="10">
        <f>LOG(G12/$G11,2)</f>
        <v>1</v>
      </c>
      <c r="U12" s="8">
        <f>STDEV(N4,N12,N20)</f>
        <v>2.025043048142515</v>
      </c>
      <c r="V12" s="9">
        <f t="shared" ref="V12:V15" si="8">STDEV(O4,O12,O20)</f>
        <v>0.91507852644682197</v>
      </c>
      <c r="W12" s="9">
        <f t="shared" ref="W12:W15" si="9">STDEV(P4,P12,P20)</f>
        <v>0.57735026918962584</v>
      </c>
      <c r="X12" s="9">
        <f t="shared" ref="X12:X15" si="10">STDEV(Q4,Q12,Q20)</f>
        <v>0.76460951689673673</v>
      </c>
      <c r="Y12" s="9">
        <f t="shared" ref="Y12:Y15" si="11">STDEV(R4,R12,R20)</f>
        <v>0.50240044669857842</v>
      </c>
      <c r="Z12" s="10">
        <f t="shared" ref="Z12:Z15" si="12">STDEV(S4,S12,S20)</f>
        <v>0.45947142623997522</v>
      </c>
    </row>
    <row r="13" spans="1:36" x14ac:dyDescent="0.2">
      <c r="A13" s="2">
        <f>LOG(4)</f>
        <v>0.6020599913279624</v>
      </c>
      <c r="B13" s="3">
        <f>AVERAGE(19,11,17)/(0.002*10^-2)</f>
        <v>783333.33333333326</v>
      </c>
      <c r="C13" s="2">
        <f>AVERAGE(1,3,0)/(0.002*10^0)</f>
        <v>666.66666666666663</v>
      </c>
      <c r="D13" s="2">
        <f>AVERAGE(0,1,0)/(0.002*10^0)</f>
        <v>166.66666666666666</v>
      </c>
      <c r="E13" s="2">
        <f>AVERAGE(18,11,11)/(0.002*10^-5)</f>
        <v>666666666.66666663</v>
      </c>
      <c r="F13" s="2">
        <f>AVERAGE(2,14,13)/(0.002*10^-3)</f>
        <v>4833333.333333333</v>
      </c>
      <c r="G13" s="4">
        <f>AVERAGE(5,5,5)/(0.002*10^-2)</f>
        <v>249999.99999999997</v>
      </c>
      <c r="H13" s="3">
        <f>B13/$B$11</f>
        <v>783.33333333333326</v>
      </c>
      <c r="I13" s="2">
        <f>C13/$C$11</f>
        <v>1.3333333333333333</v>
      </c>
      <c r="J13" s="2">
        <f>D13/$D$11</f>
        <v>1</v>
      </c>
      <c r="K13" s="2">
        <f>E13/$E$11</f>
        <v>44444.444444444445</v>
      </c>
      <c r="L13" s="2">
        <f>F13/$F$11</f>
        <v>4833.333333333333</v>
      </c>
      <c r="M13" s="2">
        <f>G13/$G$11</f>
        <v>499.99999999999994</v>
      </c>
      <c r="N13" s="8">
        <f>LOG(B13/$B$11,2)</f>
        <v>9.6134825407312068</v>
      </c>
      <c r="O13" s="9">
        <f>LOG(C13/$C$11,2)</f>
        <v>0.4150374992788437</v>
      </c>
      <c r="P13" s="9">
        <f>LOG(D13/$D$11,2)</f>
        <v>0</v>
      </c>
      <c r="Q13" s="9">
        <f>LOG(E13/$E$11,2)</f>
        <v>15.4397154729945</v>
      </c>
      <c r="R13" s="9">
        <f>LOG(F13/$F$11,2)</f>
        <v>12.238802779068505</v>
      </c>
      <c r="S13" s="10">
        <f>LOG(G13/$G11,2)</f>
        <v>8.965784284662087</v>
      </c>
      <c r="U13" s="8">
        <f t="shared" ref="U13:U15" si="13">STDEV(N5,N13,N21)</f>
        <v>1.2258649225084446</v>
      </c>
      <c r="V13" s="9">
        <f t="shared" si="8"/>
        <v>0.5024004466985782</v>
      </c>
      <c r="W13" s="9">
        <f t="shared" si="9"/>
        <v>1.3034657174130584</v>
      </c>
      <c r="X13" s="9">
        <f t="shared" si="10"/>
        <v>0.94735655240938543</v>
      </c>
      <c r="Y13" s="9">
        <f t="shared" si="11"/>
        <v>0.34646218517605398</v>
      </c>
      <c r="Z13" s="10">
        <f t="shared" si="12"/>
        <v>0.84730639281062414</v>
      </c>
    </row>
    <row r="14" spans="1:36" x14ac:dyDescent="0.2">
      <c r="A14" s="2">
        <f>LOG(24)</f>
        <v>1.3802112417116059</v>
      </c>
      <c r="B14" s="3">
        <f>AVERAGE(20,25,27)/(0.002*10^-6)</f>
        <v>12000000000</v>
      </c>
      <c r="C14" s="3">
        <f>AVERAGE(0,0,1)/(0.002*10^-1)</f>
        <v>1666.6666666666665</v>
      </c>
      <c r="D14" s="2">
        <f>AVERAGE(1,0,0)/(0.002*10^-1)</f>
        <v>1666.6666666666665</v>
      </c>
      <c r="E14" s="2">
        <f>AVERAGE(4,6,3)/(0.002*10^-5)</f>
        <v>216666666.66666666</v>
      </c>
      <c r="F14" s="2">
        <f>AVERAGE(4,5,2)/(0.002*10^-4)</f>
        <v>18333333.333333332</v>
      </c>
      <c r="G14" s="2">
        <f>AVERAGE(34,41,22)/(0.002*10^-6)</f>
        <v>16166666666.666666</v>
      </c>
      <c r="H14" s="3">
        <f>B14/$B$11</f>
        <v>12000000</v>
      </c>
      <c r="I14" s="2">
        <f>C14/$C$11</f>
        <v>3.333333333333333</v>
      </c>
      <c r="J14" s="2">
        <f>D14/$D$11</f>
        <v>10</v>
      </c>
      <c r="K14" s="2">
        <f>E14/$E$11</f>
        <v>14444.444444444443</v>
      </c>
      <c r="L14" s="2">
        <f>F14/$F$11</f>
        <v>18333.333333333332</v>
      </c>
      <c r="M14" s="2">
        <f>G14/$G$11</f>
        <v>32333333.333333332</v>
      </c>
      <c r="N14" s="8">
        <f>LOG(B14/$B$11,2)</f>
        <v>23.516531070045332</v>
      </c>
      <c r="O14" s="9">
        <f>LOG(C14/$C$11,2)</f>
        <v>1.7369655941662061</v>
      </c>
      <c r="P14" s="9">
        <f>LOG(D14/$D$11,2)</f>
        <v>3.3219280948873626</v>
      </c>
      <c r="Q14" s="9">
        <f>LOG(E14/$E$11,2)</f>
        <v>13.818227096248229</v>
      </c>
      <c r="R14" s="9">
        <f>LOG(F14/$F$11,2)</f>
        <v>14.162181497465591</v>
      </c>
      <c r="S14" s="10">
        <f>LOG(G14/$G$11,2)</f>
        <v>24.946518910790143</v>
      </c>
      <c r="U14" s="8">
        <f t="shared" si="13"/>
        <v>1.3790691349016593</v>
      </c>
      <c r="V14" s="9">
        <f t="shared" si="8"/>
        <v>0.91507852644682297</v>
      </c>
      <c r="W14" s="9">
        <f t="shared" si="9"/>
        <v>1.3034657174130588</v>
      </c>
      <c r="X14" s="9">
        <f t="shared" si="10"/>
        <v>1.1579462575230555</v>
      </c>
      <c r="Y14" s="9">
        <f t="shared" si="11"/>
        <v>2.7891747945462244</v>
      </c>
      <c r="Z14" s="10">
        <f t="shared" si="12"/>
        <v>1.2510823499797556</v>
      </c>
    </row>
    <row r="15" spans="1:36" ht="17" thickBot="1" x14ac:dyDescent="0.25">
      <c r="A15" s="9">
        <f>LOG(48)</f>
        <v>1.6812412373755872</v>
      </c>
      <c r="B15" s="3">
        <f>AVERAGE(21,22,18)/(0.002*10^-6)</f>
        <v>10166666666.666666</v>
      </c>
      <c r="C15" s="2">
        <f>AVERAGE(1,0,0)/(0.002*10^0)</f>
        <v>166.66666666666666</v>
      </c>
      <c r="D15" s="2">
        <f>AVERAGE(1,0,0)/(0.002*10^-1)</f>
        <v>1666.6666666666665</v>
      </c>
      <c r="E15" s="2">
        <f>AVERAGE(4,4,1)/(0.002*10^-6)</f>
        <v>1500000000</v>
      </c>
      <c r="F15" s="2">
        <f>AVERAGE(0,4,1)/(0.002*10^-5)</f>
        <v>83333333.333333328</v>
      </c>
      <c r="G15" s="2">
        <f>AVERAGE(25,42,30)/(0.002*10^-6)</f>
        <v>16166666666.666666</v>
      </c>
      <c r="H15" s="5">
        <f>B15/$B$11</f>
        <v>10166666.666666666</v>
      </c>
      <c r="I15" s="6">
        <f>C15/$C$11</f>
        <v>0.33333333333333331</v>
      </c>
      <c r="J15" s="6">
        <f>D15/$D$11</f>
        <v>10</v>
      </c>
      <c r="K15" s="6">
        <f>E15/$E$11</f>
        <v>100000</v>
      </c>
      <c r="L15" s="6">
        <f>F15/$F$11</f>
        <v>83333.333333333328</v>
      </c>
      <c r="M15" s="6">
        <f>G15/$G$11</f>
        <v>32333333.333333332</v>
      </c>
      <c r="N15" s="11">
        <f>LOG(B15/$B$11,2)</f>
        <v>23.277343406165905</v>
      </c>
      <c r="O15" s="19">
        <f>LOG(C15/$C$11,2)</f>
        <v>-1.5849625007211563</v>
      </c>
      <c r="P15" s="19">
        <f>LOG(D15/$D$11,2)</f>
        <v>3.3219280948873626</v>
      </c>
      <c r="Q15" s="19">
        <f>LOG(E15/$E$11,2)</f>
        <v>16.609640474436812</v>
      </c>
      <c r="R15" s="19">
        <f>LOG(F15/$F$11,2)</f>
        <v>16.34660606860302</v>
      </c>
      <c r="S15" s="12">
        <f>LOG(G15/$G$11,2)</f>
        <v>24.946518910790143</v>
      </c>
      <c r="U15" s="11">
        <f t="shared" si="13"/>
        <v>0.18089264971350533</v>
      </c>
      <c r="V15" s="19">
        <f t="shared" si="8"/>
        <v>3.3846180993402286</v>
      </c>
      <c r="W15" s="19">
        <f t="shared" si="9"/>
        <v>1.5275252316519463</v>
      </c>
      <c r="X15" s="19">
        <f t="shared" si="10"/>
        <v>1.3012327089054163</v>
      </c>
      <c r="Y15" s="19">
        <f t="shared" si="11"/>
        <v>3.7719261363692169</v>
      </c>
      <c r="Z15" s="12">
        <f t="shared" si="12"/>
        <v>1.5680031473603009</v>
      </c>
    </row>
    <row r="16" spans="1:36" ht="17" thickBot="1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9" x14ac:dyDescent="0.2">
      <c r="A17" s="2" t="s">
        <v>32</v>
      </c>
      <c r="B17" s="28" t="s">
        <v>13</v>
      </c>
      <c r="C17" s="29"/>
      <c r="D17" s="29"/>
      <c r="E17" s="29"/>
      <c r="F17" s="29"/>
      <c r="G17" s="30"/>
      <c r="H17" s="28" t="s">
        <v>12</v>
      </c>
      <c r="I17" s="29"/>
      <c r="J17" s="29"/>
      <c r="K17" s="29"/>
      <c r="L17" s="29"/>
      <c r="M17" s="29"/>
      <c r="N17" s="31" t="s">
        <v>11</v>
      </c>
      <c r="O17" s="32"/>
      <c r="P17" s="32"/>
      <c r="Q17" s="32"/>
      <c r="R17" s="32"/>
      <c r="S17" s="33"/>
    </row>
    <row r="18" spans="1:19" ht="34" x14ac:dyDescent="0.2">
      <c r="A18" s="16" t="s">
        <v>15</v>
      </c>
      <c r="B18" s="15" t="s">
        <v>3</v>
      </c>
      <c r="C18" s="16" t="s">
        <v>4</v>
      </c>
      <c r="D18" s="16" t="s">
        <v>28</v>
      </c>
      <c r="E18" s="16" t="s">
        <v>5</v>
      </c>
      <c r="F18" s="16" t="s">
        <v>6</v>
      </c>
      <c r="G18" s="17" t="s">
        <v>29</v>
      </c>
      <c r="H18" s="15" t="s">
        <v>3</v>
      </c>
      <c r="I18" s="16" t="s">
        <v>4</v>
      </c>
      <c r="J18" s="16" t="s">
        <v>28</v>
      </c>
      <c r="K18" s="16" t="s">
        <v>5</v>
      </c>
      <c r="L18" s="16" t="s">
        <v>6</v>
      </c>
      <c r="M18" s="16" t="s">
        <v>29</v>
      </c>
      <c r="N18" s="15" t="s">
        <v>3</v>
      </c>
      <c r="O18" s="16" t="s">
        <v>4</v>
      </c>
      <c r="P18" s="16" t="s">
        <v>28</v>
      </c>
      <c r="Q18" s="16" t="s">
        <v>5</v>
      </c>
      <c r="R18" s="16" t="s">
        <v>6</v>
      </c>
      <c r="S18" s="17" t="s">
        <v>29</v>
      </c>
    </row>
    <row r="19" spans="1:19" x14ac:dyDescent="0.2">
      <c r="A19" s="2" t="e">
        <f>LOG(0)</f>
        <v>#NUM!</v>
      </c>
      <c r="B19" s="3">
        <f>AVERAGE(1,0,3)/(0.002*10^0)</f>
        <v>666.66666666666663</v>
      </c>
      <c r="C19" s="2">
        <f>AVERAGE(1,0,0)/(0.002*10^0)</f>
        <v>166.66666666666666</v>
      </c>
      <c r="D19" s="2">
        <f>AVERAGE(0,1,0)/(0.002*10^0)</f>
        <v>166.66666666666666</v>
      </c>
      <c r="E19" s="2">
        <f>AVERAGE(0,1,4)/(0.002*10^-1)</f>
        <v>8333.3333333333339</v>
      </c>
      <c r="F19" s="2">
        <f>AVERAGE(1,1,0)/(0.002*10^0)</f>
        <v>333.33333333333331</v>
      </c>
      <c r="G19" s="4">
        <f>AVERAGE(3,3,1)/(0.002*10^0)</f>
        <v>1166.6666666666667</v>
      </c>
      <c r="H19" s="3">
        <f>B19/$B$19</f>
        <v>1</v>
      </c>
      <c r="I19" s="2">
        <f>C19/$C$19</f>
        <v>1</v>
      </c>
      <c r="J19" s="2">
        <f>D19/$D$19</f>
        <v>1</v>
      </c>
      <c r="K19" s="2">
        <f>E19/$E$19</f>
        <v>1</v>
      </c>
      <c r="L19" s="2">
        <f>F19/$F$19</f>
        <v>1</v>
      </c>
      <c r="M19" s="2">
        <f>G19/$G$19</f>
        <v>1</v>
      </c>
      <c r="N19" s="8">
        <f>LOG(B19/$B$19,2)</f>
        <v>0</v>
      </c>
      <c r="O19" s="9">
        <f>LOG(C19/$C$19,2)</f>
        <v>0</v>
      </c>
      <c r="P19" s="9">
        <f>LOG(D19/$D$19,2)</f>
        <v>0</v>
      </c>
      <c r="Q19" s="9">
        <f>LOG(E19/$E$19,2)</f>
        <v>0</v>
      </c>
      <c r="R19" s="9">
        <f>LOG(F19/$F$19,2)</f>
        <v>0</v>
      </c>
      <c r="S19" s="10">
        <f>LOG(G19/$G$19,2)</f>
        <v>0</v>
      </c>
    </row>
    <row r="20" spans="1:19" x14ac:dyDescent="0.2">
      <c r="A20" s="2">
        <f>LOG(2)</f>
        <v>0.3010299956639812</v>
      </c>
      <c r="B20" s="3">
        <f>AVERAGE(0,3,0)/(0.002*10^-1)</f>
        <v>5000</v>
      </c>
      <c r="C20" s="2">
        <f>AVERAGE(1,0,0)/(0.002*10^0)</f>
        <v>166.66666666666666</v>
      </c>
      <c r="D20" s="2">
        <f>AVERAGE(0,2,0)/(0.002*10^0)</f>
        <v>333.33333333333331</v>
      </c>
      <c r="E20" s="2">
        <f>AVERAGE(1,5,2)/(0.002*10^-3)</f>
        <v>1333333.3333333333</v>
      </c>
      <c r="F20" s="2">
        <f>AVERAGE(1,1,0)/(0.002*10^-1)</f>
        <v>3333.333333333333</v>
      </c>
      <c r="G20" s="4">
        <f>AVERAGE(5,5,3)/(0.002*10^0)</f>
        <v>2166.6666666666665</v>
      </c>
      <c r="H20" s="3">
        <f>B20/$B$19</f>
        <v>7.5</v>
      </c>
      <c r="I20" s="2">
        <f>C20/$C$19</f>
        <v>1</v>
      </c>
      <c r="J20" s="2">
        <f>D20/$D$19</f>
        <v>2</v>
      </c>
      <c r="K20" s="2">
        <f>E20/$E$19</f>
        <v>159.99999999999997</v>
      </c>
      <c r="L20" s="2">
        <f>F20/$F$19</f>
        <v>10</v>
      </c>
      <c r="M20" s="2">
        <f>G20/$G$19</f>
        <v>1.857142857142857</v>
      </c>
      <c r="N20" s="8">
        <f>LOG(B20/$B$19,2)</f>
        <v>2.9068905956085187</v>
      </c>
      <c r="O20" s="9">
        <f>LOG(C20/$C$19,2)</f>
        <v>0</v>
      </c>
      <c r="P20" s="9">
        <f>LOG(D20/$D$19,2)</f>
        <v>1</v>
      </c>
      <c r="Q20" s="9">
        <f>LOG(E20/$E$19,2)</f>
        <v>7.3219280948873617</v>
      </c>
      <c r="R20" s="9">
        <f>LOG(F20/$F$19,2)</f>
        <v>3.3219280948873626</v>
      </c>
      <c r="S20" s="10">
        <f>LOG(G20/$G19,2)</f>
        <v>0.89308479608348801</v>
      </c>
    </row>
    <row r="21" spans="1:19" x14ac:dyDescent="0.2">
      <c r="A21" s="2">
        <f>LOG(4)</f>
        <v>0.6020599913279624</v>
      </c>
      <c r="B21" s="3">
        <f>AVERAGE(19,8,6)/(0.002*10^-2)</f>
        <v>550000</v>
      </c>
      <c r="C21" s="2">
        <f>AVERAGE(1,0,1)/(0.002*10^0)</f>
        <v>333.33333333333331</v>
      </c>
      <c r="D21" s="2">
        <f>AVERAGE(0,3,0)/(0.002*10^0)</f>
        <v>500</v>
      </c>
      <c r="E21" s="2">
        <f>AVERAGE(18,18,16)/(0.002*10^-5)</f>
        <v>866666666.66666663</v>
      </c>
      <c r="F21" s="2">
        <f>AVERAGE(2,2,2)/(0.002*10^-3)</f>
        <v>1000000</v>
      </c>
      <c r="G21" s="4">
        <f>AVERAGE(1,4,6)/(0.002*10^-2)</f>
        <v>183333.33333333331</v>
      </c>
      <c r="H21" s="3">
        <f>B21/$B$19</f>
        <v>825</v>
      </c>
      <c r="I21" s="2">
        <f>C21/$C$19</f>
        <v>2</v>
      </c>
      <c r="J21" s="2">
        <f>D21/$D$19</f>
        <v>3</v>
      </c>
      <c r="K21" s="2">
        <f>E21/$E$19</f>
        <v>103999.99999999999</v>
      </c>
      <c r="L21" s="2">
        <f>F21/$F$19</f>
        <v>3000</v>
      </c>
      <c r="M21" s="2">
        <f>G21/$G$19</f>
        <v>157.14285714285711</v>
      </c>
      <c r="N21" s="8">
        <f>LOG(B21/$B$19,2)</f>
        <v>9.6882503091331778</v>
      </c>
      <c r="O21" s="9">
        <f>LOG(C21/$C$19,2)</f>
        <v>1</v>
      </c>
      <c r="P21" s="9">
        <f>LOG(D21/$D$19,2)</f>
        <v>1.5849625007211563</v>
      </c>
      <c r="Q21" s="9">
        <f>LOG(E21/$E$19,2)</f>
        <v>16.66622400280318</v>
      </c>
      <c r="R21" s="9">
        <f>LOG(F21/$F$19,2)</f>
        <v>11.550746785383243</v>
      </c>
      <c r="S21" s="10">
        <f>LOG(G21/$G19,2)</f>
        <v>7.2959328863544171</v>
      </c>
    </row>
    <row r="22" spans="1:19" x14ac:dyDescent="0.2">
      <c r="A22" s="2">
        <f>LOG(24)</f>
        <v>1.3802112417116059</v>
      </c>
      <c r="B22" s="3">
        <f>AVERAGE(3,5,3)/(0.002*10^-6)</f>
        <v>1833333333.3333333</v>
      </c>
      <c r="C22" s="3">
        <f>AVERAGE(0,0,1)/(0.002*10^-1)</f>
        <v>1666.6666666666665</v>
      </c>
      <c r="D22" s="2">
        <f>AVERAGE(1,1,1)/(0.002*10^-1)</f>
        <v>5000</v>
      </c>
      <c r="E22" s="2">
        <f>AVERAGE(10,13,10)/(0.002*10^-4)</f>
        <v>54999999.999999993</v>
      </c>
      <c r="F22" s="2">
        <f>AVERAGE(8,5,5)/(0.002*10^-5)</f>
        <v>300000000</v>
      </c>
      <c r="G22" s="2">
        <f>AVERAGE(13,17,30)/(0.002*10^-6)</f>
        <v>10000000000</v>
      </c>
      <c r="H22" s="3">
        <f>B22/$B$19</f>
        <v>2750000</v>
      </c>
      <c r="I22" s="2">
        <f>C22/$C$19</f>
        <v>10</v>
      </c>
      <c r="J22" s="2">
        <f>D22/$D$19</f>
        <v>30</v>
      </c>
      <c r="K22" s="2">
        <f>E22/$E$19</f>
        <v>6599.9999999999982</v>
      </c>
      <c r="L22" s="2">
        <f>F22/$F$19</f>
        <v>900000</v>
      </c>
      <c r="M22" s="2">
        <f>G22/$G$19</f>
        <v>8571428.5714285709</v>
      </c>
      <c r="N22" s="8">
        <f>LOG(B22/$B$19,2)</f>
        <v>21.39100018796147</v>
      </c>
      <c r="O22" s="9">
        <f>LOG(C22/$C$19,2)</f>
        <v>3.3219280948873626</v>
      </c>
      <c r="P22" s="9">
        <f>LOG(D22/$D$19,2)</f>
        <v>4.9068905956085187</v>
      </c>
      <c r="Q22" s="9">
        <f>LOG(E22/$E$19,2)</f>
        <v>12.68825030913318</v>
      </c>
      <c r="R22" s="9">
        <f>LOG(F22/$F$11,2)</f>
        <v>18.194602975157967</v>
      </c>
      <c r="S22" s="10">
        <f>LOG(G22/$G$19,2)</f>
        <v>23.031104242875088</v>
      </c>
    </row>
    <row r="23" spans="1:19" ht="17" thickBot="1" x14ac:dyDescent="0.25">
      <c r="A23" s="9">
        <f>LOG(48)</f>
        <v>1.6812412373755872</v>
      </c>
      <c r="B23" s="3">
        <f>AVERAGE(13,18,17)/(0.002*10^-6)</f>
        <v>7999999999.999999</v>
      </c>
      <c r="C23" s="2">
        <f>AVERAGE(1,0,0)/(0.002*10^-1)</f>
        <v>1666.6666666666665</v>
      </c>
      <c r="D23" s="2">
        <f>AVERAGE(1,0,3)/(0.002*10^-1)</f>
        <v>6666.6666666666661</v>
      </c>
      <c r="E23" s="2">
        <f>AVERAGE(6,4,3)/(0.002*10^-6)</f>
        <v>2166666666.6666665</v>
      </c>
      <c r="F23" s="2">
        <f>AVERAGE(4,4,0)/(0.002*10^-6)</f>
        <v>1333333333.3333333</v>
      </c>
      <c r="G23" s="2">
        <f>AVERAGE(6,11,9)/(0.002*10^-6)</f>
        <v>4333333333.333333</v>
      </c>
      <c r="H23" s="5">
        <f>B23/$B$19</f>
        <v>12000000</v>
      </c>
      <c r="I23" s="6">
        <f>C23/$C$19</f>
        <v>10</v>
      </c>
      <c r="J23" s="6">
        <f>D23/$D$19</f>
        <v>40</v>
      </c>
      <c r="K23" s="6">
        <f>E23/$E$19</f>
        <v>259999.99999999997</v>
      </c>
      <c r="L23" s="6">
        <f>F23/$F$19</f>
        <v>4000000</v>
      </c>
      <c r="M23" s="6">
        <f>G23/$G$19</f>
        <v>3714285.7142857136</v>
      </c>
      <c r="N23" s="11">
        <f>LOG(B23/$B$19,2)</f>
        <v>23.516531070045332</v>
      </c>
      <c r="O23" s="19">
        <f>LOG(C23/$C$19,2)</f>
        <v>3.3219280948873626</v>
      </c>
      <c r="P23" s="19">
        <f>LOG(D23/$D$19,2)</f>
        <v>5.3219280948873626</v>
      </c>
      <c r="Q23" s="19">
        <f>LOG(E23/$E$19,2)</f>
        <v>17.988152097690541</v>
      </c>
      <c r="R23" s="19">
        <f>LOG(F23/$F$11,2)</f>
        <v>20.34660606860302</v>
      </c>
      <c r="S23" s="12">
        <f>LOG(G23/$G$19,2)</f>
        <v>21.824653365407663</v>
      </c>
    </row>
    <row r="24" spans="1:19" ht="17" thickBot="1" x14ac:dyDescent="0.25"/>
    <row r="25" spans="1:19" x14ac:dyDescent="0.2">
      <c r="A25" t="s">
        <v>36</v>
      </c>
      <c r="B25" s="28" t="s">
        <v>13</v>
      </c>
      <c r="C25" s="29"/>
      <c r="D25" s="29"/>
      <c r="E25" s="29"/>
      <c r="F25" s="29"/>
      <c r="G25" s="30"/>
      <c r="N25" s="31" t="s">
        <v>11</v>
      </c>
      <c r="O25" s="32"/>
      <c r="P25" s="32"/>
      <c r="Q25" s="32"/>
      <c r="R25" s="32"/>
      <c r="S25" s="33"/>
    </row>
    <row r="26" spans="1:19" ht="34" x14ac:dyDescent="0.2">
      <c r="A26" s="16" t="s">
        <v>15</v>
      </c>
      <c r="B26" s="15" t="s">
        <v>3</v>
      </c>
      <c r="C26" s="16" t="s">
        <v>4</v>
      </c>
      <c r="D26" s="16" t="s">
        <v>28</v>
      </c>
      <c r="E26" s="16" t="s">
        <v>5</v>
      </c>
      <c r="F26" s="16" t="s">
        <v>6</v>
      </c>
      <c r="G26" s="17" t="s">
        <v>29</v>
      </c>
      <c r="M26" s="16" t="s">
        <v>15</v>
      </c>
      <c r="N26" s="15" t="s">
        <v>3</v>
      </c>
      <c r="O26" s="16" t="s">
        <v>4</v>
      </c>
      <c r="P26" s="16" t="s">
        <v>28</v>
      </c>
      <c r="Q26" s="16" t="s">
        <v>5</v>
      </c>
      <c r="R26" s="16" t="s">
        <v>6</v>
      </c>
      <c r="S26" s="17" t="s">
        <v>29</v>
      </c>
    </row>
    <row r="27" spans="1:19" x14ac:dyDescent="0.2">
      <c r="A27" s="2" t="e">
        <f>LOG(0)</f>
        <v>#NUM!</v>
      </c>
      <c r="B27" s="3">
        <f t="shared" ref="B27:G31" si="14">AVERAGE(B3,B11,B19)</f>
        <v>777.77777777777771</v>
      </c>
      <c r="C27" s="2">
        <f t="shared" si="14"/>
        <v>277.77777777777777</v>
      </c>
      <c r="D27" s="2">
        <f t="shared" si="14"/>
        <v>222.2222222222222</v>
      </c>
      <c r="E27" s="2">
        <f t="shared" si="14"/>
        <v>11666.666666666666</v>
      </c>
      <c r="F27" s="2">
        <f t="shared" si="14"/>
        <v>555.55555555555554</v>
      </c>
      <c r="G27" s="4">
        <f t="shared" si="14"/>
        <v>888.88888888888903</v>
      </c>
      <c r="M27" s="2" t="e">
        <f>LOG(0)</f>
        <v>#NUM!</v>
      </c>
      <c r="N27" s="8">
        <f>LOG(B27/$B$27,2)</f>
        <v>0</v>
      </c>
      <c r="O27" s="9">
        <f>LOG(C27/$C$27,2)</f>
        <v>0</v>
      </c>
      <c r="P27" s="9">
        <f>LOG(D27/$D$27,2)</f>
        <v>0</v>
      </c>
      <c r="Q27" s="9">
        <f>LOG(E27/$E$27,2)</f>
        <v>0</v>
      </c>
      <c r="R27" s="9">
        <f>LOG(F27/$F$27,2)</f>
        <v>0</v>
      </c>
      <c r="S27" s="10">
        <f>LOG(G27/$G$27,2)</f>
        <v>0</v>
      </c>
    </row>
    <row r="28" spans="1:19" x14ac:dyDescent="0.2">
      <c r="A28" s="2">
        <f>LOG(2)</f>
        <v>0.3010299956639812</v>
      </c>
      <c r="B28" s="3">
        <f t="shared" si="14"/>
        <v>32777.777777777781</v>
      </c>
      <c r="C28" s="2">
        <f t="shared" si="14"/>
        <v>166.66666666666666</v>
      </c>
      <c r="D28" s="2">
        <f t="shared" si="14"/>
        <v>333.33333333333331</v>
      </c>
      <c r="E28" s="2">
        <f t="shared" si="14"/>
        <v>1111111.111111111</v>
      </c>
      <c r="F28" s="2">
        <f t="shared" si="14"/>
        <v>7777.7777777777774</v>
      </c>
      <c r="G28" s="4">
        <f t="shared" si="14"/>
        <v>2166.6666666666665</v>
      </c>
      <c r="M28" s="2">
        <f>LOG(2)</f>
        <v>0.3010299956639812</v>
      </c>
      <c r="N28" s="8">
        <f>LOG(B28/$B$27,2)</f>
        <v>5.3972162221915996</v>
      </c>
      <c r="O28" s="9">
        <f>LOG(C28/$C$27,2)</f>
        <v>-0.73696559416620622</v>
      </c>
      <c r="P28" s="9">
        <f>LOG(D28/$D$27,2)</f>
        <v>0.58496250072115619</v>
      </c>
      <c r="Q28" s="9">
        <f>LOG(E28/$E$27,2)</f>
        <v>6.5734668618833272</v>
      </c>
      <c r="R28" s="9">
        <f>LOG(F28/$F$27,2)</f>
        <v>3.8073549220576037</v>
      </c>
      <c r="S28" s="10">
        <f>LOG(G28/$G27,2)</f>
        <v>1.2854022188622483</v>
      </c>
    </row>
    <row r="29" spans="1:19" x14ac:dyDescent="0.2">
      <c r="A29" s="2">
        <f>LOG(4)</f>
        <v>0.6020599913279624</v>
      </c>
      <c r="B29" s="3">
        <f t="shared" si="14"/>
        <v>1222222.2222222222</v>
      </c>
      <c r="C29" s="2">
        <f t="shared" si="14"/>
        <v>388.88888888888886</v>
      </c>
      <c r="D29" s="2">
        <f t="shared" si="14"/>
        <v>277.77777777777777</v>
      </c>
      <c r="E29" s="2">
        <f t="shared" si="14"/>
        <v>622222222.22222221</v>
      </c>
      <c r="F29" s="2">
        <f t="shared" si="14"/>
        <v>2388888.8888888885</v>
      </c>
      <c r="G29" s="4">
        <f t="shared" si="14"/>
        <v>255555.5555555555</v>
      </c>
      <c r="M29" s="2">
        <f>LOG(4)</f>
        <v>0.6020599913279624</v>
      </c>
      <c r="N29" s="8">
        <f>LOG(B29/$B$27,2)</f>
        <v>10.61786098124178</v>
      </c>
      <c r="O29" s="9">
        <f>LOG(C29/$C$27,2)</f>
        <v>0.48542682717024171</v>
      </c>
      <c r="P29" s="9">
        <f>LOG(D29/$D$27,2)</f>
        <v>0.32192809488736235</v>
      </c>
      <c r="Q29" s="9">
        <f>LOG(E29/$E$27,2)</f>
        <v>15.702749878828294</v>
      </c>
      <c r="R29" s="9">
        <f>LOG(F29/$F$27,2)</f>
        <v>12.070120944476823</v>
      </c>
      <c r="S29" s="10">
        <f>LOG(G29/$G27,2)</f>
        <v>8.1674181458317374</v>
      </c>
    </row>
    <row r="30" spans="1:19" x14ac:dyDescent="0.2">
      <c r="A30" s="2">
        <f>LOG(24)</f>
        <v>1.3802112417116059</v>
      </c>
      <c r="B30" s="3">
        <f t="shared" si="14"/>
        <v>5055555555.5555563</v>
      </c>
      <c r="C30" s="2">
        <f t="shared" si="14"/>
        <v>1666.6666666666667</v>
      </c>
      <c r="D30" s="2">
        <f t="shared" si="14"/>
        <v>2777.7777777777774</v>
      </c>
      <c r="E30" s="2">
        <f t="shared" si="14"/>
        <v>218333333.33333334</v>
      </c>
      <c r="F30" s="2">
        <f t="shared" si="14"/>
        <v>189444444.44444445</v>
      </c>
      <c r="G30" s="4">
        <f t="shared" si="14"/>
        <v>10833333333.333334</v>
      </c>
      <c r="M30" s="2">
        <f>LOG(24)</f>
        <v>1.3802112417116059</v>
      </c>
      <c r="N30" s="8">
        <f>LOG(B30/$B$27,2)</f>
        <v>22.632008287465268</v>
      </c>
      <c r="O30" s="9">
        <f>LOG(C30/$C$27,2)</f>
        <v>2.5849625007211561</v>
      </c>
      <c r="P30" s="9">
        <f>LOG(D30/$D$27,2)</f>
        <v>3.6438561897747253</v>
      </c>
      <c r="Q30" s="9">
        <f>LOG(E30/$E$27,2)</f>
        <v>14.191852364141935</v>
      </c>
      <c r="R30" s="9">
        <f>LOG(F30/$F$27,2)</f>
        <v>18.379412213686262</v>
      </c>
      <c r="S30" s="10">
        <f>LOG(G30/$G$27,2)</f>
        <v>23.538898883073784</v>
      </c>
    </row>
    <row r="31" spans="1:19" ht="17" thickBot="1" x14ac:dyDescent="0.25">
      <c r="A31" s="9">
        <f>LOG(48)</f>
        <v>1.6812412373755872</v>
      </c>
      <c r="B31" s="5">
        <f t="shared" si="14"/>
        <v>8944444444.4444447</v>
      </c>
      <c r="C31" s="6">
        <f t="shared" si="14"/>
        <v>2277.7777777777778</v>
      </c>
      <c r="D31" s="6">
        <f t="shared" si="14"/>
        <v>3333.3333333333335</v>
      </c>
      <c r="E31" s="6">
        <f t="shared" si="14"/>
        <v>1388888888.8888888</v>
      </c>
      <c r="F31" s="6">
        <f t="shared" si="14"/>
        <v>2194444444.4444442</v>
      </c>
      <c r="G31" s="7">
        <f t="shared" si="14"/>
        <v>9888888888.8888874</v>
      </c>
      <c r="M31" s="9">
        <f>LOG(48)</f>
        <v>1.6812412373755872</v>
      </c>
      <c r="N31" s="11">
        <f>LOG(B31/$B$27,2)</f>
        <v>23.45513052538119</v>
      </c>
      <c r="O31" s="19">
        <f>LOG(C31/$C$27,2)</f>
        <v>3.0356239097307216</v>
      </c>
      <c r="P31" s="19">
        <f>LOG(D31/$D$27,2)</f>
        <v>3.9068905956085187</v>
      </c>
      <c r="Q31" s="19">
        <f>LOG(E31/$E$27,2)</f>
        <v>16.861179241432779</v>
      </c>
      <c r="R31" s="19">
        <f>LOG(F31/$F$27,2)</f>
        <v>21.913421222613913</v>
      </c>
      <c r="S31" s="12">
        <f>LOG(G31/$G$27,2)</f>
        <v>23.407302000290571</v>
      </c>
    </row>
  </sheetData>
  <mergeCells count="13">
    <mergeCell ref="B25:G25"/>
    <mergeCell ref="N25:S25"/>
    <mergeCell ref="B17:G17"/>
    <mergeCell ref="H17:M17"/>
    <mergeCell ref="N17:S17"/>
    <mergeCell ref="U1:Z1"/>
    <mergeCell ref="U9:Z9"/>
    <mergeCell ref="B1:G1"/>
    <mergeCell ref="H1:M1"/>
    <mergeCell ref="N1:S1"/>
    <mergeCell ref="B9:G9"/>
    <mergeCell ref="H9:M9"/>
    <mergeCell ref="N9:S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D5DC1-61D8-4440-8EC4-1F613C94FD47}">
  <dimension ref="A1:Z31"/>
  <sheetViews>
    <sheetView topLeftCell="C16" workbookViewId="0">
      <selection sqref="A1:S31"/>
    </sheetView>
  </sheetViews>
  <sheetFormatPr baseColWidth="10" defaultRowHeight="16" x14ac:dyDescent="0.2"/>
  <sheetData>
    <row r="1" spans="1:26" x14ac:dyDescent="0.2">
      <c r="A1" s="2" t="s">
        <v>30</v>
      </c>
      <c r="B1" s="28" t="s">
        <v>13</v>
      </c>
      <c r="C1" s="29"/>
      <c r="D1" s="29"/>
      <c r="E1" s="29"/>
      <c r="F1" s="29"/>
      <c r="G1" s="30"/>
      <c r="H1" s="29" t="s">
        <v>12</v>
      </c>
      <c r="I1" s="29"/>
      <c r="J1" s="29"/>
      <c r="K1" s="29"/>
      <c r="L1" s="29"/>
      <c r="M1" s="29"/>
      <c r="N1" s="31" t="s">
        <v>11</v>
      </c>
      <c r="O1" s="32"/>
      <c r="P1" s="32"/>
      <c r="Q1" s="32"/>
      <c r="R1" s="32"/>
      <c r="S1" s="33"/>
      <c r="U1" s="31" t="s">
        <v>33</v>
      </c>
      <c r="V1" s="32"/>
      <c r="W1" s="32"/>
      <c r="X1" s="32"/>
      <c r="Y1" s="32"/>
      <c r="Z1" s="33"/>
    </row>
    <row r="2" spans="1:26" ht="34" x14ac:dyDescent="0.2">
      <c r="A2" s="16" t="s">
        <v>35</v>
      </c>
      <c r="B2" s="15" t="s">
        <v>3</v>
      </c>
      <c r="C2" s="16" t="s">
        <v>4</v>
      </c>
      <c r="D2" s="16" t="s">
        <v>28</v>
      </c>
      <c r="E2" s="16" t="s">
        <v>5</v>
      </c>
      <c r="F2" s="16" t="s">
        <v>6</v>
      </c>
      <c r="G2" s="17" t="s">
        <v>29</v>
      </c>
      <c r="H2" s="16" t="s">
        <v>3</v>
      </c>
      <c r="I2" s="16" t="s">
        <v>4</v>
      </c>
      <c r="J2" s="16" t="s">
        <v>28</v>
      </c>
      <c r="K2" s="16" t="s">
        <v>5</v>
      </c>
      <c r="L2" s="16" t="s">
        <v>6</v>
      </c>
      <c r="M2" s="16" t="s">
        <v>29</v>
      </c>
      <c r="N2" s="15" t="s">
        <v>3</v>
      </c>
      <c r="O2" s="16" t="s">
        <v>4</v>
      </c>
      <c r="P2" s="16" t="s">
        <v>28</v>
      </c>
      <c r="Q2" s="16" t="s">
        <v>5</v>
      </c>
      <c r="R2" s="16" t="s">
        <v>6</v>
      </c>
      <c r="S2" s="17" t="s">
        <v>29</v>
      </c>
      <c r="T2" s="16" t="s">
        <v>35</v>
      </c>
      <c r="U2" s="15" t="s">
        <v>3</v>
      </c>
      <c r="V2" s="16" t="s">
        <v>4</v>
      </c>
      <c r="W2" s="16" t="s">
        <v>28</v>
      </c>
      <c r="X2" s="16" t="s">
        <v>5</v>
      </c>
      <c r="Y2" s="16" t="s">
        <v>6</v>
      </c>
      <c r="Z2" s="17" t="s">
        <v>29</v>
      </c>
    </row>
    <row r="3" spans="1:26" x14ac:dyDescent="0.2">
      <c r="A3" s="2">
        <v>0</v>
      </c>
      <c r="B3" s="3">
        <f>AVERAGE(2,2,0)/(0.002*10^0)</f>
        <v>666.66666666666663</v>
      </c>
      <c r="C3" s="2">
        <f>AVERAGE(6,3,2)/(0.002*10^0)</f>
        <v>1833.3333333333333</v>
      </c>
      <c r="D3" s="2">
        <f>AVERAGE(3,1,1)/(0.002*10^0)</f>
        <v>833.33333333333337</v>
      </c>
      <c r="E3" s="2">
        <f>AVERAGE(1,1,2)/(0.002*10^-1)</f>
        <v>6666.6666666666661</v>
      </c>
      <c r="F3" s="2">
        <f>AVERAGE(2,1,2)/(0.002*10^-1)</f>
        <v>8333.3333333333339</v>
      </c>
      <c r="G3" s="4">
        <f>AVERAGE(6,4,8)/(0.002*10^0)</f>
        <v>3000</v>
      </c>
      <c r="H3" s="2">
        <f>B3/$B$3</f>
        <v>1</v>
      </c>
      <c r="I3" s="2">
        <f>C3/$C$3</f>
        <v>1</v>
      </c>
      <c r="J3" s="2">
        <f>D3/$D$3</f>
        <v>1</v>
      </c>
      <c r="K3" s="2">
        <f>E3/$E$3</f>
        <v>1</v>
      </c>
      <c r="L3" s="2">
        <f>F3/$F$3</f>
        <v>1</v>
      </c>
      <c r="M3" s="2">
        <f>G3/$G$3</f>
        <v>1</v>
      </c>
      <c r="N3" s="8">
        <f>LOG(B3/$B$3,2)</f>
        <v>0</v>
      </c>
      <c r="O3" s="9">
        <f>LOG(C3/$C$3,2)</f>
        <v>0</v>
      </c>
      <c r="P3" s="9">
        <f>LOG(D3/$D$3,2)</f>
        <v>0</v>
      </c>
      <c r="Q3" s="9">
        <f>LOG(E3/$E$3,2)</f>
        <v>0</v>
      </c>
      <c r="R3" s="9">
        <f>LOG(F3/$F$3,2)</f>
        <v>0</v>
      </c>
      <c r="S3" s="10">
        <f>LOG(G3/$G$3,2)</f>
        <v>0</v>
      </c>
      <c r="T3" s="2">
        <v>0</v>
      </c>
      <c r="U3" s="8">
        <f t="shared" ref="U3:Z3" si="0">AVERAGE(N3,N11,N19)</f>
        <v>0</v>
      </c>
      <c r="V3" s="9">
        <f t="shared" si="0"/>
        <v>0</v>
      </c>
      <c r="W3" s="9">
        <f t="shared" si="0"/>
        <v>0</v>
      </c>
      <c r="X3" s="9">
        <f t="shared" si="0"/>
        <v>0</v>
      </c>
      <c r="Y3" s="9">
        <f t="shared" si="0"/>
        <v>0</v>
      </c>
      <c r="Z3" s="10">
        <f t="shared" si="0"/>
        <v>0</v>
      </c>
    </row>
    <row r="4" spans="1:26" x14ac:dyDescent="0.2">
      <c r="A4" s="2">
        <v>30</v>
      </c>
      <c r="B4" s="3">
        <f>AVERAGE(1,0,0)/(0.002*10^0)</f>
        <v>166.66666666666666</v>
      </c>
      <c r="C4" s="2">
        <f>AVERAGE(4,3,0)/(0.002*10^0)</f>
        <v>1166.6666666666667</v>
      </c>
      <c r="D4" s="2">
        <f>AVERAGE(3,0,0)/(0.002*10^0)</f>
        <v>500</v>
      </c>
      <c r="E4" s="2">
        <f>AVERAGE(0,1,0)/(0.002*10^0)</f>
        <v>166.66666666666666</v>
      </c>
      <c r="F4" s="2">
        <f>AVERAGE(0,2,0)/(0.002*10^-1)</f>
        <v>3333.333333333333</v>
      </c>
      <c r="G4" s="4">
        <f>AVERAGE(4,6,3)/(0.002*10^0)</f>
        <v>2166.6666666666665</v>
      </c>
      <c r="H4" s="2">
        <f>B4/$B$3</f>
        <v>0.25</v>
      </c>
      <c r="I4" s="2">
        <f>C4/$C$3</f>
        <v>0.63636363636363646</v>
      </c>
      <c r="J4" s="2">
        <f>D4/$D$3</f>
        <v>0.6</v>
      </c>
      <c r="K4" s="2">
        <f>E4/$E$3</f>
        <v>2.5000000000000001E-2</v>
      </c>
      <c r="L4" s="2">
        <f>F4/$F$3</f>
        <v>0.39999999999999991</v>
      </c>
      <c r="M4" s="2">
        <f>G4/$G$3</f>
        <v>0.72222222222222221</v>
      </c>
      <c r="N4" s="8">
        <f>LOG(B4/$B$3,2)</f>
        <v>-2</v>
      </c>
      <c r="O4" s="9">
        <f>LOG(C4/$C$3,2)</f>
        <v>-0.65207669657969303</v>
      </c>
      <c r="P4" s="9">
        <f>LOG(D4/$D$3,2)</f>
        <v>-0.73696559416620622</v>
      </c>
      <c r="Q4" s="9">
        <f>LOG(E4/$E$3,2)</f>
        <v>-5.3219280948873626</v>
      </c>
      <c r="R4" s="9">
        <f>LOG(F4/$F$3,2)</f>
        <v>-1.3219280948873628</v>
      </c>
      <c r="S4" s="10">
        <f>LOG(G4/$G$3,2)</f>
        <v>-0.4694852833012203</v>
      </c>
      <c r="T4" s="2">
        <v>30</v>
      </c>
      <c r="U4" s="8">
        <f t="shared" ref="U4:Z7" si="1">AVERAGE(N4,N12,N20)</f>
        <v>-1.6666666666666667</v>
      </c>
      <c r="V4" s="9">
        <f t="shared" si="1"/>
        <v>-0.72221662313648383</v>
      </c>
      <c r="W4" s="9">
        <f t="shared" si="1"/>
        <v>-1.4074641404454828</v>
      </c>
      <c r="X4" s="9">
        <f t="shared" si="1"/>
        <v>-5.6844157086374762</v>
      </c>
      <c r="Y4" s="9">
        <f t="shared" si="1"/>
        <v>-0.44064269829578756</v>
      </c>
      <c r="Z4" s="10">
        <f t="shared" si="1"/>
        <v>-0.59713779272952749</v>
      </c>
    </row>
    <row r="5" spans="1:26" x14ac:dyDescent="0.2">
      <c r="A5" s="2">
        <v>60</v>
      </c>
      <c r="B5" s="3">
        <f>AVERAGE(1,0,0)/(0.002*10^0)</f>
        <v>166.66666666666666</v>
      </c>
      <c r="C5" s="2">
        <f>AVERAGE(1,3,2)/(0.002*10^0)</f>
        <v>1000</v>
      </c>
      <c r="D5" s="2">
        <f>AVERAGE(6,3,5)/(0.002*10^0)</f>
        <v>2333.3333333333335</v>
      </c>
      <c r="E5" s="2">
        <f>AVERAGE(0,1,0)/(0.002*10^0)</f>
        <v>166.66666666666666</v>
      </c>
      <c r="F5" s="2">
        <f>AVERAGE(1,2,3)/(0.002*10^0)</f>
        <v>1000</v>
      </c>
      <c r="G5" s="4">
        <f>AVERAGE(2,5,3)/(0.002*10^0)</f>
        <v>1666.6666666666667</v>
      </c>
      <c r="H5" s="2">
        <f>B5/$B$3</f>
        <v>0.25</v>
      </c>
      <c r="I5" s="2">
        <f>C5/$C$3</f>
        <v>0.54545454545454553</v>
      </c>
      <c r="J5" s="2">
        <f>D5/$D$3</f>
        <v>2.8000000000000003</v>
      </c>
      <c r="K5" s="2">
        <f>E5/$E$3</f>
        <v>2.5000000000000001E-2</v>
      </c>
      <c r="L5" s="2">
        <f>F5/$F$3</f>
        <v>0.12</v>
      </c>
      <c r="M5" s="2">
        <f>G5/$G$3</f>
        <v>0.55555555555555558</v>
      </c>
      <c r="N5" s="8">
        <f>LOG(B5/$B$3,2)</f>
        <v>-2</v>
      </c>
      <c r="O5" s="9">
        <f>LOG(C5/$C$3,2)</f>
        <v>-0.8744691179161409</v>
      </c>
      <c r="P5" s="9">
        <f>LOG(D5/$D$3,2)</f>
        <v>1.485426827170242</v>
      </c>
      <c r="Q5" s="9">
        <f>LOG(E5/$E$3,2)</f>
        <v>-5.3219280948873626</v>
      </c>
      <c r="R5" s="9">
        <f>LOG(F5/$F$3,2)</f>
        <v>-3.0588936890535687</v>
      </c>
      <c r="S5" s="10">
        <f>LOG(G5/$G$3,2)</f>
        <v>-0.84799690655494997</v>
      </c>
      <c r="T5" s="2">
        <v>60</v>
      </c>
      <c r="U5" s="8">
        <f t="shared" si="1"/>
        <v>-1.3333333333333333</v>
      </c>
      <c r="V5" s="9">
        <f t="shared" si="1"/>
        <v>-0.81981053954576577</v>
      </c>
      <c r="W5" s="9">
        <f t="shared" si="1"/>
        <v>0.22602396837087921</v>
      </c>
      <c r="X5" s="9">
        <f t="shared" si="1"/>
        <v>-6.2127365422111955</v>
      </c>
      <c r="Y5" s="9">
        <f t="shared" si="1"/>
        <v>-1.3725957927023789</v>
      </c>
      <c r="Z5" s="10">
        <f t="shared" si="1"/>
        <v>0.3197860051675514</v>
      </c>
    </row>
    <row r="6" spans="1:26" x14ac:dyDescent="0.2">
      <c r="A6" s="2">
        <v>90</v>
      </c>
      <c r="B6" s="3">
        <f>AVERAGE(2,0,0)/(0.002*10^0)</f>
        <v>333.33333333333331</v>
      </c>
      <c r="C6" s="2">
        <f>AVERAGE(3,2,0)/(0.002*10^0)</f>
        <v>833.33333333333337</v>
      </c>
      <c r="D6" s="2">
        <f>AVERAGE(2,0,1)/(0.002*10^0)</f>
        <v>500</v>
      </c>
      <c r="E6" s="2">
        <f>AVERAGE(1,0,0)/(0.002*10^0)</f>
        <v>166.66666666666666</v>
      </c>
      <c r="F6" s="2">
        <f>AVERAGE(0,4,3)/(0.002*10^-1)</f>
        <v>11666.666666666666</v>
      </c>
      <c r="G6" s="4">
        <f>AVERAGE(0,1,1)/(0.002*10^-1)</f>
        <v>3333.333333333333</v>
      </c>
      <c r="H6" s="2">
        <f>B6/$B$3</f>
        <v>0.5</v>
      </c>
      <c r="I6" s="2">
        <f>C6/$C$3</f>
        <v>0.45454545454545459</v>
      </c>
      <c r="J6" s="2">
        <f>D6/$D$3</f>
        <v>0.6</v>
      </c>
      <c r="K6" s="2">
        <f>E6/$E$3</f>
        <v>2.5000000000000001E-2</v>
      </c>
      <c r="L6" s="2">
        <f>F6/$F$3</f>
        <v>1.4</v>
      </c>
      <c r="M6" s="2">
        <f>G6/$G$3</f>
        <v>1.1111111111111109</v>
      </c>
      <c r="N6" s="8">
        <f>LOG(B6/$B$3,2)</f>
        <v>-1</v>
      </c>
      <c r="O6" s="9">
        <f>LOG(C6/$C$3,2)</f>
        <v>-1.1375035237499347</v>
      </c>
      <c r="P6" s="9">
        <f>LOG(D6/$D$3,2)</f>
        <v>-0.73696559416620622</v>
      </c>
      <c r="Q6" s="9">
        <f>LOG(E6/$E$3,2)</f>
        <v>-5.3219280948873626</v>
      </c>
      <c r="R6" s="9">
        <f>LOG(F6/$F$3,2)</f>
        <v>0.48542682717024171</v>
      </c>
      <c r="S6" s="10">
        <f>LOG(G6/$G$3,2)</f>
        <v>0.15200309344504975</v>
      </c>
      <c r="T6" s="2">
        <v>90</v>
      </c>
      <c r="U6" s="8">
        <f t="shared" si="1"/>
        <v>-0.66666666666666663</v>
      </c>
      <c r="V6" s="9">
        <f t="shared" si="1"/>
        <v>-0.71250117458331153</v>
      </c>
      <c r="W6" s="9">
        <f t="shared" si="1"/>
        <v>-0.740797473778816</v>
      </c>
      <c r="X6" s="9">
        <f t="shared" si="1"/>
        <v>-5.6844157086374762</v>
      </c>
      <c r="Y6" s="9">
        <f t="shared" si="1"/>
        <v>0.6704985462792763</v>
      </c>
      <c r="Z6" s="10">
        <f t="shared" si="1"/>
        <v>1.9319530944065917</v>
      </c>
    </row>
    <row r="7" spans="1:26" ht="17" thickBot="1" x14ac:dyDescent="0.25">
      <c r="A7" s="9">
        <v>120</v>
      </c>
      <c r="B7" s="5">
        <f>AVERAGE(1,0,0)/(0.002*10^0)</f>
        <v>166.66666666666666</v>
      </c>
      <c r="C7" s="6">
        <f>AVERAGE(1,0,0)/(0.002*10^-1)</f>
        <v>1666.6666666666665</v>
      </c>
      <c r="D7" s="6">
        <f>AVERAGE(2,0,0)/(0.002*10^-1)</f>
        <v>3333.333333333333</v>
      </c>
      <c r="E7" s="6">
        <f>AVERAGE(1,2,3)/(0.002*10^0)</f>
        <v>1000</v>
      </c>
      <c r="F7" s="6">
        <f>AVERAGE(3,2,1)/(0.002*10^-2)</f>
        <v>99999.999999999985</v>
      </c>
      <c r="G7" s="7">
        <f>AVERAGE(0,1,0)/(0.002*10^-1)</f>
        <v>1666.6666666666665</v>
      </c>
      <c r="H7" s="6">
        <f>B7/$B$3</f>
        <v>0.25</v>
      </c>
      <c r="I7" s="6">
        <f>C7/$C$3</f>
        <v>0.90909090909090906</v>
      </c>
      <c r="J7" s="6">
        <f>D7/$D$3</f>
        <v>3.9999999999999996</v>
      </c>
      <c r="K7" s="6">
        <f>E7/$E$3</f>
        <v>0.15000000000000002</v>
      </c>
      <c r="L7" s="6">
        <f>F7/$F$3</f>
        <v>11.999999999999998</v>
      </c>
      <c r="M7" s="6">
        <f>G7/$G$3</f>
        <v>0.55555555555555547</v>
      </c>
      <c r="N7" s="11">
        <f>LOG(B7/$B$3,2)</f>
        <v>-2</v>
      </c>
      <c r="O7" s="19">
        <f>LOG(C7/$C$3,2)</f>
        <v>-0.13750352374993496</v>
      </c>
      <c r="P7" s="19">
        <f>LOG(D7/$D$3,2)</f>
        <v>2</v>
      </c>
      <c r="Q7" s="19">
        <f>LOG(E7/$E$3,2)</f>
        <v>-2.7369655941662061</v>
      </c>
      <c r="R7" s="19">
        <f>LOG(F7/$F$3,2)</f>
        <v>3.5849625007211565</v>
      </c>
      <c r="S7" s="12">
        <f>LOG(G7/$G$3,2)</f>
        <v>-0.8479969065549503</v>
      </c>
      <c r="T7" s="9">
        <v>120</v>
      </c>
      <c r="U7" s="11">
        <f t="shared" si="1"/>
        <v>-0.47167916642628133</v>
      </c>
      <c r="V7" s="19">
        <f t="shared" si="1"/>
        <v>0.72814152371247565</v>
      </c>
      <c r="W7" s="19">
        <f t="shared" si="1"/>
        <v>1.8071545894794259</v>
      </c>
      <c r="X7" s="19">
        <f t="shared" si="1"/>
        <v>-4.156094875063757</v>
      </c>
      <c r="Y7" s="19">
        <f t="shared" si="1"/>
        <v>2.6726406359990875</v>
      </c>
      <c r="Z7" s="12">
        <f t="shared" si="1"/>
        <v>1.1579770627774706</v>
      </c>
    </row>
    <row r="8" spans="1:26" ht="17" thickBot="1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26" x14ac:dyDescent="0.2">
      <c r="A9" s="2" t="s">
        <v>31</v>
      </c>
      <c r="B9" s="28" t="s">
        <v>13</v>
      </c>
      <c r="C9" s="29"/>
      <c r="D9" s="29"/>
      <c r="E9" s="29"/>
      <c r="F9" s="29"/>
      <c r="G9" s="30"/>
      <c r="H9" s="29" t="s">
        <v>12</v>
      </c>
      <c r="I9" s="29"/>
      <c r="J9" s="29"/>
      <c r="K9" s="29"/>
      <c r="L9" s="29"/>
      <c r="M9" s="29"/>
      <c r="N9" s="31" t="s">
        <v>11</v>
      </c>
      <c r="O9" s="32"/>
      <c r="P9" s="32"/>
      <c r="Q9" s="32"/>
      <c r="R9" s="32"/>
      <c r="S9" s="33"/>
      <c r="U9" s="31" t="s">
        <v>34</v>
      </c>
      <c r="V9" s="32"/>
      <c r="W9" s="32"/>
      <c r="X9" s="32"/>
      <c r="Y9" s="32"/>
      <c r="Z9" s="33"/>
    </row>
    <row r="10" spans="1:26" ht="34" x14ac:dyDescent="0.2">
      <c r="A10" s="16" t="s">
        <v>35</v>
      </c>
      <c r="B10" s="15" t="s">
        <v>3</v>
      </c>
      <c r="C10" s="16" t="s">
        <v>4</v>
      </c>
      <c r="D10" s="16" t="s">
        <v>28</v>
      </c>
      <c r="E10" s="16" t="s">
        <v>5</v>
      </c>
      <c r="F10" s="16" t="s">
        <v>6</v>
      </c>
      <c r="G10" s="17" t="s">
        <v>29</v>
      </c>
      <c r="H10" s="16" t="s">
        <v>3</v>
      </c>
      <c r="I10" s="16" t="s">
        <v>4</v>
      </c>
      <c r="J10" s="16" t="s">
        <v>28</v>
      </c>
      <c r="K10" s="16" t="s">
        <v>5</v>
      </c>
      <c r="L10" s="16" t="s">
        <v>6</v>
      </c>
      <c r="M10" s="16" t="s">
        <v>29</v>
      </c>
      <c r="N10" s="15" t="s">
        <v>3</v>
      </c>
      <c r="O10" s="16" t="s">
        <v>4</v>
      </c>
      <c r="P10" s="16" t="s">
        <v>28</v>
      </c>
      <c r="Q10" s="16" t="s">
        <v>5</v>
      </c>
      <c r="R10" s="16" t="s">
        <v>6</v>
      </c>
      <c r="S10" s="17" t="s">
        <v>29</v>
      </c>
      <c r="U10" s="15" t="s">
        <v>3</v>
      </c>
      <c r="V10" s="16" t="s">
        <v>4</v>
      </c>
      <c r="W10" s="16" t="s">
        <v>28</v>
      </c>
      <c r="X10" s="16" t="s">
        <v>5</v>
      </c>
      <c r="Y10" s="16" t="s">
        <v>6</v>
      </c>
      <c r="Z10" s="17" t="s">
        <v>29</v>
      </c>
    </row>
    <row r="11" spans="1:26" x14ac:dyDescent="0.2">
      <c r="A11" s="2">
        <v>0</v>
      </c>
      <c r="B11" s="3">
        <f>AVERAGE(1,1,2)/(0.002*10^0)</f>
        <v>666.66666666666663</v>
      </c>
      <c r="C11" s="2">
        <f>AVERAGE(1,3,2)/(0.002*10^0)</f>
        <v>1000</v>
      </c>
      <c r="D11" s="2">
        <f>AVERAGE(4,0,0)/(0.002*10^0)</f>
        <v>666.66666666666663</v>
      </c>
      <c r="E11" s="2">
        <f>AVERAGE(7,4,6)/(0.002*10^-1)</f>
        <v>28333.333333333332</v>
      </c>
      <c r="F11" s="2">
        <f>AVERAGE(3,2,0)/(0.002*10^-1)</f>
        <v>8333.3333333333339</v>
      </c>
      <c r="G11" s="4">
        <f>AVERAGE(6,2,7)/(0.002*10^0)</f>
        <v>2500</v>
      </c>
      <c r="H11" s="2">
        <f>B11/$B$11</f>
        <v>1</v>
      </c>
      <c r="I11" s="2">
        <f>C11/$C$11</f>
        <v>1</v>
      </c>
      <c r="J11" s="2">
        <f>D11/$D$11</f>
        <v>1</v>
      </c>
      <c r="K11" s="2">
        <f>E11/$E$11</f>
        <v>1</v>
      </c>
      <c r="L11" s="2">
        <f>F11/$F$11</f>
        <v>1</v>
      </c>
      <c r="M11" s="2">
        <f>G11/$G$11</f>
        <v>1</v>
      </c>
      <c r="N11" s="8">
        <f>LOG(B11/$B$11,2)</f>
        <v>0</v>
      </c>
      <c r="O11" s="9">
        <f>LOG(C11/$C$11,2)</f>
        <v>0</v>
      </c>
      <c r="P11" s="9">
        <f>LOG(D11/$D$11,2)</f>
        <v>0</v>
      </c>
      <c r="Q11" s="9">
        <f>LOG(E11/$E$11,2)</f>
        <v>0</v>
      </c>
      <c r="R11" s="9">
        <f>LOG(F11/$F$11,2)</f>
        <v>0</v>
      </c>
      <c r="S11" s="10">
        <f>LOG(G11/$G$11,2)</f>
        <v>0</v>
      </c>
      <c r="U11" s="8">
        <f t="shared" ref="U11:Z11" si="2">STDEV(N3,N11,N19)</f>
        <v>0</v>
      </c>
      <c r="V11" s="9">
        <f t="shared" si="2"/>
        <v>0</v>
      </c>
      <c r="W11" s="9">
        <f t="shared" si="2"/>
        <v>0</v>
      </c>
      <c r="X11" s="9">
        <f t="shared" si="2"/>
        <v>0</v>
      </c>
      <c r="Y11" s="9">
        <f t="shared" si="2"/>
        <v>0</v>
      </c>
      <c r="Z11" s="10">
        <f t="shared" si="2"/>
        <v>0</v>
      </c>
    </row>
    <row r="12" spans="1:26" x14ac:dyDescent="0.2">
      <c r="A12" s="2">
        <v>30</v>
      </c>
      <c r="B12" s="3">
        <f>AVERAGE(1,0,0)/(0.002*10^0)</f>
        <v>166.66666666666666</v>
      </c>
      <c r="C12" s="2">
        <f>AVERAGE(4,3,0)/(0.002*10^0)</f>
        <v>1166.6666666666667</v>
      </c>
      <c r="D12" s="2">
        <f>AVERAGE(3,1,1)/(0.002*10^0)</f>
        <v>833.33333333333337</v>
      </c>
      <c r="E12" s="2">
        <f>AVERAGE(0,1,0)/(0.002*10^0)</f>
        <v>166.66666666666666</v>
      </c>
      <c r="F12" s="2">
        <f>AVERAGE(0,1,0)/(0.002*10^-1)</f>
        <v>1666.6666666666665</v>
      </c>
      <c r="G12" s="4">
        <f>AVERAGE(3,2,1)/(0.002*10^0)</f>
        <v>1000</v>
      </c>
      <c r="H12" s="2">
        <f>B12/$B$11</f>
        <v>0.25</v>
      </c>
      <c r="I12" s="2">
        <f>C12/$C$11</f>
        <v>1.1666666666666667</v>
      </c>
      <c r="J12" s="2">
        <f>D12/$D$11</f>
        <v>1.2500000000000002</v>
      </c>
      <c r="K12" s="2">
        <f>E12/$E$11</f>
        <v>5.8823529411764705E-3</v>
      </c>
      <c r="L12" s="2">
        <f>F12/$F$11</f>
        <v>0.19999999999999996</v>
      </c>
      <c r="M12" s="2">
        <f>G12/$G$11</f>
        <v>0.4</v>
      </c>
      <c r="N12" s="8">
        <f>LOG(B12/$B$11,2)</f>
        <v>-2</v>
      </c>
      <c r="O12" s="9">
        <f>LOG(C12/$C$11,2)</f>
        <v>0.22239242133644802</v>
      </c>
      <c r="P12" s="9">
        <f>LOG(D12/$D$11,2)</f>
        <v>0.32192809488736263</v>
      </c>
      <c r="Q12" s="9">
        <f>LOG(E12/$E$11,2)</f>
        <v>-7.4093909361377026</v>
      </c>
      <c r="R12" s="9">
        <f>LOG(F12/$F$11,2)</f>
        <v>-2.3219280948873626</v>
      </c>
      <c r="S12" s="10">
        <f>LOG(G12/$G11,2)</f>
        <v>-1.3219280948873622</v>
      </c>
      <c r="U12" s="8">
        <f>STDEV(N4,N12,N20)</f>
        <v>0.57735026918962551</v>
      </c>
      <c r="V12" s="9">
        <f t="shared" ref="U12:Z15" si="3">STDEV(O4,O12,O20)</f>
        <v>0.98156032173354923</v>
      </c>
      <c r="W12" s="9">
        <f t="shared" si="3"/>
        <v>2.144742591531557</v>
      </c>
      <c r="X12" s="9">
        <f t="shared" si="3"/>
        <v>1.5753268396168139</v>
      </c>
      <c r="Y12" s="9">
        <f t="shared" si="3"/>
        <v>2.4441456667947259</v>
      </c>
      <c r="Z12" s="10">
        <f t="shared" si="3"/>
        <v>0.67014539048302102</v>
      </c>
    </row>
    <row r="13" spans="1:26" x14ac:dyDescent="0.2">
      <c r="A13" s="2">
        <v>60</v>
      </c>
      <c r="B13" s="3">
        <f>AVERAGE(2,0,0)/(0.002*10^0)</f>
        <v>333.33333333333331</v>
      </c>
      <c r="C13" s="2">
        <f>AVERAGE(1,2,2)/(0.002*10^0)</f>
        <v>833.33333333333337</v>
      </c>
      <c r="D13" s="2">
        <f>AVERAGE(3,1,0)/(0.002*10^0)</f>
        <v>666.66666666666663</v>
      </c>
      <c r="E13" s="2">
        <f>AVERAGE(0,1,0)/(0.002*10^0)</f>
        <v>166.66666666666666</v>
      </c>
      <c r="F13" s="2">
        <f>AVERAGE(4,4,7)/(0.002*10^0)</f>
        <v>2500</v>
      </c>
      <c r="G13" s="4">
        <f>AVERAGE(2,5,3)/(0.002*10^0)</f>
        <v>1666.6666666666667</v>
      </c>
      <c r="H13" s="2">
        <f>B13/$B$11</f>
        <v>0.5</v>
      </c>
      <c r="I13" s="2">
        <f>C13/$C$11</f>
        <v>0.83333333333333337</v>
      </c>
      <c r="J13" s="2">
        <f>D13/$D$11</f>
        <v>1</v>
      </c>
      <c r="K13" s="2">
        <f>E13/$E$11</f>
        <v>5.8823529411764705E-3</v>
      </c>
      <c r="L13" s="2">
        <f>F13/$F$11</f>
        <v>0.3</v>
      </c>
      <c r="M13" s="2">
        <f>G13/$G$11</f>
        <v>0.66666666666666674</v>
      </c>
      <c r="N13" s="8">
        <f>LOG(B13/$B$11,2)</f>
        <v>-1</v>
      </c>
      <c r="O13" s="9">
        <f>LOG(C13/$C$11,2)</f>
        <v>-0.26303440583379378</v>
      </c>
      <c r="P13" s="9">
        <f>LOG(D13/$D$11,2)</f>
        <v>0</v>
      </c>
      <c r="Q13" s="9">
        <f>LOG(E13/$E$11,2)</f>
        <v>-7.4093909361377026</v>
      </c>
      <c r="R13" s="9">
        <f>LOG(F13/$F$11,2)</f>
        <v>-1.7369655941662063</v>
      </c>
      <c r="S13" s="10">
        <f>LOG(G13/$G11,2)</f>
        <v>-0.58496250072115608</v>
      </c>
      <c r="U13" s="8">
        <f t="shared" si="3"/>
        <v>0.57735026918962584</v>
      </c>
      <c r="V13" s="9">
        <f t="shared" si="3"/>
        <v>0.5315586809764955</v>
      </c>
      <c r="W13" s="9">
        <f t="shared" si="3"/>
        <v>1.1629820132343689</v>
      </c>
      <c r="X13" s="9">
        <f t="shared" si="3"/>
        <v>1.0768154835858352</v>
      </c>
      <c r="Y13" s="9">
        <f t="shared" si="3"/>
        <v>1.8949411540096939</v>
      </c>
      <c r="Z13" s="10">
        <f t="shared" si="3"/>
        <v>1.7996768133201664</v>
      </c>
    </row>
    <row r="14" spans="1:26" x14ac:dyDescent="0.2">
      <c r="A14" s="2">
        <v>90</v>
      </c>
      <c r="B14" s="3">
        <f>AVERAGE(2,0,0)/(0.002*10^0)</f>
        <v>333.33333333333331</v>
      </c>
      <c r="C14" s="2">
        <f>AVERAGE(2,2,2)/(0.002*10^0)</f>
        <v>1000</v>
      </c>
      <c r="D14" s="2">
        <f>AVERAGE(2,1,1)/(0.002*10^0)</f>
        <v>666.66666666666663</v>
      </c>
      <c r="E14" s="2">
        <f>AVERAGE(1,0,0)/(0.002*10^0)</f>
        <v>166.66666666666666</v>
      </c>
      <c r="F14" s="2">
        <f>AVERAGE(2,4,3)/(0.002*10^-1)</f>
        <v>15000</v>
      </c>
      <c r="G14" s="4">
        <f>AVERAGE(1,0,2)/(0.002*10^-1)</f>
        <v>5000</v>
      </c>
      <c r="H14" s="2">
        <f>B14/$B$11</f>
        <v>0.5</v>
      </c>
      <c r="I14" s="2">
        <f>C14/$C$11</f>
        <v>1</v>
      </c>
      <c r="J14" s="2">
        <f>D14/$D$11</f>
        <v>1</v>
      </c>
      <c r="K14" s="2">
        <f>E14/$E$11</f>
        <v>5.8823529411764705E-3</v>
      </c>
      <c r="L14" s="2">
        <f>F14/$F$11</f>
        <v>1.7999999999999998</v>
      </c>
      <c r="M14" s="2">
        <f>G14/$G$11</f>
        <v>2</v>
      </c>
      <c r="N14" s="8">
        <f>LOG(B14/$B$11,2)</f>
        <v>-1</v>
      </c>
      <c r="O14" s="9">
        <f>LOG(C14/$C$11,2)</f>
        <v>0</v>
      </c>
      <c r="P14" s="9">
        <f>LOG(D14/$D$11,2)</f>
        <v>0</v>
      </c>
      <c r="Q14" s="9">
        <f>LOG(E14/$E$11,2)</f>
        <v>-7.4093909361377026</v>
      </c>
      <c r="R14" s="9">
        <f>LOG(F14/$F$11,2)</f>
        <v>0.84799690655494997</v>
      </c>
      <c r="S14" s="10">
        <f>LOG(G14/$G$11,2)</f>
        <v>1</v>
      </c>
      <c r="U14" s="8">
        <f t="shared" si="3"/>
        <v>0.57735026918962584</v>
      </c>
      <c r="V14" s="9">
        <f t="shared" si="3"/>
        <v>0.62086250297296997</v>
      </c>
      <c r="W14" s="9">
        <f t="shared" si="3"/>
        <v>0.74272082722600918</v>
      </c>
      <c r="X14" s="9">
        <f t="shared" si="3"/>
        <v>1.5753268396168139</v>
      </c>
      <c r="Y14" s="9">
        <f t="shared" si="3"/>
        <v>0.18140364505508913</v>
      </c>
      <c r="Z14" s="10">
        <f t="shared" si="3"/>
        <v>2.3865432087817182</v>
      </c>
    </row>
    <row r="15" spans="1:26" ht="17" thickBot="1" x14ac:dyDescent="0.25">
      <c r="A15" s="9">
        <v>120</v>
      </c>
      <c r="B15" s="5">
        <f>AVERAGE(4,0,0)/(0.002*10^0)</f>
        <v>666.66666666666663</v>
      </c>
      <c r="C15" s="6">
        <f>AVERAGE(1,2,0)/(0.002*10^-1)</f>
        <v>5000</v>
      </c>
      <c r="D15" s="6">
        <f>AVERAGE(1,0,0)/(0.002*10^-1)</f>
        <v>1666.6666666666665</v>
      </c>
      <c r="E15" s="6">
        <f>AVERAGE(3,3,0)/(0.002*10^0)</f>
        <v>1000</v>
      </c>
      <c r="F15" s="6">
        <f>AVERAGE(0,2,1)/(0.002*10^-2)</f>
        <v>49999.999999999993</v>
      </c>
      <c r="G15" s="7">
        <f>AVERAGE(2,2,2)/(0.002*10^-1)</f>
        <v>10000</v>
      </c>
      <c r="H15" s="6">
        <f>B15/$B$11</f>
        <v>1</v>
      </c>
      <c r="I15" s="6">
        <f>C15/$C$11</f>
        <v>5</v>
      </c>
      <c r="J15" s="6">
        <f>D15/$D$11</f>
        <v>2.5</v>
      </c>
      <c r="K15" s="6">
        <f>E15/$E$11</f>
        <v>3.5294117647058823E-2</v>
      </c>
      <c r="L15" s="6">
        <f>F15/$F$11</f>
        <v>5.9999999999999991</v>
      </c>
      <c r="M15" s="6">
        <f>G15/$G$11</f>
        <v>4</v>
      </c>
      <c r="N15" s="11">
        <f>LOG(B15/$B$11,2)</f>
        <v>0</v>
      </c>
      <c r="O15" s="19">
        <f>LOG(C15/$C$11,2)</f>
        <v>2.3219280948873622</v>
      </c>
      <c r="P15" s="19">
        <f>LOG(D15/$D$11,2)</f>
        <v>1.3219280948873624</v>
      </c>
      <c r="Q15" s="19">
        <f>LOG(E15/$E$11,2)</f>
        <v>-4.8244284354165456</v>
      </c>
      <c r="R15" s="19">
        <f>LOG(F15/$F$11,2)</f>
        <v>2.5849625007211561</v>
      </c>
      <c r="S15" s="12">
        <f>LOG(G15/$G$11,2)</f>
        <v>2</v>
      </c>
      <c r="U15" s="11">
        <f t="shared" si="3"/>
        <v>1.3554957431006882</v>
      </c>
      <c r="V15" s="19">
        <f t="shared" si="3"/>
        <v>1.3819708863083777</v>
      </c>
      <c r="W15" s="19">
        <f t="shared" si="3"/>
        <v>0.42315529166948102</v>
      </c>
      <c r="X15" s="19">
        <f t="shared" si="3"/>
        <v>1.2296934328894671</v>
      </c>
      <c r="Y15" s="19">
        <f t="shared" si="3"/>
        <v>0.87179582494047936</v>
      </c>
      <c r="Z15" s="12">
        <f t="shared" si="3"/>
        <v>1.7446656123162694</v>
      </c>
    </row>
    <row r="16" spans="1:26" ht="17" thickBot="1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20" x14ac:dyDescent="0.2">
      <c r="A17" s="2" t="s">
        <v>32</v>
      </c>
      <c r="B17" s="28" t="s">
        <v>13</v>
      </c>
      <c r="C17" s="29"/>
      <c r="D17" s="29"/>
      <c r="E17" s="29"/>
      <c r="F17" s="29"/>
      <c r="G17" s="30"/>
      <c r="H17" s="29" t="s">
        <v>12</v>
      </c>
      <c r="I17" s="29"/>
      <c r="J17" s="29"/>
      <c r="K17" s="29"/>
      <c r="L17" s="29"/>
      <c r="M17" s="29"/>
      <c r="N17" s="31" t="s">
        <v>11</v>
      </c>
      <c r="O17" s="32"/>
      <c r="P17" s="32"/>
      <c r="Q17" s="32"/>
      <c r="R17" s="32"/>
      <c r="S17" s="33"/>
    </row>
    <row r="18" spans="1:20" ht="34" x14ac:dyDescent="0.2">
      <c r="A18" s="16" t="s">
        <v>35</v>
      </c>
      <c r="B18" s="15" t="s">
        <v>3</v>
      </c>
      <c r="C18" s="16" t="s">
        <v>4</v>
      </c>
      <c r="D18" s="16" t="s">
        <v>28</v>
      </c>
      <c r="E18" s="16" t="s">
        <v>5</v>
      </c>
      <c r="F18" s="16" t="s">
        <v>6</v>
      </c>
      <c r="G18" s="17" t="s">
        <v>29</v>
      </c>
      <c r="H18" s="16" t="s">
        <v>3</v>
      </c>
      <c r="I18" s="16" t="s">
        <v>4</v>
      </c>
      <c r="J18" s="16" t="s">
        <v>28</v>
      </c>
      <c r="K18" s="16" t="s">
        <v>5</v>
      </c>
      <c r="L18" s="16" t="s">
        <v>6</v>
      </c>
      <c r="M18" s="16" t="s">
        <v>29</v>
      </c>
      <c r="N18" s="15" t="s">
        <v>3</v>
      </c>
      <c r="O18" s="16" t="s">
        <v>4</v>
      </c>
      <c r="P18" s="16" t="s">
        <v>28</v>
      </c>
      <c r="Q18" s="16" t="s">
        <v>5</v>
      </c>
      <c r="R18" s="16" t="s">
        <v>6</v>
      </c>
      <c r="S18" s="17" t="s">
        <v>29</v>
      </c>
    </row>
    <row r="19" spans="1:20" x14ac:dyDescent="0.2">
      <c r="A19" s="2">
        <v>0</v>
      </c>
      <c r="B19" s="3">
        <f>AVERAGE(0,0,2)/(0.002*10^0)</f>
        <v>333.33333333333331</v>
      </c>
      <c r="C19" s="2">
        <f>AVERAGE(3,4,3)/(0.002*10^0)</f>
        <v>1666.6666666666667</v>
      </c>
      <c r="D19" s="2">
        <f>AVERAGE(2,6,6)/(0.02*10^0)</f>
        <v>233.33333333333334</v>
      </c>
      <c r="E19" s="2">
        <f>AVERAGE(2,3,1)/(0.002*10^-1)</f>
        <v>10000</v>
      </c>
      <c r="F19" s="2">
        <f>AVERAGE(0,1,0)/(0.002*10^-1)</f>
        <v>1666.6666666666665</v>
      </c>
      <c r="G19" s="4">
        <f>AVERAGE(2,1,1)/(0.002*10^0)</f>
        <v>666.66666666666663</v>
      </c>
      <c r="H19" s="2">
        <f>B19/$B$19</f>
        <v>1</v>
      </c>
      <c r="I19" s="2">
        <f>C19/$C$19</f>
        <v>1</v>
      </c>
      <c r="J19" s="2">
        <f>D19/$D$19</f>
        <v>1</v>
      </c>
      <c r="K19" s="2">
        <f>E19/$E$19</f>
        <v>1</v>
      </c>
      <c r="L19" s="2">
        <f>F19/$F$19</f>
        <v>1</v>
      </c>
      <c r="M19" s="2">
        <f>G19/$G$19</f>
        <v>1</v>
      </c>
      <c r="N19" s="8">
        <f>LOG(B19/$B$19,2)</f>
        <v>0</v>
      </c>
      <c r="O19" s="9">
        <f>LOG(C19/$C$19,2)</f>
        <v>0</v>
      </c>
      <c r="P19" s="9">
        <f>LOG(D19/$D$19,2)</f>
        <v>0</v>
      </c>
      <c r="Q19" s="9">
        <f>LOG(E19/$E$19,2)</f>
        <v>0</v>
      </c>
      <c r="R19" s="9">
        <f>LOG(F19/$F$19,2)</f>
        <v>0</v>
      </c>
      <c r="S19" s="10">
        <f>LOG(G19/$G$19,2)</f>
        <v>0</v>
      </c>
    </row>
    <row r="20" spans="1:20" x14ac:dyDescent="0.2">
      <c r="A20" s="2">
        <v>30</v>
      </c>
      <c r="B20" s="3">
        <f>AVERAGE(1,0,0)/(0.002*10^0)</f>
        <v>166.66666666666666</v>
      </c>
      <c r="C20" s="2">
        <f>AVERAGE(1,2,0)/(0.002*10^0)</f>
        <v>500</v>
      </c>
      <c r="D20" s="2">
        <f>AVERAGE(1,0,0)/(0.02*10^0)</f>
        <v>16.666666666666664</v>
      </c>
      <c r="E20" s="2">
        <f>AVERAGE(2,1,0)/(0.002*10^0)</f>
        <v>500</v>
      </c>
      <c r="F20" s="2">
        <f>AVERAGE(2,2,1)/(0.002*10^-1)</f>
        <v>8333.3333333333339</v>
      </c>
      <c r="G20" s="4">
        <f>AVERAGE(1,2,1)/(0.002*10^0)</f>
        <v>666.66666666666663</v>
      </c>
      <c r="H20" s="2">
        <f>B20/$B$19</f>
        <v>0.5</v>
      </c>
      <c r="I20" s="2">
        <f>C20/$C$19</f>
        <v>0.3</v>
      </c>
      <c r="J20" s="2">
        <f>D20/$D$19</f>
        <v>7.1428571428571411E-2</v>
      </c>
      <c r="K20" s="2">
        <f>E20/$E$19</f>
        <v>0.05</v>
      </c>
      <c r="L20" s="2">
        <f>F20/$F$19</f>
        <v>5.0000000000000009</v>
      </c>
      <c r="M20" s="2">
        <f>G20/$G$19</f>
        <v>1</v>
      </c>
      <c r="N20" s="8">
        <f>LOG(B20/$B$19,2)</f>
        <v>-1</v>
      </c>
      <c r="O20" s="9">
        <f>LOG(C20/$C$19,2)</f>
        <v>-1.7369655941662063</v>
      </c>
      <c r="P20" s="9">
        <f>LOG(D20/$D$19,2)</f>
        <v>-3.8073549220576046</v>
      </c>
      <c r="Q20" s="9">
        <f>LOG(E20/$E$19,2)</f>
        <v>-4.3219280948873626</v>
      </c>
      <c r="R20" s="9">
        <f>LOG(F20/$F$19,2)</f>
        <v>2.3219280948873626</v>
      </c>
      <c r="S20" s="10">
        <f>LOG(G20/$G19,2)</f>
        <v>0</v>
      </c>
    </row>
    <row r="21" spans="1:20" x14ac:dyDescent="0.2">
      <c r="A21" s="2">
        <v>60</v>
      </c>
      <c r="B21" s="3">
        <f>AVERAGE(1,0,0)/(0.002*10^0)</f>
        <v>166.66666666666666</v>
      </c>
      <c r="C21" s="2">
        <f>AVERAGE(4,0,0)/(0.002*10^0)</f>
        <v>666.66666666666663</v>
      </c>
      <c r="D21" s="2">
        <f>AVERAGE(3,2,3)/(0.02*10^0)</f>
        <v>133.33333333333331</v>
      </c>
      <c r="E21" s="2">
        <f>AVERAGE(0,1,0)/(0.002*10^0)</f>
        <v>166.66666666666666</v>
      </c>
      <c r="F21" s="2">
        <f>AVERAGE(3,8,5)/(0.002*10^0)</f>
        <v>2666.6666666666665</v>
      </c>
      <c r="G21" s="4">
        <f>AVERAGE(8,6,7)/(0.002*10^0)</f>
        <v>3500</v>
      </c>
      <c r="H21" s="2">
        <f>B21/$B$19</f>
        <v>0.5</v>
      </c>
      <c r="I21" s="2">
        <f>C21/$C$19</f>
        <v>0.39999999999999997</v>
      </c>
      <c r="J21" s="2">
        <f>D21/$D$19</f>
        <v>0.57142857142857129</v>
      </c>
      <c r="K21" s="2">
        <f>E21/$E$19</f>
        <v>1.6666666666666666E-2</v>
      </c>
      <c r="L21" s="2">
        <f>F21/$F$19</f>
        <v>1.6</v>
      </c>
      <c r="M21" s="2">
        <f>G21/$G$19</f>
        <v>5.25</v>
      </c>
      <c r="N21" s="8">
        <f>LOG(B21/$B$19,2)</f>
        <v>-1</v>
      </c>
      <c r="O21" s="9">
        <f>LOG(C21/$C$19,2)</f>
        <v>-1.3219280948873624</v>
      </c>
      <c r="P21" s="9">
        <f>LOG(D21/$D$19,2)</f>
        <v>-0.8073549220576044</v>
      </c>
      <c r="Q21" s="9">
        <f>LOG(E21/$E$19,2)</f>
        <v>-5.9068905956085187</v>
      </c>
      <c r="R21" s="9">
        <f>LOG(F21/$F$19,2)</f>
        <v>0.67807190511263782</v>
      </c>
      <c r="S21" s="10">
        <f>LOG(G21/$G19,2)</f>
        <v>2.3923174227787602</v>
      </c>
    </row>
    <row r="22" spans="1:20" x14ac:dyDescent="0.2">
      <c r="A22" s="2">
        <v>90</v>
      </c>
      <c r="B22" s="3">
        <f>AVERAGE(2,0,0)/(0.002*10^0)</f>
        <v>333.33333333333331</v>
      </c>
      <c r="C22" s="2">
        <f>AVERAGE(2,1,2)/(0.002*10^0)</f>
        <v>833.33333333333337</v>
      </c>
      <c r="D22" s="2">
        <f>AVERAGE(3,1,1)/(0.02*10^0)</f>
        <v>83.333333333333329</v>
      </c>
      <c r="E22" s="2">
        <f>AVERAGE(0,1,2)/(0.002*10^0)</f>
        <v>500</v>
      </c>
      <c r="F22" s="2">
        <f>AVERAGE(3,4,1)/(0.002*10^-1)</f>
        <v>13333.333333333332</v>
      </c>
      <c r="G22" s="4">
        <f>AVERAGE(3,4,3)/(0.002*10^-1)</f>
        <v>16666.666666666668</v>
      </c>
      <c r="H22" s="2">
        <f>B22/$B$19</f>
        <v>1</v>
      </c>
      <c r="I22" s="2">
        <f>C22/$C$19</f>
        <v>0.5</v>
      </c>
      <c r="J22" s="2">
        <f>D22/$D$19</f>
        <v>0.3571428571428571</v>
      </c>
      <c r="K22" s="2">
        <f>E22/$E$19</f>
        <v>0.05</v>
      </c>
      <c r="L22" s="2">
        <f>F22/$F$19</f>
        <v>8</v>
      </c>
      <c r="M22" s="2">
        <f>G22/$G$19</f>
        <v>25.000000000000004</v>
      </c>
      <c r="N22" s="8">
        <f>LOG(B22/$B$19,2)</f>
        <v>0</v>
      </c>
      <c r="O22" s="9">
        <f>LOG(C22/$C$19,2)</f>
        <v>-1</v>
      </c>
      <c r="P22" s="9">
        <f>LOG(D22/$D$19,2)</f>
        <v>-1.485426827170242</v>
      </c>
      <c r="Q22" s="9">
        <f>LOG(E22/$E$19,2)</f>
        <v>-4.3219280948873626</v>
      </c>
      <c r="R22" s="9">
        <f>LOG(F22/$F$11,2)</f>
        <v>0.67807190511263737</v>
      </c>
      <c r="S22" s="10">
        <f>LOG(G22/$G$19,2)</f>
        <v>4.6438561897747253</v>
      </c>
    </row>
    <row r="23" spans="1:20" ht="17" thickBot="1" x14ac:dyDescent="0.25">
      <c r="A23" s="9">
        <v>120</v>
      </c>
      <c r="B23" s="5">
        <f>AVERAGE(1,1,1)/(0.002*10^0)</f>
        <v>500</v>
      </c>
      <c r="C23" s="6">
        <f>AVERAGE(1,0,0)/(0.002*10^-1)</f>
        <v>1666.6666666666665</v>
      </c>
      <c r="D23" s="6">
        <f>AVERAGE(3,2,1)/(0.02*10^-1)</f>
        <v>1000</v>
      </c>
      <c r="E23" s="6">
        <f>AVERAGE(2,0,0)/(0.002*10^0)</f>
        <v>333.33333333333331</v>
      </c>
      <c r="F23" s="6">
        <f>AVERAGE(7,7,4)/(0.002*10^-1)</f>
        <v>30000</v>
      </c>
      <c r="G23" s="7">
        <f>AVERAGE(1,0,1)/(0.002*10^-1)</f>
        <v>3333.333333333333</v>
      </c>
      <c r="H23" s="6">
        <f>B23/$B$19</f>
        <v>1.5</v>
      </c>
      <c r="I23" s="6">
        <f>C23/$C$19</f>
        <v>0.99999999999999989</v>
      </c>
      <c r="J23" s="6">
        <f>D23/$D$19</f>
        <v>4.2857142857142856</v>
      </c>
      <c r="K23" s="6">
        <f>E23/$E$19</f>
        <v>3.3333333333333333E-2</v>
      </c>
      <c r="L23" s="6">
        <f>F23/$F$19</f>
        <v>18</v>
      </c>
      <c r="M23" s="6">
        <f>G23/$G$19</f>
        <v>5</v>
      </c>
      <c r="N23" s="11">
        <f>LOG(B23/$B$19,2)</f>
        <v>0.58496250072115619</v>
      </c>
      <c r="O23" s="19">
        <f>LOG(C23/$C$19,2)</f>
        <v>-1.6017132519074588E-16</v>
      </c>
      <c r="P23" s="19">
        <f>LOG(D23/$D$19,2)</f>
        <v>2.0995356735509145</v>
      </c>
      <c r="Q23" s="19">
        <f>LOG(E23/$E$19,2)</f>
        <v>-4.9068905956085187</v>
      </c>
      <c r="R23" s="19">
        <f>LOG(F23/$F$11,2)</f>
        <v>1.84799690655495</v>
      </c>
      <c r="S23" s="12">
        <f>LOG(G23/$G$19,2)</f>
        <v>2.3219280948873622</v>
      </c>
    </row>
    <row r="24" spans="1:20" ht="17" thickBot="1" x14ac:dyDescent="0.25"/>
    <row r="25" spans="1:20" x14ac:dyDescent="0.2">
      <c r="A25" t="s">
        <v>36</v>
      </c>
      <c r="B25" s="28" t="s">
        <v>13</v>
      </c>
      <c r="C25" s="29"/>
      <c r="D25" s="29"/>
      <c r="E25" s="29"/>
      <c r="F25" s="29"/>
      <c r="G25" s="30"/>
      <c r="N25" s="31" t="s">
        <v>11</v>
      </c>
      <c r="O25" s="32"/>
      <c r="P25" s="32"/>
      <c r="Q25" s="32"/>
      <c r="R25" s="32"/>
      <c r="S25" s="33"/>
    </row>
    <row r="26" spans="1:20" ht="34" x14ac:dyDescent="0.2">
      <c r="B26" s="15" t="s">
        <v>3</v>
      </c>
      <c r="C26" s="16" t="s">
        <v>4</v>
      </c>
      <c r="D26" s="16" t="s">
        <v>28</v>
      </c>
      <c r="E26" s="16" t="s">
        <v>5</v>
      </c>
      <c r="F26" s="16" t="s">
        <v>6</v>
      </c>
      <c r="G26" s="17" t="s">
        <v>29</v>
      </c>
      <c r="M26" s="16" t="s">
        <v>35</v>
      </c>
      <c r="N26" s="15" t="s">
        <v>3</v>
      </c>
      <c r="O26" s="16" t="s">
        <v>4</v>
      </c>
      <c r="P26" s="16" t="s">
        <v>28</v>
      </c>
      <c r="Q26" s="16" t="s">
        <v>5</v>
      </c>
      <c r="R26" s="16" t="s">
        <v>6</v>
      </c>
      <c r="S26" s="17" t="s">
        <v>29</v>
      </c>
      <c r="T26" s="21" t="s">
        <v>37</v>
      </c>
    </row>
    <row r="27" spans="1:20" x14ac:dyDescent="0.2">
      <c r="B27" s="3">
        <f t="shared" ref="B27:G31" si="4">AVERAGE(B19,B11,B3)</f>
        <v>555.55555555555554</v>
      </c>
      <c r="C27" s="2">
        <f t="shared" si="4"/>
        <v>1500</v>
      </c>
      <c r="D27" s="2">
        <f t="shared" si="4"/>
        <v>577.77777777777783</v>
      </c>
      <c r="E27" s="2">
        <f t="shared" si="4"/>
        <v>14999.999999999998</v>
      </c>
      <c r="F27" s="2">
        <f t="shared" si="4"/>
        <v>6111.1111111111122</v>
      </c>
      <c r="G27" s="4">
        <f t="shared" si="4"/>
        <v>2055.5555555555552</v>
      </c>
      <c r="M27" s="2">
        <v>0</v>
      </c>
      <c r="N27" s="8">
        <f>LOG(B27/$B$27,2)</f>
        <v>0</v>
      </c>
      <c r="O27" s="9">
        <f>LOG(C27/$C$27,2)</f>
        <v>0</v>
      </c>
      <c r="P27" s="9">
        <f>LOG(D27/$D$27,2)</f>
        <v>0</v>
      </c>
      <c r="Q27" s="9">
        <f>LOG(E27/$E$27,2)</f>
        <v>0</v>
      </c>
      <c r="R27" s="9">
        <f>LOG(F27/$F$27,2)</f>
        <v>0</v>
      </c>
      <c r="S27" s="10">
        <f>LOG(G27/$G$27,2)</f>
        <v>0</v>
      </c>
    </row>
    <row r="28" spans="1:20" x14ac:dyDescent="0.2">
      <c r="B28" s="3">
        <f t="shared" si="4"/>
        <v>166.66666666666666</v>
      </c>
      <c r="C28" s="2">
        <f t="shared" si="4"/>
        <v>944.44444444444446</v>
      </c>
      <c r="D28" s="2">
        <f t="shared" si="4"/>
        <v>450</v>
      </c>
      <c r="E28" s="2">
        <f t="shared" si="4"/>
        <v>277.77777777777777</v>
      </c>
      <c r="F28" s="2">
        <f t="shared" si="4"/>
        <v>4444.4444444444443</v>
      </c>
      <c r="G28" s="4">
        <f t="shared" si="4"/>
        <v>1277.7777777777776</v>
      </c>
      <c r="M28" s="2">
        <v>30</v>
      </c>
      <c r="N28" s="8">
        <f>LOG(B28/$B$27,2)</f>
        <v>-1.7369655941662063</v>
      </c>
      <c r="O28" s="9">
        <f>LOG(C28/$C$27,2)</f>
        <v>-0.66742466091312913</v>
      </c>
      <c r="P28" s="9">
        <f>LOG(D28/$D$27,2)</f>
        <v>-0.3605897152564676</v>
      </c>
      <c r="Q28" s="9">
        <f>LOG(E28/$E$27,2)</f>
        <v>-5.7548875021634682</v>
      </c>
      <c r="R28" s="9">
        <f>LOG(F28/$F$27,2)</f>
        <v>-0.45943161863729765</v>
      </c>
      <c r="S28" s="10">
        <f>LOG(G28/$G$27,2)</f>
        <v>-0.68589140957193695</v>
      </c>
    </row>
    <row r="29" spans="1:20" x14ac:dyDescent="0.2">
      <c r="B29" s="3">
        <f t="shared" si="4"/>
        <v>222.2222222222222</v>
      </c>
      <c r="C29" s="2">
        <f t="shared" si="4"/>
        <v>833.33333333333337</v>
      </c>
      <c r="D29" s="2">
        <f t="shared" si="4"/>
        <v>1044.4444444444446</v>
      </c>
      <c r="E29" s="2">
        <f t="shared" si="4"/>
        <v>166.66666666666666</v>
      </c>
      <c r="F29" s="2">
        <f t="shared" si="4"/>
        <v>2055.5555555555552</v>
      </c>
      <c r="G29" s="4">
        <f t="shared" si="4"/>
        <v>2277.7777777777778</v>
      </c>
      <c r="M29" s="2">
        <v>60</v>
      </c>
      <c r="N29" s="8">
        <f>LOG(B29/$B$27,2)</f>
        <v>-1.3219280948873624</v>
      </c>
      <c r="O29" s="9">
        <f>LOG(C29/$C$27,2)</f>
        <v>-0.84799690655494997</v>
      </c>
      <c r="P29" s="9">
        <f>LOG(D29/$D$27,2)</f>
        <v>0.8541491335365452</v>
      </c>
      <c r="Q29" s="9">
        <f>LOG(E29/$E$27,2)</f>
        <v>-6.4918530963296748</v>
      </c>
      <c r="R29" s="9">
        <f>LOG(F29/$F$27,2)</f>
        <v>-1.5719063478957103</v>
      </c>
      <c r="S29" s="10">
        <f>LOG(G29/$G$27,2)</f>
        <v>0.1480986389891342</v>
      </c>
    </row>
    <row r="30" spans="1:20" x14ac:dyDescent="0.2">
      <c r="B30" s="3">
        <f t="shared" si="4"/>
        <v>333.33333333333331</v>
      </c>
      <c r="C30" s="2">
        <f t="shared" si="4"/>
        <v>888.88888888888903</v>
      </c>
      <c r="D30" s="2">
        <f t="shared" si="4"/>
        <v>416.66666666666669</v>
      </c>
      <c r="E30" s="2">
        <f t="shared" si="4"/>
        <v>277.77777777777777</v>
      </c>
      <c r="F30" s="2">
        <f t="shared" si="4"/>
        <v>13333.333333333334</v>
      </c>
      <c r="G30" s="4">
        <f t="shared" si="4"/>
        <v>8333.3333333333339</v>
      </c>
      <c r="M30" s="2">
        <v>90</v>
      </c>
      <c r="N30" s="8">
        <f>LOG(B30/$B$27,2)</f>
        <v>-0.73696559416620622</v>
      </c>
      <c r="O30" s="9">
        <f>LOG(C30/$C$27,2)</f>
        <v>-0.75488750216346845</v>
      </c>
      <c r="P30" s="9">
        <f>LOG(D30/$D$27,2)</f>
        <v>-0.47162102764521135</v>
      </c>
      <c r="Q30" s="9">
        <f>LOG(E30/$E$27,2)</f>
        <v>-5.7548875021634682</v>
      </c>
      <c r="R30" s="9">
        <f>LOG(F30/$F$27,2)</f>
        <v>1.1255308820838588</v>
      </c>
      <c r="S30" s="10">
        <f>LOG(G30/$G$27,2)</f>
        <v>2.0193653248669317</v>
      </c>
    </row>
    <row r="31" spans="1:20" ht="17" thickBot="1" x14ac:dyDescent="0.25">
      <c r="B31" s="5">
        <f t="shared" si="4"/>
        <v>444.4444444444444</v>
      </c>
      <c r="C31" s="6">
        <f t="shared" si="4"/>
        <v>2777.7777777777774</v>
      </c>
      <c r="D31" s="6">
        <f t="shared" si="4"/>
        <v>2000</v>
      </c>
      <c r="E31" s="6">
        <f t="shared" si="4"/>
        <v>777.77777777777771</v>
      </c>
      <c r="F31" s="6">
        <f t="shared" si="4"/>
        <v>60000</v>
      </c>
      <c r="G31" s="7">
        <f t="shared" si="4"/>
        <v>4999.9999999999991</v>
      </c>
      <c r="M31" s="9">
        <v>120</v>
      </c>
      <c r="N31" s="11">
        <f>LOG(B31/$B$27,2)</f>
        <v>-0.32192809488736251</v>
      </c>
      <c r="O31" s="19">
        <f>LOG(C31/$C$27,2)</f>
        <v>0.88896868761125591</v>
      </c>
      <c r="P31" s="19">
        <f>LOG(D31/$D$27,2)</f>
        <v>1.7914133781885824</v>
      </c>
      <c r="Q31" s="19">
        <f>LOG(E31/$E$27,2)</f>
        <v>-4.2694606749932271</v>
      </c>
      <c r="R31" s="19">
        <f>LOG(F31/$F$27,2)</f>
        <v>3.2954558835261709</v>
      </c>
      <c r="S31" s="12">
        <f>LOG(G31/$G$27,2)</f>
        <v>1.2823997307007251</v>
      </c>
    </row>
  </sheetData>
  <mergeCells count="13">
    <mergeCell ref="B25:G25"/>
    <mergeCell ref="N25:S25"/>
    <mergeCell ref="U1:Z1"/>
    <mergeCell ref="B9:G9"/>
    <mergeCell ref="H9:M9"/>
    <mergeCell ref="N9:S9"/>
    <mergeCell ref="U9:Z9"/>
    <mergeCell ref="B17:G17"/>
    <mergeCell ref="H17:M17"/>
    <mergeCell ref="N17:S17"/>
    <mergeCell ref="B1:G1"/>
    <mergeCell ref="H1:M1"/>
    <mergeCell ref="N1:S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7BF1-F61D-3743-9F70-3B3E2600EF84}">
  <dimension ref="A1:AA38"/>
  <sheetViews>
    <sheetView topLeftCell="I15" workbookViewId="0">
      <selection activeCell="T34" sqref="T34"/>
    </sheetView>
  </sheetViews>
  <sheetFormatPr baseColWidth="10" defaultRowHeight="16" x14ac:dyDescent="0.2"/>
  <sheetData>
    <row r="1" spans="1:19" x14ac:dyDescent="0.2">
      <c r="A1" s="2" t="s">
        <v>30</v>
      </c>
      <c r="B1" s="28" t="s">
        <v>13</v>
      </c>
      <c r="C1" s="29"/>
      <c r="D1" s="29"/>
      <c r="E1" s="29"/>
      <c r="F1" s="29"/>
      <c r="G1" s="30"/>
      <c r="H1" s="29" t="s">
        <v>12</v>
      </c>
      <c r="I1" s="29"/>
      <c r="J1" s="29"/>
      <c r="K1" s="29"/>
      <c r="L1" s="29"/>
      <c r="M1" s="29"/>
      <c r="N1" s="31" t="s">
        <v>11</v>
      </c>
      <c r="O1" s="32"/>
      <c r="P1" s="32"/>
      <c r="Q1" s="32"/>
      <c r="R1" s="32"/>
      <c r="S1" s="33"/>
    </row>
    <row r="2" spans="1:19" ht="34" x14ac:dyDescent="0.2">
      <c r="A2" s="16" t="s">
        <v>35</v>
      </c>
      <c r="B2" s="15" t="s">
        <v>38</v>
      </c>
      <c r="C2" s="16" t="s">
        <v>39</v>
      </c>
      <c r="D2" s="16" t="s">
        <v>44</v>
      </c>
      <c r="E2" s="16" t="s">
        <v>41</v>
      </c>
      <c r="F2" s="16" t="s">
        <v>42</v>
      </c>
      <c r="G2" s="17" t="s">
        <v>43</v>
      </c>
      <c r="H2" s="16" t="s">
        <v>38</v>
      </c>
      <c r="I2" s="16" t="s">
        <v>39</v>
      </c>
      <c r="J2" s="16" t="s">
        <v>44</v>
      </c>
      <c r="K2" s="16" t="s">
        <v>41</v>
      </c>
      <c r="L2" s="16" t="s">
        <v>42</v>
      </c>
      <c r="M2" s="17" t="s">
        <v>43</v>
      </c>
      <c r="N2" s="15" t="s">
        <v>38</v>
      </c>
      <c r="O2" s="16" t="s">
        <v>39</v>
      </c>
      <c r="P2" s="16" t="s">
        <v>44</v>
      </c>
      <c r="Q2" s="16" t="s">
        <v>41</v>
      </c>
      <c r="R2" s="16" t="s">
        <v>42</v>
      </c>
      <c r="S2" s="17" t="s">
        <v>43</v>
      </c>
    </row>
    <row r="3" spans="1:19" x14ac:dyDescent="0.2">
      <c r="A3" s="2">
        <v>0</v>
      </c>
      <c r="B3" s="3">
        <f>AVERAGE(2,1,1)/(0.002*10^0)</f>
        <v>666.66666666666663</v>
      </c>
      <c r="C3" s="2">
        <v>1</v>
      </c>
      <c r="D3" s="2">
        <v>1</v>
      </c>
      <c r="E3" s="2">
        <f>AVERAGE(1,2,1)/(0.002*10^0)</f>
        <v>666.66666666666663</v>
      </c>
      <c r="F3" s="2">
        <f>AVERAGE(1,2,1)/(0.002*10^0)</f>
        <v>666.66666666666663</v>
      </c>
      <c r="G3" s="4">
        <f>AVERAGE(1,2,1)/(0.002*10^0)</f>
        <v>666.66666666666663</v>
      </c>
      <c r="H3" s="2">
        <f>B3/$B$3</f>
        <v>1</v>
      </c>
      <c r="I3" s="2">
        <f>C3/$C$3</f>
        <v>1</v>
      </c>
      <c r="J3" s="2">
        <f>D3/$D$3</f>
        <v>1</v>
      </c>
      <c r="K3" s="2">
        <f>E3/$E$3</f>
        <v>1</v>
      </c>
      <c r="L3" s="2">
        <f>F3/$F$3</f>
        <v>1</v>
      </c>
      <c r="M3" s="2">
        <f>G3/$G$3</f>
        <v>1</v>
      </c>
      <c r="N3" s="8">
        <f>LOG(B3/$B$3,2)</f>
        <v>0</v>
      </c>
      <c r="O3" s="9">
        <f>LOG(C3/$C$3,2)</f>
        <v>0</v>
      </c>
      <c r="P3" s="9">
        <f>LOG(D3/$D$3,2)</f>
        <v>0</v>
      </c>
      <c r="Q3" s="9">
        <f>LOG(E3/$E$3,2)</f>
        <v>0</v>
      </c>
      <c r="R3" s="9">
        <f>LOG(F3/$F$3,2)</f>
        <v>0</v>
      </c>
      <c r="S3" s="10">
        <f>LOG(G3/$G$3,2)</f>
        <v>0</v>
      </c>
    </row>
    <row r="4" spans="1:19" x14ac:dyDescent="0.2">
      <c r="A4" s="2">
        <v>30</v>
      </c>
      <c r="B4" s="3">
        <f>AVERAGE(1,2,0)/(0.002*10^0)</f>
        <v>500</v>
      </c>
      <c r="C4" s="2">
        <v>1</v>
      </c>
      <c r="D4" s="2">
        <v>1</v>
      </c>
      <c r="E4" s="2">
        <f>AVERAGE(1,0,0)/(0.002*10^0)</f>
        <v>166.66666666666666</v>
      </c>
      <c r="F4" s="2">
        <f>AVERAGE(1,0,0)/(0.002*10^0)</f>
        <v>166.66666666666666</v>
      </c>
      <c r="G4" s="4">
        <f>AVERAGE(1,0,0)/(0.002*10^0)</f>
        <v>166.66666666666666</v>
      </c>
      <c r="H4" s="2">
        <f>B4/$B$3</f>
        <v>0.75</v>
      </c>
      <c r="I4" s="2">
        <f>C4/$C$3</f>
        <v>1</v>
      </c>
      <c r="J4" s="2">
        <f>D4/$D$3</f>
        <v>1</v>
      </c>
      <c r="K4" s="2">
        <f>E4/$E$3</f>
        <v>0.25</v>
      </c>
      <c r="L4" s="2">
        <f>F4/$F$3</f>
        <v>0.25</v>
      </c>
      <c r="M4" s="2">
        <f>G4/$G$3</f>
        <v>0.25</v>
      </c>
      <c r="N4" s="8">
        <f>LOG(B4/$B$3,2)</f>
        <v>-0.41503749927884381</v>
      </c>
      <c r="O4" s="9">
        <f>LOG(C4/$C$3,2)</f>
        <v>0</v>
      </c>
      <c r="P4" s="9">
        <f>LOG(D4/$D$3,2)</f>
        <v>0</v>
      </c>
      <c r="Q4" s="9">
        <f>LOG(E4/$E$3,2)</f>
        <v>-2</v>
      </c>
      <c r="R4" s="9">
        <f>LOG(F4/$F$3,2)</f>
        <v>-2</v>
      </c>
      <c r="S4" s="10">
        <f>LOG(G4/$G$3,2)</f>
        <v>-2</v>
      </c>
    </row>
    <row r="5" spans="1:19" x14ac:dyDescent="0.2">
      <c r="A5" s="2">
        <v>60</v>
      </c>
      <c r="B5" s="3">
        <f>AVERAGE(1,0,0)/(0.002*10^0)</f>
        <v>166.66666666666666</v>
      </c>
      <c r="C5" s="2">
        <v>1</v>
      </c>
      <c r="D5" s="2">
        <v>1</v>
      </c>
      <c r="E5" s="2">
        <f>AVERAGE(15,18,20)/(0.002*10^0)</f>
        <v>8833.3333333333339</v>
      </c>
      <c r="F5" s="2">
        <f>AVERAGE(2,1,0)/(0.002*10^0)</f>
        <v>500</v>
      </c>
      <c r="G5" s="4">
        <f>AVERAGE(8,7,6)/(0.002*10^0)</f>
        <v>3500</v>
      </c>
      <c r="H5" s="2">
        <f>B5/$B$3</f>
        <v>0.25</v>
      </c>
      <c r="I5" s="2">
        <f>C5/$C$3</f>
        <v>1</v>
      </c>
      <c r="J5" s="2">
        <f>D5/$D$3</f>
        <v>1</v>
      </c>
      <c r="K5" s="2">
        <f>E5/$E$3</f>
        <v>13.250000000000002</v>
      </c>
      <c r="L5" s="2">
        <f>F5/$F$3</f>
        <v>0.75</v>
      </c>
      <c r="M5" s="2">
        <f>G5/$G$3</f>
        <v>5.25</v>
      </c>
      <c r="N5" s="8">
        <f>LOG(B5/$B$3,2)</f>
        <v>-2</v>
      </c>
      <c r="O5" s="9">
        <f>LOG(C5/$C$3,2)</f>
        <v>0</v>
      </c>
      <c r="P5" s="9">
        <f>LOG(D5/$D$3,2)</f>
        <v>0</v>
      </c>
      <c r="Q5" s="9">
        <f>LOG(E5/$E$3,2)</f>
        <v>3.7279204545631992</v>
      </c>
      <c r="R5" s="9">
        <f>LOG(F5/$F$3,2)</f>
        <v>-0.41503749927884381</v>
      </c>
      <c r="S5" s="10">
        <f>LOG(G5/$G$3,2)</f>
        <v>2.3923174227787602</v>
      </c>
    </row>
    <row r="6" spans="1:19" x14ac:dyDescent="0.2">
      <c r="A6" s="2">
        <v>90</v>
      </c>
      <c r="B6" s="3">
        <f>AVERAGE(3,2,1)/(0.002*10^0)</f>
        <v>1000</v>
      </c>
      <c r="C6" s="2">
        <v>1</v>
      </c>
      <c r="D6" s="2">
        <v>1</v>
      </c>
      <c r="E6" s="2">
        <f>AVERAGE(1,1,1)/(0.002*10^-1)</f>
        <v>5000</v>
      </c>
      <c r="F6" s="2">
        <f>AVERAGE(2,1,0)/(0.002*10^0)</f>
        <v>500</v>
      </c>
      <c r="G6" s="4">
        <f>AVERAGE(1,1,2)/(0.002*10^-1)</f>
        <v>6666.6666666666661</v>
      </c>
      <c r="H6" s="2">
        <f>B6/$B$3</f>
        <v>1.5</v>
      </c>
      <c r="I6" s="2">
        <f>C6/$C$3</f>
        <v>1</v>
      </c>
      <c r="J6" s="2">
        <f>D6/$D$3</f>
        <v>1</v>
      </c>
      <c r="K6" s="2">
        <f>E6/$E$3</f>
        <v>7.5</v>
      </c>
      <c r="L6" s="2">
        <f>F6/$F$3</f>
        <v>0.75</v>
      </c>
      <c r="M6" s="2">
        <f>G6/$G$3</f>
        <v>10</v>
      </c>
      <c r="N6" s="8">
        <f>LOG(B6/$B$3,2)</f>
        <v>0.58496250072115619</v>
      </c>
      <c r="O6" s="9">
        <f>LOG(C6/$C$3,2)</f>
        <v>0</v>
      </c>
      <c r="P6" s="9">
        <f>LOG(D6/$D$3,2)</f>
        <v>0</v>
      </c>
      <c r="Q6" s="9">
        <f>LOG(E6/$E$3,2)</f>
        <v>2.9068905956085187</v>
      </c>
      <c r="R6" s="9">
        <f>LOG(F6/$F$3,2)</f>
        <v>-0.41503749927884381</v>
      </c>
      <c r="S6" s="10">
        <f>LOG(G6/$G$3,2)</f>
        <v>3.3219280948873626</v>
      </c>
    </row>
    <row r="7" spans="1:19" ht="17" thickBot="1" x14ac:dyDescent="0.25">
      <c r="A7" s="9">
        <v>120</v>
      </c>
      <c r="B7" s="5">
        <f>AVERAGE(2,1,5)/(0.002*10^0)</f>
        <v>1333.3333333333333</v>
      </c>
      <c r="C7" s="6">
        <f>AVERAGE(3,1,2)/(0.002*10^0)</f>
        <v>1000</v>
      </c>
      <c r="D7" s="6">
        <f>AVERAGE(1,1,0)/(0.002*10^0)</f>
        <v>333.33333333333331</v>
      </c>
      <c r="E7" s="6">
        <f>AVERAGE(13,14,11)/(0.002*10^-2)</f>
        <v>633333.33333333326</v>
      </c>
      <c r="F7" s="6">
        <f>AVERAGE(1,0,0)/(0.002*10^0)</f>
        <v>166.66666666666666</v>
      </c>
      <c r="G7" s="7">
        <f>AVERAGE(4,7,7)/(0.002*10^-2)</f>
        <v>300000</v>
      </c>
      <c r="H7" s="6">
        <f>B7/$B$3</f>
        <v>2</v>
      </c>
      <c r="I7" s="6">
        <f>C7/$C$3</f>
        <v>1000</v>
      </c>
      <c r="J7" s="6">
        <f>D7/$D$3</f>
        <v>333.33333333333331</v>
      </c>
      <c r="K7" s="6">
        <f>E7/$E$3</f>
        <v>949.99999999999989</v>
      </c>
      <c r="L7" s="6">
        <f>F7/$F$3</f>
        <v>0.25</v>
      </c>
      <c r="M7" s="6">
        <f>G7/$G$3</f>
        <v>450</v>
      </c>
      <c r="N7" s="11">
        <f>LOG(B7/$B$3,2)</f>
        <v>1</v>
      </c>
      <c r="O7" s="19">
        <f>LOG(C7/$C$3,2)</f>
        <v>9.965784284662087</v>
      </c>
      <c r="P7" s="19">
        <f>LOG(D7/$D$3,2)</f>
        <v>8.3808217839409309</v>
      </c>
      <c r="Q7" s="19">
        <f>LOG(E7/$E$3,2)</f>
        <v>9.8917837032183105</v>
      </c>
      <c r="R7" s="19">
        <f>LOG(F7/$F$3,2)</f>
        <v>-2</v>
      </c>
      <c r="S7" s="12">
        <f>LOG(G7/$G$3,2)</f>
        <v>8.8137811912170374</v>
      </c>
    </row>
    <row r="8" spans="1:19" ht="17" thickBot="1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9" x14ac:dyDescent="0.2">
      <c r="A9" s="2" t="s">
        <v>31</v>
      </c>
      <c r="B9" s="28" t="s">
        <v>13</v>
      </c>
      <c r="C9" s="29"/>
      <c r="D9" s="29"/>
      <c r="E9" s="29"/>
      <c r="F9" s="29"/>
      <c r="G9" s="30"/>
      <c r="H9" s="29" t="s">
        <v>12</v>
      </c>
      <c r="I9" s="29"/>
      <c r="J9" s="29"/>
      <c r="K9" s="29"/>
      <c r="L9" s="29"/>
      <c r="M9" s="29"/>
      <c r="N9" s="31" t="s">
        <v>11</v>
      </c>
      <c r="O9" s="32"/>
      <c r="P9" s="32"/>
      <c r="Q9" s="32"/>
      <c r="R9" s="32"/>
      <c r="S9" s="33"/>
    </row>
    <row r="10" spans="1:19" ht="34" x14ac:dyDescent="0.2">
      <c r="A10" s="16" t="s">
        <v>35</v>
      </c>
      <c r="B10" s="15" t="s">
        <v>38</v>
      </c>
      <c r="C10" s="16" t="s">
        <v>39</v>
      </c>
      <c r="D10" s="16" t="s">
        <v>44</v>
      </c>
      <c r="E10" s="16" t="s">
        <v>41</v>
      </c>
      <c r="F10" s="16" t="s">
        <v>42</v>
      </c>
      <c r="G10" s="17" t="s">
        <v>43</v>
      </c>
      <c r="H10" s="16" t="s">
        <v>38</v>
      </c>
      <c r="I10" s="16" t="s">
        <v>39</v>
      </c>
      <c r="J10" s="16" t="s">
        <v>44</v>
      </c>
      <c r="K10" s="16" t="s">
        <v>41</v>
      </c>
      <c r="L10" s="16" t="s">
        <v>42</v>
      </c>
      <c r="M10" s="17" t="s">
        <v>43</v>
      </c>
      <c r="N10" s="15" t="s">
        <v>38</v>
      </c>
      <c r="O10" s="16" t="s">
        <v>39</v>
      </c>
      <c r="P10" s="16" t="s">
        <v>44</v>
      </c>
      <c r="Q10" s="16" t="s">
        <v>41</v>
      </c>
      <c r="R10" s="16" t="s">
        <v>42</v>
      </c>
      <c r="S10" s="17" t="s">
        <v>43</v>
      </c>
    </row>
    <row r="11" spans="1:19" x14ac:dyDescent="0.2">
      <c r="A11" s="2">
        <v>0</v>
      </c>
      <c r="B11" s="3">
        <f>AVERAGE(1,0,0)/(0.002*10^0)</f>
        <v>166.66666666666666</v>
      </c>
      <c r="C11" s="2">
        <v>1</v>
      </c>
      <c r="D11" s="2">
        <v>1</v>
      </c>
      <c r="E11" s="2">
        <f>AVERAGE(3,1,1)/(0.002*10^0)</f>
        <v>833.33333333333337</v>
      </c>
      <c r="F11" s="2">
        <f>AVERAGE(1,0,0)/(0.002*10^0)</f>
        <v>166.66666666666666</v>
      </c>
      <c r="G11" s="4">
        <f>AVERAGE(1,0,0)/(0.002*10^0)</f>
        <v>166.66666666666666</v>
      </c>
      <c r="H11" s="2">
        <f>B11/$B$11</f>
        <v>1</v>
      </c>
      <c r="I11" s="2">
        <f>C11/$C$11</f>
        <v>1</v>
      </c>
      <c r="J11" s="2">
        <f>D11/$D$11</f>
        <v>1</v>
      </c>
      <c r="K11" s="2">
        <f>E11/$E$11</f>
        <v>1</v>
      </c>
      <c r="L11" s="2">
        <f>F11/$F$11</f>
        <v>1</v>
      </c>
      <c r="M11" s="2">
        <f>G11/$G$11</f>
        <v>1</v>
      </c>
      <c r="N11" s="8">
        <f>LOG(B11/$B$11,2)</f>
        <v>0</v>
      </c>
      <c r="O11" s="9">
        <f>LOG(C11/$C$11,2)</f>
        <v>0</v>
      </c>
      <c r="P11" s="9">
        <f>LOG(D11/$D$11,2)</f>
        <v>0</v>
      </c>
      <c r="Q11" s="9">
        <f>LOG(E11/$E$11,2)</f>
        <v>0</v>
      </c>
      <c r="R11" s="9">
        <f>LOG(F11/$F$11,2)</f>
        <v>0</v>
      </c>
      <c r="S11" s="10">
        <f>LOG(G11/$G$11,2)</f>
        <v>0</v>
      </c>
    </row>
    <row r="12" spans="1:19" x14ac:dyDescent="0.2">
      <c r="A12" s="2">
        <v>30</v>
      </c>
      <c r="B12" s="3">
        <f>AVERAGE(1,0,0)/(0.002*10^0)</f>
        <v>166.66666666666666</v>
      </c>
      <c r="C12" s="2">
        <v>1</v>
      </c>
      <c r="D12" s="2">
        <v>1</v>
      </c>
      <c r="E12" s="2">
        <v>1</v>
      </c>
      <c r="F12" s="2">
        <f>AVERAGE(1,0,0)/(0.002*10^0)</f>
        <v>166.66666666666666</v>
      </c>
      <c r="G12" s="4">
        <f>AVERAGE(1,0,0)/(0.002*10^0)</f>
        <v>166.66666666666666</v>
      </c>
      <c r="H12" s="2">
        <f>B12/$B$11</f>
        <v>1</v>
      </c>
      <c r="I12" s="2">
        <f>C12/$C$11</f>
        <v>1</v>
      </c>
      <c r="J12" s="2">
        <f>D12/$D$11</f>
        <v>1</v>
      </c>
      <c r="K12" s="2">
        <f>E12/$E$11</f>
        <v>1.1999999999999999E-3</v>
      </c>
      <c r="L12" s="2">
        <f>F12/$F$11</f>
        <v>1</v>
      </c>
      <c r="M12" s="2">
        <f>G12/$G$11</f>
        <v>1</v>
      </c>
      <c r="N12" s="8">
        <f>LOG(B12/$B$11,2)</f>
        <v>0</v>
      </c>
      <c r="O12" s="9">
        <f>LOG(C12/$C$11,2)</f>
        <v>0</v>
      </c>
      <c r="P12" s="9">
        <f>LOG(D12/$D$11,2)</f>
        <v>0</v>
      </c>
      <c r="Q12" s="9">
        <f>LOG(E12/$E$11,2)</f>
        <v>-9.7027498788282944</v>
      </c>
      <c r="R12" s="9">
        <f>LOG(F12/$F$11,2)</f>
        <v>0</v>
      </c>
      <c r="S12" s="10">
        <f>LOG(G12/$G11,2)</f>
        <v>0</v>
      </c>
    </row>
    <row r="13" spans="1:19" x14ac:dyDescent="0.2">
      <c r="A13" s="2">
        <v>60</v>
      </c>
      <c r="B13" s="3">
        <f>AVERAGE(2,0,0)/(0.002*10^0)</f>
        <v>333.33333333333331</v>
      </c>
      <c r="C13" s="2">
        <f>AVERAGE(2,0,0)/(0.002*10^-1)</f>
        <v>3333.333333333333</v>
      </c>
      <c r="D13" s="2">
        <f>AVERAGE(1,0,0)/(0.002*10^0)</f>
        <v>166.66666666666666</v>
      </c>
      <c r="E13" s="2">
        <f>AVERAGE(16,17,12)/(0.002*10^0)</f>
        <v>7500</v>
      </c>
      <c r="F13" s="2">
        <f>AVERAGE(1,0,0)/(0.002*10^0)</f>
        <v>166.66666666666666</v>
      </c>
      <c r="G13" s="4">
        <f>AVERAGE(4,4,5)/(0.002*10^0)</f>
        <v>2166.6666666666665</v>
      </c>
      <c r="H13" s="2">
        <f>B13/$B$11</f>
        <v>2</v>
      </c>
      <c r="I13" s="2">
        <f>C13/$C$11</f>
        <v>3333.333333333333</v>
      </c>
      <c r="J13" s="2">
        <f>D13/$D$11</f>
        <v>166.66666666666666</v>
      </c>
      <c r="K13" s="2">
        <f>E13/$E$11</f>
        <v>9</v>
      </c>
      <c r="L13" s="2">
        <f>F13/$F$11</f>
        <v>1</v>
      </c>
      <c r="M13" s="2">
        <f>G13/$G$11</f>
        <v>13</v>
      </c>
      <c r="N13" s="8">
        <f>LOG(B13/$B$11,2)</f>
        <v>1</v>
      </c>
      <c r="O13" s="9">
        <f>LOG(C13/$C$11,2)</f>
        <v>11.702749878828293</v>
      </c>
      <c r="P13" s="9">
        <f>LOG(D13/$D$11,2)</f>
        <v>7.3808217839409318</v>
      </c>
      <c r="Q13" s="9">
        <f>LOG(E13/$E$11,2)</f>
        <v>3.1699250014423126</v>
      </c>
      <c r="R13" s="9">
        <f>LOG(F13/$F$11,2)</f>
        <v>0</v>
      </c>
      <c r="S13" s="10">
        <f>LOG(G13/$G11,2)</f>
        <v>3.7004397181410922</v>
      </c>
    </row>
    <row r="14" spans="1:19" x14ac:dyDescent="0.2">
      <c r="A14" s="2">
        <v>90</v>
      </c>
      <c r="B14" s="3">
        <f>AVERAGE(2,1,1)/(0.002*10^0)</f>
        <v>666.66666666666663</v>
      </c>
      <c r="C14" s="2">
        <v>1</v>
      </c>
      <c r="D14" s="2">
        <v>1</v>
      </c>
      <c r="E14" s="2">
        <f>AVERAGE(5,4,5)/(0.002*10^-1)</f>
        <v>23333.333333333332</v>
      </c>
      <c r="F14" s="2">
        <f>AVERAGE(1,1,0)/(0.002*10^0)</f>
        <v>333.33333333333331</v>
      </c>
      <c r="G14" s="4">
        <f>AVERAGE(3,5,4)/(0.002*10^-1)</f>
        <v>20000</v>
      </c>
      <c r="H14" s="2">
        <f>B14/$B$11</f>
        <v>4</v>
      </c>
      <c r="I14" s="2">
        <f>C14/$C$11</f>
        <v>1</v>
      </c>
      <c r="J14" s="2">
        <f>D14/$D$11</f>
        <v>1</v>
      </c>
      <c r="K14" s="2">
        <f>E14/$E$11</f>
        <v>27.999999999999996</v>
      </c>
      <c r="L14" s="2">
        <f>F14/$F$11</f>
        <v>2</v>
      </c>
      <c r="M14" s="2">
        <f>G14/$G$11</f>
        <v>120</v>
      </c>
      <c r="N14" s="8">
        <f>LOG(B14/$B$11,2)</f>
        <v>2</v>
      </c>
      <c r="O14" s="9">
        <f>LOG(C14/$C$11,2)</f>
        <v>0</v>
      </c>
      <c r="P14" s="9">
        <f>LOG(D14/$D$11,2)</f>
        <v>0</v>
      </c>
      <c r="Q14" s="9">
        <f>LOG(E14/$E$11,2)</f>
        <v>4.8073549220576037</v>
      </c>
      <c r="R14" s="9">
        <f>LOG(F14/$F$11,2)</f>
        <v>1</v>
      </c>
      <c r="S14" s="10">
        <f>LOG(G14/$G$11,2)</f>
        <v>6.9068905956085187</v>
      </c>
    </row>
    <row r="15" spans="1:19" ht="17" thickBot="1" x14ac:dyDescent="0.25">
      <c r="A15" s="9">
        <v>120</v>
      </c>
      <c r="B15" s="5">
        <f>AVERAGE(3,0,0)/(0.002*10^0)</f>
        <v>500</v>
      </c>
      <c r="C15" s="6">
        <f>AVERAGE(1,0,0)/(0.002*10^-1)</f>
        <v>1666.6666666666665</v>
      </c>
      <c r="D15" s="6">
        <f>AVERAGE(1,1,2)/(0.002*10^0)</f>
        <v>666.66666666666663</v>
      </c>
      <c r="E15" s="6">
        <f>AVERAGE(16,20,18)/(0.002*10^-2)</f>
        <v>899999.99999999988</v>
      </c>
      <c r="F15" s="6">
        <f>AVERAGE(1,1,0)/(0.002*10^0)</f>
        <v>333.33333333333331</v>
      </c>
      <c r="G15" s="7">
        <f>AVERAGE(4,5,2)/(0.002*10^-2)</f>
        <v>183333.33333333331</v>
      </c>
      <c r="H15" s="6">
        <f>B15/$B$11</f>
        <v>3</v>
      </c>
      <c r="I15" s="6">
        <f>C15/$C$11</f>
        <v>1666.6666666666665</v>
      </c>
      <c r="J15" s="6">
        <f>D15/$D$11</f>
        <v>666.66666666666663</v>
      </c>
      <c r="K15" s="6">
        <f>E15/$E$11</f>
        <v>1079.9999999999998</v>
      </c>
      <c r="L15" s="6">
        <f>F15/$F$11</f>
        <v>2</v>
      </c>
      <c r="M15" s="6">
        <f>G15/$G$11</f>
        <v>1100</v>
      </c>
      <c r="N15" s="11">
        <f>LOG(B15/$B$11,2)</f>
        <v>1.5849625007211563</v>
      </c>
      <c r="O15" s="19">
        <f>LOG(C15/$C$11,2)</f>
        <v>10.702749878828293</v>
      </c>
      <c r="P15" s="19">
        <f>LOG(D15/$D$11,2)</f>
        <v>9.3808217839409309</v>
      </c>
      <c r="Q15" s="19">
        <f>LOG(E15/$E$11,2)</f>
        <v>10.07681559705083</v>
      </c>
      <c r="R15" s="19">
        <f>LOG(F15/$F$11,2)</f>
        <v>1</v>
      </c>
      <c r="S15" s="12">
        <f>LOG(G15/$G$11,2)</f>
        <v>10.103287808412022</v>
      </c>
    </row>
    <row r="16" spans="1:19" ht="17" thickBot="1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27" x14ac:dyDescent="0.2">
      <c r="A17" s="2" t="s">
        <v>32</v>
      </c>
      <c r="B17" s="28" t="s">
        <v>13</v>
      </c>
      <c r="C17" s="29"/>
      <c r="D17" s="29"/>
      <c r="E17" s="29"/>
      <c r="F17" s="29"/>
      <c r="G17" s="30"/>
      <c r="H17" s="29" t="s">
        <v>12</v>
      </c>
      <c r="I17" s="29"/>
      <c r="J17" s="29"/>
      <c r="K17" s="29"/>
      <c r="L17" s="29"/>
      <c r="M17" s="29"/>
      <c r="N17" s="31" t="s">
        <v>11</v>
      </c>
      <c r="O17" s="32"/>
      <c r="P17" s="32"/>
      <c r="Q17" s="32"/>
      <c r="R17" s="32"/>
      <c r="S17" s="33"/>
    </row>
    <row r="18" spans="1:27" ht="34" x14ac:dyDescent="0.2">
      <c r="A18" s="16" t="s">
        <v>35</v>
      </c>
      <c r="B18" s="15" t="s">
        <v>38</v>
      </c>
      <c r="C18" s="16" t="s">
        <v>39</v>
      </c>
      <c r="D18" s="16" t="s">
        <v>44</v>
      </c>
      <c r="E18" s="16" t="s">
        <v>41</v>
      </c>
      <c r="F18" s="16" t="s">
        <v>42</v>
      </c>
      <c r="G18" s="17" t="s">
        <v>43</v>
      </c>
      <c r="H18" s="16" t="s">
        <v>38</v>
      </c>
      <c r="I18" s="16" t="s">
        <v>39</v>
      </c>
      <c r="J18" s="16" t="s">
        <v>44</v>
      </c>
      <c r="K18" s="16" t="s">
        <v>41</v>
      </c>
      <c r="L18" s="16" t="s">
        <v>42</v>
      </c>
      <c r="M18" s="17" t="s">
        <v>43</v>
      </c>
      <c r="N18" s="15" t="s">
        <v>38</v>
      </c>
      <c r="O18" s="16" t="s">
        <v>39</v>
      </c>
      <c r="P18" s="16" t="s">
        <v>44</v>
      </c>
      <c r="Q18" s="16" t="s">
        <v>41</v>
      </c>
      <c r="R18" s="16" t="s">
        <v>42</v>
      </c>
      <c r="S18" s="17" t="s">
        <v>43</v>
      </c>
    </row>
    <row r="19" spans="1:27" x14ac:dyDescent="0.2">
      <c r="A19" s="2">
        <v>0</v>
      </c>
      <c r="B19" s="3">
        <f>AVERAGE(3,1,2)/(0.002*10^0)</f>
        <v>1000</v>
      </c>
      <c r="C19" s="2">
        <v>1</v>
      </c>
      <c r="D19" s="2">
        <v>1</v>
      </c>
      <c r="E19" s="2">
        <f>AVERAGE(1,2,1)/(0.002*10^0)</f>
        <v>666.66666666666663</v>
      </c>
      <c r="F19" s="2">
        <f>AVERAGE(2,1,3)/(0.002*10^0)</f>
        <v>1000</v>
      </c>
      <c r="G19" s="4">
        <f>AVERAGE(1,2,1)/(0.002*10^0)</f>
        <v>666.66666666666663</v>
      </c>
      <c r="H19" s="2">
        <f>B19/$B$19</f>
        <v>1</v>
      </c>
      <c r="I19" s="2">
        <f>C19/$C$19</f>
        <v>1</v>
      </c>
      <c r="J19" s="2">
        <f>D19/$D$19</f>
        <v>1</v>
      </c>
      <c r="K19" s="2">
        <f>E19/$E$19</f>
        <v>1</v>
      </c>
      <c r="L19" s="2">
        <f>F19/$F$19</f>
        <v>1</v>
      </c>
      <c r="M19" s="2">
        <f>G19/$G$19</f>
        <v>1</v>
      </c>
      <c r="N19" s="8">
        <f>LOG(B19/$B$19,2)</f>
        <v>0</v>
      </c>
      <c r="O19" s="9">
        <f>LOG(C19/$C$19,2)</f>
        <v>0</v>
      </c>
      <c r="P19" s="9">
        <f>LOG(D19/$D$19,2)</f>
        <v>0</v>
      </c>
      <c r="Q19" s="9">
        <f>LOG(E19/$E$19,2)</f>
        <v>0</v>
      </c>
      <c r="R19" s="9">
        <f>LOG(F19/$F$19,2)</f>
        <v>0</v>
      </c>
      <c r="S19" s="10">
        <f>LOG(G19/$G$19,2)</f>
        <v>0</v>
      </c>
    </row>
    <row r="20" spans="1:27" x14ac:dyDescent="0.2">
      <c r="A20" s="2">
        <v>30</v>
      </c>
      <c r="B20" s="3">
        <f>AVERAGE(2,0,0)/(0.002*10^0)</f>
        <v>333.33333333333331</v>
      </c>
      <c r="C20" s="2">
        <v>1</v>
      </c>
      <c r="D20" s="2">
        <v>1</v>
      </c>
      <c r="E20" s="2">
        <f>AVERAGE(1,1,1)/(0.002*10^0)</f>
        <v>500</v>
      </c>
      <c r="F20" s="2">
        <f>AVERAGE(1,0,0)/(0.002*10^0)</f>
        <v>166.66666666666666</v>
      </c>
      <c r="G20" s="4">
        <f>AVERAGE(1,0,0)/(0.002*10^0)</f>
        <v>166.66666666666666</v>
      </c>
      <c r="H20" s="2">
        <f>B20/$B$19</f>
        <v>0.33333333333333331</v>
      </c>
      <c r="I20" s="2">
        <f>C20/$C$19</f>
        <v>1</v>
      </c>
      <c r="J20" s="2">
        <f>D20/$D$19</f>
        <v>1</v>
      </c>
      <c r="K20" s="2">
        <f>E20/$E$19</f>
        <v>0.75</v>
      </c>
      <c r="L20" s="2">
        <f>F20/$F$19</f>
        <v>0.16666666666666666</v>
      </c>
      <c r="M20" s="2">
        <f>G20/$G$19</f>
        <v>0.25</v>
      </c>
      <c r="N20" s="8">
        <f>LOG(B20/$B$19,2)</f>
        <v>-1.5849625007211563</v>
      </c>
      <c r="O20" s="9">
        <f>LOG(C20/$C$19,2)</f>
        <v>0</v>
      </c>
      <c r="P20" s="9">
        <f>LOG(D20/$D$19,2)</f>
        <v>0</v>
      </c>
      <c r="Q20" s="9">
        <f>LOG(E20/$E$19,2)</f>
        <v>-0.41503749927884381</v>
      </c>
      <c r="R20" s="9">
        <f>LOG(F20/$F$19,2)</f>
        <v>-2.5849625007211561</v>
      </c>
      <c r="S20" s="10">
        <f>LOG(G20/$G19,2)</f>
        <v>-2</v>
      </c>
    </row>
    <row r="21" spans="1:27" x14ac:dyDescent="0.2">
      <c r="A21" s="2">
        <v>60</v>
      </c>
      <c r="B21" s="3">
        <v>1</v>
      </c>
      <c r="C21" s="2">
        <v>1</v>
      </c>
      <c r="D21" s="2">
        <v>1</v>
      </c>
      <c r="E21" s="2">
        <f>AVERAGE(15,13,11)/(0.002*10^0)</f>
        <v>6500</v>
      </c>
      <c r="F21" s="2">
        <f>AVERAGE(2,1,1)/(0.002*10^0)</f>
        <v>666.66666666666663</v>
      </c>
      <c r="G21" s="4">
        <f>AVERAGE(6,6,6)/(0.002*10^0)</f>
        <v>3000</v>
      </c>
      <c r="H21" s="2">
        <f>B21/$B$19</f>
        <v>1E-3</v>
      </c>
      <c r="I21" s="2">
        <f>C21/$C$19</f>
        <v>1</v>
      </c>
      <c r="J21" s="2">
        <f>D21/$D$19</f>
        <v>1</v>
      </c>
      <c r="K21" s="2">
        <f>E21/$E$19</f>
        <v>9.75</v>
      </c>
      <c r="L21" s="2">
        <f>F21/$F$19</f>
        <v>0.66666666666666663</v>
      </c>
      <c r="M21" s="2">
        <f>G21/$G$19</f>
        <v>4.5</v>
      </c>
      <c r="N21" s="8">
        <f>LOG(B21/$B$19,2)</f>
        <v>-9.965784284662087</v>
      </c>
      <c r="O21" s="9">
        <f>LOG(C21/$C$19,2)</f>
        <v>0</v>
      </c>
      <c r="P21" s="9">
        <f>LOG(D21/$D$19,2)</f>
        <v>0</v>
      </c>
      <c r="Q21" s="9">
        <f>LOG(E21/$E$19,2)</f>
        <v>3.2854022188622487</v>
      </c>
      <c r="R21" s="9">
        <f>LOG(F21/$F$19,2)</f>
        <v>-0.5849625007211563</v>
      </c>
      <c r="S21" s="10">
        <f>LOG(G21/$G19,2)</f>
        <v>2.1699250014423126</v>
      </c>
    </row>
    <row r="22" spans="1:27" x14ac:dyDescent="0.2">
      <c r="A22" s="2">
        <v>90</v>
      </c>
      <c r="B22" s="3">
        <f>AVERAGE(1,0,0)/(0.002*10^0)</f>
        <v>166.66666666666666</v>
      </c>
      <c r="C22" s="2">
        <v>1</v>
      </c>
      <c r="D22" s="2">
        <f>AVERAGE(1,1)/(0.002*10^0)</f>
        <v>500</v>
      </c>
      <c r="E22" s="2">
        <f>AVERAGE(3,1,1)/(0.002*10^-1)</f>
        <v>8333.3333333333339</v>
      </c>
      <c r="F22" s="2">
        <f>AVERAGE(2,0,0)/(0.002*10^0)</f>
        <v>333.33333333333331</v>
      </c>
      <c r="G22" s="4">
        <f>AVERAGE(1,2,3)/(0.002*10^-1)</f>
        <v>10000</v>
      </c>
      <c r="H22" s="2">
        <f>B22/$B$19</f>
        <v>0.16666666666666666</v>
      </c>
      <c r="I22" s="2">
        <f>C22/$C$19</f>
        <v>1</v>
      </c>
      <c r="J22" s="2">
        <f>D22/$D$19</f>
        <v>500</v>
      </c>
      <c r="K22" s="2">
        <f>E22/$E$19</f>
        <v>12.500000000000002</v>
      </c>
      <c r="L22" s="2">
        <f>F22/$F$19</f>
        <v>0.33333333333333331</v>
      </c>
      <c r="M22" s="2">
        <f>G22/$G$19</f>
        <v>15</v>
      </c>
      <c r="N22" s="8">
        <f>LOG(B22/$B$19,2)</f>
        <v>-2.5849625007211561</v>
      </c>
      <c r="O22" s="9">
        <f>LOG(C22/$C$19,2)</f>
        <v>0</v>
      </c>
      <c r="P22" s="9">
        <f>LOG(D22/$D$19,2)</f>
        <v>8.965784284662087</v>
      </c>
      <c r="Q22" s="9">
        <f>LOG(E22/$E$19,2)</f>
        <v>3.6438561897747253</v>
      </c>
      <c r="R22" s="9">
        <f>LOG(F22/$F$11,2)</f>
        <v>1</v>
      </c>
      <c r="S22" s="10">
        <f>LOG(G22/$G$19,2)</f>
        <v>3.9068905956085187</v>
      </c>
    </row>
    <row r="23" spans="1:27" ht="17" thickBot="1" x14ac:dyDescent="0.25">
      <c r="A23" s="9">
        <v>120</v>
      </c>
      <c r="B23" s="5">
        <v>1</v>
      </c>
      <c r="C23" s="6">
        <v>1</v>
      </c>
      <c r="D23" s="6">
        <f>AVERAGE(1,2,2)/(0.002*10^0)</f>
        <v>833.33333333333337</v>
      </c>
      <c r="E23" s="6">
        <f>AVERAGE(18,10,5)/(0.002*10^-2)</f>
        <v>550000</v>
      </c>
      <c r="F23" s="6">
        <f>AVERAGE(1,1,0)/(0.002*10^0)</f>
        <v>333.33333333333331</v>
      </c>
      <c r="G23" s="7">
        <f>AVERAGE(2,1,3)/(0.002*10^-2)</f>
        <v>99999.999999999985</v>
      </c>
      <c r="H23" s="6">
        <f>B23/$B$19</f>
        <v>1E-3</v>
      </c>
      <c r="I23" s="6">
        <f>C23/$C$19</f>
        <v>1</v>
      </c>
      <c r="J23" s="6">
        <f>D23/$D$19</f>
        <v>833.33333333333337</v>
      </c>
      <c r="K23" s="6">
        <f>E23/$E$19</f>
        <v>825</v>
      </c>
      <c r="L23" s="6">
        <f>F23/$F$19</f>
        <v>0.33333333333333331</v>
      </c>
      <c r="M23" s="6">
        <f>G23/$G$19</f>
        <v>150</v>
      </c>
      <c r="N23" s="11">
        <f>LOG(B23/$B$19,2)</f>
        <v>-9.965784284662087</v>
      </c>
      <c r="O23" s="19">
        <f>LOG(C23/$C$19,2)</f>
        <v>0</v>
      </c>
      <c r="P23" s="19">
        <f>LOG(D23/$D$19,2)</f>
        <v>9.7027498788282944</v>
      </c>
      <c r="Q23" s="19">
        <f>LOG(E23/$E$19,2)</f>
        <v>9.6882503091331778</v>
      </c>
      <c r="R23" s="19">
        <f>LOG(F23/$F$11,2)</f>
        <v>1</v>
      </c>
      <c r="S23" s="12">
        <f>LOG(G23/$G$19,2)</f>
        <v>7.2288186904958804</v>
      </c>
    </row>
    <row r="24" spans="1:27" ht="17" thickBot="1" x14ac:dyDescent="0.25"/>
    <row r="25" spans="1:27" x14ac:dyDescent="0.2">
      <c r="A25" t="s">
        <v>36</v>
      </c>
      <c r="B25" s="28" t="s">
        <v>13</v>
      </c>
      <c r="C25" s="29"/>
      <c r="D25" s="29"/>
      <c r="E25" s="29"/>
      <c r="F25" s="29"/>
      <c r="G25" s="30"/>
      <c r="M25" t="s">
        <v>36</v>
      </c>
      <c r="N25" s="31" t="s">
        <v>11</v>
      </c>
      <c r="O25" s="32"/>
      <c r="P25" s="32"/>
      <c r="Q25" s="32"/>
      <c r="R25" s="32"/>
      <c r="S25" s="33"/>
      <c r="U25" t="s">
        <v>37</v>
      </c>
      <c r="V25" s="31" t="s">
        <v>11</v>
      </c>
      <c r="W25" s="32"/>
      <c r="X25" s="32"/>
      <c r="Y25" s="32"/>
      <c r="Z25" s="32"/>
      <c r="AA25" s="33"/>
    </row>
    <row r="26" spans="1:27" ht="34" x14ac:dyDescent="0.2">
      <c r="B26" s="15" t="s">
        <v>38</v>
      </c>
      <c r="C26" s="16" t="s">
        <v>39</v>
      </c>
      <c r="D26" s="16" t="s">
        <v>40</v>
      </c>
      <c r="E26" s="16" t="s">
        <v>41</v>
      </c>
      <c r="F26" s="16" t="s">
        <v>42</v>
      </c>
      <c r="G26" s="17" t="s">
        <v>43</v>
      </c>
      <c r="M26" s="16" t="s">
        <v>35</v>
      </c>
      <c r="N26" s="15" t="s">
        <v>38</v>
      </c>
      <c r="O26" s="16" t="s">
        <v>39</v>
      </c>
      <c r="P26" s="16" t="s">
        <v>40</v>
      </c>
      <c r="Q26" s="16" t="s">
        <v>41</v>
      </c>
      <c r="R26" s="16" t="s">
        <v>42</v>
      </c>
      <c r="S26" s="17" t="s">
        <v>43</v>
      </c>
      <c r="U26" s="16" t="s">
        <v>35</v>
      </c>
      <c r="V26" s="15" t="s">
        <v>38</v>
      </c>
      <c r="W26" s="16" t="s">
        <v>39</v>
      </c>
      <c r="X26" s="16" t="s">
        <v>47</v>
      </c>
      <c r="Y26" s="16" t="s">
        <v>41</v>
      </c>
      <c r="Z26" s="16" t="s">
        <v>42</v>
      </c>
      <c r="AA26" s="17" t="s">
        <v>43</v>
      </c>
    </row>
    <row r="27" spans="1:27" x14ac:dyDescent="0.2">
      <c r="B27" s="3">
        <f t="shared" ref="B27:G31" si="0">AVERAGE(B19,B11,B3)</f>
        <v>611.1111111111112</v>
      </c>
      <c r="C27" s="2">
        <f t="shared" si="0"/>
        <v>1</v>
      </c>
      <c r="D27" s="2">
        <f t="shared" si="0"/>
        <v>1</v>
      </c>
      <c r="E27" s="2">
        <f t="shared" si="0"/>
        <v>722.22222222222217</v>
      </c>
      <c r="F27" s="2">
        <f t="shared" si="0"/>
        <v>611.1111111111112</v>
      </c>
      <c r="G27" s="4">
        <f t="shared" si="0"/>
        <v>500</v>
      </c>
      <c r="M27" s="2">
        <v>0</v>
      </c>
      <c r="N27" s="8">
        <f>LOG(B27/$B$27,2)</f>
        <v>0</v>
      </c>
      <c r="O27" s="9">
        <f>LOG(C27/$C$27,2)</f>
        <v>0</v>
      </c>
      <c r="P27" s="9">
        <f>LOG(D27/$D$27,2)</f>
        <v>0</v>
      </c>
      <c r="Q27" s="9">
        <f>LOG(E27/$E$27,2)</f>
        <v>0</v>
      </c>
      <c r="R27" s="9">
        <f>LOG(F27/$F$27,2)</f>
        <v>0</v>
      </c>
      <c r="S27" s="10">
        <f>LOG(G27/$G$27,2)</f>
        <v>0</v>
      </c>
      <c r="U27" s="2">
        <v>0</v>
      </c>
      <c r="V27" s="8">
        <f t="shared" ref="V27:AA27" si="1">STDEV(N3,N11,N19)</f>
        <v>0</v>
      </c>
      <c r="W27" s="9">
        <f t="shared" si="1"/>
        <v>0</v>
      </c>
      <c r="X27" s="9">
        <f t="shared" si="1"/>
        <v>0</v>
      </c>
      <c r="Y27" s="9">
        <f t="shared" si="1"/>
        <v>0</v>
      </c>
      <c r="Z27" s="9">
        <f t="shared" si="1"/>
        <v>0</v>
      </c>
      <c r="AA27" s="10">
        <f t="shared" si="1"/>
        <v>0</v>
      </c>
    </row>
    <row r="28" spans="1:27" x14ac:dyDescent="0.2">
      <c r="B28" s="3">
        <f t="shared" si="0"/>
        <v>333.33333333333331</v>
      </c>
      <c r="C28" s="2">
        <f t="shared" si="0"/>
        <v>1</v>
      </c>
      <c r="D28" s="2">
        <f t="shared" si="0"/>
        <v>1</v>
      </c>
      <c r="E28" s="2">
        <f t="shared" si="0"/>
        <v>222.55555555555554</v>
      </c>
      <c r="F28" s="2">
        <f t="shared" si="0"/>
        <v>166.66666666666666</v>
      </c>
      <c r="G28" s="4">
        <f t="shared" si="0"/>
        <v>166.66666666666666</v>
      </c>
      <c r="M28" s="2">
        <v>30</v>
      </c>
      <c r="N28" s="8">
        <f>LOG(B28/$B$27,2)</f>
        <v>-0.87446911791614146</v>
      </c>
      <c r="O28" s="9">
        <f>LOG(C28/$C$27,2)</f>
        <v>0</v>
      </c>
      <c r="P28" s="9">
        <f>LOG(D28/$D$27,2)</f>
        <v>0</v>
      </c>
      <c r="Q28" s="9">
        <f>LOG(E28/$E$27,2)</f>
        <v>-1.6982772969904716</v>
      </c>
      <c r="R28" s="9">
        <f>LOG(F28/$F$27,2)</f>
        <v>-1.8744691179161415</v>
      </c>
      <c r="S28" s="10">
        <f>LOG(G28/$G$27,2)</f>
        <v>-1.5849625007211563</v>
      </c>
      <c r="U28" s="2">
        <v>30</v>
      </c>
      <c r="V28" s="8">
        <f t="shared" ref="V28:V31" si="2">STDEV(N4,N12,N20)</f>
        <v>0.82189686736431977</v>
      </c>
      <c r="W28" s="9">
        <f t="shared" ref="W28:W31" si="3">STDEV(O4,O12,O20)</f>
        <v>0</v>
      </c>
      <c r="X28" s="9">
        <f t="shared" ref="X28:X31" si="4">STDEV(P4,P12,P20)</f>
        <v>0</v>
      </c>
      <c r="Y28" s="9">
        <f>STDEV(Q4,Q12,Q20)</f>
        <v>4.968334111646775</v>
      </c>
      <c r="Z28" s="9">
        <f t="shared" ref="Z28:Z31" si="5">STDEV(R4,R12,R20)</f>
        <v>1.3554957431006882</v>
      </c>
      <c r="AA28" s="10">
        <f t="shared" ref="AA28:AA31" si="6">STDEV(S4,S12,S20)</f>
        <v>1.1547005383792517</v>
      </c>
    </row>
    <row r="29" spans="1:27" x14ac:dyDescent="0.2">
      <c r="B29" s="3">
        <f t="shared" si="0"/>
        <v>167</v>
      </c>
      <c r="C29" s="2">
        <f t="shared" si="0"/>
        <v>1111.7777777777776</v>
      </c>
      <c r="D29" s="2">
        <f t="shared" si="0"/>
        <v>56.222222222222221</v>
      </c>
      <c r="E29" s="2">
        <f t="shared" si="0"/>
        <v>7611.1111111111122</v>
      </c>
      <c r="F29" s="2">
        <f t="shared" si="0"/>
        <v>444.4444444444444</v>
      </c>
      <c r="G29" s="4">
        <f t="shared" si="0"/>
        <v>2888.8888888888887</v>
      </c>
      <c r="M29" s="2">
        <v>60</v>
      </c>
      <c r="N29" s="8">
        <f>LOG(B29/$B$27,2)</f>
        <v>-1.87158660938302</v>
      </c>
      <c r="O29" s="9">
        <f>LOG(C29/$C$27,2)</f>
        <v>10.118652735550389</v>
      </c>
      <c r="P29" s="9">
        <f>LOG(D29/$D$27,2)</f>
        <v>5.8130685732519973</v>
      </c>
      <c r="Q29" s="9">
        <f>LOG(E29/$E$27,2)</f>
        <v>3.3975923648194351</v>
      </c>
      <c r="R29" s="9">
        <f>LOG(F29/$F$27,2)</f>
        <v>-0.45943161863729765</v>
      </c>
      <c r="S29" s="10">
        <f>LOG(G29/$G$27,2)</f>
        <v>2.53051471669878</v>
      </c>
      <c r="U29" s="2">
        <v>60</v>
      </c>
      <c r="V29" s="8">
        <f t="shared" si="2"/>
        <v>5.6671883717811875</v>
      </c>
      <c r="W29" s="9">
        <f t="shared" si="3"/>
        <v>6.7565857928003759</v>
      </c>
      <c r="X29" s="9">
        <f t="shared" si="4"/>
        <v>4.2613194437989508</v>
      </c>
      <c r="Y29" s="9">
        <f t="shared" ref="Y29:Y31" si="7">STDEV(Q5,Q13,Q21)</f>
        <v>0.29453814194840616</v>
      </c>
      <c r="Z29" s="9">
        <f t="shared" si="5"/>
        <v>0.30091852695061144</v>
      </c>
      <c r="AA29" s="10">
        <f t="shared" si="6"/>
        <v>0.82695401189379525</v>
      </c>
    </row>
    <row r="30" spans="1:27" x14ac:dyDescent="0.2">
      <c r="B30" s="3">
        <f t="shared" si="0"/>
        <v>611.11111111111109</v>
      </c>
      <c r="C30" s="2">
        <f t="shared" si="0"/>
        <v>1</v>
      </c>
      <c r="D30" s="2">
        <f t="shared" si="0"/>
        <v>167.33333333333334</v>
      </c>
      <c r="E30" s="2">
        <f t="shared" si="0"/>
        <v>12222.222222222221</v>
      </c>
      <c r="F30" s="2">
        <f t="shared" si="0"/>
        <v>388.88888888888886</v>
      </c>
      <c r="G30" s="4">
        <f t="shared" si="0"/>
        <v>12222.222222222221</v>
      </c>
      <c r="M30" s="2">
        <v>90</v>
      </c>
      <c r="N30" s="8">
        <f>LOG(B30/$B$27,2)</f>
        <v>-3.2034265038149176E-16</v>
      </c>
      <c r="O30" s="9">
        <f>LOG(C30/$C$27,2)</f>
        <v>0</v>
      </c>
      <c r="P30" s="9">
        <f>LOG(D30/$D$27,2)</f>
        <v>7.3865810532296168</v>
      </c>
      <c r="Q30" s="9">
        <f>LOG(E30/$E$27,2)</f>
        <v>4.0809199953835673</v>
      </c>
      <c r="R30" s="9">
        <f>LOG(F30/$F$27,2)</f>
        <v>-0.65207669657969347</v>
      </c>
      <c r="S30" s="10">
        <f>LOG(G30/$G$27,2)</f>
        <v>4.6114347120823469</v>
      </c>
      <c r="U30" s="2">
        <v>90</v>
      </c>
      <c r="V30" s="8">
        <f t="shared" si="2"/>
        <v>2.3477874964937224</v>
      </c>
      <c r="W30" s="9">
        <f t="shared" si="3"/>
        <v>0</v>
      </c>
      <c r="X30" s="9">
        <f t="shared" si="4"/>
        <v>5.1763979702457723</v>
      </c>
      <c r="Y30" s="9">
        <f t="shared" si="7"/>
        <v>0.95817641409034437</v>
      </c>
      <c r="Z30" s="9">
        <f t="shared" si="5"/>
        <v>0.81697228112205544</v>
      </c>
      <c r="AA30" s="10">
        <f t="shared" si="6"/>
        <v>1.9232843982290122</v>
      </c>
    </row>
    <row r="31" spans="1:27" ht="17" thickBot="1" x14ac:dyDescent="0.25">
      <c r="B31" s="5">
        <f t="shared" si="0"/>
        <v>611.44444444444446</v>
      </c>
      <c r="C31" s="6">
        <f t="shared" si="0"/>
        <v>889.22222222222217</v>
      </c>
      <c r="D31" s="6">
        <f t="shared" si="0"/>
        <v>611.11111111111109</v>
      </c>
      <c r="E31" s="6">
        <f t="shared" si="0"/>
        <v>694444.44444444438</v>
      </c>
      <c r="F31" s="6">
        <f t="shared" si="0"/>
        <v>277.77777777777777</v>
      </c>
      <c r="G31" s="7">
        <f t="shared" si="0"/>
        <v>194444.44444444441</v>
      </c>
      <c r="M31" s="9">
        <v>120</v>
      </c>
      <c r="N31" s="11">
        <f>LOG(B31/$B$27,2)</f>
        <v>7.8671002997640019E-4</v>
      </c>
      <c r="O31" s="19">
        <f>LOG(C31/$C$27,2)</f>
        <v>9.7964001924459652</v>
      </c>
      <c r="P31" s="19">
        <f>LOG(D31/$D$27,2)</f>
        <v>9.255290901857073</v>
      </c>
      <c r="Q31" s="19">
        <f>LOG(E31/$E$27,2)</f>
        <v>9.9092007562957196</v>
      </c>
      <c r="R31" s="19">
        <f>LOG(F31/$F$27,2)</f>
        <v>-1.1375035237499351</v>
      </c>
      <c r="S31" s="12">
        <f>LOG(G31/$G$27,2)</f>
        <v>8.6032142052773786</v>
      </c>
      <c r="U31" s="9">
        <v>120</v>
      </c>
      <c r="V31" s="11">
        <f t="shared" si="2"/>
        <v>6.5065397537789273</v>
      </c>
      <c r="W31" s="19">
        <f t="shared" si="3"/>
        <v>5.9778595620863282</v>
      </c>
      <c r="X31" s="19">
        <f t="shared" si="4"/>
        <v>0.68933924719380635</v>
      </c>
      <c r="Y31" s="19">
        <f t="shared" si="7"/>
        <v>0.19435604236280327</v>
      </c>
      <c r="Z31" s="19">
        <f t="shared" si="5"/>
        <v>1.7320508075688772</v>
      </c>
      <c r="AA31" s="12">
        <f t="shared" si="6"/>
        <v>1.4397630681432463</v>
      </c>
    </row>
    <row r="32" spans="1:27" x14ac:dyDescent="0.2">
      <c r="C32" t="s">
        <v>45</v>
      </c>
      <c r="O32" s="9" t="s">
        <v>46</v>
      </c>
      <c r="W32" s="9" t="s">
        <v>46</v>
      </c>
    </row>
    <row r="33" spans="3:23" x14ac:dyDescent="0.2">
      <c r="C33" s="22">
        <f>AVERAGE(B27:C27)</f>
        <v>306.0555555555556</v>
      </c>
      <c r="O33" s="9">
        <f>LOG(C33/$C$33,2)</f>
        <v>0</v>
      </c>
      <c r="W33" s="23">
        <f>STDEV(N3,O3,N11,O11,N19,O19)</f>
        <v>0</v>
      </c>
    </row>
    <row r="34" spans="3:23" x14ac:dyDescent="0.2">
      <c r="C34" s="22">
        <f t="shared" ref="C34:C36" si="8">AVERAGE(B28:C28)</f>
        <v>167.16666666666666</v>
      </c>
      <c r="O34" s="9">
        <f t="shared" ref="O34:O37" si="9">LOG(C34/$C$33,2)</f>
        <v>-0.87250635623175399</v>
      </c>
      <c r="W34" s="23">
        <f>STDEV(N4,O4,N12,O12,N20,O20)</f>
        <v>0.6352472885157765</v>
      </c>
    </row>
    <row r="35" spans="3:23" x14ac:dyDescent="0.2">
      <c r="C35" s="22">
        <f t="shared" si="8"/>
        <v>639.3888888888888</v>
      </c>
      <c r="O35" s="9">
        <f t="shared" si="9"/>
        <v>1.0629001172602452</v>
      </c>
      <c r="W35" s="23">
        <f>STDEV(N5,N13,N21)</f>
        <v>5.6671883717811875</v>
      </c>
    </row>
    <row r="36" spans="3:23" x14ac:dyDescent="0.2">
      <c r="C36" s="22">
        <f t="shared" si="8"/>
        <v>306.05555555555554</v>
      </c>
      <c r="O36" s="9">
        <f t="shared" si="9"/>
        <v>-3.2034265038149176E-16</v>
      </c>
      <c r="W36" s="23">
        <f>STDEV(N6,O6,N14,O14,N22,O22)</f>
        <v>1.4848711901969491</v>
      </c>
    </row>
    <row r="37" spans="3:23" x14ac:dyDescent="0.2">
      <c r="C37" s="22">
        <f>AVERAGE(B31:C31)</f>
        <v>750.33333333333326</v>
      </c>
      <c r="O37" s="9">
        <f t="shared" si="9"/>
        <v>1.293738094610221</v>
      </c>
      <c r="W37" s="23">
        <f>STDEV(N7,O7,N15,O15,O23)</f>
        <v>5.22572473642101</v>
      </c>
    </row>
    <row r="38" spans="3:23" x14ac:dyDescent="0.2">
      <c r="C38" s="22"/>
      <c r="O38" s="9"/>
      <c r="W38" s="23"/>
    </row>
  </sheetData>
  <mergeCells count="12">
    <mergeCell ref="V25:AA25"/>
    <mergeCell ref="B1:G1"/>
    <mergeCell ref="H1:M1"/>
    <mergeCell ref="N1:S1"/>
    <mergeCell ref="B9:G9"/>
    <mergeCell ref="H9:M9"/>
    <mergeCell ref="N9:S9"/>
    <mergeCell ref="B17:G17"/>
    <mergeCell ref="H17:M17"/>
    <mergeCell ref="N17:S17"/>
    <mergeCell ref="B25:G25"/>
    <mergeCell ref="N25:S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8A19-DCAF-D749-B1DD-6A3EEC5C261A}">
  <dimension ref="A1:AA38"/>
  <sheetViews>
    <sheetView topLeftCell="A16" workbookViewId="0">
      <selection activeCell="K29" sqref="K29"/>
    </sheetView>
  </sheetViews>
  <sheetFormatPr baseColWidth="10" defaultRowHeight="16" x14ac:dyDescent="0.2"/>
  <cols>
    <col min="4" max="6" width="12.1640625" bestFit="1" customWidth="1"/>
    <col min="7" max="7" width="11.1640625" bestFit="1" customWidth="1"/>
  </cols>
  <sheetData>
    <row r="1" spans="1:19" x14ac:dyDescent="0.2">
      <c r="A1" s="2" t="s">
        <v>30</v>
      </c>
      <c r="B1" s="28" t="s">
        <v>13</v>
      </c>
      <c r="C1" s="29"/>
      <c r="D1" s="29"/>
      <c r="E1" s="29"/>
      <c r="F1" s="29"/>
      <c r="G1" s="30"/>
      <c r="H1" s="29" t="s">
        <v>12</v>
      </c>
      <c r="I1" s="29"/>
      <c r="J1" s="29"/>
      <c r="K1" s="29"/>
      <c r="L1" s="29"/>
      <c r="M1" s="29"/>
      <c r="N1" s="31" t="s">
        <v>11</v>
      </c>
      <c r="O1" s="32"/>
      <c r="P1" s="32"/>
      <c r="Q1" s="32"/>
      <c r="R1" s="32"/>
      <c r="S1" s="33"/>
    </row>
    <row r="2" spans="1:19" ht="34" x14ac:dyDescent="0.2">
      <c r="A2" s="16" t="s">
        <v>15</v>
      </c>
      <c r="B2" s="15" t="s">
        <v>38</v>
      </c>
      <c r="C2" s="16" t="s">
        <v>39</v>
      </c>
      <c r="D2" s="16" t="s">
        <v>44</v>
      </c>
      <c r="E2" s="16" t="s">
        <v>41</v>
      </c>
      <c r="F2" s="16" t="s">
        <v>42</v>
      </c>
      <c r="G2" s="17" t="s">
        <v>43</v>
      </c>
      <c r="H2" s="16" t="s">
        <v>38</v>
      </c>
      <c r="I2" s="16" t="s">
        <v>39</v>
      </c>
      <c r="J2" s="16" t="s">
        <v>44</v>
      </c>
      <c r="K2" s="16" t="s">
        <v>41</v>
      </c>
      <c r="L2" s="16" t="s">
        <v>42</v>
      </c>
      <c r="M2" s="17" t="s">
        <v>43</v>
      </c>
      <c r="N2" s="15" t="s">
        <v>38</v>
      </c>
      <c r="O2" s="16" t="s">
        <v>39</v>
      </c>
      <c r="P2" s="16" t="s">
        <v>44</v>
      </c>
      <c r="Q2" s="16" t="s">
        <v>41</v>
      </c>
      <c r="R2" s="16" t="s">
        <v>42</v>
      </c>
      <c r="S2" s="17" t="s">
        <v>43</v>
      </c>
    </row>
    <row r="3" spans="1:19" x14ac:dyDescent="0.2">
      <c r="A3" s="2">
        <v>0</v>
      </c>
      <c r="B3" s="3">
        <v>1</v>
      </c>
      <c r="C3" s="2">
        <v>1</v>
      </c>
      <c r="D3" s="2">
        <v>0</v>
      </c>
      <c r="E3" s="2">
        <f>AVERAGE(3,3,0)/(0.002*10^0)</f>
        <v>1000</v>
      </c>
      <c r="F3" s="2">
        <f>AVERAGE(1,0,0)/(0.002*10^0)</f>
        <v>166.66666666666666</v>
      </c>
      <c r="G3" s="4">
        <f>AVERAGE(2,1,1,)/(0.002*10^0)</f>
        <v>500</v>
      </c>
      <c r="H3" s="2">
        <f>B3/$B$3</f>
        <v>1</v>
      </c>
      <c r="I3" s="2">
        <f>C3/$C$3</f>
        <v>1</v>
      </c>
      <c r="J3" s="2" t="e">
        <f>D3/$D$3</f>
        <v>#DIV/0!</v>
      </c>
      <c r="K3" s="2">
        <f>E3/$E$3</f>
        <v>1</v>
      </c>
      <c r="L3" s="2">
        <f>F3/$F$3</f>
        <v>1</v>
      </c>
      <c r="M3" s="2">
        <f>G3/$G$3</f>
        <v>1</v>
      </c>
      <c r="N3" s="8">
        <f>LOG(B3/$B$3,2)</f>
        <v>0</v>
      </c>
      <c r="O3" s="9">
        <f>LOG(C3/$C$3,2)</f>
        <v>0</v>
      </c>
      <c r="P3" s="9" t="e">
        <f>LOG(D3/$D$3,2)</f>
        <v>#DIV/0!</v>
      </c>
      <c r="Q3" s="9">
        <f>LOG(E3/$E$3,2)</f>
        <v>0</v>
      </c>
      <c r="R3" s="9">
        <f>LOG(F3/$F$3,2)</f>
        <v>0</v>
      </c>
      <c r="S3" s="10">
        <f>LOG(G3/$G$3,2)</f>
        <v>0</v>
      </c>
    </row>
    <row r="4" spans="1:19" x14ac:dyDescent="0.2">
      <c r="A4" s="2">
        <v>2</v>
      </c>
      <c r="B4" s="3">
        <v>1</v>
      </c>
      <c r="C4" s="2">
        <f>AVERAGE(1,1,0)/(0.002*10^0)</f>
        <v>333.33333333333331</v>
      </c>
      <c r="D4" s="2">
        <v>0</v>
      </c>
      <c r="E4" s="2">
        <f>AVERAGE(4,2,2)/(0.002*10^-1)</f>
        <v>13333.333333333332</v>
      </c>
      <c r="F4" s="2">
        <v>1</v>
      </c>
      <c r="G4" s="4">
        <f>AVERAGE(4,5,5)/(0.002*10^-2)</f>
        <v>233333.33333333334</v>
      </c>
      <c r="H4" s="2">
        <f>B4/$B$3</f>
        <v>1</v>
      </c>
      <c r="I4" s="2">
        <f>C4/$C$3</f>
        <v>333.33333333333331</v>
      </c>
      <c r="J4" s="2" t="e">
        <f>D4/$D$3</f>
        <v>#DIV/0!</v>
      </c>
      <c r="K4" s="2">
        <f>E4/$E$3</f>
        <v>13.333333333333332</v>
      </c>
      <c r="L4" s="2">
        <f>F4/$F$3</f>
        <v>6.0000000000000001E-3</v>
      </c>
      <c r="M4" s="2">
        <f>G4/$G$3</f>
        <v>466.66666666666669</v>
      </c>
      <c r="N4" s="8">
        <f>LOG(B4/$B$3,2)</f>
        <v>0</v>
      </c>
      <c r="O4" s="9">
        <f>LOG(C4/$C$3,2)</f>
        <v>8.3808217839409309</v>
      </c>
      <c r="P4" s="9" t="e">
        <f>LOG(D4/$D$3,2)</f>
        <v>#DIV/0!</v>
      </c>
      <c r="Q4" s="9">
        <f>LOG(E4/$E$3,2)</f>
        <v>3.7369655941662066</v>
      </c>
      <c r="R4" s="9">
        <f>LOG(F4/$F$3,2)</f>
        <v>-7.3808217839409318</v>
      </c>
      <c r="S4" s="10">
        <f>LOG(G4/$G$3,2)</f>
        <v>8.8662486111111729</v>
      </c>
    </row>
    <row r="5" spans="1:19" x14ac:dyDescent="0.2">
      <c r="A5" s="2">
        <v>4</v>
      </c>
      <c r="B5" s="3">
        <f>AVERAGE(2,0,0)/(0.002*10^-1)</f>
        <v>3333.333333333333</v>
      </c>
      <c r="C5" s="2">
        <f>AVERAGE(2,2,0)/(0.002*10^0)</f>
        <v>666.66666666666663</v>
      </c>
      <c r="D5" s="2">
        <f>AVERAGE(7,3,9)/(0.002*10^-1)</f>
        <v>31666.666666666664</v>
      </c>
      <c r="E5" s="2">
        <f>AVERAGE(31,29,28)/(0.002*10^-4)</f>
        <v>146666666.66666666</v>
      </c>
      <c r="F5" s="2">
        <f>AVERAGE(2,2,0)/(0.002*10^-2)</f>
        <v>66666.666666666657</v>
      </c>
      <c r="G5" s="4">
        <f>AVERAGE(60,52,55)/(0.002*10^-4)</f>
        <v>278333333.33333331</v>
      </c>
      <c r="H5" s="2">
        <f>B5/$B$3</f>
        <v>3333.333333333333</v>
      </c>
      <c r="I5" s="2">
        <f>C5/$C$3</f>
        <v>666.66666666666663</v>
      </c>
      <c r="J5" s="2" t="e">
        <f>D5/$D$3</f>
        <v>#DIV/0!</v>
      </c>
      <c r="K5" s="2">
        <f>E5/$E$3</f>
        <v>146666.66666666666</v>
      </c>
      <c r="L5" s="2">
        <f>F5/$F$3</f>
        <v>399.99999999999994</v>
      </c>
      <c r="M5" s="2">
        <f>G5/$G$3</f>
        <v>556666.66666666663</v>
      </c>
      <c r="N5" s="8">
        <f>LOG(B5/$B$3,2)</f>
        <v>11.702749878828293</v>
      </c>
      <c r="O5" s="9">
        <f>LOG(C5/$C$3,2)</f>
        <v>9.3808217839409309</v>
      </c>
      <c r="P5" s="9" t="e">
        <f>LOG(D5/$D$3,2)</f>
        <v>#DIV/0!</v>
      </c>
      <c r="Q5" s="9">
        <f>LOG(E5/$E$3,2)</f>
        <v>17.162181497465593</v>
      </c>
      <c r="R5" s="9">
        <f>LOG(F5/$F$3,2)</f>
        <v>8.6438561897747253</v>
      </c>
      <c r="S5" s="10">
        <f>LOG(G5/$G$3,2)</f>
        <v>19.086454171302346</v>
      </c>
    </row>
    <row r="6" spans="1:19" x14ac:dyDescent="0.2">
      <c r="A6" s="2">
        <v>24</v>
      </c>
      <c r="B6" s="3">
        <f>AVERAGE(5,11,9)/(0.002*10^-5)</f>
        <v>416666666.66666669</v>
      </c>
      <c r="C6" s="2">
        <v>1</v>
      </c>
      <c r="D6" s="2">
        <f>AVERAGE(30,35,32)/(0.002*10^-6)</f>
        <v>16166666666.666666</v>
      </c>
      <c r="E6" s="2">
        <f>AVERAGE(11,7,10)/(0.002*10^-5)</f>
        <v>466666666.66666669</v>
      </c>
      <c r="F6" s="2">
        <f>AVERAGE(31,33,42)/(0.002*10^-6)</f>
        <v>17666666666.666668</v>
      </c>
      <c r="G6" s="4">
        <f>AVERAGE(11,6,3)/(0.002*10^-6)</f>
        <v>3333333333.3333335</v>
      </c>
      <c r="H6" s="2">
        <f>B6/$B$3</f>
        <v>416666666.66666669</v>
      </c>
      <c r="I6" s="2">
        <f>C6/$C$3</f>
        <v>1</v>
      </c>
      <c r="J6" s="2" t="e">
        <f>D6/$D$3</f>
        <v>#DIV/0!</v>
      </c>
      <c r="K6" s="2">
        <f>E6/$E$3</f>
        <v>466666.66666666669</v>
      </c>
      <c r="L6" s="2">
        <f>F6/$F$3</f>
        <v>106000000.00000001</v>
      </c>
      <c r="M6" s="2">
        <f>G6/$G$3</f>
        <v>6666666.666666667</v>
      </c>
      <c r="N6" s="8">
        <f>LOG(B6/$B$3,2)</f>
        <v>28.63431844815247</v>
      </c>
      <c r="O6" s="9">
        <f>LOG(C6/$C$3,2)</f>
        <v>0</v>
      </c>
      <c r="P6" s="9" t="e">
        <f>LOG(D6/$D$3,2)</f>
        <v>#DIV/0!</v>
      </c>
      <c r="Q6" s="9">
        <f>LOG(E6/$E$3,2)</f>
        <v>18.83203289577326</v>
      </c>
      <c r="R6" s="9">
        <f>LOG(F6/$F$3,2)</f>
        <v>26.659489023887375</v>
      </c>
      <c r="S6" s="10">
        <f>LOG(G6/$G$3,2)</f>
        <v>22.668534163490381</v>
      </c>
    </row>
    <row r="7" spans="1:19" ht="17" thickBot="1" x14ac:dyDescent="0.25">
      <c r="A7" s="9">
        <v>48</v>
      </c>
      <c r="B7" s="5">
        <f>AVERAGE(8,8,3)/(0.002*10^-5)</f>
        <v>316666666.66666663</v>
      </c>
      <c r="C7" s="6">
        <v>1</v>
      </c>
      <c r="D7" s="6">
        <f>AVERAGE(2,3,4)/(0.002*10^-7)</f>
        <v>15000000000</v>
      </c>
      <c r="E7" s="6">
        <f>AVERAGE(11,8,3)/(0.002*10^-5)</f>
        <v>366666666.66666663</v>
      </c>
      <c r="F7" s="6">
        <f>AVERAGE(7,2,1)/(0.002*10^-7)</f>
        <v>16666666666.666666</v>
      </c>
      <c r="G7" s="7">
        <f>AVERAGE(8,8,7)/(0.002*10^-5)</f>
        <v>383333333.33333331</v>
      </c>
      <c r="H7" s="6">
        <f>B7/$B$3</f>
        <v>316666666.66666663</v>
      </c>
      <c r="I7" s="6">
        <f>C7/$C$3</f>
        <v>1</v>
      </c>
      <c r="J7" s="6" t="e">
        <f>D7/$D$3</f>
        <v>#DIV/0!</v>
      </c>
      <c r="K7" s="6">
        <f>E7/$E$3</f>
        <v>366666.66666666663</v>
      </c>
      <c r="L7" s="6">
        <f>F7/$F$3</f>
        <v>100000000</v>
      </c>
      <c r="M7" s="6">
        <f>G7/$G$3</f>
        <v>766666.66666666663</v>
      </c>
      <c r="N7" s="11">
        <f>LOG(B7/$B$3,2)</f>
        <v>28.238389771821328</v>
      </c>
      <c r="O7" s="19">
        <f>LOG(C7/$C$3,2)</f>
        <v>0</v>
      </c>
      <c r="P7" s="19" t="e">
        <f>LOG(D7/$D$3,2)</f>
        <v>#DIV/0!</v>
      </c>
      <c r="Q7" s="19">
        <f>LOG(E7/$E$3,2)</f>
        <v>18.484109592352951</v>
      </c>
      <c r="R7" s="19">
        <f>LOG(F7/$F$3,2)</f>
        <v>26.575424759098901</v>
      </c>
      <c r="S7" s="12">
        <f>LOG(G7/$G$3,2)</f>
        <v>19.54823992977267</v>
      </c>
    </row>
    <row r="8" spans="1:19" ht="17" thickBot="1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9" x14ac:dyDescent="0.2">
      <c r="A9" s="2" t="s">
        <v>31</v>
      </c>
      <c r="B9" s="28" t="s">
        <v>13</v>
      </c>
      <c r="C9" s="29"/>
      <c r="D9" s="29"/>
      <c r="E9" s="29"/>
      <c r="F9" s="29"/>
      <c r="G9" s="30"/>
      <c r="H9" s="29" t="s">
        <v>12</v>
      </c>
      <c r="I9" s="29"/>
      <c r="J9" s="29"/>
      <c r="K9" s="29"/>
      <c r="L9" s="29"/>
      <c r="M9" s="29"/>
      <c r="N9" s="31" t="s">
        <v>11</v>
      </c>
      <c r="O9" s="32"/>
      <c r="P9" s="32"/>
      <c r="Q9" s="32"/>
      <c r="R9" s="32"/>
      <c r="S9" s="33"/>
    </row>
    <row r="10" spans="1:19" ht="34" x14ac:dyDescent="0.2">
      <c r="A10" s="16" t="s">
        <v>15</v>
      </c>
      <c r="B10" s="15" t="s">
        <v>38</v>
      </c>
      <c r="C10" s="16" t="s">
        <v>39</v>
      </c>
      <c r="D10" s="16" t="s">
        <v>44</v>
      </c>
      <c r="E10" s="16" t="s">
        <v>41</v>
      </c>
      <c r="F10" s="16" t="s">
        <v>42</v>
      </c>
      <c r="G10" s="17" t="s">
        <v>43</v>
      </c>
      <c r="H10" s="16" t="s">
        <v>38</v>
      </c>
      <c r="I10" s="16" t="s">
        <v>39</v>
      </c>
      <c r="J10" s="16" t="s">
        <v>44</v>
      </c>
      <c r="K10" s="16" t="s">
        <v>41</v>
      </c>
      <c r="L10" s="16" t="s">
        <v>42</v>
      </c>
      <c r="M10" s="17" t="s">
        <v>43</v>
      </c>
      <c r="N10" s="15" t="s">
        <v>38</v>
      </c>
      <c r="O10" s="16" t="s">
        <v>39</v>
      </c>
      <c r="P10" s="16" t="s">
        <v>44</v>
      </c>
      <c r="Q10" s="16" t="s">
        <v>41</v>
      </c>
      <c r="R10" s="16" t="s">
        <v>42</v>
      </c>
      <c r="S10" s="17" t="s">
        <v>43</v>
      </c>
    </row>
    <row r="11" spans="1:19" x14ac:dyDescent="0.2">
      <c r="A11" s="2">
        <v>0</v>
      </c>
      <c r="B11" s="3">
        <f>AVERAGE(1,1,0)/(0.002*10^0)</f>
        <v>333.33333333333331</v>
      </c>
      <c r="C11" s="2">
        <f>AVERAGE(1,1,1)/(0.002*10^0)</f>
        <v>500</v>
      </c>
      <c r="D11" s="2">
        <v>0</v>
      </c>
      <c r="E11" s="2">
        <f>AVERAGE(2,3,0)/(0.002*10^0)</f>
        <v>833.33333333333337</v>
      </c>
      <c r="F11" s="2">
        <f>AVERAGE(1,1,0)/(0.002*10^0)</f>
        <v>333.33333333333331</v>
      </c>
      <c r="G11" s="4">
        <f>AVERAGE(2,1,1)/(0.002*10^0)</f>
        <v>666.66666666666663</v>
      </c>
      <c r="H11" s="2">
        <f>B11/$B$11</f>
        <v>1</v>
      </c>
      <c r="I11" s="2">
        <f>C11/$C$11</f>
        <v>1</v>
      </c>
      <c r="J11" s="2" t="e">
        <f>D11/$D$11</f>
        <v>#DIV/0!</v>
      </c>
      <c r="K11" s="2">
        <f>E11/$E$11</f>
        <v>1</v>
      </c>
      <c r="L11" s="2">
        <f>F11/$F$11</f>
        <v>1</v>
      </c>
      <c r="M11" s="2">
        <f>G11/$G$11</f>
        <v>1</v>
      </c>
      <c r="N11" s="8">
        <f>LOG(B11/$B$11,2)</f>
        <v>0</v>
      </c>
      <c r="O11" s="9">
        <f>LOG(C11/$C$11,2)</f>
        <v>0</v>
      </c>
      <c r="P11" s="9" t="e">
        <f>LOG(D11/$D$11,2)</f>
        <v>#DIV/0!</v>
      </c>
      <c r="Q11" s="9">
        <f>LOG(E11/$E$11,2)</f>
        <v>0</v>
      </c>
      <c r="R11" s="9">
        <f>LOG(F11/$F$11,2)</f>
        <v>0</v>
      </c>
      <c r="S11" s="10">
        <f>LOG(G11/$G$11,2)</f>
        <v>0</v>
      </c>
    </row>
    <row r="12" spans="1:19" x14ac:dyDescent="0.2">
      <c r="A12" s="2">
        <v>2</v>
      </c>
      <c r="B12" s="3">
        <f>AVERAGE(2,0,0)/(0.002*10^0)</f>
        <v>333.33333333333331</v>
      </c>
      <c r="C12" s="2">
        <v>1</v>
      </c>
      <c r="D12" s="2">
        <v>0</v>
      </c>
      <c r="E12" s="2">
        <f>AVERAGE(1,1,1)/(0.002*10^-1)</f>
        <v>5000</v>
      </c>
      <c r="F12" s="2">
        <v>1</v>
      </c>
      <c r="G12" s="4">
        <f>AVERAGE(4,3,7)/(0.002*10^-2)</f>
        <v>233333.33333333334</v>
      </c>
      <c r="H12" s="2">
        <f>B12/$B$11</f>
        <v>1</v>
      </c>
      <c r="I12" s="2">
        <f>C12/$C$11</f>
        <v>2E-3</v>
      </c>
      <c r="J12" s="2" t="e">
        <f>D12/$D$11</f>
        <v>#DIV/0!</v>
      </c>
      <c r="K12" s="2">
        <f>E12/$E$11</f>
        <v>6</v>
      </c>
      <c r="L12" s="2">
        <f>F12/$F$11</f>
        <v>3.0000000000000001E-3</v>
      </c>
      <c r="M12" s="2">
        <f>G12/$G$11</f>
        <v>350.00000000000006</v>
      </c>
      <c r="N12" s="8">
        <f>LOG(B12/$B$11,2)</f>
        <v>0</v>
      </c>
      <c r="O12" s="9">
        <f>LOG(C12/$C$11,2)</f>
        <v>-8.965784284662087</v>
      </c>
      <c r="P12" s="9" t="e">
        <f>LOG(D12/$D$11,2)</f>
        <v>#DIV/0!</v>
      </c>
      <c r="Q12" s="9">
        <f>LOG(E12/$E$11,2)</f>
        <v>2.5849625007211561</v>
      </c>
      <c r="R12" s="9">
        <f>LOG(F12/$F$11,2)</f>
        <v>-8.3808217839409309</v>
      </c>
      <c r="S12" s="10">
        <f>LOG(G12/$G11,2)</f>
        <v>8.451211111832329</v>
      </c>
    </row>
    <row r="13" spans="1:19" x14ac:dyDescent="0.2">
      <c r="A13" s="2">
        <v>4</v>
      </c>
      <c r="B13" s="3">
        <v>1</v>
      </c>
      <c r="C13" s="2">
        <f>AVERAGE(2,0,0)/(0.002*10^0)</f>
        <v>333.33333333333331</v>
      </c>
      <c r="D13" s="2">
        <f>AVERAGE(3,2,1)/(0.002*10^-1)</f>
        <v>10000</v>
      </c>
      <c r="E13" s="2">
        <f>AVERAGE(17,16,15)/(0.002*10^-4)</f>
        <v>80000000</v>
      </c>
      <c r="F13" s="2">
        <f>AVERAGE(4,13,5)/(0.002*10^-2)</f>
        <v>366666.66666666663</v>
      </c>
      <c r="G13" s="4">
        <f>AVERAGE(65,70,51)/(0.002*10^-4)</f>
        <v>310000000</v>
      </c>
      <c r="H13" s="2">
        <f>B13/$B$11</f>
        <v>3.0000000000000001E-3</v>
      </c>
      <c r="I13" s="2">
        <f>C13/$C$11</f>
        <v>0.66666666666666663</v>
      </c>
      <c r="J13" s="2" t="e">
        <f>D13/$D$11</f>
        <v>#DIV/0!</v>
      </c>
      <c r="K13" s="2">
        <f>E13/$E$11</f>
        <v>96000</v>
      </c>
      <c r="L13" s="2">
        <f>F13/$F$11</f>
        <v>1100</v>
      </c>
      <c r="M13" s="2">
        <f>G13/$G$11</f>
        <v>465000</v>
      </c>
      <c r="N13" s="8">
        <f>LOG(B13/$B$11,2)</f>
        <v>-8.3808217839409309</v>
      </c>
      <c r="O13" s="9">
        <f>LOG(C13/$C$11,2)</f>
        <v>-0.5849625007211563</v>
      </c>
      <c r="P13" s="9" t="e">
        <f>LOG(D13/$D$11,2)</f>
        <v>#DIV/0!</v>
      </c>
      <c r="Q13" s="9">
        <f>LOG(E13/$E$11,2)</f>
        <v>16.550746785383243</v>
      </c>
      <c r="R13" s="9">
        <f>LOG(F13/$F$11,2)</f>
        <v>10.103287808412022</v>
      </c>
      <c r="S13" s="10">
        <f>LOG(G13/$G11,2)</f>
        <v>18.826871190657481</v>
      </c>
    </row>
    <row r="14" spans="1:19" x14ac:dyDescent="0.2">
      <c r="A14" s="2">
        <v>24</v>
      </c>
      <c r="B14" s="3">
        <f>AVERAGE(12,6,6)/(0.002*10^-2)</f>
        <v>399999.99999999994</v>
      </c>
      <c r="C14" s="2">
        <v>1</v>
      </c>
      <c r="D14" s="2">
        <f>AVERAGE(30,35,45)/(0.002*10^-6)</f>
        <v>18333333333.333332</v>
      </c>
      <c r="E14" s="2">
        <f>AVERAGE(5,4,5)/(0.002*10^-6)</f>
        <v>2333333333.3333335</v>
      </c>
      <c r="F14" s="2">
        <f>AVERAGE(30,6,15)/(0.002*10^-6)</f>
        <v>8499999999.999999</v>
      </c>
      <c r="G14" s="4">
        <f>AVERAGE(2,1,2)/(0.002*10^-6)</f>
        <v>833333333.33333337</v>
      </c>
      <c r="H14" s="2">
        <f>B14/$B$11</f>
        <v>1200</v>
      </c>
      <c r="I14" s="2">
        <f>C14/$C$11</f>
        <v>2E-3</v>
      </c>
      <c r="J14" s="2" t="e">
        <f>D14/$D$11</f>
        <v>#DIV/0!</v>
      </c>
      <c r="K14" s="2">
        <f>E14/$E$11</f>
        <v>2800000</v>
      </c>
      <c r="L14" s="2">
        <f>F14/$F$11</f>
        <v>25500000</v>
      </c>
      <c r="M14" s="2">
        <f>G14/$G$11</f>
        <v>1250000.0000000002</v>
      </c>
      <c r="N14" s="8">
        <f>LOG(B14/$B$11,2)</f>
        <v>10.228818690495881</v>
      </c>
      <c r="O14" s="9">
        <f>LOG(C14/$C$11,2)</f>
        <v>-8.965784284662087</v>
      </c>
      <c r="P14" s="9" t="e">
        <f>LOG(D14/$D$11,2)</f>
        <v>#DIV/0!</v>
      </c>
      <c r="Q14" s="9">
        <f>LOG(E14/$E$11,2)</f>
        <v>21.416995396494418</v>
      </c>
      <c r="R14" s="9">
        <f>LOG(F14/$F$11,2)</f>
        <v>24.603993911295674</v>
      </c>
      <c r="S14" s="10">
        <f>LOG(G14/$G$11,2)</f>
        <v>20.253496664211539</v>
      </c>
    </row>
    <row r="15" spans="1:19" ht="17" thickBot="1" x14ac:dyDescent="0.25">
      <c r="A15" s="9">
        <v>48</v>
      </c>
      <c r="B15" s="5">
        <f>AVERAGE(4,0,4)/(0.002*10^-2)</f>
        <v>133333.33333333331</v>
      </c>
      <c r="C15" s="6">
        <v>1</v>
      </c>
      <c r="D15" s="6">
        <f>AVERAGE(3,8,6)/(0.002*10^-7)</f>
        <v>28333333333.333332</v>
      </c>
      <c r="E15" s="6">
        <f>AVERAGE(6,6,0)/(0.002*10^-5)</f>
        <v>200000000</v>
      </c>
      <c r="F15" s="6">
        <f>AVERAGE(2,3,2)/(0.002*10^-7)</f>
        <v>11666666666.666666</v>
      </c>
      <c r="G15" s="7">
        <f>AVERAGE(7,7,8)/(0.002*10^-5)</f>
        <v>366666666.66666663</v>
      </c>
      <c r="H15" s="6">
        <f>B15/$B$11</f>
        <v>399.99999999999994</v>
      </c>
      <c r="I15" s="6">
        <f>C15/$C$11</f>
        <v>2E-3</v>
      </c>
      <c r="J15" s="6" t="e">
        <f>D15/$D$11</f>
        <v>#DIV/0!</v>
      </c>
      <c r="K15" s="6">
        <f>E15/$E$11</f>
        <v>240000</v>
      </c>
      <c r="L15" s="6">
        <f>F15/$F$11</f>
        <v>35000000</v>
      </c>
      <c r="M15" s="6">
        <f>G15/$G$11</f>
        <v>550000</v>
      </c>
      <c r="N15" s="11">
        <f>LOG(B15/$B$11,2)</f>
        <v>8.6438561897747253</v>
      </c>
      <c r="O15" s="19">
        <f>LOG(C15/$C$11,2)</f>
        <v>-8.965784284662087</v>
      </c>
      <c r="P15" s="19" t="e">
        <f>LOG(D15/$D$11,2)</f>
        <v>#DIV/0!</v>
      </c>
      <c r="Q15" s="19">
        <f>LOG(E15/$E$11,2)</f>
        <v>17.872674880270608</v>
      </c>
      <c r="R15" s="19">
        <f>LOG(F15/$F$11,2)</f>
        <v>25.060851586269141</v>
      </c>
      <c r="S15" s="12">
        <f>LOG(G15/$G$11,2)</f>
        <v>19.069072093074109</v>
      </c>
    </row>
    <row r="16" spans="1:19" ht="17" thickBot="1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27" x14ac:dyDescent="0.2">
      <c r="A17" s="2" t="s">
        <v>32</v>
      </c>
      <c r="B17" s="28" t="s">
        <v>13</v>
      </c>
      <c r="C17" s="29"/>
      <c r="D17" s="29"/>
      <c r="E17" s="29"/>
      <c r="F17" s="29"/>
      <c r="G17" s="30"/>
      <c r="H17" s="29" t="s">
        <v>12</v>
      </c>
      <c r="I17" s="29"/>
      <c r="J17" s="29"/>
      <c r="K17" s="29"/>
      <c r="L17" s="29"/>
      <c r="M17" s="29"/>
      <c r="N17" s="31" t="s">
        <v>11</v>
      </c>
      <c r="O17" s="32"/>
      <c r="P17" s="32"/>
      <c r="Q17" s="32"/>
      <c r="R17" s="32"/>
      <c r="S17" s="33"/>
    </row>
    <row r="18" spans="1:27" ht="34" x14ac:dyDescent="0.2">
      <c r="A18" s="16" t="s">
        <v>15</v>
      </c>
      <c r="B18" s="15" t="s">
        <v>38</v>
      </c>
      <c r="C18" s="16" t="s">
        <v>39</v>
      </c>
      <c r="D18" s="16" t="s">
        <v>44</v>
      </c>
      <c r="E18" s="16" t="s">
        <v>41</v>
      </c>
      <c r="F18" s="16" t="s">
        <v>42</v>
      </c>
      <c r="G18" s="17" t="s">
        <v>43</v>
      </c>
      <c r="H18" s="16" t="s">
        <v>38</v>
      </c>
      <c r="I18" s="16" t="s">
        <v>39</v>
      </c>
      <c r="J18" s="16" t="s">
        <v>44</v>
      </c>
      <c r="K18" s="16" t="s">
        <v>41</v>
      </c>
      <c r="L18" s="16" t="s">
        <v>42</v>
      </c>
      <c r="M18" s="17" t="s">
        <v>43</v>
      </c>
      <c r="N18" s="15" t="s">
        <v>38</v>
      </c>
      <c r="O18" s="16" t="s">
        <v>39</v>
      </c>
      <c r="P18" s="16" t="s">
        <v>44</v>
      </c>
      <c r="Q18" s="16" t="s">
        <v>41</v>
      </c>
      <c r="R18" s="16" t="s">
        <v>42</v>
      </c>
      <c r="S18" s="17" t="s">
        <v>43</v>
      </c>
    </row>
    <row r="19" spans="1:27" x14ac:dyDescent="0.2">
      <c r="A19" s="2">
        <v>0</v>
      </c>
      <c r="B19" s="3">
        <f>AVERAGE(0,1,0)/(0.002*10^-1)</f>
        <v>1666.6666666666665</v>
      </c>
      <c r="C19" s="2">
        <f>AVERAGE(1,2,0)/(0.002*10^0)</f>
        <v>500</v>
      </c>
      <c r="D19" s="2">
        <v>0</v>
      </c>
      <c r="E19" s="2">
        <f>AVERAGE(3,1,1)/(0.002*10^0)</f>
        <v>833.33333333333337</v>
      </c>
      <c r="F19" s="2">
        <v>1</v>
      </c>
      <c r="G19" s="4">
        <f>AVERAGE(2,1,1)/(0.002*10^0)</f>
        <v>666.66666666666663</v>
      </c>
      <c r="H19" s="2">
        <f>B19/$B$19</f>
        <v>1</v>
      </c>
      <c r="I19" s="2">
        <f>C19/$C$19</f>
        <v>1</v>
      </c>
      <c r="J19" s="2" t="e">
        <f>D19/$D$19</f>
        <v>#DIV/0!</v>
      </c>
      <c r="K19" s="2">
        <f>E19/$E$19</f>
        <v>1</v>
      </c>
      <c r="L19" s="2">
        <f>F19/$F$19</f>
        <v>1</v>
      </c>
      <c r="M19" s="2">
        <f>G19/$G$19</f>
        <v>1</v>
      </c>
      <c r="N19" s="8">
        <f>LOG(B19/$B$19,2)</f>
        <v>0</v>
      </c>
      <c r="O19" s="9">
        <f>LOG(C19/$C$19,2)</f>
        <v>0</v>
      </c>
      <c r="P19" s="9" t="e">
        <f>LOG(D19/$D$19,2)</f>
        <v>#DIV/0!</v>
      </c>
      <c r="Q19" s="9">
        <f>LOG(E19/$E$19,2)</f>
        <v>0</v>
      </c>
      <c r="R19" s="9">
        <f>LOG(F19/$F$19,2)</f>
        <v>0</v>
      </c>
      <c r="S19" s="10">
        <f>LOG(G19/$G$19,2)</f>
        <v>0</v>
      </c>
    </row>
    <row r="20" spans="1:27" x14ac:dyDescent="0.2">
      <c r="A20" s="2">
        <v>2</v>
      </c>
      <c r="B20" s="3">
        <f>AVERAGE(2,1,0)/(0.002*10^0)</f>
        <v>500</v>
      </c>
      <c r="C20" s="2">
        <f>AVERAGE(1,0,0)/(0.002*10^0)</f>
        <v>166.66666666666666</v>
      </c>
      <c r="D20" s="2">
        <v>0</v>
      </c>
      <c r="E20" s="2">
        <f>AVERAGE(5,2,0)/(0.002*10^-1)</f>
        <v>11666.666666666666</v>
      </c>
      <c r="F20" s="2">
        <f>AVERAGE(4,2,3)/(0.002*10^0)</f>
        <v>1500</v>
      </c>
      <c r="G20" s="4">
        <f>AVERAGE(1,2,1)/(0.002*10^-2)</f>
        <v>66666.666666666657</v>
      </c>
      <c r="H20" s="2">
        <f>B20/$B$19</f>
        <v>0.30000000000000004</v>
      </c>
      <c r="I20" s="2">
        <f>C20/$C$19</f>
        <v>0.33333333333333331</v>
      </c>
      <c r="J20" s="2" t="e">
        <f>D20/$D$19</f>
        <v>#DIV/0!</v>
      </c>
      <c r="K20" s="2">
        <f>E20/$E$19</f>
        <v>13.999999999999998</v>
      </c>
      <c r="L20" s="2">
        <f>F20/$F$19</f>
        <v>1500</v>
      </c>
      <c r="M20" s="2">
        <f>G20/$G$19</f>
        <v>99.999999999999986</v>
      </c>
      <c r="N20" s="8">
        <f>LOG(B20/$B$19,2)</f>
        <v>-1.7369655941662061</v>
      </c>
      <c r="O20" s="9">
        <f>LOG(C20/$C$19,2)</f>
        <v>-1.5849625007211563</v>
      </c>
      <c r="P20" s="9" t="e">
        <f>LOG(D20/$D$19,2)</f>
        <v>#DIV/0!</v>
      </c>
      <c r="Q20" s="9">
        <f>LOG(E20/$E$19,2)</f>
        <v>3.8073549220576037</v>
      </c>
      <c r="R20" s="9">
        <f>LOG(F20/$F$19,2)</f>
        <v>10.550746785383243</v>
      </c>
      <c r="S20" s="10">
        <f>LOG(G20/$G19,2)</f>
        <v>6.6438561897747244</v>
      </c>
    </row>
    <row r="21" spans="1:27" x14ac:dyDescent="0.2">
      <c r="A21" s="2">
        <v>4</v>
      </c>
      <c r="B21" s="3">
        <f>AVERAGE(1,0,0)/(0.002*10^0)</f>
        <v>166.66666666666666</v>
      </c>
      <c r="C21" s="2">
        <f>AVERAGE(2,1,0)/(0.002*10^0)</f>
        <v>500</v>
      </c>
      <c r="D21" s="2">
        <f>AVERAGE(7,1,3)/(0.002*10^-1)</f>
        <v>18333.333333333332</v>
      </c>
      <c r="E21" s="2">
        <f>AVERAGE(25,20,17)/(0.002*10^-4)</f>
        <v>103333333.33333333</v>
      </c>
      <c r="F21" s="2">
        <f>AVERAGE(7,6,3)/(0.002*10^-2)</f>
        <v>266666.66666666663</v>
      </c>
      <c r="G21" s="4">
        <f>AVERAGE(14,19,17)/(0.002*10^-4)</f>
        <v>83333333.333333328</v>
      </c>
      <c r="H21" s="2">
        <f>B21/$B$19</f>
        <v>0.1</v>
      </c>
      <c r="I21" s="2">
        <f>C21/$C$19</f>
        <v>1</v>
      </c>
      <c r="J21" s="2" t="e">
        <f>D21/$D$19</f>
        <v>#DIV/0!</v>
      </c>
      <c r="K21" s="2">
        <f>E21/$E$19</f>
        <v>123999.99999999999</v>
      </c>
      <c r="L21" s="2">
        <f>F21/$F$19</f>
        <v>266666.66666666663</v>
      </c>
      <c r="M21" s="2">
        <f>G21/$G$19</f>
        <v>125000</v>
      </c>
      <c r="N21" s="8">
        <f>LOG(B21/$B$19,2)</f>
        <v>-3.3219280948873622</v>
      </c>
      <c r="O21" s="9">
        <f>LOG(C21/$C$19,2)</f>
        <v>0</v>
      </c>
      <c r="P21" s="9" t="e">
        <f>LOG(D21/$D$19,2)</f>
        <v>#DIV/0!</v>
      </c>
      <c r="Q21" s="9">
        <f>LOG(E21/$E$19,2)</f>
        <v>16.919980595048962</v>
      </c>
      <c r="R21" s="9">
        <f>LOG(F21/$F$19,2)</f>
        <v>18.024677973715654</v>
      </c>
      <c r="S21" s="10">
        <f>LOG(G21/$G19,2)</f>
        <v>16.931568569324174</v>
      </c>
    </row>
    <row r="22" spans="1:27" x14ac:dyDescent="0.2">
      <c r="A22" s="2">
        <v>24</v>
      </c>
      <c r="B22" s="3">
        <f>AVERAGE(5,12,8)/(0.002*10^-1)</f>
        <v>41666.666666666664</v>
      </c>
      <c r="C22" s="2">
        <v>1</v>
      </c>
      <c r="D22" s="2">
        <f>AVERAGE(32,45,36)/(0.002*10^-6)</f>
        <v>18833333333.333332</v>
      </c>
      <c r="E22" s="2">
        <f>AVERAGE(5,3,3)/(0.002*10^-6)</f>
        <v>1833333333.3333333</v>
      </c>
      <c r="F22" s="2">
        <f>AVERAGE(29,21,22)/(0.002*10^-6)</f>
        <v>12000000000</v>
      </c>
      <c r="G22" s="4">
        <f>AVERAGE(3,2,3)/(0.002*10^-6)</f>
        <v>1333333333.3333333</v>
      </c>
      <c r="H22" s="2">
        <f>B22/$B$19</f>
        <v>25</v>
      </c>
      <c r="I22" s="2">
        <f>C22/$C$19</f>
        <v>2E-3</v>
      </c>
      <c r="J22" s="2" t="e">
        <f>D22/$D$19</f>
        <v>#DIV/0!</v>
      </c>
      <c r="K22" s="2">
        <f>E22/$E$19</f>
        <v>2200000</v>
      </c>
      <c r="L22" s="2">
        <f>F22/$F$19</f>
        <v>12000000000</v>
      </c>
      <c r="M22" s="2">
        <f>G22/$G$19</f>
        <v>2000000</v>
      </c>
      <c r="N22" s="8">
        <f>LOG(B22/$B$19,2)</f>
        <v>4.6438561897747244</v>
      </c>
      <c r="O22" s="9">
        <f>LOG(C22/$C$19,2)</f>
        <v>-8.965784284662087</v>
      </c>
      <c r="P22" s="9" t="e">
        <f>LOG(D22/$D$19,2)</f>
        <v>#DIV/0!</v>
      </c>
      <c r="Q22" s="9">
        <f>LOG(E22/$E$19,2)</f>
        <v>21.069072093074109</v>
      </c>
      <c r="R22" s="9">
        <f>LOG(F22/$F$11,2)</f>
        <v>25.101493570766486</v>
      </c>
      <c r="S22" s="10">
        <f>LOG(G22/$G$19,2)</f>
        <v>20.931568569324174</v>
      </c>
    </row>
    <row r="23" spans="1:27" ht="17" thickBot="1" x14ac:dyDescent="0.25">
      <c r="A23" s="9">
        <v>48</v>
      </c>
      <c r="B23" s="5">
        <f>AVERAGE(3,7,6)/(0.002*10^-1)</f>
        <v>26666.666666666664</v>
      </c>
      <c r="C23" s="6">
        <v>1</v>
      </c>
      <c r="D23" s="6">
        <f>AVERAGE(3,0,3)/(0.002*10^-7)</f>
        <v>10000000000</v>
      </c>
      <c r="E23" s="6">
        <f>AVERAGE(6,8,9)/(0.002*10^-5)</f>
        <v>383333333.33333331</v>
      </c>
      <c r="F23" s="6">
        <f>AVERAGE(4,3,3)/(0.002*10^-7)</f>
        <v>16666666666.666666</v>
      </c>
      <c r="G23" s="7">
        <f>AVERAGE(7,7,6)/(0.002*10^-5)</f>
        <v>333333333.33333331</v>
      </c>
      <c r="H23" s="6">
        <f>B23/$B$19</f>
        <v>16</v>
      </c>
      <c r="I23" s="6">
        <f>C23/$C$19</f>
        <v>2E-3</v>
      </c>
      <c r="J23" s="6" t="e">
        <f>D23/$D$19</f>
        <v>#DIV/0!</v>
      </c>
      <c r="K23" s="6">
        <f>E23/$E$19</f>
        <v>459999.99999999994</v>
      </c>
      <c r="L23" s="6">
        <f>F23/$F$19</f>
        <v>16666666666.666666</v>
      </c>
      <c r="M23" s="6">
        <f>G23/$G$19</f>
        <v>500000</v>
      </c>
      <c r="N23" s="11">
        <f>LOG(B23/$B$19,2)</f>
        <v>4</v>
      </c>
      <c r="O23" s="19">
        <f>LOG(C23/$C$19,2)</f>
        <v>-8.965784284662087</v>
      </c>
      <c r="P23" s="19" t="e">
        <f>LOG(D23/$D$19,2)</f>
        <v>#DIV/0!</v>
      </c>
      <c r="Q23" s="19">
        <f>LOG(E23/$E$19,2)</f>
        <v>18.811274335606463</v>
      </c>
      <c r="R23" s="19">
        <f>LOG(F23/$F$11,2)</f>
        <v>25.575424759098901</v>
      </c>
      <c r="S23" s="12">
        <f>LOG(G23/$G$19,2)</f>
        <v>18.931568569324174</v>
      </c>
    </row>
    <row r="24" spans="1:27" ht="17" thickBot="1" x14ac:dyDescent="0.25"/>
    <row r="25" spans="1:27" x14ac:dyDescent="0.2">
      <c r="A25" t="s">
        <v>36</v>
      </c>
      <c r="B25" s="28" t="s">
        <v>13</v>
      </c>
      <c r="C25" s="29"/>
      <c r="D25" s="29"/>
      <c r="E25" s="29"/>
      <c r="F25" s="29"/>
      <c r="G25" s="30"/>
      <c r="M25" t="s">
        <v>36</v>
      </c>
      <c r="N25" s="31" t="s">
        <v>11</v>
      </c>
      <c r="O25" s="32"/>
      <c r="P25" s="32"/>
      <c r="Q25" s="32"/>
      <c r="R25" s="32"/>
      <c r="S25" s="33"/>
      <c r="U25" t="s">
        <v>37</v>
      </c>
      <c r="V25" s="31" t="s">
        <v>11</v>
      </c>
      <c r="W25" s="32"/>
      <c r="X25" s="32"/>
      <c r="Y25" s="32"/>
      <c r="Z25" s="32"/>
      <c r="AA25" s="33"/>
    </row>
    <row r="26" spans="1:27" ht="34" x14ac:dyDescent="0.2">
      <c r="A26" s="16" t="s">
        <v>15</v>
      </c>
      <c r="B26" s="15" t="s">
        <v>38</v>
      </c>
      <c r="C26" s="16" t="s">
        <v>39</v>
      </c>
      <c r="D26" s="16" t="s">
        <v>40</v>
      </c>
      <c r="E26" s="16" t="s">
        <v>41</v>
      </c>
      <c r="F26" s="16" t="s">
        <v>42</v>
      </c>
      <c r="G26" s="17" t="s">
        <v>43</v>
      </c>
      <c r="M26" s="16" t="s">
        <v>15</v>
      </c>
      <c r="N26" s="15" t="s">
        <v>38</v>
      </c>
      <c r="O26" s="16" t="s">
        <v>39</v>
      </c>
      <c r="P26" s="16" t="s">
        <v>40</v>
      </c>
      <c r="Q26" s="16" t="s">
        <v>41</v>
      </c>
      <c r="R26" s="16" t="s">
        <v>42</v>
      </c>
      <c r="S26" s="17" t="s">
        <v>43</v>
      </c>
      <c r="U26" s="16" t="s">
        <v>15</v>
      </c>
      <c r="V26" s="15" t="s">
        <v>38</v>
      </c>
      <c r="W26" s="16" t="s">
        <v>39</v>
      </c>
      <c r="X26" s="16" t="s">
        <v>47</v>
      </c>
      <c r="Y26" s="16" t="s">
        <v>41</v>
      </c>
      <c r="Z26" s="16" t="s">
        <v>42</v>
      </c>
      <c r="AA26" s="17" t="s">
        <v>43</v>
      </c>
    </row>
    <row r="27" spans="1:27" x14ac:dyDescent="0.2">
      <c r="A27" s="2">
        <v>0</v>
      </c>
      <c r="B27" s="3">
        <f t="shared" ref="B27:G31" si="0">AVERAGE(B19,B11,B3)</f>
        <v>666.99999999999989</v>
      </c>
      <c r="C27" s="2">
        <f t="shared" si="0"/>
        <v>333.66666666666669</v>
      </c>
      <c r="D27" s="2">
        <f t="shared" si="0"/>
        <v>0</v>
      </c>
      <c r="E27" s="2">
        <f t="shared" si="0"/>
        <v>888.88888888888903</v>
      </c>
      <c r="F27" s="2">
        <f t="shared" si="0"/>
        <v>167</v>
      </c>
      <c r="G27" s="4">
        <f t="shared" si="0"/>
        <v>611.11111111111109</v>
      </c>
      <c r="M27" s="2">
        <v>0</v>
      </c>
      <c r="N27" s="8">
        <f>LOG(B27/$B$27,2)</f>
        <v>0</v>
      </c>
      <c r="O27" s="9">
        <f>LOG(C27/$C$27,2)</f>
        <v>0</v>
      </c>
      <c r="P27" s="9" t="e">
        <f>LOG(D27/$D$27,2)</f>
        <v>#DIV/0!</v>
      </c>
      <c r="Q27" s="9">
        <f>LOG(E27/$E$27,2)</f>
        <v>0</v>
      </c>
      <c r="R27" s="9">
        <f>LOG(F27/$F$27,2)</f>
        <v>0</v>
      </c>
      <c r="S27" s="10">
        <f>LOG(G27/$G$27,2)</f>
        <v>0</v>
      </c>
      <c r="U27" s="2">
        <v>0</v>
      </c>
      <c r="V27" s="8">
        <f t="shared" ref="V27:AA27" si="1">STDEV(N3,N11,N19)</f>
        <v>0</v>
      </c>
      <c r="W27" s="9">
        <f t="shared" si="1"/>
        <v>0</v>
      </c>
      <c r="X27" s="9" t="e">
        <f t="shared" si="1"/>
        <v>#DIV/0!</v>
      </c>
      <c r="Y27" s="9">
        <f t="shared" si="1"/>
        <v>0</v>
      </c>
      <c r="Z27" s="9">
        <f t="shared" si="1"/>
        <v>0</v>
      </c>
      <c r="AA27" s="10">
        <f t="shared" si="1"/>
        <v>0</v>
      </c>
    </row>
    <row r="28" spans="1:27" x14ac:dyDescent="0.2">
      <c r="A28" s="2">
        <v>2</v>
      </c>
      <c r="B28" s="3">
        <f t="shared" si="0"/>
        <v>278.11111111111109</v>
      </c>
      <c r="C28" s="2">
        <f t="shared" si="0"/>
        <v>167</v>
      </c>
      <c r="D28" s="2">
        <f t="shared" si="0"/>
        <v>0</v>
      </c>
      <c r="E28" s="2">
        <f t="shared" si="0"/>
        <v>9999.9999999999982</v>
      </c>
      <c r="F28" s="2">
        <f t="shared" si="0"/>
        <v>500.66666666666669</v>
      </c>
      <c r="G28" s="4">
        <f t="shared" si="0"/>
        <v>177777.77777777778</v>
      </c>
      <c r="M28" s="2">
        <v>2</v>
      </c>
      <c r="N28" s="8">
        <f>LOG(B28/$B$27,2)</f>
        <v>-1.2620253769385654</v>
      </c>
      <c r="O28" s="9">
        <f>LOG(C28/$C$27,2)</f>
        <v>-0.99855946564078546</v>
      </c>
      <c r="P28" s="9" t="e">
        <f>LOG(D28/$D$27,2)</f>
        <v>#DIV/0!</v>
      </c>
      <c r="Q28" s="9">
        <f>LOG(E28/$E$27,2)</f>
        <v>3.4918530963296743</v>
      </c>
      <c r="R28" s="9">
        <f>LOG(F28/$F$27,2)</f>
        <v>1.5840023043190634</v>
      </c>
      <c r="S28" s="10">
        <f>LOG(G28/$G$27,2)</f>
        <v>8.1844245711374271</v>
      </c>
      <c r="U28" s="2">
        <v>2</v>
      </c>
      <c r="V28" s="8">
        <f t="shared" ref="V28:Y31" si="2">STDEV(N4,N12,N20)</f>
        <v>1.0028375533649774</v>
      </c>
      <c r="W28" s="9">
        <f t="shared" si="2"/>
        <v>8.7053444189379992</v>
      </c>
      <c r="X28" s="9" t="e">
        <f t="shared" si="2"/>
        <v>#DIV/0!</v>
      </c>
      <c r="Y28" s="9">
        <f>STDEV(Q4,Q12,Q20)</f>
        <v>0.68633191879351629</v>
      </c>
      <c r="Z28" s="9">
        <f t="shared" ref="Z28:AA31" si="3">STDEV(R4,R12,R20)</f>
        <v>10.653211095341142</v>
      </c>
      <c r="AA28" s="10">
        <f t="shared" si="3"/>
        <v>1.181652516218086</v>
      </c>
    </row>
    <row r="29" spans="1:27" x14ac:dyDescent="0.2">
      <c r="A29" s="2">
        <v>4</v>
      </c>
      <c r="B29" s="3">
        <f t="shared" si="0"/>
        <v>1166.9999999999998</v>
      </c>
      <c r="C29" s="2">
        <f t="shared" si="0"/>
        <v>500</v>
      </c>
      <c r="D29" s="2">
        <f t="shared" si="0"/>
        <v>20000</v>
      </c>
      <c r="E29" s="2">
        <f t="shared" si="0"/>
        <v>110000000</v>
      </c>
      <c r="F29" s="2">
        <f t="shared" si="0"/>
        <v>233333.33333333328</v>
      </c>
      <c r="G29" s="4">
        <f t="shared" si="0"/>
        <v>223888888.88888887</v>
      </c>
      <c r="M29" s="2">
        <v>4</v>
      </c>
      <c r="N29" s="8">
        <f>LOG(B29/$B$27,2)</f>
        <v>0.80704589452276321</v>
      </c>
      <c r="O29" s="9">
        <f>LOG(C29/$C$27,2)</f>
        <v>0.58352052654724962</v>
      </c>
      <c r="P29" s="9" t="e">
        <f>LOG(D29/$D$27,2)</f>
        <v>#DIV/0!</v>
      </c>
      <c r="Q29" s="9">
        <f>LOG(E29/$E$27,2)</f>
        <v>16.917068999629059</v>
      </c>
      <c r="R29" s="9">
        <f>LOG(F29/$F$27,2)</f>
        <v>10.448328603299208</v>
      </c>
      <c r="S29" s="10">
        <f>LOG(G29/$G$27,2)</f>
        <v>18.482916789440118</v>
      </c>
      <c r="U29" s="2">
        <v>4</v>
      </c>
      <c r="V29" s="8">
        <f t="shared" si="2"/>
        <v>10.445758344136543</v>
      </c>
      <c r="W29" s="9">
        <f t="shared" si="2"/>
        <v>5.5925375110905371</v>
      </c>
      <c r="X29" s="9" t="e">
        <f t="shared" si="2"/>
        <v>#DIV/0!</v>
      </c>
      <c r="Y29" s="9">
        <f t="shared" si="2"/>
        <v>0.3079088854598917</v>
      </c>
      <c r="Z29" s="9">
        <f t="shared" si="3"/>
        <v>5.0477417416522092</v>
      </c>
      <c r="AA29" s="10">
        <f t="shared" si="3"/>
        <v>1.1763706408473911</v>
      </c>
    </row>
    <row r="30" spans="1:27" x14ac:dyDescent="0.2">
      <c r="A30" s="2">
        <v>24</v>
      </c>
      <c r="B30" s="3">
        <f t="shared" si="0"/>
        <v>139036111.11111113</v>
      </c>
      <c r="C30" s="2">
        <f t="shared" si="0"/>
        <v>1</v>
      </c>
      <c r="D30" s="2">
        <f t="shared" si="0"/>
        <v>17777777777.777775</v>
      </c>
      <c r="E30" s="2">
        <f t="shared" si="0"/>
        <v>1544444444.4444447</v>
      </c>
      <c r="F30" s="2">
        <f t="shared" si="0"/>
        <v>12722222222.222223</v>
      </c>
      <c r="G30" s="4">
        <f t="shared" si="0"/>
        <v>1833333333.3333333</v>
      </c>
      <c r="M30" s="2">
        <v>24</v>
      </c>
      <c r="N30" s="8">
        <f>LOG(B30/$B$27,2)</f>
        <v>17.669341443056297</v>
      </c>
      <c r="O30" s="9">
        <f>LOG(C30/$C$27,2)</f>
        <v>-8.3822637581148385</v>
      </c>
      <c r="P30" s="9" t="e">
        <f>LOG(D30/$D$27,2)</f>
        <v>#DIV/0!</v>
      </c>
      <c r="Q30" s="9">
        <f>LOG(E30/$E$27,2)</f>
        <v>20.728581547160321</v>
      </c>
      <c r="R30" s="9">
        <f>LOG(F30/$F$27,2)</f>
        <v>26.182927348166839</v>
      </c>
      <c r="S30" s="10">
        <f>LOG(G30/$G$27,2)</f>
        <v>21.516531070045332</v>
      </c>
      <c r="U30" s="2">
        <v>24</v>
      </c>
      <c r="V30" s="8">
        <f t="shared" si="2"/>
        <v>12.553196849370051</v>
      </c>
      <c r="W30" s="9">
        <f t="shared" si="2"/>
        <v>5.1763979702457723</v>
      </c>
      <c r="X30" s="9" t="e">
        <f t="shared" si="2"/>
        <v>#DIV/0!</v>
      </c>
      <c r="Y30" s="9">
        <f t="shared" si="2"/>
        <v>1.4028201432268446</v>
      </c>
      <c r="Z30" s="9">
        <f t="shared" si="3"/>
        <v>1.0723739942301924</v>
      </c>
      <c r="AA30" s="10">
        <f t="shared" si="3"/>
        <v>1.2456080915723617</v>
      </c>
    </row>
    <row r="31" spans="1:27" ht="17" thickBot="1" x14ac:dyDescent="0.25">
      <c r="A31" s="9">
        <v>48</v>
      </c>
      <c r="B31" s="5">
        <f t="shared" si="0"/>
        <v>105608888.88888888</v>
      </c>
      <c r="C31" s="6">
        <f t="shared" si="0"/>
        <v>1</v>
      </c>
      <c r="D31" s="6">
        <f t="shared" si="0"/>
        <v>17777777777.777775</v>
      </c>
      <c r="E31" s="6">
        <f t="shared" si="0"/>
        <v>316666666.66666663</v>
      </c>
      <c r="F31" s="6">
        <f t="shared" si="0"/>
        <v>15000000000</v>
      </c>
      <c r="G31" s="7">
        <f t="shared" si="0"/>
        <v>361111111.1111111</v>
      </c>
      <c r="M31" s="9">
        <v>48</v>
      </c>
      <c r="N31" s="11">
        <f>LOG(B31/$B$27,2)</f>
        <v>17.272613076476404</v>
      </c>
      <c r="O31" s="19">
        <f>LOG(C31/$C$27,2)</f>
        <v>-8.3822637581148385</v>
      </c>
      <c r="P31" s="19" t="e">
        <f>LOG(D31/$D$27,2)</f>
        <v>#DIV/0!</v>
      </c>
      <c r="Q31" s="19">
        <f>LOG(E31/$E$27,2)</f>
        <v>18.442530488601552</v>
      </c>
      <c r="R31" s="19">
        <f>LOG(F31/$F$27,2)</f>
        <v>26.420539157120725</v>
      </c>
      <c r="S31" s="12">
        <f>LOG(G31/$G$27,2)</f>
        <v>19.172576668827972</v>
      </c>
      <c r="U31" s="9">
        <v>48</v>
      </c>
      <c r="V31" s="11">
        <f t="shared" si="2"/>
        <v>12.864749546337812</v>
      </c>
      <c r="W31" s="19">
        <f t="shared" si="2"/>
        <v>5.1763979702457723</v>
      </c>
      <c r="X31" s="19" t="e">
        <f t="shared" si="2"/>
        <v>#DIV/0!</v>
      </c>
      <c r="Y31" s="19">
        <f t="shared" si="2"/>
        <v>0.47642035254666226</v>
      </c>
      <c r="Z31" s="19">
        <f t="shared" si="3"/>
        <v>0.77014256754314558</v>
      </c>
      <c r="AA31" s="12">
        <f t="shared" si="3"/>
        <v>0.32372637663295917</v>
      </c>
    </row>
    <row r="32" spans="1:27" x14ac:dyDescent="0.2">
      <c r="C32" t="s">
        <v>45</v>
      </c>
      <c r="O32" s="9" t="s">
        <v>46</v>
      </c>
      <c r="W32" s="9" t="s">
        <v>46</v>
      </c>
    </row>
    <row r="33" spans="3:23" x14ac:dyDescent="0.2">
      <c r="C33" s="22">
        <f>AVERAGE(B27:C27)</f>
        <v>500.33333333333326</v>
      </c>
      <c r="O33" s="9">
        <f>LOG(C33/$C$33,2)</f>
        <v>0</v>
      </c>
      <c r="W33" s="23">
        <f>STDEV(N3,O3,N11,O11,N19,O19)</f>
        <v>0</v>
      </c>
    </row>
    <row r="34" spans="3:23" x14ac:dyDescent="0.2">
      <c r="C34" s="22">
        <f t="shared" ref="C34:C36" si="4">AVERAGE(B28:C28)</f>
        <v>222.55555555555554</v>
      </c>
      <c r="O34" s="9">
        <f t="shared" ref="O34:O37" si="5">LOG(C34/$C$33,2)</f>
        <v>-1.1687240565291368</v>
      </c>
      <c r="W34" s="23">
        <f t="shared" ref="W34:W37" si="6">STDEV(N4,O4,N12,O12,N20,O20)</f>
        <v>5.5427186746145827</v>
      </c>
    </row>
    <row r="35" spans="3:23" x14ac:dyDescent="0.2">
      <c r="C35" s="22">
        <f t="shared" si="4"/>
        <v>833.49999999999989</v>
      </c>
      <c r="O35" s="9">
        <f t="shared" si="5"/>
        <v>0.73629262808688467</v>
      </c>
      <c r="W35" s="23">
        <f t="shared" si="6"/>
        <v>7.6638790415272942</v>
      </c>
    </row>
    <row r="36" spans="3:23" x14ac:dyDescent="0.2">
      <c r="C36" s="22">
        <f t="shared" si="4"/>
        <v>69518056.055555567</v>
      </c>
      <c r="O36" s="9">
        <f t="shared" si="5"/>
        <v>17.084138643717754</v>
      </c>
      <c r="W36" s="23">
        <f t="shared" si="6"/>
        <v>14.127079260635236</v>
      </c>
    </row>
    <row r="37" spans="3:23" x14ac:dyDescent="0.2">
      <c r="C37" s="22">
        <f>AVERAGE(B31:C31)</f>
        <v>52804444.94444444</v>
      </c>
      <c r="O37" s="9">
        <f t="shared" si="5"/>
        <v>16.687410280422196</v>
      </c>
      <c r="W37" s="23">
        <f t="shared" si="6"/>
        <v>13.864375574007227</v>
      </c>
    </row>
    <row r="38" spans="3:23" x14ac:dyDescent="0.2">
      <c r="C38" s="22"/>
      <c r="O38" s="9"/>
      <c r="W38" s="23"/>
    </row>
  </sheetData>
  <mergeCells count="12">
    <mergeCell ref="V25:AA25"/>
    <mergeCell ref="B1:G1"/>
    <mergeCell ref="H1:M1"/>
    <mergeCell ref="N1:S1"/>
    <mergeCell ref="B9:G9"/>
    <mergeCell ref="H9:M9"/>
    <mergeCell ref="N9:S9"/>
    <mergeCell ref="B17:G17"/>
    <mergeCell ref="H17:M17"/>
    <mergeCell ref="N17:S17"/>
    <mergeCell ref="B25:G25"/>
    <mergeCell ref="N25:S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Previous attempts</vt:lpstr>
      <vt:lpstr>10-29-21</vt:lpstr>
      <vt:lpstr>11-2-21</vt:lpstr>
      <vt:lpstr>11-12-21</vt:lpstr>
      <vt:lpstr>11-18-21</vt:lpstr>
      <vt:lpstr>1-12-22 48 hour</vt:lpstr>
      <vt:lpstr>1-12-22 2 hour</vt:lpstr>
      <vt:lpstr>24Jan22 onS 2hour</vt:lpstr>
      <vt:lpstr>24Jan22 onS 48hour</vt:lpstr>
      <vt:lpstr>31Jan22 on S 2hour</vt:lpstr>
      <vt:lpstr>31Jan22 on S 24hour</vt:lpstr>
      <vt:lpstr>7Feb on Smono</vt:lpstr>
      <vt:lpstr>8Feb on coop</vt:lpstr>
      <vt:lpstr>9Feb on comp</vt:lpstr>
      <vt:lpstr>OD600 to CFU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2021-09-24T16:23:51Z</dcterms:created>
  <dcterms:modified xsi:type="dcterms:W3CDTF">2022-02-21T17:47:57Z</dcterms:modified>
</cp:coreProperties>
</file>