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sesi/Desktop/PhD/Projects/Host-Ecology-and-Host-Range/Experimental Data/25April2022 Phi vs P22 Flasks/"/>
    </mc:Choice>
  </mc:AlternateContent>
  <xr:revisionPtr revIDLastSave="0" documentId="13_ncr:1_{DA457979-261E-6042-87F7-627371DA35FC}" xr6:coauthVersionLast="47" xr6:coauthVersionMax="47" xr10:uidLastSave="{00000000-0000-0000-0000-000000000000}"/>
  <bookViews>
    <workbookView xWindow="1160" yWindow="980" windowWidth="27640" windowHeight="15480" xr2:uid="{B8A2C34B-9D00-2841-B4FB-B8F668B1F972}"/>
  </bookViews>
  <sheets>
    <sheet name="PFU_raw" sheetId="1" r:id="rId1"/>
    <sheet name="PFU_stat" sheetId="2" r:id="rId2"/>
    <sheet name="CFU_raw" sheetId="3" r:id="rId3"/>
    <sheet name="CFU_sta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2" i="3" l="1"/>
  <c r="B51" i="3"/>
  <c r="B50" i="3"/>
  <c r="C18" i="4" s="1"/>
  <c r="B49" i="3"/>
  <c r="B48" i="3"/>
  <c r="B47" i="3"/>
  <c r="C17" i="4" s="1"/>
  <c r="B46" i="3"/>
  <c r="B45" i="3"/>
  <c r="B44" i="3"/>
  <c r="C16" i="4" s="1"/>
  <c r="B82" i="3"/>
  <c r="B81" i="3"/>
  <c r="B80" i="3"/>
  <c r="C28" i="4" s="1"/>
  <c r="B91" i="3"/>
  <c r="B90" i="3"/>
  <c r="B89" i="3"/>
  <c r="C31" i="4" s="1"/>
  <c r="B88" i="3"/>
  <c r="B87" i="3"/>
  <c r="B86" i="3"/>
  <c r="C30" i="4" s="1"/>
  <c r="B85" i="3"/>
  <c r="B84" i="3"/>
  <c r="B83" i="3"/>
  <c r="C29" i="4" s="1"/>
  <c r="B79" i="3"/>
  <c r="B78" i="3"/>
  <c r="B77" i="3"/>
  <c r="C27" i="4" s="1"/>
  <c r="B76" i="3"/>
  <c r="B75" i="3"/>
  <c r="C26" i="4" s="1"/>
  <c r="B74" i="3"/>
  <c r="B73" i="3"/>
  <c r="B72" i="3"/>
  <c r="B71" i="3"/>
  <c r="C25" i="4" s="1"/>
  <c r="B70" i="3"/>
  <c r="B69" i="3"/>
  <c r="B68" i="3"/>
  <c r="C24" i="4" s="1"/>
  <c r="B66" i="3"/>
  <c r="B65" i="3"/>
  <c r="C23" i="4" s="1"/>
  <c r="B64" i="3"/>
  <c r="B63" i="3"/>
  <c r="B62" i="3"/>
  <c r="C22" i="4" s="1"/>
  <c r="B61" i="3"/>
  <c r="B60" i="3"/>
  <c r="B59" i="3"/>
  <c r="C21" i="4" s="1"/>
  <c r="B58" i="3"/>
  <c r="B57" i="3"/>
  <c r="B56" i="3"/>
  <c r="C20" i="4" s="1"/>
  <c r="B55" i="3"/>
  <c r="B54" i="3"/>
  <c r="B53" i="3"/>
  <c r="C19" i="4" s="1"/>
  <c r="B67" i="3"/>
  <c r="B40" i="3"/>
  <c r="B39" i="3"/>
  <c r="B38" i="3"/>
  <c r="C14" i="4" s="1"/>
  <c r="B37" i="3"/>
  <c r="B36" i="3"/>
  <c r="B35" i="3"/>
  <c r="C13" i="4" s="1"/>
  <c r="B34" i="3"/>
  <c r="B33" i="3"/>
  <c r="B32" i="3"/>
  <c r="C12" i="4" s="1"/>
  <c r="B31" i="3"/>
  <c r="B30" i="3"/>
  <c r="B29" i="3"/>
  <c r="C11" i="4" s="1"/>
  <c r="B28" i="3"/>
  <c r="B27" i="3"/>
  <c r="B26" i="3"/>
  <c r="C10" i="4" s="1"/>
  <c r="B25" i="3"/>
  <c r="B24" i="3"/>
  <c r="B23" i="3"/>
  <c r="C9" i="4" s="1"/>
  <c r="B22" i="3"/>
  <c r="B21" i="3"/>
  <c r="B20" i="3"/>
  <c r="C8" i="4" s="1"/>
  <c r="B19" i="3"/>
  <c r="B18" i="3"/>
  <c r="B17" i="3"/>
  <c r="C7" i="4" s="1"/>
  <c r="B16" i="3"/>
  <c r="B15" i="3"/>
  <c r="B14" i="3"/>
  <c r="C6" i="4" s="1"/>
  <c r="B13" i="3"/>
  <c r="B12" i="3"/>
  <c r="B11" i="3"/>
  <c r="B5" i="4" s="1"/>
  <c r="B10" i="3"/>
  <c r="B9" i="3"/>
  <c r="B8" i="3"/>
  <c r="C4" i="4" s="1"/>
  <c r="B7" i="3"/>
  <c r="B6" i="3"/>
  <c r="B5" i="3"/>
  <c r="C3" i="4" s="1"/>
  <c r="B43" i="3"/>
  <c r="B42" i="3"/>
  <c r="B41" i="3"/>
  <c r="C15" i="4" s="1"/>
  <c r="B4" i="3"/>
  <c r="B3" i="3"/>
  <c r="B2" i="3"/>
  <c r="B2" i="4" s="1"/>
  <c r="B16" i="2"/>
  <c r="B9" i="2"/>
  <c r="B6" i="2"/>
  <c r="C2" i="2"/>
  <c r="B64" i="1"/>
  <c r="B62" i="1"/>
  <c r="C22" i="2" s="1"/>
  <c r="B24" i="1"/>
  <c r="B46" i="1"/>
  <c r="B45" i="1"/>
  <c r="B44" i="1"/>
  <c r="C16" i="2" s="1"/>
  <c r="B43" i="1"/>
  <c r="B42" i="1"/>
  <c r="B41" i="1"/>
  <c r="C15" i="2" s="1"/>
  <c r="B79" i="1"/>
  <c r="B78" i="1"/>
  <c r="B77" i="1"/>
  <c r="C27" i="2" s="1"/>
  <c r="B76" i="1"/>
  <c r="B75" i="1"/>
  <c r="B74" i="1"/>
  <c r="C26" i="2" s="1"/>
  <c r="B73" i="1"/>
  <c r="B72" i="1"/>
  <c r="B71" i="1"/>
  <c r="B25" i="2" s="1"/>
  <c r="B70" i="1"/>
  <c r="B69" i="1"/>
  <c r="B68" i="1"/>
  <c r="C24" i="2" s="1"/>
  <c r="B67" i="1"/>
  <c r="B66" i="1"/>
  <c r="B23" i="2" s="1"/>
  <c r="B65" i="1"/>
  <c r="C23" i="2" s="1"/>
  <c r="B63" i="1"/>
  <c r="B61" i="1"/>
  <c r="B60" i="1"/>
  <c r="B59" i="1"/>
  <c r="B21" i="2" s="1"/>
  <c r="B58" i="1"/>
  <c r="B20" i="2" s="1"/>
  <c r="B57" i="1"/>
  <c r="C20" i="2" s="1"/>
  <c r="B56" i="1"/>
  <c r="B55" i="1"/>
  <c r="B54" i="1"/>
  <c r="B53" i="1"/>
  <c r="C19" i="2" s="1"/>
  <c r="B52" i="1"/>
  <c r="B51" i="1"/>
  <c r="B50" i="1"/>
  <c r="C18" i="2" s="1"/>
  <c r="B49" i="1"/>
  <c r="B48" i="1"/>
  <c r="B17" i="2" s="1"/>
  <c r="B47" i="1"/>
  <c r="B40" i="1"/>
  <c r="B14" i="2" s="1"/>
  <c r="B39" i="1"/>
  <c r="B38" i="1"/>
  <c r="C14" i="2" s="1"/>
  <c r="B37" i="1"/>
  <c r="B36" i="1"/>
  <c r="C13" i="2" s="1"/>
  <c r="B35" i="1"/>
  <c r="B13" i="2" s="1"/>
  <c r="B34" i="1"/>
  <c r="B33" i="1"/>
  <c r="B32" i="1"/>
  <c r="C12" i="2" s="1"/>
  <c r="B31" i="1"/>
  <c r="B30" i="1"/>
  <c r="B29" i="1"/>
  <c r="C11" i="2" s="1"/>
  <c r="B28" i="1"/>
  <c r="B27" i="1"/>
  <c r="B26" i="1"/>
  <c r="B10" i="2" s="1"/>
  <c r="D10" i="2" s="1"/>
  <c r="B25" i="1"/>
  <c r="B23" i="1"/>
  <c r="C9" i="2" s="1"/>
  <c r="B22" i="1"/>
  <c r="B21" i="1"/>
  <c r="B20" i="1"/>
  <c r="C8" i="2" s="1"/>
  <c r="B19" i="1"/>
  <c r="B18" i="1"/>
  <c r="B17" i="1"/>
  <c r="B7" i="2" s="1"/>
  <c r="D7" i="2" s="1"/>
  <c r="B16" i="1"/>
  <c r="B15" i="1"/>
  <c r="B14" i="1"/>
  <c r="C6" i="2" s="1"/>
  <c r="B4" i="1"/>
  <c r="B3" i="1"/>
  <c r="B2" i="1"/>
  <c r="B2" i="2" s="1"/>
  <c r="B13" i="1"/>
  <c r="B12" i="1"/>
  <c r="B5" i="2" s="1"/>
  <c r="B11" i="1"/>
  <c r="C5" i="2" s="1"/>
  <c r="B10" i="1"/>
  <c r="B4" i="2" s="1"/>
  <c r="D4" i="2" s="1"/>
  <c r="B9" i="1"/>
  <c r="B8" i="1"/>
  <c r="C4" i="2" s="1"/>
  <c r="B7" i="1"/>
  <c r="B5" i="1"/>
  <c r="B3" i="2" s="1"/>
  <c r="B6" i="1"/>
  <c r="D2" i="2" l="1"/>
  <c r="C25" i="2"/>
  <c r="C2" i="4"/>
  <c r="C5" i="4"/>
  <c r="B9" i="4"/>
  <c r="B12" i="4"/>
  <c r="D12" i="4" s="1"/>
  <c r="B16" i="4"/>
  <c r="B20" i="4"/>
  <c r="B24" i="4"/>
  <c r="B28" i="4"/>
  <c r="C17" i="2"/>
  <c r="C21" i="2"/>
  <c r="C7" i="2"/>
  <c r="B11" i="2"/>
  <c r="B18" i="2"/>
  <c r="D5" i="2" s="1"/>
  <c r="B22" i="2"/>
  <c r="D9" i="2" s="1"/>
  <c r="B26" i="2"/>
  <c r="D13" i="2" s="1"/>
  <c r="B6" i="4"/>
  <c r="D6" i="4" s="1"/>
  <c r="C3" i="2"/>
  <c r="C10" i="2"/>
  <c r="B3" i="4"/>
  <c r="B10" i="4"/>
  <c r="D10" i="4" s="1"/>
  <c r="B13" i="4"/>
  <c r="D13" i="4" s="1"/>
  <c r="B17" i="4"/>
  <c r="B21" i="4"/>
  <c r="D5" i="4" s="1"/>
  <c r="B25" i="4"/>
  <c r="B29" i="4"/>
  <c r="B27" i="2"/>
  <c r="D14" i="2" s="1"/>
  <c r="B7" i="4"/>
  <c r="B8" i="2"/>
  <c r="D8" i="2" s="1"/>
  <c r="B12" i="2"/>
  <c r="D12" i="2" s="1"/>
  <c r="B15" i="2"/>
  <c r="B19" i="2"/>
  <c r="D6" i="2" s="1"/>
  <c r="B14" i="4"/>
  <c r="D14" i="4" s="1"/>
  <c r="B18" i="4"/>
  <c r="B22" i="4"/>
  <c r="B26" i="4"/>
  <c r="B30" i="4"/>
  <c r="B4" i="4"/>
  <c r="B11" i="4"/>
  <c r="D11" i="4" s="1"/>
  <c r="D3" i="2"/>
  <c r="B24" i="2"/>
  <c r="B8" i="4"/>
  <c r="B15" i="4"/>
  <c r="D2" i="4" s="1"/>
  <c r="B19" i="4"/>
  <c r="B23" i="4"/>
  <c r="B27" i="4"/>
  <c r="B31" i="4"/>
  <c r="D4" i="4" l="1"/>
  <c r="D7" i="4"/>
  <c r="D3" i="4"/>
  <c r="D9" i="4"/>
  <c r="D8" i="4"/>
  <c r="D11" i="2"/>
</calcChain>
</file>

<file path=xl/sharedStrings.xml><?xml version="1.0" encoding="utf-8"?>
<sst xmlns="http://schemas.openxmlformats.org/spreadsheetml/2006/main" count="466" uniqueCount="27">
  <si>
    <t>Condition</t>
  </si>
  <si>
    <t>E</t>
  </si>
  <si>
    <t>S</t>
  </si>
  <si>
    <t>S1</t>
  </si>
  <si>
    <t>PFU</t>
  </si>
  <si>
    <t>Plate</t>
  </si>
  <si>
    <t>S2</t>
  </si>
  <si>
    <t>S3</t>
  </si>
  <si>
    <t>Coop1</t>
  </si>
  <si>
    <t>Coop2</t>
  </si>
  <si>
    <t>Coop3</t>
  </si>
  <si>
    <t>Comp1</t>
  </si>
  <si>
    <t>Comp2</t>
  </si>
  <si>
    <t>Comp3</t>
  </si>
  <si>
    <t>Fac1</t>
  </si>
  <si>
    <t>Fac2</t>
  </si>
  <si>
    <t>Fac3</t>
  </si>
  <si>
    <t>Rep</t>
  </si>
  <si>
    <t>Start</t>
  </si>
  <si>
    <t>Average</t>
  </si>
  <si>
    <t>STDEV</t>
  </si>
  <si>
    <t>Percent Gen</t>
  </si>
  <si>
    <t>S control</t>
  </si>
  <si>
    <t>Coop control</t>
  </si>
  <si>
    <t>Comp control</t>
  </si>
  <si>
    <t>Fac control</t>
  </si>
  <si>
    <t>Percent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</si>
</sst>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BC66C-70BA-B048-9645-F9E2EDEDECDD}">
  <dimension ref="A1:D79"/>
  <sheetViews>
    <sheetView tabSelected="1" workbookViewId="0">
      <selection activeCell="B13" sqref="B13"/>
    </sheetView>
  </sheetViews>
  <sheetFormatPr baseColWidth="10" defaultRowHeight="16" x14ac:dyDescent="0.2"/>
  <cols>
    <col min="2" max="2" width="12.1640625" bestFit="1" customWidth="1"/>
    <col min="9" max="10" width="11.1640625" bestFit="1" customWidth="1"/>
  </cols>
  <sheetData>
    <row r="1" spans="1:4" x14ac:dyDescent="0.2">
      <c r="A1" t="s">
        <v>0</v>
      </c>
      <c r="B1" t="s">
        <v>4</v>
      </c>
      <c r="C1" t="s">
        <v>5</v>
      </c>
      <c r="D1" t="s">
        <v>17</v>
      </c>
    </row>
    <row r="2" spans="1:4" x14ac:dyDescent="0.2">
      <c r="A2" t="s">
        <v>18</v>
      </c>
      <c r="B2">
        <f>1/(0.02*10^0)</f>
        <v>50</v>
      </c>
      <c r="C2" t="s">
        <v>1</v>
      </c>
      <c r="D2">
        <v>1</v>
      </c>
    </row>
    <row r="3" spans="1:4" x14ac:dyDescent="0.2">
      <c r="A3" t="s">
        <v>18</v>
      </c>
      <c r="B3">
        <f>0/(0.02*10^0)</f>
        <v>0</v>
      </c>
      <c r="C3" t="s">
        <v>1</v>
      </c>
      <c r="D3">
        <v>2</v>
      </c>
    </row>
    <row r="4" spans="1:4" x14ac:dyDescent="0.2">
      <c r="A4" t="s">
        <v>18</v>
      </c>
      <c r="B4">
        <f>0/(0.02*10^0)</f>
        <v>0</v>
      </c>
      <c r="C4" t="s">
        <v>1</v>
      </c>
      <c r="D4">
        <v>3</v>
      </c>
    </row>
    <row r="5" spans="1:4" x14ac:dyDescent="0.2">
      <c r="A5" t="s">
        <v>3</v>
      </c>
      <c r="B5">
        <f>7/(0.002*10^-5)</f>
        <v>350000000</v>
      </c>
      <c r="C5" t="s">
        <v>1</v>
      </c>
      <c r="D5">
        <v>1</v>
      </c>
    </row>
    <row r="6" spans="1:4" x14ac:dyDescent="0.2">
      <c r="A6" t="s">
        <v>3</v>
      </c>
      <c r="B6">
        <f>11/(0.002*10^-5)</f>
        <v>550000000</v>
      </c>
      <c r="C6" t="s">
        <v>1</v>
      </c>
      <c r="D6">
        <v>2</v>
      </c>
    </row>
    <row r="7" spans="1:4" x14ac:dyDescent="0.2">
      <c r="A7" t="s">
        <v>3</v>
      </c>
      <c r="B7">
        <f>9/(0.002*10^-5)</f>
        <v>450000000</v>
      </c>
      <c r="C7" t="s">
        <v>1</v>
      </c>
      <c r="D7">
        <v>3</v>
      </c>
    </row>
    <row r="8" spans="1:4" x14ac:dyDescent="0.2">
      <c r="A8" t="s">
        <v>6</v>
      </c>
      <c r="B8">
        <f>8/(0.002*10^-5)</f>
        <v>400000000</v>
      </c>
      <c r="C8" t="s">
        <v>1</v>
      </c>
      <c r="D8">
        <v>1</v>
      </c>
    </row>
    <row r="9" spans="1:4" x14ac:dyDescent="0.2">
      <c r="A9" t="s">
        <v>6</v>
      </c>
      <c r="B9">
        <f>4/(0.002*10^-5)</f>
        <v>200000000</v>
      </c>
      <c r="C9" t="s">
        <v>1</v>
      </c>
      <c r="D9">
        <v>2</v>
      </c>
    </row>
    <row r="10" spans="1:4" x14ac:dyDescent="0.2">
      <c r="A10" t="s">
        <v>6</v>
      </c>
      <c r="B10">
        <f>2/(0.002*10^-5)</f>
        <v>100000000</v>
      </c>
      <c r="C10" t="s">
        <v>1</v>
      </c>
      <c r="D10">
        <v>3</v>
      </c>
    </row>
    <row r="11" spans="1:4" x14ac:dyDescent="0.2">
      <c r="A11" t="s">
        <v>7</v>
      </c>
      <c r="B11">
        <f>9/(0.002*10^-5)</f>
        <v>450000000</v>
      </c>
      <c r="C11" t="s">
        <v>1</v>
      </c>
      <c r="D11">
        <v>1</v>
      </c>
    </row>
    <row r="12" spans="1:4" x14ac:dyDescent="0.2">
      <c r="A12" t="s">
        <v>7</v>
      </c>
      <c r="B12">
        <f>11/(0.002*10^-5)</f>
        <v>550000000</v>
      </c>
      <c r="C12" t="s">
        <v>1</v>
      </c>
      <c r="D12">
        <v>2</v>
      </c>
    </row>
    <row r="13" spans="1:4" x14ac:dyDescent="0.2">
      <c r="A13" t="s">
        <v>7</v>
      </c>
      <c r="B13">
        <f>7/(0.002*10^-5)</f>
        <v>350000000</v>
      </c>
      <c r="C13" t="s">
        <v>1</v>
      </c>
      <c r="D13">
        <v>3</v>
      </c>
    </row>
    <row r="14" spans="1:4" x14ac:dyDescent="0.2">
      <c r="A14" t="s">
        <v>8</v>
      </c>
      <c r="B14">
        <f>18/(0.002*10^-6)</f>
        <v>9000000000</v>
      </c>
      <c r="C14" t="s">
        <v>1</v>
      </c>
      <c r="D14">
        <v>1</v>
      </c>
    </row>
    <row r="15" spans="1:4" x14ac:dyDescent="0.2">
      <c r="A15" t="s">
        <v>8</v>
      </c>
      <c r="B15">
        <f>12/(0.002*10^-6)</f>
        <v>6000000000</v>
      </c>
      <c r="C15" t="s">
        <v>1</v>
      </c>
      <c r="D15">
        <v>2</v>
      </c>
    </row>
    <row r="16" spans="1:4" x14ac:dyDescent="0.2">
      <c r="A16" t="s">
        <v>8</v>
      </c>
      <c r="B16">
        <f>11/(0.002*10^-6)</f>
        <v>5500000000</v>
      </c>
      <c r="C16" t="s">
        <v>1</v>
      </c>
      <c r="D16">
        <v>3</v>
      </c>
    </row>
    <row r="17" spans="1:4" x14ac:dyDescent="0.2">
      <c r="A17" t="s">
        <v>9</v>
      </c>
      <c r="B17">
        <f>19/(0.002*10^-6)</f>
        <v>9500000000</v>
      </c>
      <c r="C17" t="s">
        <v>1</v>
      </c>
      <c r="D17">
        <v>1</v>
      </c>
    </row>
    <row r="18" spans="1:4" x14ac:dyDescent="0.2">
      <c r="A18" t="s">
        <v>9</v>
      </c>
      <c r="B18">
        <f>21/(0.002*10^-6)</f>
        <v>10500000000</v>
      </c>
      <c r="C18" t="s">
        <v>1</v>
      </c>
      <c r="D18">
        <v>2</v>
      </c>
    </row>
    <row r="19" spans="1:4" x14ac:dyDescent="0.2">
      <c r="A19" t="s">
        <v>9</v>
      </c>
      <c r="B19">
        <f>17/(0.002*10^-6)</f>
        <v>8499999999.999999</v>
      </c>
      <c r="C19" t="s">
        <v>1</v>
      </c>
      <c r="D19">
        <v>3</v>
      </c>
    </row>
    <row r="20" spans="1:4" x14ac:dyDescent="0.2">
      <c r="A20" t="s">
        <v>10</v>
      </c>
      <c r="B20">
        <f>6/(0.002*10^-6)</f>
        <v>3000000000</v>
      </c>
      <c r="C20" t="s">
        <v>1</v>
      </c>
      <c r="D20">
        <v>1</v>
      </c>
    </row>
    <row r="21" spans="1:4" x14ac:dyDescent="0.2">
      <c r="A21" t="s">
        <v>10</v>
      </c>
      <c r="B21">
        <f>8/(0.002*10^-6)</f>
        <v>3999999999.9999995</v>
      </c>
      <c r="C21" t="s">
        <v>1</v>
      </c>
      <c r="D21">
        <v>2</v>
      </c>
    </row>
    <row r="22" spans="1:4" x14ac:dyDescent="0.2">
      <c r="A22" t="s">
        <v>10</v>
      </c>
      <c r="B22">
        <f>7/(0.002*10^-6)</f>
        <v>3500000000</v>
      </c>
      <c r="C22" t="s">
        <v>1</v>
      </c>
      <c r="D22">
        <v>3</v>
      </c>
    </row>
    <row r="23" spans="1:4" x14ac:dyDescent="0.2">
      <c r="A23" t="s">
        <v>11</v>
      </c>
      <c r="B23">
        <f>2/(0.002*10^-6)</f>
        <v>999999999.99999988</v>
      </c>
      <c r="C23" t="s">
        <v>1</v>
      </c>
      <c r="D23">
        <v>1</v>
      </c>
    </row>
    <row r="24" spans="1:4" x14ac:dyDescent="0.2">
      <c r="A24" t="s">
        <v>11</v>
      </c>
      <c r="B24">
        <f>1/(0.002*10^-6)</f>
        <v>499999999.99999994</v>
      </c>
      <c r="C24" t="s">
        <v>1</v>
      </c>
      <c r="D24">
        <v>2</v>
      </c>
    </row>
    <row r="25" spans="1:4" x14ac:dyDescent="0.2">
      <c r="A25" t="s">
        <v>11</v>
      </c>
      <c r="B25">
        <f>1/(0.002*10^-6)</f>
        <v>499999999.99999994</v>
      </c>
      <c r="C25" t="s">
        <v>1</v>
      </c>
      <c r="D25">
        <v>3</v>
      </c>
    </row>
    <row r="26" spans="1:4" x14ac:dyDescent="0.2">
      <c r="A26" t="s">
        <v>12</v>
      </c>
      <c r="B26">
        <f>4/(0.002*10^-6)</f>
        <v>1999999999.9999998</v>
      </c>
      <c r="C26" t="s">
        <v>1</v>
      </c>
      <c r="D26">
        <v>1</v>
      </c>
    </row>
    <row r="27" spans="1:4" x14ac:dyDescent="0.2">
      <c r="A27" t="s">
        <v>12</v>
      </c>
      <c r="B27">
        <f>5/(0.002*10^-6)</f>
        <v>2500000000</v>
      </c>
      <c r="C27" t="s">
        <v>1</v>
      </c>
      <c r="D27">
        <v>2</v>
      </c>
    </row>
    <row r="28" spans="1:4" x14ac:dyDescent="0.2">
      <c r="A28" t="s">
        <v>12</v>
      </c>
      <c r="B28">
        <f>7/(0.002*10^-6)</f>
        <v>3500000000</v>
      </c>
      <c r="C28" t="s">
        <v>1</v>
      </c>
      <c r="D28">
        <v>3</v>
      </c>
    </row>
    <row r="29" spans="1:4" x14ac:dyDescent="0.2">
      <c r="A29" t="s">
        <v>13</v>
      </c>
      <c r="B29">
        <f>7/(0.002*10^-6)</f>
        <v>3500000000</v>
      </c>
      <c r="C29" t="s">
        <v>1</v>
      </c>
      <c r="D29">
        <v>1</v>
      </c>
    </row>
    <row r="30" spans="1:4" x14ac:dyDescent="0.2">
      <c r="A30" t="s">
        <v>13</v>
      </c>
      <c r="B30">
        <f>4/(0.002*10^-6)</f>
        <v>1999999999.9999998</v>
      </c>
      <c r="C30" t="s">
        <v>1</v>
      </c>
      <c r="D30">
        <v>2</v>
      </c>
    </row>
    <row r="31" spans="1:4" x14ac:dyDescent="0.2">
      <c r="A31" t="s">
        <v>13</v>
      </c>
      <c r="B31">
        <f>10/(0.002*10^-6)</f>
        <v>5000000000</v>
      </c>
      <c r="C31" t="s">
        <v>1</v>
      </c>
      <c r="D31">
        <v>3</v>
      </c>
    </row>
    <row r="32" spans="1:4" x14ac:dyDescent="0.2">
      <c r="A32" t="s">
        <v>14</v>
      </c>
      <c r="B32">
        <f>11/(0.002*10^-5)</f>
        <v>550000000</v>
      </c>
      <c r="C32" t="s">
        <v>1</v>
      </c>
      <c r="D32">
        <v>1</v>
      </c>
    </row>
    <row r="33" spans="1:4" x14ac:dyDescent="0.2">
      <c r="A33" t="s">
        <v>14</v>
      </c>
      <c r="B33">
        <f>17/(0.002*10^-5)</f>
        <v>850000000</v>
      </c>
      <c r="C33" t="s">
        <v>1</v>
      </c>
      <c r="D33">
        <v>2</v>
      </c>
    </row>
    <row r="34" spans="1:4" x14ac:dyDescent="0.2">
      <c r="A34" t="s">
        <v>14</v>
      </c>
      <c r="B34">
        <f>13/(0.002*10^-5)</f>
        <v>650000000</v>
      </c>
      <c r="C34" t="s">
        <v>1</v>
      </c>
      <c r="D34">
        <v>3</v>
      </c>
    </row>
    <row r="35" spans="1:4" x14ac:dyDescent="0.2">
      <c r="A35" t="s">
        <v>15</v>
      </c>
      <c r="B35">
        <f>17/(0.002*10^-5)</f>
        <v>850000000</v>
      </c>
      <c r="C35" t="s">
        <v>1</v>
      </c>
      <c r="D35">
        <v>1</v>
      </c>
    </row>
    <row r="36" spans="1:4" x14ac:dyDescent="0.2">
      <c r="A36" t="s">
        <v>15</v>
      </c>
      <c r="B36">
        <f>6/(0.002*10^-5)</f>
        <v>300000000</v>
      </c>
      <c r="C36" t="s">
        <v>1</v>
      </c>
      <c r="D36">
        <v>2</v>
      </c>
    </row>
    <row r="37" spans="1:4" x14ac:dyDescent="0.2">
      <c r="A37" t="s">
        <v>15</v>
      </c>
      <c r="B37">
        <f>11/(0.002*10^-5)</f>
        <v>550000000</v>
      </c>
      <c r="C37" t="s">
        <v>1</v>
      </c>
      <c r="D37">
        <v>3</v>
      </c>
    </row>
    <row r="38" spans="1:4" x14ac:dyDescent="0.2">
      <c r="A38" t="s">
        <v>16</v>
      </c>
      <c r="B38">
        <f>6/(0.002*10^-5)</f>
        <v>300000000</v>
      </c>
      <c r="C38" t="s">
        <v>1</v>
      </c>
      <c r="D38">
        <v>1</v>
      </c>
    </row>
    <row r="39" spans="1:4" x14ac:dyDescent="0.2">
      <c r="A39" t="s">
        <v>16</v>
      </c>
      <c r="B39">
        <f>12/(0.002*10^-5)</f>
        <v>600000000</v>
      </c>
      <c r="C39" t="s">
        <v>1</v>
      </c>
      <c r="D39">
        <v>2</v>
      </c>
    </row>
    <row r="40" spans="1:4" x14ac:dyDescent="0.2">
      <c r="A40" t="s">
        <v>16</v>
      </c>
      <c r="B40">
        <f>9/(0.002*10^-5)</f>
        <v>450000000</v>
      </c>
      <c r="C40" t="s">
        <v>1</v>
      </c>
      <c r="D40">
        <v>3</v>
      </c>
    </row>
    <row r="41" spans="1:4" x14ac:dyDescent="0.2">
      <c r="A41" t="s">
        <v>18</v>
      </c>
      <c r="B41">
        <f>1/(0.02*10^0)</f>
        <v>50</v>
      </c>
      <c r="C41" t="s">
        <v>2</v>
      </c>
      <c r="D41">
        <v>1</v>
      </c>
    </row>
    <row r="42" spans="1:4" x14ac:dyDescent="0.2">
      <c r="A42" t="s">
        <v>18</v>
      </c>
      <c r="B42">
        <f>0/(0.02*10^0)</f>
        <v>0</v>
      </c>
      <c r="C42" t="s">
        <v>2</v>
      </c>
      <c r="D42">
        <v>2</v>
      </c>
    </row>
    <row r="43" spans="1:4" x14ac:dyDescent="0.2">
      <c r="A43" t="s">
        <v>18</v>
      </c>
      <c r="B43">
        <f>0/(0.02*10^0)</f>
        <v>0</v>
      </c>
      <c r="C43" t="s">
        <v>2</v>
      </c>
      <c r="D43">
        <v>3</v>
      </c>
    </row>
    <row r="44" spans="1:4" x14ac:dyDescent="0.2">
      <c r="A44" t="s">
        <v>3</v>
      </c>
      <c r="B44">
        <f>5/(0.002*10^-6)</f>
        <v>2500000000</v>
      </c>
      <c r="C44" t="s">
        <v>2</v>
      </c>
      <c r="D44">
        <v>1</v>
      </c>
    </row>
    <row r="45" spans="1:4" x14ac:dyDescent="0.2">
      <c r="A45" t="s">
        <v>3</v>
      </c>
      <c r="B45">
        <f>5/(0.002*10^-6)</f>
        <v>2500000000</v>
      </c>
      <c r="C45" t="s">
        <v>2</v>
      </c>
      <c r="D45">
        <v>2</v>
      </c>
    </row>
    <row r="46" spans="1:4" x14ac:dyDescent="0.2">
      <c r="A46" t="s">
        <v>3</v>
      </c>
      <c r="B46">
        <f>5/(0.002*10^-6)</f>
        <v>2500000000</v>
      </c>
      <c r="C46" t="s">
        <v>2</v>
      </c>
      <c r="D46">
        <v>3</v>
      </c>
    </row>
    <row r="47" spans="1:4" x14ac:dyDescent="0.2">
      <c r="A47" t="s">
        <v>6</v>
      </c>
      <c r="B47">
        <f>1/(0.002*10^-6)</f>
        <v>499999999.99999994</v>
      </c>
      <c r="C47" t="s">
        <v>2</v>
      </c>
      <c r="D47">
        <v>1</v>
      </c>
    </row>
    <row r="48" spans="1:4" x14ac:dyDescent="0.2">
      <c r="A48" t="s">
        <v>6</v>
      </c>
      <c r="B48">
        <f>1/(0.002*10^-6)</f>
        <v>499999999.99999994</v>
      </c>
      <c r="C48" t="s">
        <v>2</v>
      </c>
      <c r="D48">
        <v>2</v>
      </c>
    </row>
    <row r="49" spans="1:4" x14ac:dyDescent="0.2">
      <c r="A49" t="s">
        <v>6</v>
      </c>
      <c r="B49">
        <f>2/(0.002*10^-6)</f>
        <v>999999999.99999988</v>
      </c>
      <c r="C49" t="s">
        <v>2</v>
      </c>
      <c r="D49">
        <v>3</v>
      </c>
    </row>
    <row r="50" spans="1:4" x14ac:dyDescent="0.2">
      <c r="A50" t="s">
        <v>7</v>
      </c>
      <c r="B50">
        <f>3/(0.002*10^-6)</f>
        <v>1500000000</v>
      </c>
      <c r="C50" t="s">
        <v>2</v>
      </c>
      <c r="D50">
        <v>1</v>
      </c>
    </row>
    <row r="51" spans="1:4" x14ac:dyDescent="0.2">
      <c r="A51" t="s">
        <v>7</v>
      </c>
      <c r="B51">
        <f>3/(0.002*10^-6)</f>
        <v>1500000000</v>
      </c>
      <c r="C51" t="s">
        <v>2</v>
      </c>
      <c r="D51">
        <v>2</v>
      </c>
    </row>
    <row r="52" spans="1:4" x14ac:dyDescent="0.2">
      <c r="A52" t="s">
        <v>7</v>
      </c>
      <c r="B52">
        <f>5/(0.002*10^-6)</f>
        <v>2500000000</v>
      </c>
      <c r="C52" t="s">
        <v>2</v>
      </c>
      <c r="D52">
        <v>3</v>
      </c>
    </row>
    <row r="53" spans="1:4" x14ac:dyDescent="0.2">
      <c r="A53" t="s">
        <v>8</v>
      </c>
      <c r="B53">
        <f>6/(0.002*10^-6)</f>
        <v>3000000000</v>
      </c>
      <c r="C53" t="s">
        <v>2</v>
      </c>
      <c r="D53">
        <v>1</v>
      </c>
    </row>
    <row r="54" spans="1:4" x14ac:dyDescent="0.2">
      <c r="A54" t="s">
        <v>8</v>
      </c>
      <c r="B54">
        <f>10/(0.002*10^-6)</f>
        <v>5000000000</v>
      </c>
      <c r="C54" t="s">
        <v>2</v>
      </c>
      <c r="D54">
        <v>2</v>
      </c>
    </row>
    <row r="55" spans="1:4" x14ac:dyDescent="0.2">
      <c r="A55" t="s">
        <v>8</v>
      </c>
      <c r="B55">
        <f>8/(0.002*10^-6)</f>
        <v>3999999999.9999995</v>
      </c>
      <c r="C55" t="s">
        <v>2</v>
      </c>
      <c r="D55">
        <v>3</v>
      </c>
    </row>
    <row r="56" spans="1:4" x14ac:dyDescent="0.2">
      <c r="A56" t="s">
        <v>9</v>
      </c>
      <c r="B56">
        <f>10/(0.002*10^-6)</f>
        <v>5000000000</v>
      </c>
      <c r="C56" t="s">
        <v>2</v>
      </c>
      <c r="D56">
        <v>1</v>
      </c>
    </row>
    <row r="57" spans="1:4" x14ac:dyDescent="0.2">
      <c r="A57" t="s">
        <v>9</v>
      </c>
      <c r="B57">
        <f>10/(0.002*10^-6)</f>
        <v>5000000000</v>
      </c>
      <c r="C57" t="s">
        <v>2</v>
      </c>
      <c r="D57">
        <v>2</v>
      </c>
    </row>
    <row r="58" spans="1:4" x14ac:dyDescent="0.2">
      <c r="A58" t="s">
        <v>9</v>
      </c>
      <c r="B58">
        <f>9/(0.002*10^-6)</f>
        <v>4500000000</v>
      </c>
      <c r="C58" t="s">
        <v>2</v>
      </c>
      <c r="D58">
        <v>3</v>
      </c>
    </row>
    <row r="59" spans="1:4" x14ac:dyDescent="0.2">
      <c r="A59" t="s">
        <v>10</v>
      </c>
      <c r="B59">
        <f>8/(0.002*10^-6)</f>
        <v>3999999999.9999995</v>
      </c>
      <c r="C59" t="s">
        <v>2</v>
      </c>
      <c r="D59">
        <v>1</v>
      </c>
    </row>
    <row r="60" spans="1:4" x14ac:dyDescent="0.2">
      <c r="A60" t="s">
        <v>10</v>
      </c>
      <c r="B60">
        <f>4/(0.002*10^-6)</f>
        <v>1999999999.9999998</v>
      </c>
      <c r="C60" t="s">
        <v>2</v>
      </c>
      <c r="D60">
        <v>2</v>
      </c>
    </row>
    <row r="61" spans="1:4" x14ac:dyDescent="0.2">
      <c r="A61" t="s">
        <v>10</v>
      </c>
      <c r="B61">
        <f>4/(0.002*10^-6)</f>
        <v>1999999999.9999998</v>
      </c>
      <c r="C61" t="s">
        <v>2</v>
      </c>
      <c r="D61">
        <v>3</v>
      </c>
    </row>
    <row r="62" spans="1:4" x14ac:dyDescent="0.2">
      <c r="A62" t="s">
        <v>11</v>
      </c>
      <c r="B62">
        <f>1/(0.002*10^-6)</f>
        <v>499999999.99999994</v>
      </c>
      <c r="C62" t="s">
        <v>2</v>
      </c>
      <c r="D62">
        <v>1</v>
      </c>
    </row>
    <row r="63" spans="1:4" x14ac:dyDescent="0.2">
      <c r="A63" t="s">
        <v>11</v>
      </c>
      <c r="B63">
        <f>1/(0.002*10^-6)</f>
        <v>499999999.99999994</v>
      </c>
      <c r="C63" t="s">
        <v>2</v>
      </c>
      <c r="D63">
        <v>2</v>
      </c>
    </row>
    <row r="64" spans="1:4" x14ac:dyDescent="0.2">
      <c r="A64" t="s">
        <v>11</v>
      </c>
      <c r="B64">
        <f>1/(0.002*10^-6)</f>
        <v>499999999.99999994</v>
      </c>
      <c r="C64" t="s">
        <v>2</v>
      </c>
      <c r="D64">
        <v>3</v>
      </c>
    </row>
    <row r="65" spans="1:4" x14ac:dyDescent="0.2">
      <c r="A65" t="s">
        <v>12</v>
      </c>
      <c r="B65">
        <f>1/(0.002*10^-6)</f>
        <v>499999999.99999994</v>
      </c>
      <c r="C65" t="s">
        <v>2</v>
      </c>
      <c r="D65">
        <v>1</v>
      </c>
    </row>
    <row r="66" spans="1:4" x14ac:dyDescent="0.2">
      <c r="A66" t="s">
        <v>12</v>
      </c>
      <c r="B66">
        <f>6/(0.002*10^-6)</f>
        <v>3000000000</v>
      </c>
      <c r="C66" t="s">
        <v>2</v>
      </c>
      <c r="D66">
        <v>2</v>
      </c>
    </row>
    <row r="67" spans="1:4" x14ac:dyDescent="0.2">
      <c r="A67" t="s">
        <v>12</v>
      </c>
      <c r="B67">
        <f>0/(0.002*10^-6)</f>
        <v>0</v>
      </c>
      <c r="C67" t="s">
        <v>2</v>
      </c>
      <c r="D67">
        <v>3</v>
      </c>
    </row>
    <row r="68" spans="1:4" x14ac:dyDescent="0.2">
      <c r="A68" t="s">
        <v>13</v>
      </c>
      <c r="B68">
        <f>2/(0.002*10^-6)</f>
        <v>999999999.99999988</v>
      </c>
      <c r="C68" t="s">
        <v>2</v>
      </c>
      <c r="D68">
        <v>1</v>
      </c>
    </row>
    <row r="69" spans="1:4" x14ac:dyDescent="0.2">
      <c r="A69" t="s">
        <v>13</v>
      </c>
      <c r="B69">
        <f>1/(0.002*10^-6)</f>
        <v>499999999.99999994</v>
      </c>
      <c r="C69" t="s">
        <v>2</v>
      </c>
      <c r="D69">
        <v>2</v>
      </c>
    </row>
    <row r="70" spans="1:4" x14ac:dyDescent="0.2">
      <c r="A70" t="s">
        <v>13</v>
      </c>
      <c r="B70">
        <f>1/(0.002*10^-6)</f>
        <v>499999999.99999994</v>
      </c>
      <c r="C70" t="s">
        <v>2</v>
      </c>
      <c r="D70">
        <v>3</v>
      </c>
    </row>
    <row r="71" spans="1:4" x14ac:dyDescent="0.2">
      <c r="A71" t="s">
        <v>14</v>
      </c>
      <c r="B71">
        <f>1/(0.002*10^-5)</f>
        <v>50000000</v>
      </c>
      <c r="C71" t="s">
        <v>2</v>
      </c>
      <c r="D71">
        <v>1</v>
      </c>
    </row>
    <row r="72" spans="1:4" x14ac:dyDescent="0.2">
      <c r="A72" t="s">
        <v>14</v>
      </c>
      <c r="B72">
        <f>4/(0.002*10^-5)</f>
        <v>200000000</v>
      </c>
      <c r="C72" t="s">
        <v>2</v>
      </c>
      <c r="D72">
        <v>2</v>
      </c>
    </row>
    <row r="73" spans="1:4" x14ac:dyDescent="0.2">
      <c r="A73" t="s">
        <v>14</v>
      </c>
      <c r="B73">
        <f>8/(0.002*10^-5)</f>
        <v>400000000</v>
      </c>
      <c r="C73" t="s">
        <v>2</v>
      </c>
      <c r="D73">
        <v>3</v>
      </c>
    </row>
    <row r="74" spans="1:4" x14ac:dyDescent="0.2">
      <c r="A74" t="s">
        <v>15</v>
      </c>
      <c r="B74">
        <f>3/(0.002*10^-5)</f>
        <v>150000000</v>
      </c>
      <c r="C74" t="s">
        <v>2</v>
      </c>
      <c r="D74">
        <v>1</v>
      </c>
    </row>
    <row r="75" spans="1:4" x14ac:dyDescent="0.2">
      <c r="A75" t="s">
        <v>15</v>
      </c>
      <c r="B75">
        <f>2/(0.002*10^-5)</f>
        <v>100000000</v>
      </c>
      <c r="C75" t="s">
        <v>2</v>
      </c>
      <c r="D75">
        <v>2</v>
      </c>
    </row>
    <row r="76" spans="1:4" x14ac:dyDescent="0.2">
      <c r="A76" t="s">
        <v>15</v>
      </c>
      <c r="B76">
        <f>0/(0.002*10^-5)</f>
        <v>0</v>
      </c>
      <c r="C76" t="s">
        <v>2</v>
      </c>
      <c r="D76">
        <v>3</v>
      </c>
    </row>
    <row r="77" spans="1:4" x14ac:dyDescent="0.2">
      <c r="A77" t="s">
        <v>16</v>
      </c>
      <c r="B77">
        <f>2/(0.002*10^-5)</f>
        <v>100000000</v>
      </c>
      <c r="C77" t="s">
        <v>2</v>
      </c>
      <c r="D77">
        <v>1</v>
      </c>
    </row>
    <row r="78" spans="1:4" x14ac:dyDescent="0.2">
      <c r="A78" t="s">
        <v>16</v>
      </c>
      <c r="B78">
        <f>0/(0.002*10^-5)</f>
        <v>0</v>
      </c>
      <c r="C78" t="s">
        <v>2</v>
      </c>
      <c r="D78">
        <v>2</v>
      </c>
    </row>
    <row r="79" spans="1:4" x14ac:dyDescent="0.2">
      <c r="A79" t="s">
        <v>16</v>
      </c>
      <c r="B79">
        <f>2/(0.002*10^-5)</f>
        <v>100000000</v>
      </c>
      <c r="C79" t="s">
        <v>2</v>
      </c>
      <c r="D79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35D75-A6EA-D74E-94AA-33A42BBC2576}">
  <dimension ref="A1:E27"/>
  <sheetViews>
    <sheetView workbookViewId="0">
      <selection activeCell="B9" sqref="B9"/>
    </sheetView>
  </sheetViews>
  <sheetFormatPr baseColWidth="10" defaultRowHeight="16" x14ac:dyDescent="0.2"/>
  <sheetData>
    <row r="1" spans="1:5" x14ac:dyDescent="0.2">
      <c r="A1" t="s">
        <v>0</v>
      </c>
      <c r="B1" t="s">
        <v>19</v>
      </c>
      <c r="C1" t="s">
        <v>20</v>
      </c>
      <c r="D1" t="s">
        <v>21</v>
      </c>
      <c r="E1" t="s">
        <v>5</v>
      </c>
    </row>
    <row r="2" spans="1:5" x14ac:dyDescent="0.2">
      <c r="A2" t="s">
        <v>18</v>
      </c>
      <c r="B2">
        <f>AVERAGE(PFU_raw!$B2:$B4)</f>
        <v>16.666666666666668</v>
      </c>
      <c r="C2">
        <f>STDEV(PFU_raw!$B2:$B4)</f>
        <v>28.867513459481287</v>
      </c>
      <c r="D2">
        <f t="shared" ref="D2:D14" si="0">B2/(B2+B15)</f>
        <v>0.5</v>
      </c>
      <c r="E2" t="s">
        <v>1</v>
      </c>
    </row>
    <row r="3" spans="1:5" x14ac:dyDescent="0.2">
      <c r="A3" t="s">
        <v>3</v>
      </c>
      <c r="B3">
        <f>AVERAGE(PFU_raw!$B5:$B7)</f>
        <v>450000000</v>
      </c>
      <c r="C3">
        <f>STDEV(PFU_raw!$B5:$B7)</f>
        <v>100000000</v>
      </c>
      <c r="D3">
        <f t="shared" si="0"/>
        <v>0.15254237288135594</v>
      </c>
      <c r="E3" t="s">
        <v>1</v>
      </c>
    </row>
    <row r="4" spans="1:5" x14ac:dyDescent="0.2">
      <c r="A4" t="s">
        <v>6</v>
      </c>
      <c r="B4">
        <f>AVERAGE(PFU_raw!$B8:$B10)</f>
        <v>233333333.33333334</v>
      </c>
      <c r="C4">
        <f>STDEV(PFU_raw!$B8:$B10)</f>
        <v>152752523.16519466</v>
      </c>
      <c r="D4">
        <f t="shared" si="0"/>
        <v>0.25925925925925924</v>
      </c>
      <c r="E4" t="s">
        <v>1</v>
      </c>
    </row>
    <row r="5" spans="1:5" x14ac:dyDescent="0.2">
      <c r="A5" t="s">
        <v>7</v>
      </c>
      <c r="B5">
        <f>AVERAGE(PFU_raw!$B11:$B13)</f>
        <v>450000000</v>
      </c>
      <c r="C5">
        <f>STDEV(PFU_raw!$B11:$B13)</f>
        <v>100000000</v>
      </c>
      <c r="D5">
        <f t="shared" si="0"/>
        <v>0.19708029197080296</v>
      </c>
      <c r="E5" t="s">
        <v>1</v>
      </c>
    </row>
    <row r="6" spans="1:5" x14ac:dyDescent="0.2">
      <c r="A6" t="s">
        <v>8</v>
      </c>
      <c r="B6">
        <f>AVERAGE(PFU_raw!$B14:$B16)</f>
        <v>6833333333.333333</v>
      </c>
      <c r="C6">
        <f>STDEV(PFU_raw!$B14:$B16)</f>
        <v>1892969448.6000919</v>
      </c>
      <c r="D6">
        <f t="shared" si="0"/>
        <v>0.63076923076923086</v>
      </c>
      <c r="E6" t="s">
        <v>1</v>
      </c>
    </row>
    <row r="7" spans="1:5" x14ac:dyDescent="0.2">
      <c r="A7" t="s">
        <v>9</v>
      </c>
      <c r="B7">
        <f>AVERAGE(PFU_raw!$B17:$B19)</f>
        <v>9500000000</v>
      </c>
      <c r="C7">
        <f>STDEV(PFU_raw!$B17:$B19)</f>
        <v>1000000000.0000005</v>
      </c>
      <c r="D7">
        <f t="shared" si="0"/>
        <v>0.66279069767441867</v>
      </c>
      <c r="E7" t="s">
        <v>1</v>
      </c>
    </row>
    <row r="8" spans="1:5" x14ac:dyDescent="0.2">
      <c r="A8" t="s">
        <v>10</v>
      </c>
      <c r="B8">
        <f>AVERAGE(PFU_raw!$B20:$B22)</f>
        <v>3500000000</v>
      </c>
      <c r="C8">
        <f>STDEV(PFU_raw!$B20:$B22)</f>
        <v>500000000</v>
      </c>
      <c r="D8">
        <f t="shared" si="0"/>
        <v>0.56756756756756765</v>
      </c>
      <c r="E8" t="s">
        <v>1</v>
      </c>
    </row>
    <row r="9" spans="1:5" x14ac:dyDescent="0.2">
      <c r="A9" t="s">
        <v>11</v>
      </c>
      <c r="B9">
        <f>AVERAGE(PFU_raw!$B23:$B25)</f>
        <v>666666666.66666663</v>
      </c>
      <c r="C9">
        <f>STDEV(PFU_raw!$B23:$B25)</f>
        <v>288675134.59481293</v>
      </c>
      <c r="D9">
        <f t="shared" si="0"/>
        <v>0.57142857142857151</v>
      </c>
      <c r="E9" t="s">
        <v>1</v>
      </c>
    </row>
    <row r="10" spans="1:5" x14ac:dyDescent="0.2">
      <c r="A10" t="s">
        <v>12</v>
      </c>
      <c r="B10">
        <f>AVERAGE(PFU_raw!$B26:$B28)</f>
        <v>2666666666.6666665</v>
      </c>
      <c r="C10">
        <f>STDEV(PFU_raw!$B26:$B28)</f>
        <v>763762615.82597375</v>
      </c>
      <c r="D10">
        <f t="shared" si="0"/>
        <v>0.69565217391304346</v>
      </c>
      <c r="E10" t="s">
        <v>1</v>
      </c>
    </row>
    <row r="11" spans="1:5" x14ac:dyDescent="0.2">
      <c r="A11" t="s">
        <v>13</v>
      </c>
      <c r="B11">
        <f>AVERAGE(PFU_raw!$B29:$B31)</f>
        <v>3500000000</v>
      </c>
      <c r="C11">
        <f>STDEV(PFU_raw!$B29:$B31)</f>
        <v>1500000000</v>
      </c>
      <c r="D11">
        <f t="shared" si="0"/>
        <v>0.84000000000000008</v>
      </c>
      <c r="E11" t="s">
        <v>1</v>
      </c>
    </row>
    <row r="12" spans="1:5" x14ac:dyDescent="0.2">
      <c r="A12" t="s">
        <v>14</v>
      </c>
      <c r="B12">
        <f>AVERAGE(PFU_raw!$B32:$B34)</f>
        <v>683333333.33333337</v>
      </c>
      <c r="C12">
        <f>STDEV(PFU_raw!$B32:$B34)</f>
        <v>152752523.16519481</v>
      </c>
      <c r="D12">
        <f t="shared" si="0"/>
        <v>0.7592592592592593</v>
      </c>
      <c r="E12" t="s">
        <v>1</v>
      </c>
    </row>
    <row r="13" spans="1:5" x14ac:dyDescent="0.2">
      <c r="A13" t="s">
        <v>15</v>
      </c>
      <c r="B13">
        <f>AVERAGE(PFU_raw!$B35:$B37)</f>
        <v>566666666.66666663</v>
      </c>
      <c r="C13">
        <f>STDEV(PFU_raw!$B35:$B37)</f>
        <v>275378527.36430508</v>
      </c>
      <c r="D13">
        <f t="shared" si="0"/>
        <v>0.8717948717948717</v>
      </c>
      <c r="E13" t="s">
        <v>1</v>
      </c>
    </row>
    <row r="14" spans="1:5" x14ac:dyDescent="0.2">
      <c r="A14" t="s">
        <v>16</v>
      </c>
      <c r="B14">
        <f>AVERAGE(PFU_raw!$B38:$B40)</f>
        <v>450000000</v>
      </c>
      <c r="C14">
        <f>STDEV(PFU_raw!$B38:$B40)</f>
        <v>150000000</v>
      </c>
      <c r="D14">
        <f t="shared" si="0"/>
        <v>0.87096774193548387</v>
      </c>
      <c r="E14" t="s">
        <v>1</v>
      </c>
    </row>
    <row r="15" spans="1:5" x14ac:dyDescent="0.2">
      <c r="A15" t="s">
        <v>18</v>
      </c>
      <c r="B15">
        <f>AVERAGE(PFU_raw!$B41:$B43)</f>
        <v>16.666666666666668</v>
      </c>
      <c r="C15">
        <f>STDEV(PFU_raw!$B41:$B43)</f>
        <v>28.867513459481287</v>
      </c>
      <c r="E15" t="s">
        <v>2</v>
      </c>
    </row>
    <row r="16" spans="1:5" x14ac:dyDescent="0.2">
      <c r="A16" t="s">
        <v>3</v>
      </c>
      <c r="B16">
        <f>AVERAGE(PFU_raw!$B44:$B46)</f>
        <v>2500000000</v>
      </c>
      <c r="C16">
        <f>STDEV(PFU_raw!$B44:$B46)</f>
        <v>0</v>
      </c>
      <c r="E16" t="s">
        <v>2</v>
      </c>
    </row>
    <row r="17" spans="1:5" x14ac:dyDescent="0.2">
      <c r="A17" t="s">
        <v>6</v>
      </c>
      <c r="B17">
        <f>AVERAGE(PFU_raw!$B47:$B49)</f>
        <v>666666666.66666663</v>
      </c>
      <c r="C17">
        <f>STDEV(PFU_raw!$B47:$B49)</f>
        <v>288675134.59481275</v>
      </c>
      <c r="E17" t="s">
        <v>2</v>
      </c>
    </row>
    <row r="18" spans="1:5" x14ac:dyDescent="0.2">
      <c r="A18" t="s">
        <v>7</v>
      </c>
      <c r="B18">
        <f>AVERAGE(PFU_raw!$B50:$B52)</f>
        <v>1833333333.3333333</v>
      </c>
      <c r="C18">
        <f>STDEV(PFU_raw!$B50:$B52)</f>
        <v>577350269.1896255</v>
      </c>
      <c r="E18" t="s">
        <v>2</v>
      </c>
    </row>
    <row r="19" spans="1:5" x14ac:dyDescent="0.2">
      <c r="A19" t="s">
        <v>8</v>
      </c>
      <c r="B19">
        <f>AVERAGE(PFU_raw!$B53:$B55)</f>
        <v>4000000000</v>
      </c>
      <c r="C19">
        <f>STDEV(PFU_raw!$B53:$B55)</f>
        <v>1000000000</v>
      </c>
      <c r="E19" t="s">
        <v>2</v>
      </c>
    </row>
    <row r="20" spans="1:5" x14ac:dyDescent="0.2">
      <c r="A20" t="s">
        <v>9</v>
      </c>
      <c r="B20">
        <f>AVERAGE(PFU_raw!$B57:$B58,PFU_raw!$B56)</f>
        <v>4833333333.333333</v>
      </c>
      <c r="C20">
        <f>STDEV(PFU_raw!$B57:$B58,PFU_raw!$B56)</f>
        <v>288675134.59481287</v>
      </c>
      <c r="E20" t="s">
        <v>2</v>
      </c>
    </row>
    <row r="21" spans="1:5" x14ac:dyDescent="0.2">
      <c r="A21" t="s">
        <v>10</v>
      </c>
      <c r="B21">
        <f>AVERAGE(PFU_raw!$B59:$B61)</f>
        <v>2666666666.6666665</v>
      </c>
      <c r="C21">
        <f>STDEV(PFU_raw!$B59:$B61)</f>
        <v>1154700538.3792517</v>
      </c>
      <c r="E21" t="s">
        <v>2</v>
      </c>
    </row>
    <row r="22" spans="1:5" x14ac:dyDescent="0.2">
      <c r="A22" t="s">
        <v>11</v>
      </c>
      <c r="B22">
        <f>AVERAGE(PFU_raw!$B62:$B64)</f>
        <v>499999999.99999994</v>
      </c>
      <c r="C22">
        <f>STDEV(PFU_raw!$B62:$B64)</f>
        <v>0</v>
      </c>
      <c r="E22" t="s">
        <v>2</v>
      </c>
    </row>
    <row r="23" spans="1:5" x14ac:dyDescent="0.2">
      <c r="A23" t="s">
        <v>12</v>
      </c>
      <c r="B23">
        <f>AVERAGE(PFU_raw!$B65:$B67)</f>
        <v>1166666666.6666667</v>
      </c>
      <c r="C23">
        <f>STDEV(PFU_raw!$B65:$B67)</f>
        <v>1607275126.832159</v>
      </c>
      <c r="E23" t="s">
        <v>2</v>
      </c>
    </row>
    <row r="24" spans="1:5" x14ac:dyDescent="0.2">
      <c r="A24" t="s">
        <v>13</v>
      </c>
      <c r="B24">
        <f>AVERAGE(PFU_raw!$B68:$B70)</f>
        <v>666666666.66666663</v>
      </c>
      <c r="C24">
        <f>STDEV(PFU_raw!$B68:$B70)</f>
        <v>288675134.59481293</v>
      </c>
      <c r="E24" t="s">
        <v>2</v>
      </c>
    </row>
    <row r="25" spans="1:5" x14ac:dyDescent="0.2">
      <c r="A25" t="s">
        <v>14</v>
      </c>
      <c r="B25">
        <f>AVERAGE(PFU_raw!$B71:$B73)</f>
        <v>216666666.66666666</v>
      </c>
      <c r="C25">
        <f>STDEV(PFU_raw!$B71:$B73)</f>
        <v>175594229.21421233</v>
      </c>
      <c r="E25" t="s">
        <v>2</v>
      </c>
    </row>
    <row r="26" spans="1:5" x14ac:dyDescent="0.2">
      <c r="A26" t="s">
        <v>15</v>
      </c>
      <c r="B26">
        <f>AVERAGE(PFU_raw!$B74:$B76)</f>
        <v>83333333.333333328</v>
      </c>
      <c r="C26">
        <f>STDEV(PFU_raw!$B74:$B76)</f>
        <v>76376261.582597345</v>
      </c>
      <c r="E26" t="s">
        <v>2</v>
      </c>
    </row>
    <row r="27" spans="1:5" x14ac:dyDescent="0.2">
      <c r="A27" t="s">
        <v>16</v>
      </c>
      <c r="B27">
        <f>AVERAGE(PFU_raw!$B77:$B79)</f>
        <v>66666666.666666664</v>
      </c>
      <c r="C27">
        <f>STDEV(PFU_raw!$B77:$B79)</f>
        <v>57735026.918962575</v>
      </c>
      <c r="E27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76668-3AC1-E942-BF0E-39F366D13BFD}">
  <dimension ref="A1:D91"/>
  <sheetViews>
    <sheetView workbookViewId="0">
      <selection activeCell="E24" sqref="E24"/>
    </sheetView>
  </sheetViews>
  <sheetFormatPr baseColWidth="10" defaultRowHeight="16" x14ac:dyDescent="0.2"/>
  <cols>
    <col min="2" max="2" width="11.1640625" bestFit="1" customWidth="1"/>
    <col min="9" max="9" width="11.1640625" bestFit="1" customWidth="1"/>
  </cols>
  <sheetData>
    <row r="1" spans="1:4" x14ac:dyDescent="0.2">
      <c r="A1" t="s">
        <v>0</v>
      </c>
      <c r="B1" t="s">
        <v>4</v>
      </c>
      <c r="C1" t="s">
        <v>5</v>
      </c>
      <c r="D1" t="s">
        <v>17</v>
      </c>
    </row>
    <row r="2" spans="1:4" x14ac:dyDescent="0.2">
      <c r="A2" t="s">
        <v>18</v>
      </c>
      <c r="B2">
        <f>0/(0.02*10^0)</f>
        <v>0</v>
      </c>
      <c r="C2" t="s">
        <v>1</v>
      </c>
      <c r="D2">
        <v>1</v>
      </c>
    </row>
    <row r="3" spans="1:4" x14ac:dyDescent="0.2">
      <c r="A3" t="s">
        <v>18</v>
      </c>
      <c r="B3">
        <f>1/(0.02*10^0)</f>
        <v>50</v>
      </c>
      <c r="C3" t="s">
        <v>1</v>
      </c>
      <c r="D3">
        <v>2</v>
      </c>
    </row>
    <row r="4" spans="1:4" x14ac:dyDescent="0.2">
      <c r="A4" t="s">
        <v>18</v>
      </c>
      <c r="B4">
        <f>2/(0.02*10^0)</f>
        <v>100</v>
      </c>
      <c r="C4" t="s">
        <v>1</v>
      </c>
      <c r="D4">
        <v>3</v>
      </c>
    </row>
    <row r="5" spans="1:4" x14ac:dyDescent="0.2">
      <c r="A5" t="s">
        <v>8</v>
      </c>
      <c r="B5">
        <f>2/(0.002*10^-3)</f>
        <v>1000000</v>
      </c>
      <c r="C5" t="s">
        <v>1</v>
      </c>
      <c r="D5">
        <v>1</v>
      </c>
    </row>
    <row r="6" spans="1:4" x14ac:dyDescent="0.2">
      <c r="A6" t="s">
        <v>8</v>
      </c>
      <c r="B6">
        <f>3/(0.002*10^-3)</f>
        <v>1500000</v>
      </c>
      <c r="C6" t="s">
        <v>1</v>
      </c>
      <c r="D6">
        <v>2</v>
      </c>
    </row>
    <row r="7" spans="1:4" x14ac:dyDescent="0.2">
      <c r="A7" t="s">
        <v>8</v>
      </c>
      <c r="B7">
        <f>1/(0.002*10^-3)</f>
        <v>500000</v>
      </c>
      <c r="C7" t="s">
        <v>1</v>
      </c>
      <c r="D7">
        <v>3</v>
      </c>
    </row>
    <row r="8" spans="1:4" x14ac:dyDescent="0.2">
      <c r="A8" t="s">
        <v>9</v>
      </c>
      <c r="B8">
        <f>0/(0.002*10^-2)</f>
        <v>0</v>
      </c>
      <c r="C8" t="s">
        <v>1</v>
      </c>
      <c r="D8">
        <v>1</v>
      </c>
    </row>
    <row r="9" spans="1:4" x14ac:dyDescent="0.2">
      <c r="A9" t="s">
        <v>9</v>
      </c>
      <c r="B9">
        <f>1/(0.002*10^-2)</f>
        <v>49999.999999999993</v>
      </c>
      <c r="C9" t="s">
        <v>1</v>
      </c>
      <c r="D9">
        <v>2</v>
      </c>
    </row>
    <row r="10" spans="1:4" x14ac:dyDescent="0.2">
      <c r="A10" t="s">
        <v>9</v>
      </c>
      <c r="B10">
        <f>1/(0.002*10^-2)</f>
        <v>49999.999999999993</v>
      </c>
      <c r="C10" t="s">
        <v>1</v>
      </c>
      <c r="D10">
        <v>3</v>
      </c>
    </row>
    <row r="11" spans="1:4" x14ac:dyDescent="0.2">
      <c r="A11" t="s">
        <v>10</v>
      </c>
      <c r="B11">
        <f>4/(0.002*10^-1)</f>
        <v>20000</v>
      </c>
      <c r="C11" t="s">
        <v>1</v>
      </c>
      <c r="D11">
        <v>1</v>
      </c>
    </row>
    <row r="12" spans="1:4" x14ac:dyDescent="0.2">
      <c r="A12" t="s">
        <v>10</v>
      </c>
      <c r="B12">
        <f>5/(0.002*10^-1)</f>
        <v>25000</v>
      </c>
      <c r="C12" t="s">
        <v>1</v>
      </c>
      <c r="D12">
        <v>2</v>
      </c>
    </row>
    <row r="13" spans="1:4" x14ac:dyDescent="0.2">
      <c r="A13" t="s">
        <v>10</v>
      </c>
      <c r="B13">
        <f>6/(0.002*10^-1)</f>
        <v>30000</v>
      </c>
      <c r="C13" t="s">
        <v>1</v>
      </c>
      <c r="D13">
        <v>3</v>
      </c>
    </row>
    <row r="14" spans="1:4" x14ac:dyDescent="0.2">
      <c r="A14" t="s">
        <v>11</v>
      </c>
      <c r="B14">
        <f>2/(0.002*10^-2)</f>
        <v>99999.999999999985</v>
      </c>
      <c r="C14" t="s">
        <v>1</v>
      </c>
      <c r="D14">
        <v>1</v>
      </c>
    </row>
    <row r="15" spans="1:4" x14ac:dyDescent="0.2">
      <c r="A15" t="s">
        <v>11</v>
      </c>
      <c r="B15">
        <f>2/(0.002*10^-2)</f>
        <v>99999.999999999985</v>
      </c>
      <c r="C15" t="s">
        <v>1</v>
      </c>
      <c r="D15">
        <v>2</v>
      </c>
    </row>
    <row r="16" spans="1:4" x14ac:dyDescent="0.2">
      <c r="A16" t="s">
        <v>11</v>
      </c>
      <c r="B16">
        <f>4/(0.002*10^-2)</f>
        <v>199999.99999999997</v>
      </c>
      <c r="C16" t="s">
        <v>1</v>
      </c>
      <c r="D16">
        <v>3</v>
      </c>
    </row>
    <row r="17" spans="1:4" x14ac:dyDescent="0.2">
      <c r="A17" t="s">
        <v>12</v>
      </c>
      <c r="B17">
        <f>1/(0.002*10^-2)</f>
        <v>49999.999999999993</v>
      </c>
      <c r="C17" t="s">
        <v>1</v>
      </c>
      <c r="D17">
        <v>1</v>
      </c>
    </row>
    <row r="18" spans="1:4" x14ac:dyDescent="0.2">
      <c r="A18" t="s">
        <v>12</v>
      </c>
      <c r="B18">
        <f>1/(0.002*10^-2)</f>
        <v>49999.999999999993</v>
      </c>
      <c r="C18" t="s">
        <v>1</v>
      </c>
      <c r="D18">
        <v>2</v>
      </c>
    </row>
    <row r="19" spans="1:4" x14ac:dyDescent="0.2">
      <c r="A19" t="s">
        <v>12</v>
      </c>
      <c r="B19">
        <f>0/(0.002*10^-2)</f>
        <v>0</v>
      </c>
      <c r="C19" t="s">
        <v>1</v>
      </c>
      <c r="D19">
        <v>3</v>
      </c>
    </row>
    <row r="20" spans="1:4" x14ac:dyDescent="0.2">
      <c r="A20" t="s">
        <v>13</v>
      </c>
      <c r="B20">
        <f>3/(0.002*10^-3)</f>
        <v>1500000</v>
      </c>
      <c r="C20" t="s">
        <v>1</v>
      </c>
      <c r="D20">
        <v>1</v>
      </c>
    </row>
    <row r="21" spans="1:4" x14ac:dyDescent="0.2">
      <c r="A21" t="s">
        <v>13</v>
      </c>
      <c r="B21">
        <f>3/(0.002*10^-3)</f>
        <v>1500000</v>
      </c>
      <c r="C21" t="s">
        <v>1</v>
      </c>
      <c r="D21">
        <v>2</v>
      </c>
    </row>
    <row r="22" spans="1:4" x14ac:dyDescent="0.2">
      <c r="A22" t="s">
        <v>13</v>
      </c>
      <c r="B22">
        <f>5/(0.002*10^-3)</f>
        <v>2500000</v>
      </c>
      <c r="C22" t="s">
        <v>1</v>
      </c>
      <c r="D22">
        <v>3</v>
      </c>
    </row>
    <row r="23" spans="1:4" x14ac:dyDescent="0.2">
      <c r="A23" t="s">
        <v>14</v>
      </c>
      <c r="B23">
        <f>5/(0.002*10^0)</f>
        <v>2500</v>
      </c>
      <c r="C23" t="s">
        <v>1</v>
      </c>
      <c r="D23">
        <v>1</v>
      </c>
    </row>
    <row r="24" spans="1:4" x14ac:dyDescent="0.2">
      <c r="A24" t="s">
        <v>14</v>
      </c>
      <c r="B24">
        <f>1/(0.002*10^0)</f>
        <v>500</v>
      </c>
      <c r="C24" t="s">
        <v>1</v>
      </c>
      <c r="D24">
        <v>2</v>
      </c>
    </row>
    <row r="25" spans="1:4" x14ac:dyDescent="0.2">
      <c r="A25" t="s">
        <v>14</v>
      </c>
      <c r="B25">
        <f>2/(0.002*10^0)</f>
        <v>1000</v>
      </c>
      <c r="C25" t="s">
        <v>1</v>
      </c>
      <c r="D25">
        <v>3</v>
      </c>
    </row>
    <row r="26" spans="1:4" x14ac:dyDescent="0.2">
      <c r="A26" t="s">
        <v>15</v>
      </c>
      <c r="B26">
        <f>4/(0.002*10^0)</f>
        <v>2000</v>
      </c>
      <c r="C26" t="s">
        <v>1</v>
      </c>
      <c r="D26">
        <v>1</v>
      </c>
    </row>
    <row r="27" spans="1:4" x14ac:dyDescent="0.2">
      <c r="A27" t="s">
        <v>15</v>
      </c>
      <c r="B27">
        <f>4/(0.002*10^0)</f>
        <v>2000</v>
      </c>
      <c r="C27" t="s">
        <v>1</v>
      </c>
      <c r="D27">
        <v>2</v>
      </c>
    </row>
    <row r="28" spans="1:4" x14ac:dyDescent="0.2">
      <c r="A28" t="s">
        <v>15</v>
      </c>
      <c r="B28">
        <f>3/(0.002*10^0)</f>
        <v>1500</v>
      </c>
      <c r="C28" t="s">
        <v>1</v>
      </c>
      <c r="D28">
        <v>3</v>
      </c>
    </row>
    <row r="29" spans="1:4" x14ac:dyDescent="0.2">
      <c r="A29" t="s">
        <v>16</v>
      </c>
      <c r="B29">
        <f>1/(0.002*10^0)</f>
        <v>500</v>
      </c>
      <c r="C29" t="s">
        <v>1</v>
      </c>
      <c r="D29">
        <v>1</v>
      </c>
    </row>
    <row r="30" spans="1:4" x14ac:dyDescent="0.2">
      <c r="A30" t="s">
        <v>16</v>
      </c>
      <c r="B30">
        <f>3/(0.002*10^0)</f>
        <v>1500</v>
      </c>
      <c r="C30" t="s">
        <v>1</v>
      </c>
      <c r="D30">
        <v>2</v>
      </c>
    </row>
    <row r="31" spans="1:4" x14ac:dyDescent="0.2">
      <c r="A31" t="s">
        <v>16</v>
      </c>
      <c r="B31">
        <f>4/(0.002*10^0)</f>
        <v>2000</v>
      </c>
      <c r="C31" t="s">
        <v>1</v>
      </c>
      <c r="D31">
        <v>3</v>
      </c>
    </row>
    <row r="32" spans="1:4" x14ac:dyDescent="0.2">
      <c r="A32" t="s">
        <v>23</v>
      </c>
      <c r="B32">
        <f>2/(0.002*10^-6)</f>
        <v>999999999.99999988</v>
      </c>
      <c r="C32" t="s">
        <v>1</v>
      </c>
      <c r="D32">
        <v>1</v>
      </c>
    </row>
    <row r="33" spans="1:4" x14ac:dyDescent="0.2">
      <c r="A33" t="s">
        <v>23</v>
      </c>
      <c r="B33">
        <f>1/(0.002*10^-6)</f>
        <v>499999999.99999994</v>
      </c>
      <c r="C33" t="s">
        <v>1</v>
      </c>
      <c r="D33">
        <v>2</v>
      </c>
    </row>
    <row r="34" spans="1:4" x14ac:dyDescent="0.2">
      <c r="A34" t="s">
        <v>23</v>
      </c>
      <c r="B34">
        <f>3/(0.002*10^-6)</f>
        <v>1500000000</v>
      </c>
      <c r="C34" t="s">
        <v>1</v>
      </c>
      <c r="D34">
        <v>3</v>
      </c>
    </row>
    <row r="35" spans="1:4" x14ac:dyDescent="0.2">
      <c r="A35" t="s">
        <v>24</v>
      </c>
      <c r="B35">
        <f>0/(0.002*10^-6)</f>
        <v>0</v>
      </c>
      <c r="C35" t="s">
        <v>1</v>
      </c>
      <c r="D35">
        <v>1</v>
      </c>
    </row>
    <row r="36" spans="1:4" x14ac:dyDescent="0.2">
      <c r="A36" t="s">
        <v>24</v>
      </c>
      <c r="B36">
        <f>0/(0.002*10^-6)</f>
        <v>0</v>
      </c>
      <c r="C36" t="s">
        <v>1</v>
      </c>
      <c r="D36">
        <v>2</v>
      </c>
    </row>
    <row r="37" spans="1:4" x14ac:dyDescent="0.2">
      <c r="A37" t="s">
        <v>24</v>
      </c>
      <c r="B37">
        <f>1/(0.002*10^-6)</f>
        <v>499999999.99999994</v>
      </c>
      <c r="C37" t="s">
        <v>1</v>
      </c>
      <c r="D37">
        <v>3</v>
      </c>
    </row>
    <row r="38" spans="1:4" x14ac:dyDescent="0.2">
      <c r="A38" t="s">
        <v>25</v>
      </c>
      <c r="B38">
        <f>1/(0.002*10^-6)</f>
        <v>499999999.99999994</v>
      </c>
      <c r="C38" t="s">
        <v>1</v>
      </c>
      <c r="D38">
        <v>1</v>
      </c>
    </row>
    <row r="39" spans="1:4" x14ac:dyDescent="0.2">
      <c r="A39" t="s">
        <v>25</v>
      </c>
      <c r="B39">
        <f>2/(0.002*10^-6)</f>
        <v>999999999.99999988</v>
      </c>
      <c r="C39" t="s">
        <v>1</v>
      </c>
      <c r="D39">
        <v>2</v>
      </c>
    </row>
    <row r="40" spans="1:4" x14ac:dyDescent="0.2">
      <c r="A40" t="s">
        <v>25</v>
      </c>
      <c r="B40">
        <f>2/(0.002*10^-6)</f>
        <v>999999999.99999988</v>
      </c>
      <c r="C40" t="s">
        <v>1</v>
      </c>
      <c r="D40">
        <v>3</v>
      </c>
    </row>
    <row r="41" spans="1:4" x14ac:dyDescent="0.2">
      <c r="A41" t="s">
        <v>18</v>
      </c>
      <c r="B41">
        <f>3/(0.02*10^0)</f>
        <v>150</v>
      </c>
      <c r="C41" t="s">
        <v>2</v>
      </c>
      <c r="D41">
        <v>1</v>
      </c>
    </row>
    <row r="42" spans="1:4" x14ac:dyDescent="0.2">
      <c r="A42" t="s">
        <v>18</v>
      </c>
      <c r="B42">
        <f>2/(0.02*10^0)</f>
        <v>100</v>
      </c>
      <c r="C42" t="s">
        <v>2</v>
      </c>
      <c r="D42">
        <v>2</v>
      </c>
    </row>
    <row r="43" spans="1:4" x14ac:dyDescent="0.2">
      <c r="A43" t="s">
        <v>18</v>
      </c>
      <c r="B43">
        <f>2/(0.02*10^0)</f>
        <v>100</v>
      </c>
      <c r="C43" t="s">
        <v>2</v>
      </c>
      <c r="D43">
        <v>3</v>
      </c>
    </row>
    <row r="44" spans="1:4" x14ac:dyDescent="0.2">
      <c r="A44" t="s">
        <v>3</v>
      </c>
      <c r="B44">
        <f>4/(0.002*10^-3)</f>
        <v>2000000</v>
      </c>
      <c r="C44" t="s">
        <v>2</v>
      </c>
      <c r="D44">
        <v>1</v>
      </c>
    </row>
    <row r="45" spans="1:4" x14ac:dyDescent="0.2">
      <c r="A45" t="s">
        <v>3</v>
      </c>
      <c r="B45">
        <f>5/(0.002*10^-3)</f>
        <v>2500000</v>
      </c>
      <c r="C45" t="s">
        <v>2</v>
      </c>
      <c r="D45">
        <v>2</v>
      </c>
    </row>
    <row r="46" spans="1:4" x14ac:dyDescent="0.2">
      <c r="A46" t="s">
        <v>3</v>
      </c>
      <c r="B46">
        <f>7/(0.002*10^-3)</f>
        <v>3500000</v>
      </c>
      <c r="C46" t="s">
        <v>2</v>
      </c>
      <c r="D46">
        <v>3</v>
      </c>
    </row>
    <row r="47" spans="1:4" x14ac:dyDescent="0.2">
      <c r="A47" t="s">
        <v>6</v>
      </c>
      <c r="B47">
        <f>5/(0.002*10^-4)</f>
        <v>24999999.999999996</v>
      </c>
      <c r="C47" t="s">
        <v>2</v>
      </c>
      <c r="D47">
        <v>1</v>
      </c>
    </row>
    <row r="48" spans="1:4" x14ac:dyDescent="0.2">
      <c r="A48" t="s">
        <v>6</v>
      </c>
      <c r="B48">
        <f>3/(0.002*10^-4)</f>
        <v>14999999.999999998</v>
      </c>
      <c r="C48" t="s">
        <v>2</v>
      </c>
      <c r="D48">
        <v>2</v>
      </c>
    </row>
    <row r="49" spans="1:4" x14ac:dyDescent="0.2">
      <c r="A49" t="s">
        <v>6</v>
      </c>
      <c r="B49">
        <f>1/(0.002*10^-4)</f>
        <v>5000000</v>
      </c>
      <c r="C49" t="s">
        <v>2</v>
      </c>
      <c r="D49">
        <v>3</v>
      </c>
    </row>
    <row r="50" spans="1:4" x14ac:dyDescent="0.2">
      <c r="A50" t="s">
        <v>7</v>
      </c>
      <c r="B50">
        <f>7/(0.002*10^-3)</f>
        <v>3500000</v>
      </c>
      <c r="C50" t="s">
        <v>2</v>
      </c>
      <c r="D50">
        <v>1</v>
      </c>
    </row>
    <row r="51" spans="1:4" x14ac:dyDescent="0.2">
      <c r="A51" t="s">
        <v>7</v>
      </c>
      <c r="B51">
        <f>7/(0.002*10^-3)</f>
        <v>3500000</v>
      </c>
      <c r="C51" t="s">
        <v>2</v>
      </c>
      <c r="D51">
        <v>2</v>
      </c>
    </row>
    <row r="52" spans="1:4" x14ac:dyDescent="0.2">
      <c r="A52" t="s">
        <v>7</v>
      </c>
      <c r="B52">
        <f>6/(0.002*10^-3)</f>
        <v>3000000</v>
      </c>
      <c r="C52" t="s">
        <v>2</v>
      </c>
      <c r="D52">
        <v>3</v>
      </c>
    </row>
    <row r="53" spans="1:4" x14ac:dyDescent="0.2">
      <c r="A53" t="s">
        <v>8</v>
      </c>
      <c r="B53">
        <f>0/(0.002*10^-3)</f>
        <v>0</v>
      </c>
      <c r="C53" t="s">
        <v>2</v>
      </c>
      <c r="D53">
        <v>1</v>
      </c>
    </row>
    <row r="54" spans="1:4" x14ac:dyDescent="0.2">
      <c r="A54" t="s">
        <v>8</v>
      </c>
      <c r="B54">
        <f>0/(0.002*10^-3)</f>
        <v>0</v>
      </c>
      <c r="C54" t="s">
        <v>2</v>
      </c>
      <c r="D54">
        <v>2</v>
      </c>
    </row>
    <row r="55" spans="1:4" x14ac:dyDescent="0.2">
      <c r="A55" t="s">
        <v>8</v>
      </c>
      <c r="B55">
        <f>0/(0.002*10^-3)</f>
        <v>0</v>
      </c>
      <c r="C55" t="s">
        <v>2</v>
      </c>
      <c r="D55">
        <v>3</v>
      </c>
    </row>
    <row r="56" spans="1:4" x14ac:dyDescent="0.2">
      <c r="A56" t="s">
        <v>9</v>
      </c>
      <c r="B56">
        <f>3/(0.002*10^-2)</f>
        <v>150000</v>
      </c>
      <c r="C56" t="s">
        <v>2</v>
      </c>
      <c r="D56">
        <v>1</v>
      </c>
    </row>
    <row r="57" spans="1:4" x14ac:dyDescent="0.2">
      <c r="A57" t="s">
        <v>9</v>
      </c>
      <c r="B57">
        <f>0/(0.002*10^-2)</f>
        <v>0</v>
      </c>
      <c r="C57" t="s">
        <v>2</v>
      </c>
      <c r="D57">
        <v>2</v>
      </c>
    </row>
    <row r="58" spans="1:4" x14ac:dyDescent="0.2">
      <c r="A58" t="s">
        <v>9</v>
      </c>
      <c r="B58">
        <f>1/(0.002*10^-2)</f>
        <v>49999.999999999993</v>
      </c>
      <c r="C58" t="s">
        <v>2</v>
      </c>
      <c r="D58">
        <v>3</v>
      </c>
    </row>
    <row r="59" spans="1:4" x14ac:dyDescent="0.2">
      <c r="A59" t="s">
        <v>10</v>
      </c>
      <c r="B59">
        <f>7/(0.002*10^-1)</f>
        <v>35000</v>
      </c>
      <c r="C59" t="s">
        <v>2</v>
      </c>
      <c r="D59">
        <v>1</v>
      </c>
    </row>
    <row r="60" spans="1:4" x14ac:dyDescent="0.2">
      <c r="A60" t="s">
        <v>10</v>
      </c>
      <c r="B60">
        <f>2/(0.002*10^-1)</f>
        <v>10000</v>
      </c>
      <c r="C60" t="s">
        <v>2</v>
      </c>
      <c r="D60">
        <v>2</v>
      </c>
    </row>
    <row r="61" spans="1:4" x14ac:dyDescent="0.2">
      <c r="A61" t="s">
        <v>10</v>
      </c>
      <c r="B61">
        <f>5/(0.002*10^-1)</f>
        <v>25000</v>
      </c>
      <c r="C61" t="s">
        <v>2</v>
      </c>
      <c r="D61">
        <v>3</v>
      </c>
    </row>
    <row r="62" spans="1:4" x14ac:dyDescent="0.2">
      <c r="A62" t="s">
        <v>11</v>
      </c>
      <c r="B62">
        <f t="shared" ref="B62:B67" si="0">0/(0.002*10^-2)</f>
        <v>0</v>
      </c>
      <c r="C62" t="s">
        <v>2</v>
      </c>
      <c r="D62">
        <v>1</v>
      </c>
    </row>
    <row r="63" spans="1:4" x14ac:dyDescent="0.2">
      <c r="A63" t="s">
        <v>11</v>
      </c>
      <c r="B63">
        <f t="shared" si="0"/>
        <v>0</v>
      </c>
      <c r="C63" t="s">
        <v>2</v>
      </c>
      <c r="D63">
        <v>2</v>
      </c>
    </row>
    <row r="64" spans="1:4" x14ac:dyDescent="0.2">
      <c r="A64" t="s">
        <v>11</v>
      </c>
      <c r="B64">
        <f t="shared" si="0"/>
        <v>0</v>
      </c>
      <c r="C64" t="s">
        <v>2</v>
      </c>
      <c r="D64">
        <v>3</v>
      </c>
    </row>
    <row r="65" spans="1:4" x14ac:dyDescent="0.2">
      <c r="A65" t="s">
        <v>12</v>
      </c>
      <c r="B65">
        <f t="shared" si="0"/>
        <v>0</v>
      </c>
      <c r="C65" t="s">
        <v>2</v>
      </c>
      <c r="D65">
        <v>1</v>
      </c>
    </row>
    <row r="66" spans="1:4" x14ac:dyDescent="0.2">
      <c r="A66" t="s">
        <v>12</v>
      </c>
      <c r="B66">
        <f t="shared" si="0"/>
        <v>0</v>
      </c>
      <c r="C66" t="s">
        <v>2</v>
      </c>
      <c r="D66">
        <v>2</v>
      </c>
    </row>
    <row r="67" spans="1:4" x14ac:dyDescent="0.2">
      <c r="A67" t="s">
        <v>12</v>
      </c>
      <c r="B67">
        <f t="shared" si="0"/>
        <v>0</v>
      </c>
      <c r="C67" t="s">
        <v>2</v>
      </c>
      <c r="D67">
        <v>3</v>
      </c>
    </row>
    <row r="68" spans="1:4" x14ac:dyDescent="0.2">
      <c r="A68" t="s">
        <v>13</v>
      </c>
      <c r="B68">
        <f>0/(0.002*10^-3)</f>
        <v>0</v>
      </c>
      <c r="C68" t="s">
        <v>2</v>
      </c>
      <c r="D68">
        <v>1</v>
      </c>
    </row>
    <row r="69" spans="1:4" x14ac:dyDescent="0.2">
      <c r="A69" t="s">
        <v>13</v>
      </c>
      <c r="B69">
        <f>0/(0.002*10^-3)</f>
        <v>0</v>
      </c>
      <c r="C69" t="s">
        <v>2</v>
      </c>
      <c r="D69">
        <v>2</v>
      </c>
    </row>
    <row r="70" spans="1:4" x14ac:dyDescent="0.2">
      <c r="A70" t="s">
        <v>13</v>
      </c>
      <c r="B70">
        <f>0/(0.002*10^-3)</f>
        <v>0</v>
      </c>
      <c r="C70" t="s">
        <v>2</v>
      </c>
      <c r="D70">
        <v>3</v>
      </c>
    </row>
    <row r="71" spans="1:4" x14ac:dyDescent="0.2">
      <c r="A71" t="s">
        <v>14</v>
      </c>
      <c r="B71">
        <f>2/(0.002*10^0)</f>
        <v>1000</v>
      </c>
      <c r="C71" t="s">
        <v>2</v>
      </c>
      <c r="D71">
        <v>1</v>
      </c>
    </row>
    <row r="72" spans="1:4" x14ac:dyDescent="0.2">
      <c r="A72" t="s">
        <v>14</v>
      </c>
      <c r="B72">
        <f>1/(0.002*10^0)</f>
        <v>500</v>
      </c>
      <c r="C72" t="s">
        <v>2</v>
      </c>
      <c r="D72">
        <v>2</v>
      </c>
    </row>
    <row r="73" spans="1:4" x14ac:dyDescent="0.2">
      <c r="A73" t="s">
        <v>14</v>
      </c>
      <c r="B73">
        <f>2/(0.002*10^0)</f>
        <v>1000</v>
      </c>
      <c r="C73" t="s">
        <v>2</v>
      </c>
      <c r="D73">
        <v>3</v>
      </c>
    </row>
    <row r="74" spans="1:4" x14ac:dyDescent="0.2">
      <c r="A74" t="s">
        <v>15</v>
      </c>
      <c r="B74">
        <f t="shared" ref="B74:B79" si="1">0/(0.002*10^0)</f>
        <v>0</v>
      </c>
      <c r="C74" t="s">
        <v>2</v>
      </c>
      <c r="D74">
        <v>1</v>
      </c>
    </row>
    <row r="75" spans="1:4" x14ac:dyDescent="0.2">
      <c r="A75" t="s">
        <v>15</v>
      </c>
      <c r="B75">
        <f t="shared" si="1"/>
        <v>0</v>
      </c>
      <c r="C75" t="s">
        <v>2</v>
      </c>
      <c r="D75">
        <v>2</v>
      </c>
    </row>
    <row r="76" spans="1:4" x14ac:dyDescent="0.2">
      <c r="A76" t="s">
        <v>15</v>
      </c>
      <c r="B76">
        <f t="shared" si="1"/>
        <v>0</v>
      </c>
      <c r="C76" t="s">
        <v>2</v>
      </c>
      <c r="D76">
        <v>3</v>
      </c>
    </row>
    <row r="77" spans="1:4" x14ac:dyDescent="0.2">
      <c r="A77" t="s">
        <v>16</v>
      </c>
      <c r="B77">
        <f t="shared" si="1"/>
        <v>0</v>
      </c>
      <c r="C77" t="s">
        <v>2</v>
      </c>
      <c r="D77">
        <v>1</v>
      </c>
    </row>
    <row r="78" spans="1:4" x14ac:dyDescent="0.2">
      <c r="A78" t="s">
        <v>16</v>
      </c>
      <c r="B78">
        <f t="shared" si="1"/>
        <v>0</v>
      </c>
      <c r="C78" t="s">
        <v>2</v>
      </c>
      <c r="D78">
        <v>2</v>
      </c>
    </row>
    <row r="79" spans="1:4" x14ac:dyDescent="0.2">
      <c r="A79" t="s">
        <v>16</v>
      </c>
      <c r="B79">
        <f t="shared" si="1"/>
        <v>0</v>
      </c>
      <c r="C79" t="s">
        <v>2</v>
      </c>
      <c r="D79">
        <v>3</v>
      </c>
    </row>
    <row r="80" spans="1:4" x14ac:dyDescent="0.2">
      <c r="A80" t="s">
        <v>22</v>
      </c>
      <c r="B80">
        <f>6/(0.002*10^-6)</f>
        <v>3000000000</v>
      </c>
      <c r="C80" t="s">
        <v>2</v>
      </c>
      <c r="D80">
        <v>1</v>
      </c>
    </row>
    <row r="81" spans="1:4" x14ac:dyDescent="0.2">
      <c r="A81" t="s">
        <v>22</v>
      </c>
      <c r="B81">
        <f>9/(0.002*10^-6)</f>
        <v>4500000000</v>
      </c>
      <c r="C81" t="s">
        <v>2</v>
      </c>
      <c r="D81">
        <v>2</v>
      </c>
    </row>
    <row r="82" spans="1:4" x14ac:dyDescent="0.2">
      <c r="A82" t="s">
        <v>22</v>
      </c>
      <c r="B82">
        <f>7/(0.002*10^-6)</f>
        <v>3500000000</v>
      </c>
      <c r="C82" t="s">
        <v>2</v>
      </c>
      <c r="D82">
        <v>3</v>
      </c>
    </row>
    <row r="83" spans="1:4" x14ac:dyDescent="0.2">
      <c r="A83" t="s">
        <v>23</v>
      </c>
      <c r="B83">
        <f>1/(0.002*10^-6)</f>
        <v>499999999.99999994</v>
      </c>
      <c r="C83" t="s">
        <v>2</v>
      </c>
      <c r="D83">
        <v>1</v>
      </c>
    </row>
    <row r="84" spans="1:4" x14ac:dyDescent="0.2">
      <c r="A84" t="s">
        <v>23</v>
      </c>
      <c r="B84">
        <f>0/(0.002*10^-6)</f>
        <v>0</v>
      </c>
      <c r="C84" t="s">
        <v>2</v>
      </c>
      <c r="D84">
        <v>2</v>
      </c>
    </row>
    <row r="85" spans="1:4" x14ac:dyDescent="0.2">
      <c r="A85" t="s">
        <v>23</v>
      </c>
      <c r="B85">
        <f>2/(0.002*10^-6)</f>
        <v>999999999.99999988</v>
      </c>
      <c r="C85" t="s">
        <v>2</v>
      </c>
      <c r="D85">
        <v>3</v>
      </c>
    </row>
    <row r="86" spans="1:4" x14ac:dyDescent="0.2">
      <c r="A86" t="s">
        <v>24</v>
      </c>
      <c r="B86">
        <f>3/(0.002*10^-6)</f>
        <v>1500000000</v>
      </c>
      <c r="C86" t="s">
        <v>2</v>
      </c>
      <c r="D86">
        <v>1</v>
      </c>
    </row>
    <row r="87" spans="1:4" x14ac:dyDescent="0.2">
      <c r="A87" t="s">
        <v>24</v>
      </c>
      <c r="B87">
        <f>1/(0.002*10^-6)</f>
        <v>499999999.99999994</v>
      </c>
      <c r="C87" t="s">
        <v>2</v>
      </c>
      <c r="D87">
        <v>2</v>
      </c>
    </row>
    <row r="88" spans="1:4" x14ac:dyDescent="0.2">
      <c r="A88" t="s">
        <v>24</v>
      </c>
      <c r="B88">
        <f>2/(0.002*10^-6)</f>
        <v>999999999.99999988</v>
      </c>
      <c r="C88" t="s">
        <v>2</v>
      </c>
      <c r="D88">
        <v>3</v>
      </c>
    </row>
    <row r="89" spans="1:4" x14ac:dyDescent="0.2">
      <c r="A89" t="s">
        <v>25</v>
      </c>
      <c r="B89">
        <f>2/(0.002*10^-6)</f>
        <v>999999999.99999988</v>
      </c>
      <c r="C89" t="s">
        <v>2</v>
      </c>
      <c r="D89">
        <v>1</v>
      </c>
    </row>
    <row r="90" spans="1:4" x14ac:dyDescent="0.2">
      <c r="A90" t="s">
        <v>25</v>
      </c>
      <c r="B90">
        <f>2/(0.002*10^-6)</f>
        <v>999999999.99999988</v>
      </c>
      <c r="C90" t="s">
        <v>2</v>
      </c>
      <c r="D90">
        <v>2</v>
      </c>
    </row>
    <row r="91" spans="1:4" x14ac:dyDescent="0.2">
      <c r="A91" t="s">
        <v>25</v>
      </c>
      <c r="B91">
        <f>0/(0.002*10^-6)</f>
        <v>0</v>
      </c>
      <c r="C91" t="s">
        <v>2</v>
      </c>
      <c r="D91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A4C01-DB6A-0A45-B8DB-777471684BBE}">
  <dimension ref="A1:E31"/>
  <sheetViews>
    <sheetView workbookViewId="0">
      <selection activeCell="B7" sqref="B7"/>
    </sheetView>
  </sheetViews>
  <sheetFormatPr baseColWidth="10" defaultRowHeight="16" x14ac:dyDescent="0.2"/>
  <sheetData>
    <row r="1" spans="1:5" x14ac:dyDescent="0.2">
      <c r="A1" t="s">
        <v>0</v>
      </c>
      <c r="B1" t="s">
        <v>19</v>
      </c>
      <c r="C1" t="s">
        <v>20</v>
      </c>
      <c r="D1" t="s">
        <v>26</v>
      </c>
      <c r="E1" t="s">
        <v>5</v>
      </c>
    </row>
    <row r="2" spans="1:5" x14ac:dyDescent="0.2">
      <c r="A2" t="s">
        <v>18</v>
      </c>
      <c r="B2">
        <f>AVERAGE(CFU_raw!$B2:$B4)</f>
        <v>50</v>
      </c>
      <c r="C2">
        <f>STDEV(CFU_raw!$B2:$B4)</f>
        <v>50</v>
      </c>
      <c r="D2">
        <f>B2/(B2+B15)</f>
        <v>0.3</v>
      </c>
      <c r="E2" t="s">
        <v>1</v>
      </c>
    </row>
    <row r="3" spans="1:5" x14ac:dyDescent="0.2">
      <c r="A3" t="s">
        <v>8</v>
      </c>
      <c r="B3">
        <f>AVERAGE(CFU_raw!$B5:$B7)</f>
        <v>1000000</v>
      </c>
      <c r="C3">
        <f>STDEV(CFU_raw!$B5:$B7)</f>
        <v>500000</v>
      </c>
      <c r="D3">
        <f t="shared" ref="D3:D11" si="0">B3/(B3+B19)</f>
        <v>1</v>
      </c>
      <c r="E3" t="s">
        <v>1</v>
      </c>
    </row>
    <row r="4" spans="1:5" x14ac:dyDescent="0.2">
      <c r="A4" t="s">
        <v>9</v>
      </c>
      <c r="B4">
        <f>AVERAGE(CFU_raw!$B8:$B10)</f>
        <v>33333.333333333328</v>
      </c>
      <c r="C4">
        <f>STDEV(CFU_raw!$B8:$B10)</f>
        <v>28867.513459481284</v>
      </c>
      <c r="D4">
        <f t="shared" si="0"/>
        <v>0.33333333333333326</v>
      </c>
      <c r="E4" t="s">
        <v>1</v>
      </c>
    </row>
    <row r="5" spans="1:5" x14ac:dyDescent="0.2">
      <c r="A5" t="s">
        <v>10</v>
      </c>
      <c r="B5">
        <f>AVERAGE(CFU_raw!$B11:$B13)</f>
        <v>25000</v>
      </c>
      <c r="C5">
        <f>STDEV(CFU_raw!$B11:$B13)</f>
        <v>5000</v>
      </c>
      <c r="D5">
        <f t="shared" si="0"/>
        <v>0.51724137931034486</v>
      </c>
      <c r="E5" t="s">
        <v>1</v>
      </c>
    </row>
    <row r="6" spans="1:5" x14ac:dyDescent="0.2">
      <c r="A6" t="s">
        <v>11</v>
      </c>
      <c r="B6">
        <f>AVERAGE(CFU_raw!$B14:$B16)</f>
        <v>133333.33333333331</v>
      </c>
      <c r="C6">
        <f>STDEV(CFU_raw!$B14:$B16)</f>
        <v>57735.026918962569</v>
      </c>
      <c r="D6">
        <f t="shared" si="0"/>
        <v>1</v>
      </c>
      <c r="E6" t="s">
        <v>1</v>
      </c>
    </row>
    <row r="7" spans="1:5" x14ac:dyDescent="0.2">
      <c r="A7" t="s">
        <v>12</v>
      </c>
      <c r="B7">
        <f>AVERAGE(CFU_raw!$B17:$B19)</f>
        <v>33333.333333333328</v>
      </c>
      <c r="C7">
        <f>STDEV(CFU_raw!$B17:$B19)</f>
        <v>28867.513459481284</v>
      </c>
      <c r="D7">
        <f t="shared" si="0"/>
        <v>1</v>
      </c>
      <c r="E7" t="s">
        <v>1</v>
      </c>
    </row>
    <row r="8" spans="1:5" x14ac:dyDescent="0.2">
      <c r="A8" t="s">
        <v>13</v>
      </c>
      <c r="B8">
        <f>AVERAGE(CFU_raw!$B20:$B22)</f>
        <v>1833333.3333333333</v>
      </c>
      <c r="C8">
        <f>STDEV(CFU_raw!$B20:$B22)</f>
        <v>577350.26918962551</v>
      </c>
      <c r="D8">
        <f t="shared" si="0"/>
        <v>1</v>
      </c>
      <c r="E8" t="s">
        <v>1</v>
      </c>
    </row>
    <row r="9" spans="1:5" x14ac:dyDescent="0.2">
      <c r="A9" t="s">
        <v>14</v>
      </c>
      <c r="B9">
        <f>AVERAGE(CFU_raw!$B23:$B25)</f>
        <v>1333.3333333333333</v>
      </c>
      <c r="C9">
        <f>STDEV(CFU_raw!$B23:$B25)</f>
        <v>1040.8329997330663</v>
      </c>
      <c r="D9">
        <f t="shared" si="0"/>
        <v>0.61538461538461542</v>
      </c>
      <c r="E9" t="s">
        <v>1</v>
      </c>
    </row>
    <row r="10" spans="1:5" x14ac:dyDescent="0.2">
      <c r="A10" t="s">
        <v>15</v>
      </c>
      <c r="B10">
        <f>AVERAGE(CFU_raw!$B26:$B28)</f>
        <v>1833.3333333333333</v>
      </c>
      <c r="C10">
        <f>STDEV(CFU_raw!$B26:$B28)</f>
        <v>288.67513459481233</v>
      </c>
      <c r="D10">
        <f t="shared" si="0"/>
        <v>1</v>
      </c>
      <c r="E10" t="s">
        <v>1</v>
      </c>
    </row>
    <row r="11" spans="1:5" x14ac:dyDescent="0.2">
      <c r="A11" t="s">
        <v>16</v>
      </c>
      <c r="B11">
        <f>AVERAGE(CFU_raw!$B29:$B31)</f>
        <v>1333.3333333333333</v>
      </c>
      <c r="C11">
        <f>STDEV(CFU_raw!$B29:$B31)</f>
        <v>763.7626158259734</v>
      </c>
      <c r="D11">
        <f t="shared" si="0"/>
        <v>1</v>
      </c>
      <c r="E11" t="s">
        <v>1</v>
      </c>
    </row>
    <row r="12" spans="1:5" x14ac:dyDescent="0.2">
      <c r="A12" t="s">
        <v>23</v>
      </c>
      <c r="B12">
        <f>AVERAGE(CFU_raw!$B32:$B34)</f>
        <v>1000000000</v>
      </c>
      <c r="C12">
        <f>STDEV(CFU_raw!$B32:$B34)</f>
        <v>500000000</v>
      </c>
      <c r="D12">
        <f>B12/(B12+B29)</f>
        <v>0.66666666666666663</v>
      </c>
      <c r="E12" t="s">
        <v>1</v>
      </c>
    </row>
    <row r="13" spans="1:5" x14ac:dyDescent="0.2">
      <c r="A13" t="s">
        <v>24</v>
      </c>
      <c r="B13">
        <f>AVERAGE(CFU_raw!$B35:$B37)</f>
        <v>166666666.66666666</v>
      </c>
      <c r="C13">
        <f>STDEV(CFU_raw!$B35:$B37)</f>
        <v>288675134.59481287</v>
      </c>
      <c r="D13">
        <f>B13/(B13+B30)</f>
        <v>0.14285714285714285</v>
      </c>
      <c r="E13" t="s">
        <v>1</v>
      </c>
    </row>
    <row r="14" spans="1:5" x14ac:dyDescent="0.2">
      <c r="A14" t="s">
        <v>25</v>
      </c>
      <c r="B14">
        <f>AVERAGE(CFU_raw!$B38:$B40)</f>
        <v>833333333.33333313</v>
      </c>
      <c r="C14">
        <f>STDEV(CFU_raw!$B38:$B40)</f>
        <v>288675134.59481293</v>
      </c>
      <c r="D14">
        <f>B14/(B14+B31)</f>
        <v>0.55555555555555547</v>
      </c>
      <c r="E14" t="s">
        <v>1</v>
      </c>
    </row>
    <row r="15" spans="1:5" x14ac:dyDescent="0.2">
      <c r="A15" t="s">
        <v>18</v>
      </c>
      <c r="B15">
        <f>AVERAGE(CFU_raw!$B41:$B43)</f>
        <v>116.66666666666667</v>
      </c>
      <c r="C15">
        <f>STDEV(CFU_raw!$B41:$B43)</f>
        <v>28.867513459481266</v>
      </c>
      <c r="D15">
        <v>0</v>
      </c>
      <c r="E15" t="s">
        <v>2</v>
      </c>
    </row>
    <row r="16" spans="1:5" x14ac:dyDescent="0.2">
      <c r="A16" t="s">
        <v>3</v>
      </c>
      <c r="B16">
        <f>AVERAGE(CFU_raw!$B44:$B46)</f>
        <v>2666666.6666666665</v>
      </c>
      <c r="C16">
        <f>STDEV(CFU_raw!$B44:$B46)</f>
        <v>763762.6158259738</v>
      </c>
      <c r="D16">
        <v>0</v>
      </c>
      <c r="E16" t="s">
        <v>2</v>
      </c>
    </row>
    <row r="17" spans="1:5" x14ac:dyDescent="0.2">
      <c r="A17" t="s">
        <v>6</v>
      </c>
      <c r="B17">
        <f>AVERAGE(CFU_raw!$B47:$B49)</f>
        <v>14999999.999999998</v>
      </c>
      <c r="C17">
        <f>STDEV(CFU_raw!$B47:$B49)</f>
        <v>10000000</v>
      </c>
      <c r="D17">
        <v>0</v>
      </c>
      <c r="E17" t="s">
        <v>2</v>
      </c>
    </row>
    <row r="18" spans="1:5" x14ac:dyDescent="0.2">
      <c r="A18" t="s">
        <v>7</v>
      </c>
      <c r="B18">
        <f>AVERAGE(CFU_raw!$B50:$B52)</f>
        <v>3333333.3333333335</v>
      </c>
      <c r="C18">
        <f>STDEV(CFU_raw!$B50:$B52)</f>
        <v>288675.13459481287</v>
      </c>
      <c r="D18">
        <v>0</v>
      </c>
      <c r="E18" t="s">
        <v>2</v>
      </c>
    </row>
    <row r="19" spans="1:5" x14ac:dyDescent="0.2">
      <c r="A19" t="s">
        <v>8</v>
      </c>
      <c r="B19">
        <f>AVERAGE(CFU_raw!$B53:$B55)</f>
        <v>0</v>
      </c>
      <c r="C19">
        <f>STDEV(CFU_raw!$B53:$B55)</f>
        <v>0</v>
      </c>
      <c r="E19" t="s">
        <v>2</v>
      </c>
    </row>
    <row r="20" spans="1:5" x14ac:dyDescent="0.2">
      <c r="A20" t="s">
        <v>9</v>
      </c>
      <c r="B20">
        <f>AVERAGE(CFU_raw!$B56:$B58)</f>
        <v>66666.666666666672</v>
      </c>
      <c r="C20">
        <f>STDEV(CFU_raw!$B56:$B58)</f>
        <v>76376.261582597333</v>
      </c>
      <c r="E20" t="s">
        <v>2</v>
      </c>
    </row>
    <row r="21" spans="1:5" x14ac:dyDescent="0.2">
      <c r="A21" t="s">
        <v>10</v>
      </c>
      <c r="B21">
        <f>AVERAGE(CFU_raw!$B59:$B61)</f>
        <v>23333.333333333332</v>
      </c>
      <c r="C21">
        <f>STDEV(CFU_raw!$B59:$B61)</f>
        <v>12583.057392117918</v>
      </c>
      <c r="E21" t="s">
        <v>2</v>
      </c>
    </row>
    <row r="22" spans="1:5" x14ac:dyDescent="0.2">
      <c r="A22" t="s">
        <v>11</v>
      </c>
      <c r="B22">
        <f>AVERAGE(CFU_raw!$B62:$B64)</f>
        <v>0</v>
      </c>
      <c r="C22">
        <f>STDEV(CFU_raw!$B62:$B64)</f>
        <v>0</v>
      </c>
      <c r="E22" t="s">
        <v>2</v>
      </c>
    </row>
    <row r="23" spans="1:5" x14ac:dyDescent="0.2">
      <c r="A23" t="s">
        <v>12</v>
      </c>
      <c r="B23">
        <f>AVERAGE(CFU_raw!$B65:$B67)</f>
        <v>0</v>
      </c>
      <c r="C23">
        <f>STDEV(CFU_raw!$B65:$B67)</f>
        <v>0</v>
      </c>
      <c r="E23" t="s">
        <v>2</v>
      </c>
    </row>
    <row r="24" spans="1:5" x14ac:dyDescent="0.2">
      <c r="A24" t="s">
        <v>13</v>
      </c>
      <c r="B24">
        <f>AVERAGE(CFU_raw!$B68:$B70)</f>
        <v>0</v>
      </c>
      <c r="C24">
        <f>STDEV(CFU_raw!$B68:$B70)</f>
        <v>0</v>
      </c>
      <c r="E24" t="s">
        <v>2</v>
      </c>
    </row>
    <row r="25" spans="1:5" x14ac:dyDescent="0.2">
      <c r="A25" t="s">
        <v>14</v>
      </c>
      <c r="B25">
        <f>AVERAGE(CFU_raw!$B71:$B73)</f>
        <v>833.33333333333337</v>
      </c>
      <c r="C25">
        <f>STDEV(CFU_raw!$B71:$B73)</f>
        <v>288.67513459481296</v>
      </c>
      <c r="E25" t="s">
        <v>2</v>
      </c>
    </row>
    <row r="26" spans="1:5" x14ac:dyDescent="0.2">
      <c r="A26" t="s">
        <v>15</v>
      </c>
      <c r="B26">
        <f>AVERAGE(CFU_raw!$B75:$B76,CFU_raw!$B74)</f>
        <v>0</v>
      </c>
      <c r="C26">
        <f>STDEV(CFU_raw!$B75:$B76,CFU_raw!$B74)</f>
        <v>0</v>
      </c>
      <c r="E26" t="s">
        <v>2</v>
      </c>
    </row>
    <row r="27" spans="1:5" x14ac:dyDescent="0.2">
      <c r="A27" t="s">
        <v>16</v>
      </c>
      <c r="B27">
        <f>AVERAGE(CFU_raw!$B77:$B79)</f>
        <v>0</v>
      </c>
      <c r="C27">
        <f>STDEV(CFU_raw!$B77:$B79)</f>
        <v>0</v>
      </c>
      <c r="E27" t="s">
        <v>2</v>
      </c>
    </row>
    <row r="28" spans="1:5" x14ac:dyDescent="0.2">
      <c r="A28" t="s">
        <v>22</v>
      </c>
      <c r="B28">
        <f>AVERAGE(CFU_raw!$B80:$B82)</f>
        <v>3666666666.6666665</v>
      </c>
      <c r="C28">
        <f>STDEV(CFU_raw!$B80:$B82)</f>
        <v>763762615.82597244</v>
      </c>
      <c r="E28" t="s">
        <v>2</v>
      </c>
    </row>
    <row r="29" spans="1:5" x14ac:dyDescent="0.2">
      <c r="A29" s="1" t="s">
        <v>23</v>
      </c>
      <c r="B29">
        <f>AVERAGE(CFU_raw!$B83:$B85)</f>
        <v>499999999.99999994</v>
      </c>
      <c r="C29">
        <f>STDEV(CFU_raw!$B83:$B85)</f>
        <v>500000000</v>
      </c>
      <c r="E29" t="s">
        <v>2</v>
      </c>
    </row>
    <row r="30" spans="1:5" x14ac:dyDescent="0.2">
      <c r="A30" s="1" t="s">
        <v>24</v>
      </c>
      <c r="B30">
        <f>AVERAGE(CFU_raw!$B86:$B88)</f>
        <v>1000000000</v>
      </c>
      <c r="C30">
        <f>STDEV(CFU_raw!$B86:$B88)</f>
        <v>500000000</v>
      </c>
      <c r="E30" t="s">
        <v>2</v>
      </c>
    </row>
    <row r="31" spans="1:5" x14ac:dyDescent="0.2">
      <c r="A31" s="1" t="s">
        <v>25</v>
      </c>
      <c r="B31">
        <f>AVERAGE(CFU_raw!$B89:$B91)</f>
        <v>666666666.66666663</v>
      </c>
      <c r="C31">
        <f>STDEV(CFU_raw!$B89:$B91)</f>
        <v>577350269.18962574</v>
      </c>
      <c r="E3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PFU_raw</vt:lpstr>
      <vt:lpstr>PFU_stat</vt:lpstr>
      <vt:lpstr>CFU_raw</vt:lpstr>
      <vt:lpstr>CFU_stat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 Bisesi</dc:creator>
  <cp:lastModifiedBy>Ave Bisesi</cp:lastModifiedBy>
  <dcterms:created xsi:type="dcterms:W3CDTF">2022-04-25T15:19:55Z</dcterms:created>
  <dcterms:modified xsi:type="dcterms:W3CDTF">2022-04-25T16:37:31Z</dcterms:modified>
</cp:coreProperties>
</file>