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3.xml" ContentType="application/vnd.openxmlformats-officedocument.spreadsheetml.comments+xml"/>
  <Override PartName="/xl/threadedComments/threadedComment1.xml" ContentType="application/vnd.ms-excel.threadedcomments+xml"/>
  <Override PartName="/xl/tables/table5.xml" ContentType="application/vnd.openxmlformats-officedocument.spreadsheetml.table+xml"/>
  <Override PartName="/xl/drawings/drawing1.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omments4.xml" ContentType="application/vnd.openxmlformats-officedocument.spreadsheetml.comments+xml"/>
  <Override PartName="/xl/threadedComments/threadedComment2.xml" ContentType="application/vnd.ms-excel.threadedcomments+xml"/>
  <Override PartName="/xl/tables/table10.xml" ContentType="application/vnd.openxmlformats-officedocument.spreadsheetml.table+xml"/>
  <Override PartName="/xl/tables/table1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updateLinks="never" defaultThemeVersion="202300"/>
  <mc:AlternateContent xmlns:mc="http://schemas.openxmlformats.org/markup-compatibility/2006">
    <mc:Choice Requires="x15">
      <x15ac:absPath xmlns:x15ac="http://schemas.microsoft.com/office/spreadsheetml/2010/11/ac" url="https://corptipa-my.sharepoint.com/personal/michael_c_tipa-corp_com/Documents/Desktop/Study/"/>
    </mc:Choice>
  </mc:AlternateContent>
  <xr:revisionPtr revIDLastSave="922" documentId="8_{A509E570-4637-40B3-A3E0-29E584147000}" xr6:coauthVersionLast="47" xr6:coauthVersionMax="47" xr10:uidLastSave="{D5E9932A-2058-4DB5-945F-5D0A8399B7EB}"/>
  <bookViews>
    <workbookView xWindow="-120" yWindow="-120" windowWidth="29040" windowHeight="15720" tabRatio="1000" firstSheet="4" activeTab="7" xr2:uid="{529BDA91-EAAF-45B2-8AB6-C5488F242668}"/>
  </bookViews>
  <sheets>
    <sheet name="Sheet1" sheetId="13" state="hidden" r:id="rId1"/>
    <sheet name="Laminated bags - Sales" sheetId="36" r:id="rId2"/>
    <sheet name="Laminate for Bags  - Sales" sheetId="37" r:id="rId3"/>
    <sheet name="Laminate for reels  - Sales (2)" sheetId="27" r:id="rId4"/>
    <sheet name="Step by Step" sheetId="20" r:id="rId5"/>
    <sheet name="BOM" sheetId="1" r:id="rId6"/>
    <sheet name="Film Pricing" sheetId="4" r:id="rId7"/>
    <sheet name="Laminates" sheetId="9" r:id="rId8"/>
    <sheet name="Pouches" sheetId="32" r:id="rId9"/>
    <sheet name="HELPER" sheetId="2" r:id="rId10"/>
    <sheet name="Bags Calculator" sheetId="5" r:id="rId11"/>
    <sheet name="copilot" sheetId="6" r:id="rId12"/>
    <sheet name="Matan &amp; Hagit 2" sheetId="3" state="hidden" r:id="rId13"/>
    <sheet name="Lmntn &amp; Prntng- Marma &amp; Bastin " sheetId="16" r:id="rId14"/>
    <sheet name="Converting- Marma &amp; Bastin " sheetId="17" r:id="rId15"/>
    <sheet name="list TIPA &amp; B4P" sheetId="18" r:id="rId16"/>
    <sheet name="Laminates step by step" sheetId="23" r:id="rId17"/>
    <sheet name="BOM Resin Weighted QTY %" sheetId="29" r:id="rId18"/>
  </sheets>
  <externalReferences>
    <externalReference r:id="rId19"/>
    <externalReference r:id="rId20"/>
    <externalReference r:id="rId21"/>
    <externalReference r:id="rId22"/>
    <externalReference r:id="rId23"/>
  </externalReferences>
  <definedNames>
    <definedName name="_xlnm._FilterDatabase" localSheetId="5" hidden="1">BOM!$A$1:$J$391</definedName>
    <definedName name="_xlnm._FilterDatabase" localSheetId="9" hidden="1">HELPER!$AV$1:$AY$57</definedName>
    <definedName name="_xlnm._FilterDatabase" localSheetId="15" hidden="1">'list TIPA &amp; B4P'!$A$2:$F$122</definedName>
    <definedName name="_xlnm._FilterDatabase" localSheetId="13" hidden="1">'Lmntn &amp; Prntng- Marma &amp; Bastin '!$A$2:$K$22</definedName>
    <definedName name="_xlnm._FilterDatabase" localSheetId="0" hidden="1">Sheet1!$A$20:$C$29</definedName>
    <definedName name="AdhesiveList">#REF!</definedName>
    <definedName name="amount">#REF!</definedName>
    <definedName name="BagTypeList">#REF!</definedName>
    <definedName name="Barier">#REF!</definedName>
    <definedName name="Clear">#REF!</definedName>
    <definedName name="Config_302FG">#REF!</definedName>
    <definedName name="Config_302FGW">#REF!</definedName>
    <definedName name="Config_306">#REF!</definedName>
    <definedName name="Config_308">#REF!</definedName>
    <definedName name="Config_312FG">#REF!</definedName>
    <definedName name="Config_312W">#REF!</definedName>
    <definedName name="Config_NKR">#REF!</definedName>
    <definedName name="Config_PL2021">"'Film Pricing- New'!$AF$10:$AF$20"</definedName>
    <definedName name="Config_PL2022">"'Film Pricing- New'!$AG$10:$AG$20"</definedName>
    <definedName name="Config_PL2023">"'Film Pricing- New'!$AH$10:$AH$20"</definedName>
    <definedName name="Family">#REF!</definedName>
    <definedName name="Film_type" localSheetId="3">'[1]List of names'!$Y$15:$Y$16</definedName>
    <definedName name="Film_type">#REF!</definedName>
    <definedName name="FilmList">#REF!</definedName>
    <definedName name="GF048.1">#REF!</definedName>
    <definedName name="Grouped">#REF!</definedName>
    <definedName name="HardenerList">#REF!</definedName>
    <definedName name="JOB" localSheetId="3">OFFSET('[2]GEF063 WP Sales'!B6,0,0,COUNTA('[2]GEF063 WP Sales'!$AS$11:$AS$200),COUNTA('[2]GEF063 WP Sales'!$AS$11:$AT$11))</definedName>
    <definedName name="JOB">OFFSET(#REF!,0,0,COUNTA(#REF!),COUNTA(#REF!))</definedName>
    <definedName name="Jobs" localSheetId="3">'[2]GEF063 WP Sales'!$AS$10:$AS$210+'[2]GEF063 WP Sales'!$AU$10-2</definedName>
    <definedName name="Jobs">#REF!+#REF!-2</definedName>
    <definedName name="Jobss" localSheetId="3">'[2]GEF063 WP Sales'!XFC2:XFC2+VALUE('[2]GEF063 WP Sales'!$AU$10)</definedName>
    <definedName name="Jobss">#REF!+VALUE(#REF!)</definedName>
    <definedName name="Laminate" localSheetId="3">'[1]List of names'!$P$15:$P$22</definedName>
    <definedName name="Laminate">#REF!</definedName>
    <definedName name="Laminate_Thickness">#REF!</definedName>
    <definedName name="Laminate_type" localSheetId="3">'[1]List of names'!$P$14:$X$14</definedName>
    <definedName name="Laminate_type">#REF!</definedName>
    <definedName name="Laminate106" localSheetId="2">[3]!Table2[Laminate106]</definedName>
    <definedName name="Laminate106" localSheetId="1">[3]!Table2[Laminate106]</definedName>
    <definedName name="Laminate106">#REF!</definedName>
    <definedName name="Laminate604" localSheetId="2">[3]!Table4[Laminate618]</definedName>
    <definedName name="Laminate604" localSheetId="3">[1]!Table4[Laminate618]</definedName>
    <definedName name="Laminate604" localSheetId="1">[3]!Table4[Laminate618]</definedName>
    <definedName name="Laminate604">#REF!</definedName>
    <definedName name="Laminate607" localSheetId="2">[3]!Table6[Laminate607]</definedName>
    <definedName name="Laminate607" localSheetId="1">[3]!Table6[Laminate607]</definedName>
    <definedName name="Laminate607">#REF!</definedName>
    <definedName name="Laminate607\" localSheetId="2">[3]!Table6[Laminate607]</definedName>
    <definedName name="Laminate607\" localSheetId="3">[1]!Table6[Laminate607]</definedName>
    <definedName name="Laminate607\" localSheetId="1">[3]!Table6[Laminate607]</definedName>
    <definedName name="Laminate607\">#REF!</definedName>
    <definedName name="Laminate608W" localSheetId="2">[3]!Table3[Laminate608W]</definedName>
    <definedName name="Laminate608W" localSheetId="3">[1]!Table3[Laminate608W]</definedName>
    <definedName name="Laminate608W" localSheetId="1">[3]!Table3[Laminate608W]</definedName>
    <definedName name="Laminate608W">#REF!</definedName>
    <definedName name="LaminateList">#REF!</definedName>
    <definedName name="MATERIAL" localSheetId="3">'[4]Raw materials prices'!$L$51:$L$61</definedName>
    <definedName name="MATERIAL">#REF!</definedName>
    <definedName name="Materials" localSheetId="3">'[5]list for drop down menu'!$A$1:$A$20</definedName>
    <definedName name="Materials">#REF!</definedName>
    <definedName name="Metalize">#REF!</definedName>
    <definedName name="NKR">#REF!</definedName>
    <definedName name="Paper">#REF!</definedName>
    <definedName name="pirce">#REF!</definedName>
    <definedName name="PO">#REF!</definedName>
    <definedName name="price">#REF!</definedName>
    <definedName name="ShippingRoutes">HELPER!$AF$2:$AF$4</definedName>
    <definedName name="ThicknessList">#REF!</definedName>
    <definedName name="USD" localSheetId="3">'[1]Raw material summary'!$F$3</definedName>
    <definedName name="USD">#REF!</definedName>
    <definedName name="width">#REF!</definedName>
  </definedNames>
  <calcPr calcId="191029"/>
  <pivotCaches>
    <pivotCache cacheId="0" r:id="rId2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AP63" i="9" l="1" a="1"/>
  <c r="AP63" i="9" s="1"/>
  <c r="G63" i="9" s="1"/>
  <c r="N68" i="9" a="1"/>
  <c r="N68" i="9" s="1"/>
  <c r="N67" i="9" a="1"/>
  <c r="N67" i="9"/>
  <c r="AL63" i="9" a="1"/>
  <c r="AL63" i="9"/>
  <c r="G57" i="9" s="1"/>
  <c r="N62" i="9" a="1"/>
  <c r="N62" i="9" s="1"/>
  <c r="N61" i="9" a="1"/>
  <c r="N61" i="9" s="1"/>
  <c r="AH63" i="9" a="1"/>
  <c r="AH63" i="9" s="1"/>
  <c r="G51" i="9" s="1"/>
  <c r="DH2" i="2" a="1"/>
  <c r="DH2" i="2" s="1"/>
  <c r="DG2" i="2" a="1"/>
  <c r="DG2" i="2" s="1"/>
  <c r="DF2" i="2" a="1"/>
  <c r="DF2" i="2" s="1"/>
  <c r="AP93" i="9"/>
  <c r="N93" i="9" a="1"/>
  <c r="N93" i="9" s="1"/>
  <c r="J93" i="9"/>
  <c r="N92" i="9" a="1"/>
  <c r="N92" i="9" s="1"/>
  <c r="J92" i="9"/>
  <c r="AL91" i="9"/>
  <c r="AH91" i="9"/>
  <c r="N91" i="9" a="1"/>
  <c r="N91" i="9" s="1"/>
  <c r="J91" i="9"/>
  <c r="AP90" i="9" a="1"/>
  <c r="AP90" i="9" s="1"/>
  <c r="AC63" i="9" s="1"/>
  <c r="AL90" i="9" a="1"/>
  <c r="AL90" i="9" s="1"/>
  <c r="AL92" i="9" s="1"/>
  <c r="AH90" i="9" a="1"/>
  <c r="AH90" i="9" s="1"/>
  <c r="Y90" i="9"/>
  <c r="T90" i="9"/>
  <c r="N90" i="9" a="1"/>
  <c r="N90" i="9" s="1"/>
  <c r="J90" i="9"/>
  <c r="AP89" i="9"/>
  <c r="AL89" i="9"/>
  <c r="AH89" i="9"/>
  <c r="N89" i="9" a="1"/>
  <c r="N89" i="9" s="1"/>
  <c r="J89" i="9"/>
  <c r="AP88" i="9"/>
  <c r="AL88" i="9"/>
  <c r="AH88" i="9"/>
  <c r="N88" i="9" a="1"/>
  <c r="N88" i="9" s="1"/>
  <c r="J88" i="9"/>
  <c r="N87" i="9" a="1"/>
  <c r="N87" i="9"/>
  <c r="J87" i="9"/>
  <c r="T86" i="9"/>
  <c r="N86" i="9" a="1"/>
  <c r="N86" i="9" s="1"/>
  <c r="J86" i="9"/>
  <c r="AP85" i="9"/>
  <c r="AL85" i="9"/>
  <c r="AH85" i="9"/>
  <c r="N85" i="9" a="1"/>
  <c r="N85" i="9"/>
  <c r="J85" i="9"/>
  <c r="N84" i="9" a="1"/>
  <c r="N84" i="9" s="1"/>
  <c r="J84" i="9"/>
  <c r="N83" i="9" a="1"/>
  <c r="N83" i="9" s="1"/>
  <c r="J83" i="9"/>
  <c r="N82" i="9" a="1"/>
  <c r="N82" i="9" s="1"/>
  <c r="J82" i="9"/>
  <c r="N80" i="9" a="1"/>
  <c r="N80" i="9"/>
  <c r="J80" i="9"/>
  <c r="T77" i="9"/>
  <c r="N77" i="9" a="1"/>
  <c r="N77" i="9" s="1"/>
  <c r="J77" i="9"/>
  <c r="N74" i="9" a="1"/>
  <c r="N74" i="9" s="1"/>
  <c r="J74" i="9"/>
  <c r="N73" i="9" a="1"/>
  <c r="N73" i="9"/>
  <c r="J73" i="9"/>
  <c r="N72" i="9" a="1"/>
  <c r="N72" i="9" s="1"/>
  <c r="J72" i="9"/>
  <c r="N71" i="9" a="1"/>
  <c r="N71" i="9"/>
  <c r="J71" i="9"/>
  <c r="N70" i="9" a="1"/>
  <c r="N70" i="9"/>
  <c r="J70" i="9"/>
  <c r="T69" i="9"/>
  <c r="N69" i="9" a="1"/>
  <c r="N69" i="9"/>
  <c r="J69" i="9"/>
  <c r="P68" i="9"/>
  <c r="L68" i="9"/>
  <c r="K68" i="9"/>
  <c r="J68" i="9"/>
  <c r="P67" i="9"/>
  <c r="M67" i="9"/>
  <c r="L67" i="9"/>
  <c r="K67" i="9" a="1"/>
  <c r="K67" i="9" s="1"/>
  <c r="X67" i="9" s="1"/>
  <c r="J67" i="9"/>
  <c r="K66" i="9" a="1"/>
  <c r="K66" i="9" s="1"/>
  <c r="AB63" i="9"/>
  <c r="AA63" i="9"/>
  <c r="Q63" i="9"/>
  <c r="O63" i="9"/>
  <c r="I63" i="9"/>
  <c r="H63" i="9"/>
  <c r="E63" i="9"/>
  <c r="D63" i="9"/>
  <c r="C63" i="9" a="1"/>
  <c r="C63" i="9" s="1"/>
  <c r="N63" i="9" s="1" a="1"/>
  <c r="N63" i="9" s="1"/>
  <c r="B63" i="9"/>
  <c r="P62" i="9"/>
  <c r="L62" i="9"/>
  <c r="K62" i="9"/>
  <c r="J62" i="9"/>
  <c r="AQ61" i="9"/>
  <c r="AM61" i="9"/>
  <c r="AI61" i="9"/>
  <c r="P61" i="9"/>
  <c r="M61" i="9"/>
  <c r="L61" i="9"/>
  <c r="K61" i="9" a="1"/>
  <c r="K61" i="9" s="1"/>
  <c r="X61" i="9" s="1"/>
  <c r="J61" i="9"/>
  <c r="AB57" i="9"/>
  <c r="AA57" i="9"/>
  <c r="W57" i="9"/>
  <c r="S57" i="9" a="1"/>
  <c r="S57" i="9" s="1"/>
  <c r="Q57" i="9"/>
  <c r="O57" i="9"/>
  <c r="I57" i="9"/>
  <c r="H57" i="9"/>
  <c r="D57" i="9"/>
  <c r="E57" i="9" s="1"/>
  <c r="B57" i="9"/>
  <c r="P56" i="9"/>
  <c r="N56" i="9" a="1"/>
  <c r="N56" i="9" s="1"/>
  <c r="L56" i="9"/>
  <c r="K56" i="9"/>
  <c r="J56" i="9"/>
  <c r="P55" i="9"/>
  <c r="N55" i="9" a="1"/>
  <c r="N55" i="9" s="1"/>
  <c r="M55" i="9"/>
  <c r="Z55" i="9" s="1"/>
  <c r="L55" i="9"/>
  <c r="K55" i="9" a="1"/>
  <c r="K55" i="9" s="1"/>
  <c r="X55" i="9" s="1"/>
  <c r="J55" i="9"/>
  <c r="AB51" i="9"/>
  <c r="AA51" i="9"/>
  <c r="W51" i="9"/>
  <c r="S51" i="9" a="1"/>
  <c r="S51" i="9" s="1"/>
  <c r="Q51" i="9"/>
  <c r="O51" i="9"/>
  <c r="I51" i="9"/>
  <c r="H51" i="9"/>
  <c r="D51" i="9"/>
  <c r="E51" i="9" s="1"/>
  <c r="B51" i="9"/>
  <c r="C51" i="9" s="1" a="1"/>
  <c r="AO50" i="9"/>
  <c r="AK50" i="9"/>
  <c r="AG50" i="9"/>
  <c r="L66" i="9" l="1"/>
  <c r="M66" i="9" s="1"/>
  <c r="X66" i="9" s="1"/>
  <c r="J63" i="9"/>
  <c r="P63" i="9"/>
  <c r="K64" i="9" a="1"/>
  <c r="K64" i="9" s="1"/>
  <c r="M64" i="9" s="1"/>
  <c r="N66" i="9" a="1"/>
  <c r="N66" i="9" s="1"/>
  <c r="L64" i="9"/>
  <c r="K63" i="9" a="1"/>
  <c r="K63" i="9" s="1"/>
  <c r="M63" i="9" s="1"/>
  <c r="P66" i="9"/>
  <c r="L63" i="9"/>
  <c r="J64" i="9"/>
  <c r="N65" i="9" a="1"/>
  <c r="N65" i="9" s="1"/>
  <c r="P64" i="9"/>
  <c r="AP92" i="9"/>
  <c r="J66" i="9"/>
  <c r="J65" i="9"/>
  <c r="M65" i="9" s="1"/>
  <c r="R63" i="9" a="1"/>
  <c r="R63" i="9" s="1"/>
  <c r="K65" i="9" a="1"/>
  <c r="K65" i="9" s="1"/>
  <c r="L65" i="9"/>
  <c r="P65" i="9"/>
  <c r="C57" i="9" a="1"/>
  <c r="AH93" i="9"/>
  <c r="C51" i="9"/>
  <c r="P51" i="9" s="1"/>
  <c r="J53" i="9"/>
  <c r="M53" i="9" s="1"/>
  <c r="P52" i="9"/>
  <c r="L52" i="9"/>
  <c r="K52" i="9" a="1"/>
  <c r="K52" i="9" s="1"/>
  <c r="J52" i="9"/>
  <c r="P54" i="9"/>
  <c r="N54" i="9" a="1"/>
  <c r="N54" i="9" s="1"/>
  <c r="L54" i="9"/>
  <c r="K54" i="9" a="1"/>
  <c r="K54" i="9" s="1"/>
  <c r="K53" i="9" a="1"/>
  <c r="K53" i="9" s="1"/>
  <c r="J54" i="9"/>
  <c r="P53" i="9"/>
  <c r="N53" i="9" a="1"/>
  <c r="N53" i="9" s="1"/>
  <c r="L53" i="9"/>
  <c r="K51" i="9" a="1"/>
  <c r="K51" i="9" s="1"/>
  <c r="T51" i="9" s="1"/>
  <c r="L51" i="9"/>
  <c r="J51" i="9"/>
  <c r="G69" i="9" s="1"/>
  <c r="N51" i="9" a="1"/>
  <c r="N51" i="9" s="1"/>
  <c r="AH92" i="9"/>
  <c r="AL93" i="9"/>
  <c r="AP69" i="9"/>
  <c r="AL69" i="9"/>
  <c r="AC57" i="9"/>
  <c r="AH69" i="9"/>
  <c r="AC51" i="9"/>
  <c r="S63" i="9" a="1"/>
  <c r="S63" i="9" s="1"/>
  <c r="U63" i="9" a="1"/>
  <c r="U63" i="9" s="1"/>
  <c r="M54" i="9" l="1"/>
  <c r="X65" i="9"/>
  <c r="M68" i="9"/>
  <c r="X63" i="9"/>
  <c r="N64" i="9" a="1"/>
  <c r="N64" i="9" s="1"/>
  <c r="X64" i="9" s="1"/>
  <c r="N59" i="9" a="1"/>
  <c r="N59" i="9" s="1"/>
  <c r="N58" i="9" a="1"/>
  <c r="N58" i="9" s="1"/>
  <c r="N60" i="9" a="1"/>
  <c r="N60" i="9" s="1"/>
  <c r="C57" i="9"/>
  <c r="J58" i="9"/>
  <c r="M59" i="9"/>
  <c r="L59" i="9"/>
  <c r="K59" i="9" a="1"/>
  <c r="K59" i="9" s="1"/>
  <c r="L58" i="9"/>
  <c r="J60" i="9"/>
  <c r="M60" i="9" s="1"/>
  <c r="P59" i="9"/>
  <c r="J59" i="9"/>
  <c r="P58" i="9"/>
  <c r="P60" i="9"/>
  <c r="L60" i="9"/>
  <c r="K60" i="9" a="1"/>
  <c r="K60" i="9" s="1"/>
  <c r="K58" i="9" a="1"/>
  <c r="K58" i="9" s="1"/>
  <c r="M58" i="9" s="1"/>
  <c r="R51" i="9" a="1"/>
  <c r="R51" i="9" s="1"/>
  <c r="X53" i="9"/>
  <c r="N52" i="9" a="1"/>
  <c r="N52" i="9" s="1"/>
  <c r="M51" i="9"/>
  <c r="X51" i="9" s="1"/>
  <c r="X54" i="9"/>
  <c r="U51" i="9" a="1"/>
  <c r="U51" i="9" s="1"/>
  <c r="M52" i="9"/>
  <c r="X60" i="9" l="1"/>
  <c r="AP84" i="9"/>
  <c r="AP86" i="9"/>
  <c r="AP91" i="9" s="1"/>
  <c r="X58" i="9"/>
  <c r="X59" i="9"/>
  <c r="P57" i="9"/>
  <c r="J57" i="9"/>
  <c r="K57" i="9" a="1"/>
  <c r="K57" i="9" s="1"/>
  <c r="T57" i="9" s="1"/>
  <c r="L57" i="9"/>
  <c r="M56" i="9"/>
  <c r="Z51" i="9" s="1"/>
  <c r="Z52" i="9"/>
  <c r="X52" i="9"/>
  <c r="Z54" i="9"/>
  <c r="Z53" i="9"/>
  <c r="AH86" i="9"/>
  <c r="X56" i="9"/>
  <c r="AH84" i="9"/>
  <c r="Z66" i="9"/>
  <c r="N57" i="9" l="1" a="1"/>
  <c r="N57" i="9" s="1"/>
  <c r="X57" i="9" s="1"/>
  <c r="M57" i="9"/>
  <c r="M62" i="9" s="1"/>
  <c r="AL86" i="9" s="1"/>
  <c r="R57" i="9" a="1"/>
  <c r="R57" i="9" s="1"/>
  <c r="U57" i="9" a="1"/>
  <c r="U57" i="9" s="1"/>
  <c r="Z64" i="9"/>
  <c r="Z65" i="9"/>
  <c r="A63" i="9"/>
  <c r="Z63" i="9"/>
  <c r="T63" i="9"/>
  <c r="AP72" i="9" l="1" a="1"/>
  <c r="AP72" i="9" s="1"/>
  <c r="AP71" i="9" a="1"/>
  <c r="AP71" i="9" s="1"/>
  <c r="AP70" i="9" a="1"/>
  <c r="AP70" i="9" s="1"/>
  <c r="X62" i="9"/>
  <c r="AL84" i="9"/>
  <c r="A51" i="9"/>
  <c r="AH72" i="9" l="1" a="1"/>
  <c r="AH72" i="9" s="1"/>
  <c r="AH70" i="9" a="1"/>
  <c r="AH70" i="9" s="1"/>
  <c r="V51" i="9" s="1"/>
  <c r="Y51" i="9" s="1"/>
  <c r="AH71" i="9" a="1"/>
  <c r="AH71" i="9" s="1"/>
  <c r="AH73" i="9" a="1"/>
  <c r="AH73" i="9" s="1"/>
  <c r="AH66" i="9" l="1" a="1"/>
  <c r="AH66" i="9" s="1"/>
  <c r="AH67" i="9" s="1"/>
  <c r="AG75" i="9" l="1"/>
  <c r="AH77" i="9" s="1"/>
  <c r="AH80" i="9" s="1"/>
  <c r="AH64" i="9"/>
  <c r="AH65" i="9" s="1"/>
  <c r="AH68" i="9" l="1"/>
  <c r="AH76" i="9"/>
  <c r="AH78" i="9" l="1"/>
  <c r="AH82" i="9" s="1" a="1"/>
  <c r="AH82" i="9" s="1"/>
  <c r="AH95" i="9"/>
  <c r="AH79" i="9"/>
  <c r="AH81" i="9" s="1"/>
  <c r="AH83" i="9" s="1" a="1"/>
  <c r="AH83" i="9" s="1"/>
  <c r="AP15" i="9" l="1" a="1"/>
  <c r="AP15" i="9" s="1"/>
  <c r="AL15" i="9" a="1"/>
  <c r="AL15" i="9" s="1"/>
  <c r="BB24" i="4" l="1"/>
  <c r="AX24" i="4"/>
  <c r="AT24" i="4"/>
  <c r="AP24" i="4"/>
  <c r="AL24" i="4"/>
  <c r="AH24" i="4"/>
  <c r="N6" i="32" l="1" a="1"/>
  <c r="N6" i="32" s="1"/>
  <c r="N7" i="32" a="1"/>
  <c r="N7" i="32" s="1"/>
  <c r="N8" i="32" a="1"/>
  <c r="N8" i="32" s="1"/>
  <c r="N12" i="32" a="1"/>
  <c r="N12" i="32" s="1"/>
  <c r="N13" i="32" a="1"/>
  <c r="N13" i="32" s="1"/>
  <c r="N14" i="32" a="1"/>
  <c r="N14" i="32" s="1"/>
  <c r="N18" i="32" a="1"/>
  <c r="N18" i="32" s="1"/>
  <c r="N19" i="32" a="1"/>
  <c r="N19" i="32" s="1"/>
  <c r="N20" i="32" a="1"/>
  <c r="N20" i="32" s="1"/>
  <c r="N7" i="9" a="1"/>
  <c r="N7" i="9" s="1"/>
  <c r="N8" i="9" a="1"/>
  <c r="N8" i="9" s="1"/>
  <c r="N13" i="9" a="1"/>
  <c r="N13" i="9" s="1"/>
  <c r="N14" i="9" a="1"/>
  <c r="N14" i="9" s="1"/>
  <c r="N19" i="9" a="1"/>
  <c r="N19" i="9" s="1"/>
  <c r="N20" i="9" a="1"/>
  <c r="N20" i="9" s="1"/>
  <c r="AI13" i="9" l="1"/>
  <c r="J6" i="32"/>
  <c r="M6" i="32" a="1"/>
  <c r="M6" i="32" s="1"/>
  <c r="Z6" i="32" s="1"/>
  <c r="P6" i="32"/>
  <c r="J7" i="32"/>
  <c r="M7" i="32" a="1"/>
  <c r="M7" i="32" s="1"/>
  <c r="Z7" i="32" s="1"/>
  <c r="P7" i="32"/>
  <c r="J8" i="32"/>
  <c r="P8" i="32"/>
  <c r="J12" i="32"/>
  <c r="M12" i="32" a="1"/>
  <c r="M12" i="32" s="1"/>
  <c r="Z12" i="32" s="1"/>
  <c r="P12" i="32"/>
  <c r="J13" i="32"/>
  <c r="M13" i="32"/>
  <c r="P13" i="32"/>
  <c r="J14" i="32"/>
  <c r="P14" i="32"/>
  <c r="J18" i="32"/>
  <c r="M18" i="32" a="1"/>
  <c r="M18" i="32" s="1"/>
  <c r="P18" i="32"/>
  <c r="J19" i="32"/>
  <c r="M19" i="32"/>
  <c r="P19" i="32"/>
  <c r="J20" i="32"/>
  <c r="P20" i="32"/>
  <c r="AE4" i="32"/>
  <c r="K8" i="32" s="1"/>
  <c r="AM3" i="32"/>
  <c r="B15" i="32" s="1"/>
  <c r="AI3" i="32"/>
  <c r="B9" i="32" s="1"/>
  <c r="AE3" i="32"/>
  <c r="B3" i="32" s="1"/>
  <c r="AZ169" i="2"/>
  <c r="AZ170" i="2"/>
  <c r="AZ171" i="2"/>
  <c r="AZ172" i="2"/>
  <c r="AZ173" i="2"/>
  <c r="AZ174" i="2"/>
  <c r="AZ175" i="2"/>
  <c r="AZ176" i="2"/>
  <c r="AZ2" i="2"/>
  <c r="AZ3" i="2"/>
  <c r="AZ4" i="2"/>
  <c r="AZ5" i="2"/>
  <c r="AZ6" i="2"/>
  <c r="AZ7" i="2"/>
  <c r="AZ8" i="2"/>
  <c r="AZ9" i="2"/>
  <c r="AZ10" i="2"/>
  <c r="AZ11" i="2"/>
  <c r="AZ12" i="2"/>
  <c r="AZ13" i="2"/>
  <c r="AZ14" i="2"/>
  <c r="AZ15" i="2"/>
  <c r="AZ16" i="2"/>
  <c r="AZ17" i="2"/>
  <c r="AZ18" i="2"/>
  <c r="AZ19" i="2"/>
  <c r="AZ20" i="2"/>
  <c r="AZ21" i="2"/>
  <c r="AZ22" i="2"/>
  <c r="AZ23" i="2"/>
  <c r="AZ24" i="2"/>
  <c r="AZ25" i="2"/>
  <c r="AZ26" i="2"/>
  <c r="AZ27" i="2"/>
  <c r="AZ28" i="2"/>
  <c r="AZ29" i="2"/>
  <c r="AZ30" i="2"/>
  <c r="AZ31" i="2"/>
  <c r="AZ32" i="2"/>
  <c r="AZ33" i="2"/>
  <c r="AZ34" i="2"/>
  <c r="AZ35" i="2"/>
  <c r="AZ36" i="2"/>
  <c r="AZ37" i="2"/>
  <c r="AZ38" i="2"/>
  <c r="AZ39" i="2"/>
  <c r="AZ40" i="2"/>
  <c r="AZ41" i="2"/>
  <c r="AZ42" i="2"/>
  <c r="AZ43" i="2"/>
  <c r="AZ44" i="2"/>
  <c r="AZ45" i="2"/>
  <c r="AZ46" i="2"/>
  <c r="AZ47" i="2"/>
  <c r="AZ48" i="2"/>
  <c r="AZ49" i="2"/>
  <c r="AZ50" i="2"/>
  <c r="AZ51" i="2"/>
  <c r="AZ52" i="2"/>
  <c r="AZ53" i="2"/>
  <c r="AZ54" i="2"/>
  <c r="AZ55" i="2"/>
  <c r="AZ56" i="2"/>
  <c r="AZ57" i="2"/>
  <c r="AZ58" i="2"/>
  <c r="AZ59" i="2"/>
  <c r="AZ60" i="2"/>
  <c r="AZ61" i="2"/>
  <c r="AZ62" i="2"/>
  <c r="AZ63" i="2"/>
  <c r="AZ64" i="2"/>
  <c r="AZ65" i="2"/>
  <c r="AZ66" i="2"/>
  <c r="AZ67" i="2"/>
  <c r="AZ68" i="2"/>
  <c r="AZ69" i="2"/>
  <c r="AZ70" i="2"/>
  <c r="AZ71" i="2"/>
  <c r="AZ72" i="2"/>
  <c r="AZ73" i="2"/>
  <c r="AZ74" i="2"/>
  <c r="AZ75" i="2"/>
  <c r="AZ76" i="2"/>
  <c r="AZ77" i="2"/>
  <c r="AZ78" i="2"/>
  <c r="AZ79" i="2"/>
  <c r="AZ80" i="2"/>
  <c r="AZ81" i="2"/>
  <c r="AZ82" i="2"/>
  <c r="AZ83" i="2"/>
  <c r="AZ84" i="2"/>
  <c r="AZ85" i="2"/>
  <c r="AZ86" i="2"/>
  <c r="AZ87" i="2"/>
  <c r="AZ88" i="2"/>
  <c r="AZ89" i="2"/>
  <c r="AZ90" i="2"/>
  <c r="AZ91" i="2"/>
  <c r="AZ92" i="2"/>
  <c r="AZ93" i="2"/>
  <c r="AZ94" i="2"/>
  <c r="AZ95" i="2"/>
  <c r="AZ96" i="2"/>
  <c r="AZ97" i="2"/>
  <c r="AZ98" i="2"/>
  <c r="AZ99" i="2"/>
  <c r="AZ100" i="2"/>
  <c r="AZ101" i="2"/>
  <c r="AZ102" i="2"/>
  <c r="AZ103" i="2"/>
  <c r="AZ104" i="2"/>
  <c r="AZ105" i="2"/>
  <c r="AZ106" i="2"/>
  <c r="AZ107" i="2"/>
  <c r="AZ108" i="2"/>
  <c r="AZ109" i="2"/>
  <c r="AZ110" i="2"/>
  <c r="AZ111" i="2"/>
  <c r="AZ112" i="2"/>
  <c r="AZ113" i="2"/>
  <c r="AZ114" i="2"/>
  <c r="AZ115" i="2"/>
  <c r="AZ116" i="2"/>
  <c r="AZ117" i="2"/>
  <c r="AZ118" i="2"/>
  <c r="AZ119" i="2"/>
  <c r="AZ120" i="2"/>
  <c r="AZ121" i="2"/>
  <c r="AZ122" i="2"/>
  <c r="AZ123" i="2"/>
  <c r="AZ124" i="2"/>
  <c r="AZ125" i="2"/>
  <c r="AZ126" i="2"/>
  <c r="AZ127" i="2"/>
  <c r="AZ128" i="2"/>
  <c r="AZ129" i="2"/>
  <c r="AZ130" i="2"/>
  <c r="AZ131" i="2"/>
  <c r="AZ132" i="2"/>
  <c r="AZ133" i="2"/>
  <c r="AZ134" i="2"/>
  <c r="AZ135" i="2"/>
  <c r="AZ136" i="2"/>
  <c r="AZ137" i="2"/>
  <c r="AZ138" i="2"/>
  <c r="AZ139" i="2"/>
  <c r="AZ140" i="2"/>
  <c r="AZ141" i="2"/>
  <c r="AZ142" i="2"/>
  <c r="AZ143" i="2"/>
  <c r="AZ144" i="2"/>
  <c r="AZ145" i="2"/>
  <c r="AZ146" i="2"/>
  <c r="AZ147" i="2"/>
  <c r="AZ148" i="2"/>
  <c r="AZ149" i="2"/>
  <c r="AZ150" i="2"/>
  <c r="AZ151" i="2"/>
  <c r="AZ152" i="2"/>
  <c r="AZ153" i="2"/>
  <c r="AZ154" i="2"/>
  <c r="AZ155" i="2"/>
  <c r="AZ156" i="2"/>
  <c r="AZ157" i="2"/>
  <c r="AZ158" i="2"/>
  <c r="AZ159" i="2"/>
  <c r="AZ160" i="2"/>
  <c r="AZ161" i="2"/>
  <c r="AZ162" i="2"/>
  <c r="AZ163" i="2"/>
  <c r="AZ164" i="2"/>
  <c r="AZ165" i="2"/>
  <c r="AZ166" i="2"/>
  <c r="AZ167" i="2"/>
  <c r="AZ168" i="2"/>
  <c r="AP40" i="9" l="1"/>
  <c r="AL40" i="9"/>
  <c r="AH40" i="9"/>
  <c r="AG2" i="9"/>
  <c r="AK2" i="9"/>
  <c r="AO2" i="9"/>
  <c r="AM13" i="9"/>
  <c r="AQ13" i="9"/>
  <c r="AH37" i="9"/>
  <c r="AL37" i="9"/>
  <c r="AP37" i="9"/>
  <c r="AH41" i="9"/>
  <c r="AL41" i="9"/>
  <c r="AP41" i="9"/>
  <c r="AA15" i="9" l="1"/>
  <c r="AB15" i="9" s="1"/>
  <c r="AA9" i="9"/>
  <c r="AB9" i="9" s="1"/>
  <c r="AA3" i="9"/>
  <c r="AB3" i="9" s="1"/>
  <c r="M153" i="6"/>
  <c r="J151" i="6"/>
  <c r="K151" i="6" s="1"/>
  <c r="M145" i="6" s="1"/>
  <c r="J150" i="6"/>
  <c r="M144" i="6"/>
  <c r="BU253" i="2" l="1" a="1"/>
  <c r="BU253" i="2" s="1"/>
  <c r="BV253" i="2" s="1" a="1"/>
  <c r="BV253" i="2" s="1"/>
  <c r="BW253" i="2" a="1"/>
  <c r="BW253" i="2" s="1"/>
  <c r="BX253" i="2" a="1"/>
  <c r="BX253" i="2" s="1"/>
  <c r="BY253" i="2" a="1"/>
  <c r="BY253" i="2" s="1"/>
  <c r="BZ253" i="2" a="1"/>
  <c r="BZ253" i="2" s="1"/>
  <c r="CC253" i="2" a="1"/>
  <c r="CC253" i="2" s="1"/>
  <c r="BU254" i="2" a="1"/>
  <c r="BU254" i="2" s="1"/>
  <c r="BV254" i="2" s="1" a="1"/>
  <c r="BV254" i="2" s="1"/>
  <c r="BW254" i="2" a="1"/>
  <c r="BW254" i="2" s="1"/>
  <c r="BX254" i="2" a="1"/>
  <c r="BX254" i="2" s="1"/>
  <c r="BY254" i="2" a="1"/>
  <c r="BY254" i="2" s="1"/>
  <c r="BZ254" i="2" a="1"/>
  <c r="BZ254" i="2" s="1"/>
  <c r="CC254" i="2" a="1"/>
  <c r="CC254" i="2" s="1"/>
  <c r="BU255" i="2" a="1"/>
  <c r="BU255" i="2" s="1"/>
  <c r="BV255" i="2" s="1" a="1"/>
  <c r="BV255" i="2" s="1"/>
  <c r="BW255" i="2" a="1"/>
  <c r="BW255" i="2" s="1"/>
  <c r="BX255" i="2" a="1"/>
  <c r="BX255" i="2" s="1"/>
  <c r="BY255" i="2" a="1"/>
  <c r="BY255" i="2" s="1"/>
  <c r="BZ255" i="2" a="1"/>
  <c r="BZ255" i="2" s="1"/>
  <c r="CC255" i="2" a="1"/>
  <c r="CC255" i="2" s="1"/>
  <c r="BU256" i="2" a="1"/>
  <c r="BU256" i="2" s="1"/>
  <c r="BV256" i="2" s="1" a="1"/>
  <c r="BV256" i="2" s="1"/>
  <c r="BW256" i="2" a="1"/>
  <c r="BW256" i="2" s="1"/>
  <c r="BX256" i="2" a="1"/>
  <c r="BX256" i="2" s="1"/>
  <c r="BY256" i="2" a="1"/>
  <c r="BY256" i="2" s="1"/>
  <c r="BZ256" i="2" a="1"/>
  <c r="BZ256" i="2" s="1"/>
  <c r="CC256" i="2" a="1"/>
  <c r="CC256" i="2" s="1"/>
  <c r="BU239" i="2" a="1"/>
  <c r="BU239" i="2" s="1"/>
  <c r="BV239" i="2" s="1" a="1"/>
  <c r="BV239" i="2" s="1"/>
  <c r="BW239" i="2" a="1"/>
  <c r="BW239" i="2" s="1"/>
  <c r="BX239" i="2" a="1"/>
  <c r="BX239" i="2" s="1"/>
  <c r="BY239" i="2" a="1"/>
  <c r="BY239" i="2" s="1"/>
  <c r="BZ239" i="2" a="1"/>
  <c r="BZ239" i="2" s="1"/>
  <c r="CC239" i="2" a="1"/>
  <c r="CC239" i="2" s="1"/>
  <c r="BU240" i="2" a="1"/>
  <c r="BU240" i="2" s="1"/>
  <c r="BV240" i="2" s="1" a="1"/>
  <c r="BV240" i="2" s="1"/>
  <c r="BW240" i="2" a="1"/>
  <c r="BW240" i="2" s="1"/>
  <c r="BX240" i="2" a="1"/>
  <c r="BX240" i="2" s="1"/>
  <c r="BY240" i="2" a="1"/>
  <c r="BY240" i="2" s="1"/>
  <c r="BZ240" i="2" a="1"/>
  <c r="BZ240" i="2" s="1"/>
  <c r="CC240" i="2" a="1"/>
  <c r="CC240" i="2" s="1"/>
  <c r="BU241" i="2" a="1"/>
  <c r="BU241" i="2" s="1"/>
  <c r="BV241" i="2" s="1" a="1"/>
  <c r="BV241" i="2" s="1"/>
  <c r="BW241" i="2" a="1"/>
  <c r="BW241" i="2" s="1"/>
  <c r="BX241" i="2" a="1"/>
  <c r="BX241" i="2" s="1"/>
  <c r="BY241" i="2" a="1"/>
  <c r="BY241" i="2" s="1"/>
  <c r="BZ241" i="2" a="1"/>
  <c r="BZ241" i="2" s="1"/>
  <c r="CC241" i="2" a="1"/>
  <c r="CC241" i="2" s="1"/>
  <c r="BU242" i="2" a="1"/>
  <c r="BU242" i="2" s="1"/>
  <c r="BV242" i="2" s="1" a="1"/>
  <c r="BV242" i="2" s="1"/>
  <c r="BW242" i="2" a="1"/>
  <c r="BW242" i="2" s="1"/>
  <c r="BX242" i="2" a="1"/>
  <c r="BX242" i="2" s="1"/>
  <c r="BY242" i="2" a="1"/>
  <c r="BY242" i="2" s="1"/>
  <c r="BZ242" i="2" a="1"/>
  <c r="BZ242" i="2" s="1"/>
  <c r="CC242" i="2" a="1"/>
  <c r="CC242" i="2" s="1"/>
  <c r="BU243" i="2" a="1"/>
  <c r="BU243" i="2" s="1"/>
  <c r="BV243" i="2" s="1" a="1"/>
  <c r="BV243" i="2" s="1"/>
  <c r="BW243" i="2" a="1"/>
  <c r="BW243" i="2" s="1"/>
  <c r="BX243" i="2" a="1"/>
  <c r="BX243" i="2" s="1"/>
  <c r="BY243" i="2" a="1"/>
  <c r="BY243" i="2" s="1"/>
  <c r="BZ243" i="2" a="1"/>
  <c r="BZ243" i="2" s="1"/>
  <c r="CC243" i="2" a="1"/>
  <c r="CC243" i="2" s="1"/>
  <c r="BU244" i="2" a="1"/>
  <c r="BU244" i="2" s="1"/>
  <c r="BV244" i="2" s="1" a="1"/>
  <c r="BV244" i="2" s="1"/>
  <c r="BW244" i="2" a="1"/>
  <c r="BW244" i="2" s="1"/>
  <c r="BX244" i="2" a="1"/>
  <c r="BX244" i="2" s="1"/>
  <c r="BY244" i="2" a="1"/>
  <c r="BY244" i="2" s="1"/>
  <c r="BZ244" i="2" a="1"/>
  <c r="BZ244" i="2" s="1"/>
  <c r="CC244" i="2" a="1"/>
  <c r="CC244" i="2" s="1"/>
  <c r="BU245" i="2" a="1"/>
  <c r="BU245" i="2" s="1"/>
  <c r="BV245" i="2" s="1" a="1"/>
  <c r="BV245" i="2" s="1"/>
  <c r="BW245" i="2" a="1"/>
  <c r="BW245" i="2" s="1"/>
  <c r="BX245" i="2" a="1"/>
  <c r="BX245" i="2" s="1"/>
  <c r="BY245" i="2" a="1"/>
  <c r="BY245" i="2" s="1"/>
  <c r="BZ245" i="2" a="1"/>
  <c r="BZ245" i="2" s="1"/>
  <c r="CC245" i="2" a="1"/>
  <c r="CC245" i="2" s="1"/>
  <c r="BU246" i="2" a="1"/>
  <c r="BU246" i="2" s="1"/>
  <c r="BV246" i="2" s="1" a="1"/>
  <c r="BV246" i="2" s="1"/>
  <c r="BW246" i="2" a="1"/>
  <c r="BW246" i="2" s="1"/>
  <c r="BX246" i="2" a="1"/>
  <c r="BX246" i="2" s="1"/>
  <c r="BY246" i="2" a="1"/>
  <c r="BY246" i="2" s="1"/>
  <c r="BZ246" i="2" a="1"/>
  <c r="BZ246" i="2" s="1"/>
  <c r="CC246" i="2" a="1"/>
  <c r="CC246" i="2" s="1"/>
  <c r="BU247" i="2" a="1"/>
  <c r="BU247" i="2" s="1"/>
  <c r="BV247" i="2" s="1" a="1"/>
  <c r="BV247" i="2" s="1"/>
  <c r="BW247" i="2" a="1"/>
  <c r="BW247" i="2" s="1"/>
  <c r="BX247" i="2" a="1"/>
  <c r="BX247" i="2" s="1"/>
  <c r="BY247" i="2" a="1"/>
  <c r="BY247" i="2" s="1"/>
  <c r="BZ247" i="2" a="1"/>
  <c r="BZ247" i="2" s="1"/>
  <c r="CC247" i="2" a="1"/>
  <c r="CC247" i="2" s="1"/>
  <c r="BU248" i="2" a="1"/>
  <c r="BU248" i="2" s="1"/>
  <c r="BV248" i="2" s="1" a="1"/>
  <c r="BV248" i="2" s="1"/>
  <c r="BW248" i="2" a="1"/>
  <c r="BW248" i="2" s="1"/>
  <c r="BX248" i="2" a="1"/>
  <c r="BX248" i="2" s="1"/>
  <c r="BY248" i="2" a="1"/>
  <c r="BY248" i="2" s="1"/>
  <c r="BZ248" i="2" a="1"/>
  <c r="BZ248" i="2" s="1"/>
  <c r="CC248" i="2" a="1"/>
  <c r="CC248" i="2" s="1"/>
  <c r="BU249" i="2" a="1"/>
  <c r="BU249" i="2" s="1"/>
  <c r="BV249" i="2" s="1" a="1"/>
  <c r="BV249" i="2" s="1"/>
  <c r="BW249" i="2" a="1"/>
  <c r="BW249" i="2" s="1"/>
  <c r="BX249" i="2" a="1"/>
  <c r="BX249" i="2" s="1"/>
  <c r="BY249" i="2" a="1"/>
  <c r="BY249" i="2" s="1"/>
  <c r="BZ249" i="2" a="1"/>
  <c r="BZ249" i="2" s="1"/>
  <c r="CC249" i="2" a="1"/>
  <c r="CC249" i="2" s="1"/>
  <c r="BU250" i="2" a="1"/>
  <c r="BU250" i="2" s="1"/>
  <c r="BV250" i="2" s="1" a="1"/>
  <c r="BV250" i="2" s="1"/>
  <c r="BW250" i="2" a="1"/>
  <c r="BW250" i="2" s="1"/>
  <c r="BX250" i="2" a="1"/>
  <c r="BX250" i="2" s="1"/>
  <c r="BY250" i="2" a="1"/>
  <c r="BY250" i="2" s="1"/>
  <c r="BZ250" i="2" a="1"/>
  <c r="BZ250" i="2" s="1"/>
  <c r="CC250" i="2" a="1"/>
  <c r="CC250" i="2" s="1"/>
  <c r="BU251" i="2" a="1"/>
  <c r="BU251" i="2" s="1"/>
  <c r="BV251" i="2" s="1" a="1"/>
  <c r="BV251" i="2" s="1"/>
  <c r="BW251" i="2" a="1"/>
  <c r="BW251" i="2" s="1"/>
  <c r="BX251" i="2" a="1"/>
  <c r="BX251" i="2" s="1"/>
  <c r="BY251" i="2" a="1"/>
  <c r="BY251" i="2" s="1"/>
  <c r="BZ251" i="2" a="1"/>
  <c r="BZ251" i="2" s="1"/>
  <c r="CC251" i="2" a="1"/>
  <c r="CC251" i="2" s="1"/>
  <c r="BU252" i="2" a="1"/>
  <c r="BU252" i="2" s="1"/>
  <c r="BV252" i="2" s="1" a="1"/>
  <c r="BV252" i="2" s="1"/>
  <c r="BW252" i="2" a="1"/>
  <c r="BW252" i="2" s="1"/>
  <c r="BX252" i="2" a="1"/>
  <c r="BX252" i="2" s="1"/>
  <c r="BY252" i="2" a="1"/>
  <c r="BY252" i="2" s="1"/>
  <c r="BZ252" i="2" a="1"/>
  <c r="BZ252" i="2" s="1"/>
  <c r="CC252" i="2" a="1"/>
  <c r="CC252" i="2" s="1"/>
  <c r="BU225" i="2" a="1"/>
  <c r="BU225" i="2" s="1"/>
  <c r="BV225" i="2" s="1" a="1"/>
  <c r="BV225" i="2" s="1"/>
  <c r="BW225" i="2" a="1"/>
  <c r="BW225" i="2" s="1"/>
  <c r="BX225" i="2" a="1"/>
  <c r="BX225" i="2" s="1"/>
  <c r="BY225" i="2" a="1"/>
  <c r="BY225" i="2" s="1"/>
  <c r="BZ225" i="2" a="1"/>
  <c r="BZ225" i="2" s="1"/>
  <c r="CC225" i="2" a="1"/>
  <c r="CC225" i="2" s="1"/>
  <c r="BU226" i="2" a="1"/>
  <c r="BU226" i="2" s="1"/>
  <c r="BV226" i="2" s="1" a="1"/>
  <c r="BV226" i="2" s="1"/>
  <c r="BW226" i="2" a="1"/>
  <c r="BW226" i="2" s="1"/>
  <c r="BX226" i="2" a="1"/>
  <c r="BX226" i="2" s="1"/>
  <c r="BY226" i="2" a="1"/>
  <c r="BY226" i="2" s="1"/>
  <c r="BZ226" i="2" a="1"/>
  <c r="BZ226" i="2" s="1"/>
  <c r="CC226" i="2" a="1"/>
  <c r="CC226" i="2" s="1"/>
  <c r="BU227" i="2" a="1"/>
  <c r="BU227" i="2" s="1"/>
  <c r="BV227" i="2" s="1" a="1"/>
  <c r="BV227" i="2" s="1"/>
  <c r="BW227" i="2" a="1"/>
  <c r="BW227" i="2" s="1"/>
  <c r="BX227" i="2" a="1"/>
  <c r="BX227" i="2" s="1"/>
  <c r="BY227" i="2" a="1"/>
  <c r="BY227" i="2" s="1"/>
  <c r="BZ227" i="2" a="1"/>
  <c r="BZ227" i="2" s="1"/>
  <c r="CC227" i="2" a="1"/>
  <c r="CC227" i="2" s="1"/>
  <c r="BU228" i="2" a="1"/>
  <c r="BU228" i="2" s="1"/>
  <c r="BV228" i="2" s="1" a="1"/>
  <c r="BV228" i="2" s="1"/>
  <c r="BW228" i="2" a="1"/>
  <c r="BW228" i="2" s="1"/>
  <c r="BX228" i="2" a="1"/>
  <c r="BX228" i="2" s="1"/>
  <c r="BY228" i="2" a="1"/>
  <c r="BY228" i="2" s="1"/>
  <c r="BZ228" i="2" a="1"/>
  <c r="BZ228" i="2" s="1"/>
  <c r="CC228" i="2" a="1"/>
  <c r="CC228" i="2" s="1"/>
  <c r="BU229" i="2" a="1"/>
  <c r="BU229" i="2" s="1"/>
  <c r="BV229" i="2" s="1" a="1"/>
  <c r="BV229" i="2" s="1"/>
  <c r="BW229" i="2" a="1"/>
  <c r="BW229" i="2" s="1"/>
  <c r="BX229" i="2" a="1"/>
  <c r="BX229" i="2" s="1"/>
  <c r="BY229" i="2" a="1"/>
  <c r="BY229" i="2" s="1"/>
  <c r="BZ229" i="2" a="1"/>
  <c r="BZ229" i="2" s="1"/>
  <c r="CC229" i="2" a="1"/>
  <c r="CC229" i="2" s="1"/>
  <c r="BU230" i="2" a="1"/>
  <c r="BU230" i="2" s="1"/>
  <c r="BV230" i="2" s="1" a="1"/>
  <c r="BV230" i="2" s="1"/>
  <c r="BW230" i="2" a="1"/>
  <c r="BW230" i="2" s="1"/>
  <c r="BX230" i="2" a="1"/>
  <c r="BX230" i="2" s="1"/>
  <c r="BY230" i="2" a="1"/>
  <c r="BY230" i="2" s="1"/>
  <c r="BZ230" i="2" a="1"/>
  <c r="BZ230" i="2" s="1"/>
  <c r="CC230" i="2" a="1"/>
  <c r="CC230" i="2" s="1"/>
  <c r="BU231" i="2" a="1"/>
  <c r="BU231" i="2" s="1"/>
  <c r="BV231" i="2" s="1" a="1"/>
  <c r="BV231" i="2" s="1"/>
  <c r="BW231" i="2" a="1"/>
  <c r="BW231" i="2" s="1"/>
  <c r="BX231" i="2" a="1"/>
  <c r="BX231" i="2" s="1"/>
  <c r="BY231" i="2" a="1"/>
  <c r="BY231" i="2" s="1"/>
  <c r="BZ231" i="2" a="1"/>
  <c r="BZ231" i="2" s="1"/>
  <c r="CC231" i="2" a="1"/>
  <c r="CC231" i="2" s="1"/>
  <c r="BU232" i="2" a="1"/>
  <c r="BU232" i="2" s="1"/>
  <c r="BV232" i="2" s="1" a="1"/>
  <c r="BV232" i="2" s="1"/>
  <c r="BW232" i="2" a="1"/>
  <c r="BW232" i="2" s="1"/>
  <c r="BX232" i="2" a="1"/>
  <c r="BX232" i="2" s="1"/>
  <c r="BY232" i="2" a="1"/>
  <c r="BY232" i="2" s="1"/>
  <c r="BZ232" i="2" a="1"/>
  <c r="BZ232" i="2" s="1"/>
  <c r="CC232" i="2" a="1"/>
  <c r="CC232" i="2" s="1"/>
  <c r="BU233" i="2" a="1"/>
  <c r="BU233" i="2" s="1"/>
  <c r="BV233" i="2" s="1" a="1"/>
  <c r="BV233" i="2" s="1"/>
  <c r="BW233" i="2" a="1"/>
  <c r="BW233" i="2" s="1"/>
  <c r="BX233" i="2" a="1"/>
  <c r="BX233" i="2" s="1"/>
  <c r="BY233" i="2" a="1"/>
  <c r="BY233" i="2" s="1"/>
  <c r="BZ233" i="2" a="1"/>
  <c r="BZ233" i="2" s="1"/>
  <c r="CC233" i="2" a="1"/>
  <c r="CC233" i="2" s="1"/>
  <c r="BU234" i="2" a="1"/>
  <c r="BU234" i="2" s="1"/>
  <c r="BV234" i="2" s="1" a="1"/>
  <c r="BV234" i="2" s="1"/>
  <c r="BW234" i="2" a="1"/>
  <c r="BW234" i="2" s="1"/>
  <c r="BX234" i="2" a="1"/>
  <c r="BX234" i="2" s="1"/>
  <c r="BY234" i="2" a="1"/>
  <c r="BY234" i="2" s="1"/>
  <c r="BZ234" i="2" a="1"/>
  <c r="BZ234" i="2" s="1"/>
  <c r="CC234" i="2" a="1"/>
  <c r="CC234" i="2" s="1"/>
  <c r="BU235" i="2" a="1"/>
  <c r="BU235" i="2" s="1"/>
  <c r="BV235" i="2" s="1" a="1"/>
  <c r="BV235" i="2" s="1"/>
  <c r="BW235" i="2" a="1"/>
  <c r="BW235" i="2" s="1"/>
  <c r="BX235" i="2" a="1"/>
  <c r="BX235" i="2" s="1"/>
  <c r="BY235" i="2" a="1"/>
  <c r="BY235" i="2" s="1"/>
  <c r="BZ235" i="2" a="1"/>
  <c r="BZ235" i="2" s="1"/>
  <c r="CC235" i="2" a="1"/>
  <c r="CC235" i="2" s="1"/>
  <c r="BU236" i="2" a="1"/>
  <c r="BU236" i="2" s="1"/>
  <c r="BV236" i="2" s="1" a="1"/>
  <c r="BV236" i="2" s="1"/>
  <c r="BW236" i="2" a="1"/>
  <c r="BW236" i="2" s="1"/>
  <c r="BX236" i="2" a="1"/>
  <c r="BX236" i="2" s="1"/>
  <c r="BY236" i="2" a="1"/>
  <c r="BY236" i="2" s="1"/>
  <c r="BZ236" i="2" a="1"/>
  <c r="BZ236" i="2" s="1"/>
  <c r="CC236" i="2" a="1"/>
  <c r="CC236" i="2" s="1"/>
  <c r="BU237" i="2" a="1"/>
  <c r="BU237" i="2" s="1"/>
  <c r="BV237" i="2" s="1" a="1"/>
  <c r="BV237" i="2" s="1"/>
  <c r="BW237" i="2" a="1"/>
  <c r="BW237" i="2" s="1"/>
  <c r="BX237" i="2" a="1"/>
  <c r="BX237" i="2" s="1"/>
  <c r="BY237" i="2" a="1"/>
  <c r="BY237" i="2" s="1"/>
  <c r="BZ237" i="2" a="1"/>
  <c r="BZ237" i="2" s="1"/>
  <c r="CC237" i="2" a="1"/>
  <c r="CC237" i="2" s="1"/>
  <c r="BU238" i="2" a="1"/>
  <c r="BU238" i="2" s="1"/>
  <c r="BV238" i="2" s="1" a="1"/>
  <c r="BV238" i="2" s="1"/>
  <c r="BW238" i="2" a="1"/>
  <c r="BW238" i="2" s="1"/>
  <c r="BX238" i="2" a="1"/>
  <c r="BX238" i="2" s="1"/>
  <c r="BY238" i="2" a="1"/>
  <c r="BY238" i="2" s="1"/>
  <c r="BZ238" i="2" a="1"/>
  <c r="BZ238" i="2" s="1"/>
  <c r="CC238" i="2" a="1"/>
  <c r="CC238" i="2" s="1"/>
  <c r="BU211" i="2" a="1"/>
  <c r="BU211" i="2" s="1"/>
  <c r="BV211" i="2" s="1" a="1"/>
  <c r="BV211" i="2" s="1"/>
  <c r="BW211" i="2" a="1"/>
  <c r="BW211" i="2" s="1"/>
  <c r="BX211" i="2" a="1"/>
  <c r="BX211" i="2" s="1"/>
  <c r="BY211" i="2" a="1"/>
  <c r="BY211" i="2" s="1"/>
  <c r="BZ211" i="2" a="1"/>
  <c r="BZ211" i="2" s="1"/>
  <c r="CC211" i="2" a="1"/>
  <c r="CC211" i="2" s="1"/>
  <c r="BU212" i="2" a="1"/>
  <c r="BU212" i="2" s="1"/>
  <c r="BV212" i="2" s="1" a="1"/>
  <c r="BV212" i="2" s="1"/>
  <c r="BW212" i="2" a="1"/>
  <c r="BW212" i="2" s="1"/>
  <c r="BX212" i="2" a="1"/>
  <c r="BX212" i="2" s="1"/>
  <c r="BY212" i="2" a="1"/>
  <c r="BY212" i="2" s="1"/>
  <c r="BZ212" i="2" a="1"/>
  <c r="BZ212" i="2" s="1"/>
  <c r="CC212" i="2" a="1"/>
  <c r="CC212" i="2" s="1"/>
  <c r="BU213" i="2" a="1"/>
  <c r="BU213" i="2" s="1"/>
  <c r="BV213" i="2" s="1" a="1"/>
  <c r="BV213" i="2" s="1"/>
  <c r="BW213" i="2" a="1"/>
  <c r="BW213" i="2" s="1"/>
  <c r="BX213" i="2" a="1"/>
  <c r="BX213" i="2" s="1"/>
  <c r="BY213" i="2" a="1"/>
  <c r="BY213" i="2" s="1"/>
  <c r="BZ213" i="2" a="1"/>
  <c r="BZ213" i="2" s="1"/>
  <c r="CC213" i="2" a="1"/>
  <c r="CC213" i="2" s="1"/>
  <c r="BU214" i="2" a="1"/>
  <c r="BU214" i="2" s="1"/>
  <c r="BV214" i="2" s="1" a="1"/>
  <c r="BV214" i="2" s="1"/>
  <c r="BW214" i="2" a="1"/>
  <c r="BW214" i="2" s="1"/>
  <c r="BX214" i="2" a="1"/>
  <c r="BX214" i="2" s="1"/>
  <c r="BY214" i="2" a="1"/>
  <c r="BY214" i="2" s="1"/>
  <c r="BZ214" i="2" a="1"/>
  <c r="BZ214" i="2" s="1"/>
  <c r="CC214" i="2" a="1"/>
  <c r="CC214" i="2" s="1"/>
  <c r="BU215" i="2" a="1"/>
  <c r="BU215" i="2" s="1"/>
  <c r="BV215" i="2" s="1" a="1"/>
  <c r="BV215" i="2" s="1"/>
  <c r="BW215" i="2" a="1"/>
  <c r="BW215" i="2" s="1"/>
  <c r="BX215" i="2" a="1"/>
  <c r="BX215" i="2" s="1"/>
  <c r="BY215" i="2" a="1"/>
  <c r="BY215" i="2" s="1"/>
  <c r="BZ215" i="2" a="1"/>
  <c r="BZ215" i="2" s="1"/>
  <c r="CC215" i="2" a="1"/>
  <c r="CC215" i="2" s="1"/>
  <c r="BU216" i="2" a="1"/>
  <c r="BU216" i="2" s="1"/>
  <c r="BV216" i="2" s="1" a="1"/>
  <c r="BV216" i="2" s="1"/>
  <c r="BW216" i="2" a="1"/>
  <c r="BW216" i="2" s="1"/>
  <c r="BX216" i="2" a="1"/>
  <c r="BX216" i="2" s="1"/>
  <c r="BY216" i="2" a="1"/>
  <c r="BY216" i="2" s="1"/>
  <c r="BZ216" i="2" a="1"/>
  <c r="BZ216" i="2" s="1"/>
  <c r="CC216" i="2" a="1"/>
  <c r="CC216" i="2" s="1"/>
  <c r="BU217" i="2" a="1"/>
  <c r="BU217" i="2" s="1"/>
  <c r="BV217" i="2" s="1" a="1"/>
  <c r="BV217" i="2" s="1"/>
  <c r="BW217" i="2" a="1"/>
  <c r="BW217" i="2" s="1"/>
  <c r="BX217" i="2" a="1"/>
  <c r="BX217" i="2" s="1"/>
  <c r="BY217" i="2" a="1"/>
  <c r="BY217" i="2" s="1"/>
  <c r="BZ217" i="2" a="1"/>
  <c r="BZ217" i="2" s="1"/>
  <c r="CC217" i="2" a="1"/>
  <c r="CC217" i="2" s="1"/>
  <c r="BU218" i="2" a="1"/>
  <c r="BU218" i="2" s="1"/>
  <c r="BV218" i="2" s="1" a="1"/>
  <c r="BV218" i="2" s="1"/>
  <c r="BW218" i="2" a="1"/>
  <c r="BW218" i="2" s="1"/>
  <c r="BX218" i="2" a="1"/>
  <c r="BX218" i="2" s="1"/>
  <c r="BY218" i="2" a="1"/>
  <c r="BY218" i="2" s="1"/>
  <c r="BZ218" i="2" a="1"/>
  <c r="BZ218" i="2" s="1"/>
  <c r="CC218" i="2" a="1"/>
  <c r="CC218" i="2" s="1"/>
  <c r="BU219" i="2" a="1"/>
  <c r="BU219" i="2" s="1"/>
  <c r="BV219" i="2" s="1" a="1"/>
  <c r="BV219" i="2" s="1"/>
  <c r="BW219" i="2" a="1"/>
  <c r="BW219" i="2" s="1"/>
  <c r="BX219" i="2" a="1"/>
  <c r="BX219" i="2" s="1"/>
  <c r="BY219" i="2" a="1"/>
  <c r="BY219" i="2" s="1"/>
  <c r="BZ219" i="2" a="1"/>
  <c r="BZ219" i="2" s="1"/>
  <c r="CC219" i="2" a="1"/>
  <c r="CC219" i="2" s="1"/>
  <c r="BU220" i="2" a="1"/>
  <c r="BU220" i="2" s="1"/>
  <c r="BV220" i="2" s="1" a="1"/>
  <c r="BV220" i="2" s="1"/>
  <c r="BW220" i="2" a="1"/>
  <c r="BW220" i="2" s="1"/>
  <c r="BX220" i="2" a="1"/>
  <c r="BX220" i="2" s="1"/>
  <c r="BY220" i="2" a="1"/>
  <c r="BY220" i="2" s="1"/>
  <c r="BZ220" i="2" a="1"/>
  <c r="BZ220" i="2" s="1"/>
  <c r="CC220" i="2" a="1"/>
  <c r="CC220" i="2" s="1"/>
  <c r="BU221" i="2" a="1"/>
  <c r="BU221" i="2" s="1"/>
  <c r="BV221" i="2" s="1" a="1"/>
  <c r="BV221" i="2" s="1"/>
  <c r="BW221" i="2" a="1"/>
  <c r="BW221" i="2" s="1"/>
  <c r="BX221" i="2" a="1"/>
  <c r="BX221" i="2" s="1"/>
  <c r="BY221" i="2" a="1"/>
  <c r="BY221" i="2" s="1"/>
  <c r="BZ221" i="2" a="1"/>
  <c r="BZ221" i="2" s="1"/>
  <c r="CC221" i="2" a="1"/>
  <c r="CC221" i="2" s="1"/>
  <c r="BU222" i="2" a="1"/>
  <c r="BU222" i="2" s="1"/>
  <c r="BV222" i="2" s="1" a="1"/>
  <c r="BV222" i="2" s="1"/>
  <c r="BW222" i="2" a="1"/>
  <c r="BW222" i="2" s="1"/>
  <c r="BX222" i="2" a="1"/>
  <c r="BX222" i="2" s="1"/>
  <c r="BY222" i="2" a="1"/>
  <c r="BY222" i="2" s="1"/>
  <c r="BZ222" i="2" a="1"/>
  <c r="BZ222" i="2" s="1"/>
  <c r="CC222" i="2" a="1"/>
  <c r="CC222" i="2" s="1"/>
  <c r="BU223" i="2" a="1"/>
  <c r="BU223" i="2" s="1"/>
  <c r="BV223" i="2" s="1" a="1"/>
  <c r="BV223" i="2" s="1"/>
  <c r="BW223" i="2" a="1"/>
  <c r="BW223" i="2" s="1"/>
  <c r="BX223" i="2" a="1"/>
  <c r="BX223" i="2" s="1"/>
  <c r="BY223" i="2" a="1"/>
  <c r="BY223" i="2" s="1"/>
  <c r="BZ223" i="2" a="1"/>
  <c r="BZ223" i="2" s="1"/>
  <c r="CC223" i="2" a="1"/>
  <c r="CC223" i="2" s="1"/>
  <c r="BU224" i="2" a="1"/>
  <c r="BU224" i="2" s="1"/>
  <c r="BV224" i="2" s="1" a="1"/>
  <c r="BV224" i="2" s="1"/>
  <c r="BW224" i="2" a="1"/>
  <c r="BW224" i="2" s="1"/>
  <c r="BX224" i="2" a="1"/>
  <c r="BX224" i="2" s="1"/>
  <c r="BY224" i="2" a="1"/>
  <c r="BY224" i="2" s="1"/>
  <c r="BZ224" i="2" a="1"/>
  <c r="BZ224" i="2" s="1"/>
  <c r="CC224" i="2" a="1"/>
  <c r="CC224" i="2" s="1"/>
  <c r="BU197" i="2" a="1"/>
  <c r="BU197" i="2" s="1"/>
  <c r="BV197" i="2" s="1" a="1"/>
  <c r="BV197" i="2" s="1"/>
  <c r="BW197" i="2" a="1"/>
  <c r="BW197" i="2" s="1"/>
  <c r="BX197" i="2" a="1"/>
  <c r="BX197" i="2" s="1"/>
  <c r="BY197" i="2" a="1"/>
  <c r="BY197" i="2" s="1"/>
  <c r="BZ197" i="2" a="1"/>
  <c r="BZ197" i="2" s="1"/>
  <c r="CC197" i="2" a="1"/>
  <c r="CC197" i="2" s="1"/>
  <c r="BU198" i="2" a="1"/>
  <c r="BU198" i="2" s="1"/>
  <c r="BV198" i="2" s="1" a="1"/>
  <c r="BV198" i="2" s="1"/>
  <c r="BW198" i="2" a="1"/>
  <c r="BW198" i="2" s="1"/>
  <c r="BX198" i="2" a="1"/>
  <c r="BX198" i="2" s="1"/>
  <c r="BY198" i="2" a="1"/>
  <c r="BY198" i="2" s="1"/>
  <c r="BZ198" i="2" a="1"/>
  <c r="BZ198" i="2" s="1"/>
  <c r="CC198" i="2" a="1"/>
  <c r="CC198" i="2" s="1"/>
  <c r="BU199" i="2" a="1"/>
  <c r="BU199" i="2" s="1"/>
  <c r="BV199" i="2" s="1" a="1"/>
  <c r="BV199" i="2" s="1"/>
  <c r="BW199" i="2" a="1"/>
  <c r="BW199" i="2" s="1"/>
  <c r="BX199" i="2" a="1"/>
  <c r="BX199" i="2" s="1"/>
  <c r="BY199" i="2" a="1"/>
  <c r="BY199" i="2" s="1"/>
  <c r="BZ199" i="2" a="1"/>
  <c r="BZ199" i="2" s="1"/>
  <c r="CC199" i="2" a="1"/>
  <c r="CC199" i="2" s="1"/>
  <c r="BU200" i="2" a="1"/>
  <c r="BU200" i="2" s="1"/>
  <c r="BV200" i="2" s="1" a="1"/>
  <c r="BV200" i="2" s="1"/>
  <c r="BW200" i="2" a="1"/>
  <c r="BW200" i="2" s="1"/>
  <c r="BX200" i="2" a="1"/>
  <c r="BX200" i="2" s="1"/>
  <c r="BY200" i="2" a="1"/>
  <c r="BY200" i="2" s="1"/>
  <c r="BZ200" i="2" a="1"/>
  <c r="BZ200" i="2" s="1"/>
  <c r="CC200" i="2" a="1"/>
  <c r="CC200" i="2" s="1"/>
  <c r="BU201" i="2" a="1"/>
  <c r="BU201" i="2" s="1"/>
  <c r="BV201" i="2" s="1" a="1"/>
  <c r="BV201" i="2" s="1"/>
  <c r="BW201" i="2" a="1"/>
  <c r="BW201" i="2" s="1"/>
  <c r="BX201" i="2" a="1"/>
  <c r="BX201" i="2" s="1"/>
  <c r="BY201" i="2" a="1"/>
  <c r="BY201" i="2" s="1"/>
  <c r="BZ201" i="2" a="1"/>
  <c r="BZ201" i="2" s="1"/>
  <c r="CC201" i="2" a="1"/>
  <c r="CC201" i="2" s="1"/>
  <c r="BU202" i="2" a="1"/>
  <c r="BU202" i="2" s="1"/>
  <c r="BV202" i="2" s="1" a="1"/>
  <c r="BV202" i="2" s="1"/>
  <c r="BW202" i="2" a="1"/>
  <c r="BW202" i="2" s="1"/>
  <c r="BX202" i="2" a="1"/>
  <c r="BX202" i="2" s="1"/>
  <c r="BY202" i="2" a="1"/>
  <c r="BY202" i="2" s="1"/>
  <c r="BZ202" i="2" a="1"/>
  <c r="BZ202" i="2" s="1"/>
  <c r="CC202" i="2" a="1"/>
  <c r="CC202" i="2" s="1"/>
  <c r="BU203" i="2" a="1"/>
  <c r="BU203" i="2" s="1"/>
  <c r="BV203" i="2" s="1" a="1"/>
  <c r="BV203" i="2" s="1"/>
  <c r="BW203" i="2" a="1"/>
  <c r="BW203" i="2" s="1"/>
  <c r="BX203" i="2" a="1"/>
  <c r="BX203" i="2" s="1"/>
  <c r="BY203" i="2" a="1"/>
  <c r="BY203" i="2" s="1"/>
  <c r="BZ203" i="2" a="1"/>
  <c r="BZ203" i="2" s="1"/>
  <c r="CC203" i="2" a="1"/>
  <c r="CC203" i="2" s="1"/>
  <c r="BU204" i="2" a="1"/>
  <c r="BU204" i="2" s="1"/>
  <c r="BV204" i="2" s="1" a="1"/>
  <c r="BV204" i="2" s="1"/>
  <c r="BW204" i="2" a="1"/>
  <c r="BW204" i="2" s="1"/>
  <c r="BX204" i="2" a="1"/>
  <c r="BX204" i="2" s="1"/>
  <c r="BY204" i="2" a="1"/>
  <c r="BY204" i="2" s="1"/>
  <c r="BZ204" i="2" a="1"/>
  <c r="BZ204" i="2" s="1"/>
  <c r="CC204" i="2" a="1"/>
  <c r="CC204" i="2" s="1"/>
  <c r="BU205" i="2" a="1"/>
  <c r="BU205" i="2" s="1"/>
  <c r="BV205" i="2" s="1" a="1"/>
  <c r="BV205" i="2" s="1"/>
  <c r="BW205" i="2" a="1"/>
  <c r="BW205" i="2" s="1"/>
  <c r="BX205" i="2" a="1"/>
  <c r="BX205" i="2" s="1"/>
  <c r="BY205" i="2" a="1"/>
  <c r="BY205" i="2" s="1"/>
  <c r="BZ205" i="2" a="1"/>
  <c r="BZ205" i="2" s="1"/>
  <c r="CC205" i="2" a="1"/>
  <c r="CC205" i="2" s="1"/>
  <c r="BU206" i="2" a="1"/>
  <c r="BU206" i="2" s="1"/>
  <c r="BV206" i="2" s="1" a="1"/>
  <c r="BV206" i="2" s="1"/>
  <c r="BW206" i="2" a="1"/>
  <c r="BW206" i="2" s="1"/>
  <c r="BX206" i="2" a="1"/>
  <c r="BX206" i="2" s="1"/>
  <c r="BY206" i="2" a="1"/>
  <c r="BY206" i="2" s="1"/>
  <c r="BZ206" i="2" a="1"/>
  <c r="BZ206" i="2" s="1"/>
  <c r="CC206" i="2" a="1"/>
  <c r="CC206" i="2" s="1"/>
  <c r="BU207" i="2" a="1"/>
  <c r="BU207" i="2" s="1"/>
  <c r="BV207" i="2" s="1" a="1"/>
  <c r="BV207" i="2" s="1"/>
  <c r="BW207" i="2" a="1"/>
  <c r="BW207" i="2" s="1"/>
  <c r="BX207" i="2" a="1"/>
  <c r="BX207" i="2" s="1"/>
  <c r="BY207" i="2" a="1"/>
  <c r="BY207" i="2" s="1"/>
  <c r="BZ207" i="2" a="1"/>
  <c r="BZ207" i="2" s="1"/>
  <c r="CC207" i="2" a="1"/>
  <c r="CC207" i="2" s="1"/>
  <c r="BU208" i="2" a="1"/>
  <c r="BU208" i="2" s="1"/>
  <c r="BV208" i="2" s="1" a="1"/>
  <c r="BV208" i="2" s="1"/>
  <c r="BW208" i="2" a="1"/>
  <c r="BW208" i="2" s="1"/>
  <c r="BX208" i="2" a="1"/>
  <c r="BX208" i="2" s="1"/>
  <c r="BY208" i="2" a="1"/>
  <c r="BY208" i="2" s="1"/>
  <c r="BZ208" i="2" a="1"/>
  <c r="BZ208" i="2" s="1"/>
  <c r="CC208" i="2" a="1"/>
  <c r="CC208" i="2" s="1"/>
  <c r="BU209" i="2" a="1"/>
  <c r="BU209" i="2" s="1"/>
  <c r="BV209" i="2" s="1" a="1"/>
  <c r="BV209" i="2" s="1"/>
  <c r="BW209" i="2" a="1"/>
  <c r="BW209" i="2" s="1"/>
  <c r="BX209" i="2" a="1"/>
  <c r="BX209" i="2" s="1"/>
  <c r="BY209" i="2" a="1"/>
  <c r="BY209" i="2" s="1"/>
  <c r="BZ209" i="2" a="1"/>
  <c r="BZ209" i="2" s="1"/>
  <c r="CC209" i="2" a="1"/>
  <c r="CC209" i="2" s="1"/>
  <c r="BU210" i="2" a="1"/>
  <c r="BU210" i="2" s="1"/>
  <c r="BV210" i="2" s="1" a="1"/>
  <c r="BV210" i="2" s="1"/>
  <c r="BW210" i="2" a="1"/>
  <c r="BW210" i="2" s="1"/>
  <c r="BX210" i="2" a="1"/>
  <c r="BX210" i="2" s="1"/>
  <c r="BY210" i="2" a="1"/>
  <c r="BY210" i="2" s="1"/>
  <c r="BZ210" i="2" a="1"/>
  <c r="BZ210" i="2" s="1"/>
  <c r="CC210" i="2" a="1"/>
  <c r="CC210" i="2" s="1"/>
  <c r="BU183" i="2" a="1"/>
  <c r="BU183" i="2" s="1"/>
  <c r="BV183" i="2" s="1" a="1"/>
  <c r="BV183" i="2" s="1"/>
  <c r="BW183" i="2" a="1"/>
  <c r="BW183" i="2" s="1"/>
  <c r="BX183" i="2" a="1"/>
  <c r="BX183" i="2" s="1"/>
  <c r="BY183" i="2" a="1"/>
  <c r="BY183" i="2" s="1"/>
  <c r="BZ183" i="2" a="1"/>
  <c r="BZ183" i="2" s="1"/>
  <c r="CC183" i="2" a="1"/>
  <c r="CC183" i="2" s="1"/>
  <c r="BU184" i="2" a="1"/>
  <c r="BU184" i="2" s="1"/>
  <c r="BV184" i="2" s="1" a="1"/>
  <c r="BV184" i="2" s="1"/>
  <c r="BW184" i="2" a="1"/>
  <c r="BW184" i="2" s="1"/>
  <c r="BX184" i="2" a="1"/>
  <c r="BX184" i="2" s="1"/>
  <c r="BY184" i="2" a="1"/>
  <c r="BY184" i="2" s="1"/>
  <c r="BZ184" i="2" a="1"/>
  <c r="BZ184" i="2" s="1"/>
  <c r="CC184" i="2" a="1"/>
  <c r="CC184" i="2" s="1"/>
  <c r="BU185" i="2" a="1"/>
  <c r="BU185" i="2" s="1"/>
  <c r="BV185" i="2" s="1" a="1"/>
  <c r="BV185" i="2" s="1"/>
  <c r="BW185" i="2" a="1"/>
  <c r="BW185" i="2" s="1"/>
  <c r="BX185" i="2" a="1"/>
  <c r="BX185" i="2" s="1"/>
  <c r="BY185" i="2" a="1"/>
  <c r="BY185" i="2" s="1"/>
  <c r="BZ185" i="2" a="1"/>
  <c r="BZ185" i="2" s="1"/>
  <c r="CC185" i="2" a="1"/>
  <c r="CC185" i="2" s="1"/>
  <c r="BU186" i="2" a="1"/>
  <c r="BU186" i="2" s="1"/>
  <c r="BV186" i="2" s="1" a="1"/>
  <c r="BV186" i="2" s="1"/>
  <c r="BW186" i="2" a="1"/>
  <c r="BW186" i="2" s="1"/>
  <c r="BX186" i="2" a="1"/>
  <c r="BX186" i="2" s="1"/>
  <c r="BY186" i="2" a="1"/>
  <c r="BY186" i="2" s="1"/>
  <c r="BZ186" i="2" a="1"/>
  <c r="BZ186" i="2" s="1"/>
  <c r="CC186" i="2" a="1"/>
  <c r="CC186" i="2" s="1"/>
  <c r="BU187" i="2" a="1"/>
  <c r="BU187" i="2" s="1"/>
  <c r="BV187" i="2" s="1" a="1"/>
  <c r="BV187" i="2" s="1"/>
  <c r="BW187" i="2" a="1"/>
  <c r="BW187" i="2" s="1"/>
  <c r="BX187" i="2" a="1"/>
  <c r="BX187" i="2" s="1"/>
  <c r="BY187" i="2" a="1"/>
  <c r="BY187" i="2" s="1"/>
  <c r="BZ187" i="2" a="1"/>
  <c r="BZ187" i="2" s="1"/>
  <c r="CC187" i="2" a="1"/>
  <c r="CC187" i="2" s="1"/>
  <c r="BU188" i="2" a="1"/>
  <c r="BU188" i="2" s="1"/>
  <c r="BV188" i="2" s="1" a="1"/>
  <c r="BV188" i="2" s="1"/>
  <c r="BW188" i="2" a="1"/>
  <c r="BW188" i="2" s="1"/>
  <c r="BX188" i="2" a="1"/>
  <c r="BX188" i="2" s="1"/>
  <c r="BY188" i="2" a="1"/>
  <c r="BY188" i="2" s="1"/>
  <c r="BZ188" i="2" a="1"/>
  <c r="BZ188" i="2" s="1"/>
  <c r="CC188" i="2" a="1"/>
  <c r="CC188" i="2" s="1"/>
  <c r="BU189" i="2" a="1"/>
  <c r="BU189" i="2" s="1"/>
  <c r="BV189" i="2" s="1" a="1"/>
  <c r="BV189" i="2" s="1"/>
  <c r="BW189" i="2" a="1"/>
  <c r="BW189" i="2" s="1"/>
  <c r="BX189" i="2" a="1"/>
  <c r="BX189" i="2" s="1"/>
  <c r="BY189" i="2" a="1"/>
  <c r="BY189" i="2" s="1"/>
  <c r="BZ189" i="2" a="1"/>
  <c r="BZ189" i="2" s="1"/>
  <c r="CC189" i="2" a="1"/>
  <c r="CC189" i="2" s="1"/>
  <c r="BU190" i="2" a="1"/>
  <c r="BU190" i="2" s="1"/>
  <c r="BV190" i="2" s="1" a="1"/>
  <c r="BV190" i="2" s="1"/>
  <c r="BW190" i="2" a="1"/>
  <c r="BW190" i="2" s="1"/>
  <c r="BX190" i="2" a="1"/>
  <c r="BX190" i="2" s="1"/>
  <c r="BY190" i="2" a="1"/>
  <c r="BY190" i="2" s="1"/>
  <c r="BZ190" i="2" a="1"/>
  <c r="BZ190" i="2" s="1"/>
  <c r="CC190" i="2" a="1"/>
  <c r="CC190" i="2" s="1"/>
  <c r="BU191" i="2" a="1"/>
  <c r="BU191" i="2" s="1"/>
  <c r="BV191" i="2" s="1" a="1"/>
  <c r="BV191" i="2" s="1"/>
  <c r="BW191" i="2" a="1"/>
  <c r="BW191" i="2" s="1"/>
  <c r="BX191" i="2" a="1"/>
  <c r="BX191" i="2" s="1"/>
  <c r="BY191" i="2" a="1"/>
  <c r="BY191" i="2" s="1"/>
  <c r="BZ191" i="2" a="1"/>
  <c r="BZ191" i="2" s="1"/>
  <c r="CC191" i="2" a="1"/>
  <c r="CC191" i="2" s="1"/>
  <c r="BU192" i="2" a="1"/>
  <c r="BU192" i="2" s="1"/>
  <c r="BV192" i="2" s="1" a="1"/>
  <c r="BV192" i="2" s="1"/>
  <c r="BW192" i="2" a="1"/>
  <c r="BW192" i="2" s="1"/>
  <c r="BX192" i="2" a="1"/>
  <c r="BX192" i="2" s="1"/>
  <c r="BY192" i="2" a="1"/>
  <c r="BY192" i="2" s="1"/>
  <c r="BZ192" i="2" a="1"/>
  <c r="BZ192" i="2" s="1"/>
  <c r="CC192" i="2" a="1"/>
  <c r="CC192" i="2" s="1"/>
  <c r="BU193" i="2" a="1"/>
  <c r="BU193" i="2" s="1"/>
  <c r="BV193" i="2" s="1" a="1"/>
  <c r="BV193" i="2" s="1"/>
  <c r="BW193" i="2" a="1"/>
  <c r="BW193" i="2" s="1"/>
  <c r="BX193" i="2" a="1"/>
  <c r="BX193" i="2" s="1"/>
  <c r="BY193" i="2" a="1"/>
  <c r="BY193" i="2" s="1"/>
  <c r="BZ193" i="2" a="1"/>
  <c r="BZ193" i="2" s="1"/>
  <c r="CC193" i="2" a="1"/>
  <c r="CC193" i="2" s="1"/>
  <c r="BU194" i="2" a="1"/>
  <c r="BU194" i="2" s="1"/>
  <c r="BV194" i="2" s="1" a="1"/>
  <c r="BV194" i="2" s="1"/>
  <c r="BW194" i="2" a="1"/>
  <c r="BW194" i="2" s="1"/>
  <c r="BX194" i="2" a="1"/>
  <c r="BX194" i="2" s="1"/>
  <c r="BY194" i="2" a="1"/>
  <c r="BY194" i="2" s="1"/>
  <c r="BZ194" i="2" a="1"/>
  <c r="BZ194" i="2" s="1"/>
  <c r="CC194" i="2" a="1"/>
  <c r="CC194" i="2" s="1"/>
  <c r="BU195" i="2" a="1"/>
  <c r="BU195" i="2" s="1"/>
  <c r="BV195" i="2" s="1" a="1"/>
  <c r="BV195" i="2" s="1"/>
  <c r="BW195" i="2" a="1"/>
  <c r="BW195" i="2" s="1"/>
  <c r="BX195" i="2" a="1"/>
  <c r="BX195" i="2" s="1"/>
  <c r="BY195" i="2" a="1"/>
  <c r="BY195" i="2" s="1"/>
  <c r="BZ195" i="2" a="1"/>
  <c r="BZ195" i="2" s="1"/>
  <c r="CC195" i="2" a="1"/>
  <c r="CC195" i="2" s="1"/>
  <c r="BU196" i="2" a="1"/>
  <c r="BU196" i="2" s="1"/>
  <c r="BV196" i="2" s="1" a="1"/>
  <c r="BV196" i="2" s="1"/>
  <c r="BW196" i="2" a="1"/>
  <c r="BW196" i="2" s="1"/>
  <c r="BX196" i="2" a="1"/>
  <c r="BX196" i="2" s="1"/>
  <c r="BY196" i="2" a="1"/>
  <c r="BY196" i="2" s="1"/>
  <c r="BZ196" i="2" a="1"/>
  <c r="BZ196" i="2" s="1"/>
  <c r="CC196" i="2" a="1"/>
  <c r="CC196" i="2" s="1"/>
  <c r="BU169" i="2" a="1"/>
  <c r="BU169" i="2" s="1"/>
  <c r="BV169" i="2" s="1" a="1"/>
  <c r="BV169" i="2" s="1"/>
  <c r="BW169" i="2" a="1"/>
  <c r="BW169" i="2" s="1"/>
  <c r="BX169" i="2" a="1"/>
  <c r="BX169" i="2" s="1"/>
  <c r="BY169" i="2" a="1"/>
  <c r="BY169" i="2" s="1"/>
  <c r="BZ169" i="2" a="1"/>
  <c r="BZ169" i="2" s="1"/>
  <c r="CC169" i="2" a="1"/>
  <c r="CC169" i="2" s="1"/>
  <c r="BU170" i="2" a="1"/>
  <c r="BU170" i="2" s="1"/>
  <c r="BV170" i="2" s="1" a="1"/>
  <c r="BV170" i="2" s="1"/>
  <c r="BW170" i="2" a="1"/>
  <c r="BW170" i="2" s="1"/>
  <c r="BX170" i="2" a="1"/>
  <c r="BX170" i="2" s="1"/>
  <c r="BY170" i="2" a="1"/>
  <c r="BY170" i="2" s="1"/>
  <c r="BZ170" i="2" a="1"/>
  <c r="BZ170" i="2" s="1"/>
  <c r="CC170" i="2" a="1"/>
  <c r="CC170" i="2" s="1"/>
  <c r="BU171" i="2" a="1"/>
  <c r="BU171" i="2" s="1"/>
  <c r="BV171" i="2" s="1" a="1"/>
  <c r="BV171" i="2" s="1"/>
  <c r="BW171" i="2" a="1"/>
  <c r="BW171" i="2" s="1"/>
  <c r="BX171" i="2" a="1"/>
  <c r="BX171" i="2" s="1"/>
  <c r="BY171" i="2" a="1"/>
  <c r="BY171" i="2" s="1"/>
  <c r="BZ171" i="2" a="1"/>
  <c r="BZ171" i="2" s="1"/>
  <c r="CC171" i="2" a="1"/>
  <c r="CC171" i="2" s="1"/>
  <c r="BU172" i="2" a="1"/>
  <c r="BU172" i="2" s="1"/>
  <c r="BV172" i="2" s="1" a="1"/>
  <c r="BV172" i="2" s="1"/>
  <c r="BW172" i="2" a="1"/>
  <c r="BW172" i="2" s="1"/>
  <c r="BX172" i="2" a="1"/>
  <c r="BX172" i="2" s="1"/>
  <c r="BY172" i="2" a="1"/>
  <c r="BY172" i="2" s="1"/>
  <c r="BZ172" i="2" a="1"/>
  <c r="BZ172" i="2" s="1"/>
  <c r="CC172" i="2" a="1"/>
  <c r="CC172" i="2" s="1"/>
  <c r="BU173" i="2" a="1"/>
  <c r="BU173" i="2" s="1"/>
  <c r="BV173" i="2" s="1" a="1"/>
  <c r="BV173" i="2" s="1"/>
  <c r="BW173" i="2" a="1"/>
  <c r="BW173" i="2" s="1"/>
  <c r="BX173" i="2" a="1"/>
  <c r="BX173" i="2" s="1"/>
  <c r="BY173" i="2" a="1"/>
  <c r="BY173" i="2" s="1"/>
  <c r="BZ173" i="2" a="1"/>
  <c r="BZ173" i="2" s="1"/>
  <c r="CC173" i="2" a="1"/>
  <c r="CC173" i="2" s="1"/>
  <c r="BU174" i="2" a="1"/>
  <c r="BU174" i="2" s="1"/>
  <c r="BV174" i="2" s="1" a="1"/>
  <c r="BV174" i="2" s="1"/>
  <c r="BW174" i="2" a="1"/>
  <c r="BW174" i="2" s="1"/>
  <c r="BX174" i="2" a="1"/>
  <c r="BX174" i="2" s="1"/>
  <c r="BY174" i="2" a="1"/>
  <c r="BY174" i="2" s="1"/>
  <c r="BZ174" i="2" a="1"/>
  <c r="BZ174" i="2" s="1"/>
  <c r="CC174" i="2" a="1"/>
  <c r="CC174" i="2" s="1"/>
  <c r="BU175" i="2" a="1"/>
  <c r="BU175" i="2" s="1"/>
  <c r="BV175" i="2" s="1" a="1"/>
  <c r="BV175" i="2" s="1"/>
  <c r="BW175" i="2" a="1"/>
  <c r="BW175" i="2" s="1"/>
  <c r="BX175" i="2" a="1"/>
  <c r="BX175" i="2" s="1"/>
  <c r="BY175" i="2" a="1"/>
  <c r="BY175" i="2" s="1"/>
  <c r="BZ175" i="2" a="1"/>
  <c r="BZ175" i="2" s="1"/>
  <c r="CC175" i="2" a="1"/>
  <c r="CC175" i="2" s="1"/>
  <c r="BU176" i="2" a="1"/>
  <c r="BU176" i="2" s="1"/>
  <c r="BV176" i="2" s="1" a="1"/>
  <c r="BV176" i="2" s="1"/>
  <c r="BW176" i="2" a="1"/>
  <c r="BW176" i="2" s="1"/>
  <c r="BX176" i="2" a="1"/>
  <c r="BX176" i="2" s="1"/>
  <c r="BY176" i="2" a="1"/>
  <c r="BY176" i="2" s="1"/>
  <c r="BZ176" i="2" a="1"/>
  <c r="BZ176" i="2" s="1"/>
  <c r="CC176" i="2" a="1"/>
  <c r="CC176" i="2" s="1"/>
  <c r="BU177" i="2" a="1"/>
  <c r="BU177" i="2" s="1"/>
  <c r="BV177" i="2" s="1" a="1"/>
  <c r="BV177" i="2" s="1"/>
  <c r="BW177" i="2" a="1"/>
  <c r="BW177" i="2" s="1"/>
  <c r="BX177" i="2" a="1"/>
  <c r="BX177" i="2" s="1"/>
  <c r="BY177" i="2" a="1"/>
  <c r="BY177" i="2" s="1"/>
  <c r="BZ177" i="2" a="1"/>
  <c r="BZ177" i="2" s="1"/>
  <c r="CC177" i="2" a="1"/>
  <c r="CC177" i="2" s="1"/>
  <c r="BU178" i="2" a="1"/>
  <c r="BU178" i="2" s="1"/>
  <c r="BV178" i="2" s="1" a="1"/>
  <c r="BV178" i="2" s="1"/>
  <c r="BW178" i="2" a="1"/>
  <c r="BW178" i="2" s="1"/>
  <c r="BX178" i="2" a="1"/>
  <c r="BX178" i="2" s="1"/>
  <c r="BY178" i="2" a="1"/>
  <c r="BY178" i="2" s="1"/>
  <c r="BZ178" i="2" a="1"/>
  <c r="BZ178" i="2" s="1"/>
  <c r="CC178" i="2" a="1"/>
  <c r="CC178" i="2" s="1"/>
  <c r="BU179" i="2" a="1"/>
  <c r="BU179" i="2" s="1"/>
  <c r="BV179" i="2" s="1" a="1"/>
  <c r="BV179" i="2" s="1"/>
  <c r="BW179" i="2" a="1"/>
  <c r="BW179" i="2" s="1"/>
  <c r="BX179" i="2" a="1"/>
  <c r="BX179" i="2" s="1"/>
  <c r="BY179" i="2" a="1"/>
  <c r="BY179" i="2" s="1"/>
  <c r="BZ179" i="2" a="1"/>
  <c r="BZ179" i="2" s="1"/>
  <c r="CC179" i="2" a="1"/>
  <c r="CC179" i="2" s="1"/>
  <c r="BU180" i="2" a="1"/>
  <c r="BU180" i="2" s="1"/>
  <c r="BV180" i="2" s="1" a="1"/>
  <c r="BV180" i="2" s="1"/>
  <c r="BW180" i="2" a="1"/>
  <c r="BW180" i="2" s="1"/>
  <c r="BX180" i="2" a="1"/>
  <c r="BX180" i="2" s="1"/>
  <c r="BY180" i="2" a="1"/>
  <c r="BY180" i="2" s="1"/>
  <c r="BZ180" i="2" a="1"/>
  <c r="BZ180" i="2" s="1"/>
  <c r="CC180" i="2" a="1"/>
  <c r="CC180" i="2" s="1"/>
  <c r="BU181" i="2" a="1"/>
  <c r="BU181" i="2" s="1"/>
  <c r="BV181" i="2" s="1" a="1"/>
  <c r="BV181" i="2" s="1"/>
  <c r="BW181" i="2" a="1"/>
  <c r="BW181" i="2" s="1"/>
  <c r="BX181" i="2" a="1"/>
  <c r="BX181" i="2" s="1"/>
  <c r="BY181" i="2" a="1"/>
  <c r="BY181" i="2" s="1"/>
  <c r="BZ181" i="2" a="1"/>
  <c r="BZ181" i="2" s="1"/>
  <c r="CC181" i="2" a="1"/>
  <c r="CC181" i="2" s="1"/>
  <c r="BU182" i="2" a="1"/>
  <c r="BU182" i="2" s="1"/>
  <c r="BV182" i="2" s="1" a="1"/>
  <c r="BV182" i="2" s="1"/>
  <c r="BW182" i="2" a="1"/>
  <c r="BW182" i="2" s="1"/>
  <c r="BX182" i="2" a="1"/>
  <c r="BX182" i="2" s="1"/>
  <c r="BY182" i="2" a="1"/>
  <c r="BY182" i="2" s="1"/>
  <c r="BZ182" i="2" a="1"/>
  <c r="BZ182" i="2" s="1"/>
  <c r="CC182" i="2" a="1"/>
  <c r="CC182" i="2" s="1"/>
  <c r="BY155" i="2" a="1"/>
  <c r="BY155" i="2" s="1"/>
  <c r="BU155" i="2" a="1"/>
  <c r="BU155" i="2" s="1"/>
  <c r="BV155" i="2" s="1" a="1"/>
  <c r="BV155" i="2" s="1"/>
  <c r="BW155" i="2" a="1"/>
  <c r="BW155" i="2" s="1"/>
  <c r="BX155" i="2" a="1"/>
  <c r="BX155" i="2" s="1"/>
  <c r="BZ155" i="2" a="1"/>
  <c r="BZ155" i="2" s="1"/>
  <c r="CC155" i="2" a="1"/>
  <c r="CC155" i="2" s="1"/>
  <c r="BY156" i="2" a="1"/>
  <c r="BY156" i="2" s="1"/>
  <c r="BU156" i="2" a="1"/>
  <c r="BU156" i="2" s="1"/>
  <c r="BV156" i="2" s="1" a="1"/>
  <c r="BV156" i="2" s="1"/>
  <c r="BW156" i="2" a="1"/>
  <c r="BW156" i="2" s="1"/>
  <c r="BX156" i="2" a="1"/>
  <c r="BX156" i="2" s="1"/>
  <c r="BZ156" i="2" a="1"/>
  <c r="BZ156" i="2" s="1"/>
  <c r="CC156" i="2" a="1"/>
  <c r="CC156" i="2" s="1"/>
  <c r="BY157" i="2" a="1"/>
  <c r="BY157" i="2" s="1"/>
  <c r="BU157" i="2" a="1"/>
  <c r="BU157" i="2" s="1"/>
  <c r="BV157" i="2" s="1" a="1"/>
  <c r="BV157" i="2" s="1"/>
  <c r="BW157" i="2" a="1"/>
  <c r="BW157" i="2" s="1"/>
  <c r="BX157" i="2" a="1"/>
  <c r="BX157" i="2" s="1"/>
  <c r="BZ157" i="2" a="1"/>
  <c r="BZ157" i="2" s="1"/>
  <c r="CC157" i="2" a="1"/>
  <c r="CC157" i="2" s="1"/>
  <c r="BY158" i="2" a="1"/>
  <c r="BY158" i="2" s="1"/>
  <c r="BU158" i="2" a="1"/>
  <c r="BU158" i="2" s="1"/>
  <c r="BV158" i="2" s="1" a="1"/>
  <c r="BV158" i="2" s="1"/>
  <c r="BW158" i="2" a="1"/>
  <c r="BW158" i="2" s="1"/>
  <c r="BX158" i="2" a="1"/>
  <c r="BX158" i="2" s="1"/>
  <c r="BZ158" i="2" a="1"/>
  <c r="BZ158" i="2" s="1"/>
  <c r="CC158" i="2" a="1"/>
  <c r="CC158" i="2" s="1"/>
  <c r="BY159" i="2" a="1"/>
  <c r="BY159" i="2" s="1"/>
  <c r="BU159" i="2" a="1"/>
  <c r="BU159" i="2" s="1"/>
  <c r="BV159" i="2" s="1" a="1"/>
  <c r="BV159" i="2" s="1"/>
  <c r="BW159" i="2" a="1"/>
  <c r="BW159" i="2" s="1"/>
  <c r="BX159" i="2" a="1"/>
  <c r="BX159" i="2" s="1"/>
  <c r="BZ159" i="2" a="1"/>
  <c r="BZ159" i="2" s="1"/>
  <c r="CC159" i="2" a="1"/>
  <c r="CC159" i="2" s="1"/>
  <c r="BY160" i="2" a="1"/>
  <c r="BY160" i="2" s="1"/>
  <c r="BU160" i="2" a="1"/>
  <c r="BU160" i="2" s="1"/>
  <c r="BV160" i="2" s="1" a="1"/>
  <c r="BV160" i="2" s="1"/>
  <c r="BW160" i="2" a="1"/>
  <c r="BW160" i="2" s="1"/>
  <c r="BX160" i="2" a="1"/>
  <c r="BX160" i="2" s="1"/>
  <c r="BZ160" i="2" a="1"/>
  <c r="BZ160" i="2" s="1"/>
  <c r="CC160" i="2" a="1"/>
  <c r="CC160" i="2" s="1"/>
  <c r="BY161" i="2" a="1"/>
  <c r="BY161" i="2" s="1"/>
  <c r="BU161" i="2" a="1"/>
  <c r="BU161" i="2" s="1"/>
  <c r="BV161" i="2" s="1" a="1"/>
  <c r="BV161" i="2" s="1"/>
  <c r="BW161" i="2" a="1"/>
  <c r="BW161" i="2" s="1"/>
  <c r="BX161" i="2" a="1"/>
  <c r="BX161" i="2" s="1"/>
  <c r="BZ161" i="2" a="1"/>
  <c r="BZ161" i="2" s="1"/>
  <c r="CC161" i="2" a="1"/>
  <c r="CC161" i="2" s="1"/>
  <c r="BY162" i="2" a="1"/>
  <c r="BY162" i="2" s="1"/>
  <c r="BU162" i="2" a="1"/>
  <c r="BU162" i="2" s="1"/>
  <c r="BV162" i="2" s="1" a="1"/>
  <c r="BV162" i="2" s="1"/>
  <c r="BW162" i="2" a="1"/>
  <c r="BW162" i="2" s="1"/>
  <c r="BX162" i="2" a="1"/>
  <c r="BX162" i="2" s="1"/>
  <c r="BZ162" i="2" a="1"/>
  <c r="BZ162" i="2" s="1"/>
  <c r="CC162" i="2" a="1"/>
  <c r="CC162" i="2" s="1"/>
  <c r="BY163" i="2" a="1"/>
  <c r="BY163" i="2" s="1"/>
  <c r="BU163" i="2" a="1"/>
  <c r="BU163" i="2" s="1"/>
  <c r="BV163" i="2" s="1" a="1"/>
  <c r="BV163" i="2" s="1"/>
  <c r="BW163" i="2" a="1"/>
  <c r="BW163" i="2" s="1"/>
  <c r="BX163" i="2" a="1"/>
  <c r="BX163" i="2" s="1"/>
  <c r="BZ163" i="2" a="1"/>
  <c r="BZ163" i="2" s="1"/>
  <c r="CC163" i="2" a="1"/>
  <c r="CC163" i="2" s="1"/>
  <c r="BY164" i="2" a="1"/>
  <c r="BY164" i="2" s="1"/>
  <c r="BU164" i="2" a="1"/>
  <c r="BU164" i="2" s="1"/>
  <c r="BV164" i="2" s="1" a="1"/>
  <c r="BV164" i="2" s="1"/>
  <c r="BW164" i="2" a="1"/>
  <c r="BW164" i="2" s="1"/>
  <c r="BX164" i="2" a="1"/>
  <c r="BX164" i="2" s="1"/>
  <c r="BZ164" i="2" a="1"/>
  <c r="BZ164" i="2" s="1"/>
  <c r="CC164" i="2" a="1"/>
  <c r="CC164" i="2" s="1"/>
  <c r="BU165" i="2" a="1"/>
  <c r="BU165" i="2" s="1"/>
  <c r="BV165" i="2" s="1" a="1"/>
  <c r="BV165" i="2" s="1"/>
  <c r="BW165" i="2" a="1"/>
  <c r="BW165" i="2" s="1"/>
  <c r="BX165" i="2" a="1"/>
  <c r="BX165" i="2" s="1"/>
  <c r="BY165" i="2" a="1"/>
  <c r="BY165" i="2" s="1"/>
  <c r="BZ165" i="2" a="1"/>
  <c r="BZ165" i="2" s="1"/>
  <c r="CC165" i="2" a="1"/>
  <c r="CC165" i="2" s="1"/>
  <c r="BU166" i="2" a="1"/>
  <c r="BU166" i="2" s="1"/>
  <c r="BV166" i="2" s="1" a="1"/>
  <c r="BV166" i="2" s="1"/>
  <c r="BW166" i="2" a="1"/>
  <c r="BW166" i="2" s="1"/>
  <c r="BX166" i="2" a="1"/>
  <c r="BX166" i="2" s="1"/>
  <c r="BY166" i="2" a="1"/>
  <c r="BY166" i="2" s="1"/>
  <c r="BZ166" i="2" a="1"/>
  <c r="BZ166" i="2" s="1"/>
  <c r="CC166" i="2" a="1"/>
  <c r="CC166" i="2" s="1"/>
  <c r="BU167" i="2" a="1"/>
  <c r="BU167" i="2" s="1"/>
  <c r="BV167" i="2" s="1" a="1"/>
  <c r="BV167" i="2" s="1"/>
  <c r="BW167" i="2" a="1"/>
  <c r="BW167" i="2" s="1"/>
  <c r="BX167" i="2" a="1"/>
  <c r="BX167" i="2" s="1"/>
  <c r="BY167" i="2" a="1"/>
  <c r="BY167" i="2" s="1"/>
  <c r="BZ167" i="2" a="1"/>
  <c r="BZ167" i="2" s="1"/>
  <c r="CC167" i="2" a="1"/>
  <c r="CC167" i="2" s="1"/>
  <c r="BU168" i="2" a="1"/>
  <c r="BU168" i="2" s="1"/>
  <c r="BV168" i="2" s="1" a="1"/>
  <c r="BV168" i="2" s="1"/>
  <c r="BW168" i="2" a="1"/>
  <c r="BW168" i="2" s="1"/>
  <c r="BX168" i="2" a="1"/>
  <c r="BX168" i="2" s="1"/>
  <c r="BY168" i="2" a="1"/>
  <c r="BY168" i="2" s="1"/>
  <c r="BZ168" i="2" a="1"/>
  <c r="BZ168" i="2" s="1"/>
  <c r="CC168" i="2" a="1"/>
  <c r="CC168" i="2" s="1"/>
  <c r="BY141" i="2" a="1"/>
  <c r="BY141" i="2" s="1"/>
  <c r="BU141" i="2" a="1"/>
  <c r="BU141" i="2" s="1"/>
  <c r="BV141" i="2" s="1" a="1"/>
  <c r="BV141" i="2" s="1"/>
  <c r="BW141" i="2" a="1"/>
  <c r="BW141" i="2" s="1"/>
  <c r="BX141" i="2" a="1"/>
  <c r="BX141" i="2" s="1"/>
  <c r="BZ141" i="2" a="1"/>
  <c r="BZ141" i="2" s="1"/>
  <c r="CC141" i="2" a="1"/>
  <c r="CC141" i="2" s="1"/>
  <c r="BY142" i="2" a="1"/>
  <c r="BY142" i="2" s="1"/>
  <c r="BU142" i="2" a="1"/>
  <c r="BU142" i="2" s="1"/>
  <c r="BV142" i="2" s="1" a="1"/>
  <c r="BV142" i="2" s="1"/>
  <c r="BW142" i="2" a="1"/>
  <c r="BW142" i="2" s="1"/>
  <c r="BX142" i="2" a="1"/>
  <c r="BX142" i="2" s="1"/>
  <c r="BZ142" i="2" a="1"/>
  <c r="BZ142" i="2" s="1"/>
  <c r="CC142" i="2" a="1"/>
  <c r="CC142" i="2" s="1"/>
  <c r="BY143" i="2" a="1"/>
  <c r="BY143" i="2" s="1"/>
  <c r="BU143" i="2" a="1"/>
  <c r="BU143" i="2" s="1"/>
  <c r="BV143" i="2" s="1" a="1"/>
  <c r="BV143" i="2" s="1"/>
  <c r="BW143" i="2" a="1"/>
  <c r="BW143" i="2" s="1"/>
  <c r="BX143" i="2" a="1"/>
  <c r="BX143" i="2" s="1"/>
  <c r="BZ143" i="2" a="1"/>
  <c r="BZ143" i="2" s="1"/>
  <c r="CC143" i="2" a="1"/>
  <c r="CC143" i="2" s="1"/>
  <c r="BY144" i="2" a="1"/>
  <c r="BY144" i="2" s="1"/>
  <c r="BU144" i="2" a="1"/>
  <c r="BU144" i="2" s="1"/>
  <c r="BV144" i="2" s="1" a="1"/>
  <c r="BV144" i="2" s="1"/>
  <c r="BW144" i="2" a="1"/>
  <c r="BW144" i="2" s="1"/>
  <c r="BX144" i="2" a="1"/>
  <c r="BX144" i="2" s="1"/>
  <c r="BZ144" i="2" a="1"/>
  <c r="BZ144" i="2" s="1"/>
  <c r="CC144" i="2" a="1"/>
  <c r="CC144" i="2" s="1"/>
  <c r="BY145" i="2" a="1"/>
  <c r="BY145" i="2" s="1"/>
  <c r="BU145" i="2" a="1"/>
  <c r="BU145" i="2" s="1"/>
  <c r="BV145" i="2" s="1" a="1"/>
  <c r="BV145" i="2" s="1"/>
  <c r="BW145" i="2" a="1"/>
  <c r="BW145" i="2" s="1"/>
  <c r="BX145" i="2" a="1"/>
  <c r="BX145" i="2" s="1"/>
  <c r="BZ145" i="2" a="1"/>
  <c r="BZ145" i="2" s="1"/>
  <c r="CC145" i="2" a="1"/>
  <c r="CC145" i="2" s="1"/>
  <c r="BY146" i="2" a="1"/>
  <c r="BY146" i="2" s="1"/>
  <c r="BU146" i="2" a="1"/>
  <c r="BU146" i="2" s="1"/>
  <c r="BV146" i="2" s="1" a="1"/>
  <c r="BV146" i="2" s="1"/>
  <c r="BW146" i="2" a="1"/>
  <c r="BW146" i="2" s="1"/>
  <c r="BX146" i="2" a="1"/>
  <c r="BX146" i="2" s="1"/>
  <c r="BZ146" i="2" a="1"/>
  <c r="BZ146" i="2" s="1"/>
  <c r="CC146" i="2" a="1"/>
  <c r="CC146" i="2" s="1"/>
  <c r="BY147" i="2" a="1"/>
  <c r="BY147" i="2" s="1"/>
  <c r="BU147" i="2" a="1"/>
  <c r="BU147" i="2" s="1"/>
  <c r="BV147" i="2" s="1" a="1"/>
  <c r="BV147" i="2" s="1"/>
  <c r="BW147" i="2" a="1"/>
  <c r="BW147" i="2" s="1"/>
  <c r="BX147" i="2" a="1"/>
  <c r="BX147" i="2" s="1"/>
  <c r="BZ147" i="2" a="1"/>
  <c r="BZ147" i="2" s="1"/>
  <c r="CC147" i="2" a="1"/>
  <c r="CC147" i="2" s="1"/>
  <c r="BY148" i="2" a="1"/>
  <c r="BY148" i="2" s="1"/>
  <c r="BU148" i="2" a="1"/>
  <c r="BU148" i="2" s="1"/>
  <c r="BV148" i="2" s="1" a="1"/>
  <c r="BV148" i="2" s="1"/>
  <c r="BW148" i="2" a="1"/>
  <c r="BW148" i="2" s="1"/>
  <c r="BX148" i="2" a="1"/>
  <c r="BX148" i="2" s="1"/>
  <c r="BZ148" i="2" a="1"/>
  <c r="BZ148" i="2" s="1"/>
  <c r="CC148" i="2" a="1"/>
  <c r="CC148" i="2" s="1"/>
  <c r="BY149" i="2" a="1"/>
  <c r="BY149" i="2" s="1"/>
  <c r="BU149" i="2" a="1"/>
  <c r="BU149" i="2" s="1"/>
  <c r="BV149" i="2" s="1" a="1"/>
  <c r="BV149" i="2" s="1"/>
  <c r="BW149" i="2" a="1"/>
  <c r="BW149" i="2" s="1"/>
  <c r="BX149" i="2" a="1"/>
  <c r="BX149" i="2" s="1"/>
  <c r="BZ149" i="2" a="1"/>
  <c r="BZ149" i="2" s="1"/>
  <c r="CC149" i="2" a="1"/>
  <c r="CC149" i="2" s="1"/>
  <c r="BY150" i="2" a="1"/>
  <c r="BY150" i="2" s="1"/>
  <c r="BU150" i="2" a="1"/>
  <c r="BU150" i="2" s="1"/>
  <c r="BV150" i="2" s="1" a="1"/>
  <c r="BV150" i="2" s="1"/>
  <c r="BW150" i="2" a="1"/>
  <c r="BW150" i="2" s="1"/>
  <c r="BX150" i="2" a="1"/>
  <c r="BX150" i="2" s="1"/>
  <c r="BZ150" i="2" a="1"/>
  <c r="BZ150" i="2" s="1"/>
  <c r="CC150" i="2" a="1"/>
  <c r="CC150" i="2" s="1"/>
  <c r="BY151" i="2" a="1"/>
  <c r="BY151" i="2" s="1"/>
  <c r="BU151" i="2" a="1"/>
  <c r="BU151" i="2" s="1"/>
  <c r="BV151" i="2" s="1" a="1"/>
  <c r="BV151" i="2" s="1"/>
  <c r="BW151" i="2" a="1"/>
  <c r="BW151" i="2" s="1"/>
  <c r="BX151" i="2" a="1"/>
  <c r="BX151" i="2" s="1"/>
  <c r="BZ151" i="2" a="1"/>
  <c r="BZ151" i="2" s="1"/>
  <c r="CC151" i="2" a="1"/>
  <c r="CC151" i="2" s="1"/>
  <c r="BY152" i="2" a="1"/>
  <c r="BY152" i="2" s="1"/>
  <c r="BU152" i="2" a="1"/>
  <c r="BU152" i="2" s="1"/>
  <c r="BV152" i="2" s="1" a="1"/>
  <c r="BV152" i="2" s="1"/>
  <c r="BW152" i="2" a="1"/>
  <c r="BW152" i="2" s="1"/>
  <c r="BX152" i="2" a="1"/>
  <c r="BX152" i="2" s="1"/>
  <c r="BZ152" i="2" a="1"/>
  <c r="BZ152" i="2" s="1"/>
  <c r="CC152" i="2" a="1"/>
  <c r="CC152" i="2" s="1"/>
  <c r="BY153" i="2" a="1"/>
  <c r="BY153" i="2" s="1"/>
  <c r="BU153" i="2" a="1"/>
  <c r="BU153" i="2" s="1"/>
  <c r="BV153" i="2" s="1" a="1"/>
  <c r="BV153" i="2" s="1"/>
  <c r="BW153" i="2" a="1"/>
  <c r="BW153" i="2" s="1"/>
  <c r="BX153" i="2" a="1"/>
  <c r="BX153" i="2" s="1"/>
  <c r="BZ153" i="2" a="1"/>
  <c r="BZ153" i="2" s="1"/>
  <c r="CC153" i="2" a="1"/>
  <c r="CC153" i="2" s="1"/>
  <c r="BY154" i="2" a="1"/>
  <c r="BY154" i="2" s="1"/>
  <c r="BU154" i="2" a="1"/>
  <c r="BU154" i="2" s="1"/>
  <c r="BV154" i="2" s="1" a="1"/>
  <c r="BV154" i="2" s="1"/>
  <c r="BW154" i="2" a="1"/>
  <c r="BW154" i="2" s="1"/>
  <c r="BX154" i="2" a="1"/>
  <c r="BX154" i="2" s="1"/>
  <c r="BZ154" i="2" a="1"/>
  <c r="BZ154" i="2" s="1"/>
  <c r="CC154" i="2" a="1"/>
  <c r="CC154" i="2" s="1"/>
  <c r="BY127" i="2" a="1"/>
  <c r="BY127" i="2" s="1"/>
  <c r="BU127" i="2" a="1"/>
  <c r="BU127" i="2" s="1"/>
  <c r="BV127" i="2" s="1" a="1"/>
  <c r="BV127" i="2" s="1"/>
  <c r="BW127" i="2" a="1"/>
  <c r="BW127" i="2" s="1"/>
  <c r="BX127" i="2" a="1"/>
  <c r="BX127" i="2" s="1"/>
  <c r="BZ127" i="2" a="1"/>
  <c r="BZ127" i="2" s="1"/>
  <c r="CC127" i="2" a="1"/>
  <c r="CC127" i="2" s="1"/>
  <c r="BY128" i="2" a="1"/>
  <c r="BY128" i="2" s="1"/>
  <c r="BU128" i="2" a="1"/>
  <c r="BU128" i="2" s="1"/>
  <c r="BV128" i="2" s="1" a="1"/>
  <c r="BV128" i="2" s="1"/>
  <c r="BW128" i="2" a="1"/>
  <c r="BW128" i="2" s="1"/>
  <c r="BX128" i="2" a="1"/>
  <c r="BX128" i="2" s="1"/>
  <c r="BZ128" i="2" a="1"/>
  <c r="BZ128" i="2" s="1"/>
  <c r="CC128" i="2" a="1"/>
  <c r="CC128" i="2" s="1"/>
  <c r="BY129" i="2" a="1"/>
  <c r="BY129" i="2" s="1"/>
  <c r="BU129" i="2" a="1"/>
  <c r="BU129" i="2" s="1"/>
  <c r="BV129" i="2" s="1" a="1"/>
  <c r="BV129" i="2" s="1"/>
  <c r="BW129" i="2" a="1"/>
  <c r="BW129" i="2" s="1"/>
  <c r="BX129" i="2" a="1"/>
  <c r="BX129" i="2" s="1"/>
  <c r="BZ129" i="2" a="1"/>
  <c r="BZ129" i="2" s="1"/>
  <c r="CC129" i="2" a="1"/>
  <c r="CC129" i="2" s="1"/>
  <c r="BY130" i="2" a="1"/>
  <c r="BY130" i="2" s="1"/>
  <c r="BU130" i="2" a="1"/>
  <c r="BU130" i="2" s="1"/>
  <c r="BV130" i="2" s="1" a="1"/>
  <c r="BV130" i="2" s="1"/>
  <c r="BW130" i="2" a="1"/>
  <c r="BW130" i="2" s="1"/>
  <c r="BX130" i="2" a="1"/>
  <c r="BX130" i="2" s="1"/>
  <c r="BZ130" i="2" a="1"/>
  <c r="BZ130" i="2" s="1"/>
  <c r="CC130" i="2" a="1"/>
  <c r="CC130" i="2" s="1"/>
  <c r="BY131" i="2" a="1"/>
  <c r="BY131" i="2" s="1"/>
  <c r="BU131" i="2" a="1"/>
  <c r="BU131" i="2" s="1"/>
  <c r="BV131" i="2" s="1" a="1"/>
  <c r="BV131" i="2" s="1"/>
  <c r="BW131" i="2" a="1"/>
  <c r="BW131" i="2" s="1"/>
  <c r="BX131" i="2" a="1"/>
  <c r="BX131" i="2" s="1"/>
  <c r="BZ131" i="2" a="1"/>
  <c r="BZ131" i="2" s="1"/>
  <c r="CC131" i="2" a="1"/>
  <c r="CC131" i="2" s="1"/>
  <c r="BY132" i="2" a="1"/>
  <c r="BY132" i="2" s="1"/>
  <c r="BU132" i="2" a="1"/>
  <c r="BU132" i="2" s="1"/>
  <c r="BV132" i="2" s="1" a="1"/>
  <c r="BV132" i="2" s="1"/>
  <c r="BW132" i="2" a="1"/>
  <c r="BW132" i="2" s="1"/>
  <c r="BX132" i="2" a="1"/>
  <c r="BX132" i="2" s="1"/>
  <c r="BZ132" i="2" a="1"/>
  <c r="BZ132" i="2" s="1"/>
  <c r="CC132" i="2" a="1"/>
  <c r="CC132" i="2" s="1"/>
  <c r="BY133" i="2" a="1"/>
  <c r="BY133" i="2" s="1"/>
  <c r="BU133" i="2" a="1"/>
  <c r="BU133" i="2" s="1"/>
  <c r="BV133" i="2" s="1" a="1"/>
  <c r="BV133" i="2" s="1"/>
  <c r="BW133" i="2" a="1"/>
  <c r="BW133" i="2" s="1"/>
  <c r="BX133" i="2" a="1"/>
  <c r="BX133" i="2" s="1"/>
  <c r="BZ133" i="2" a="1"/>
  <c r="BZ133" i="2" s="1"/>
  <c r="CC133" i="2" a="1"/>
  <c r="CC133" i="2" s="1"/>
  <c r="BY134" i="2" a="1"/>
  <c r="BY134" i="2" s="1"/>
  <c r="BU134" i="2" a="1"/>
  <c r="BU134" i="2" s="1"/>
  <c r="BV134" i="2" s="1" a="1"/>
  <c r="BV134" i="2" s="1"/>
  <c r="BW134" i="2" a="1"/>
  <c r="BW134" i="2" s="1"/>
  <c r="BX134" i="2" a="1"/>
  <c r="BX134" i="2" s="1"/>
  <c r="BZ134" i="2" a="1"/>
  <c r="BZ134" i="2" s="1"/>
  <c r="CC134" i="2" a="1"/>
  <c r="CC134" i="2" s="1"/>
  <c r="BY135" i="2" a="1"/>
  <c r="BY135" i="2" s="1"/>
  <c r="BU135" i="2" a="1"/>
  <c r="BU135" i="2" s="1"/>
  <c r="BV135" i="2" s="1" a="1"/>
  <c r="BV135" i="2" s="1"/>
  <c r="BW135" i="2" a="1"/>
  <c r="BW135" i="2" s="1"/>
  <c r="BX135" i="2" a="1"/>
  <c r="BX135" i="2" s="1"/>
  <c r="BZ135" i="2" a="1"/>
  <c r="BZ135" i="2" s="1"/>
  <c r="CC135" i="2" a="1"/>
  <c r="CC135" i="2" s="1"/>
  <c r="BY136" i="2" a="1"/>
  <c r="BY136" i="2" s="1"/>
  <c r="BU136" i="2" a="1"/>
  <c r="BU136" i="2" s="1"/>
  <c r="BV136" i="2" s="1" a="1"/>
  <c r="BV136" i="2" s="1"/>
  <c r="BW136" i="2" a="1"/>
  <c r="BW136" i="2" s="1"/>
  <c r="BX136" i="2" a="1"/>
  <c r="BX136" i="2" s="1"/>
  <c r="BZ136" i="2" a="1"/>
  <c r="BZ136" i="2" s="1"/>
  <c r="CC136" i="2" a="1"/>
  <c r="CC136" i="2" s="1"/>
  <c r="BY137" i="2" a="1"/>
  <c r="BY137" i="2" s="1"/>
  <c r="BU137" i="2" a="1"/>
  <c r="BU137" i="2" s="1"/>
  <c r="BV137" i="2" s="1" a="1"/>
  <c r="BV137" i="2" s="1"/>
  <c r="BW137" i="2" a="1"/>
  <c r="BW137" i="2" s="1"/>
  <c r="BX137" i="2" a="1"/>
  <c r="BX137" i="2" s="1"/>
  <c r="BZ137" i="2" a="1"/>
  <c r="BZ137" i="2" s="1"/>
  <c r="CC137" i="2" a="1"/>
  <c r="CC137" i="2" s="1"/>
  <c r="BY138" i="2" a="1"/>
  <c r="BY138" i="2" s="1"/>
  <c r="BU138" i="2" a="1"/>
  <c r="BU138" i="2" s="1"/>
  <c r="BV138" i="2" s="1" a="1"/>
  <c r="BV138" i="2" s="1"/>
  <c r="BW138" i="2" a="1"/>
  <c r="BW138" i="2" s="1"/>
  <c r="BX138" i="2" a="1"/>
  <c r="BX138" i="2" s="1"/>
  <c r="BZ138" i="2" a="1"/>
  <c r="BZ138" i="2" s="1"/>
  <c r="CC138" i="2" a="1"/>
  <c r="CC138" i="2" s="1"/>
  <c r="BY139" i="2" a="1"/>
  <c r="BY139" i="2" s="1"/>
  <c r="BU139" i="2" a="1"/>
  <c r="BU139" i="2" s="1"/>
  <c r="BV139" i="2" s="1" a="1"/>
  <c r="BV139" i="2" s="1"/>
  <c r="BW139" i="2" a="1"/>
  <c r="BW139" i="2" s="1"/>
  <c r="BX139" i="2" a="1"/>
  <c r="BX139" i="2" s="1"/>
  <c r="BZ139" i="2" a="1"/>
  <c r="BZ139" i="2" s="1"/>
  <c r="CC139" i="2" a="1"/>
  <c r="CC139" i="2" s="1"/>
  <c r="BY140" i="2" a="1"/>
  <c r="BY140" i="2" s="1"/>
  <c r="BU140" i="2" a="1"/>
  <c r="BU140" i="2" s="1"/>
  <c r="BV140" i="2" s="1" a="1"/>
  <c r="BV140" i="2" s="1"/>
  <c r="BW140" i="2" a="1"/>
  <c r="BW140" i="2" s="1"/>
  <c r="BX140" i="2" a="1"/>
  <c r="BX140" i="2" s="1"/>
  <c r="BZ140" i="2" a="1"/>
  <c r="BZ140" i="2" s="1"/>
  <c r="CC140" i="2" a="1"/>
  <c r="CC140" i="2" s="1"/>
  <c r="BY113" i="2" a="1"/>
  <c r="BY113" i="2" s="1"/>
  <c r="BU113" i="2" a="1"/>
  <c r="BU113" i="2" s="1"/>
  <c r="BV113" i="2" s="1" a="1"/>
  <c r="BV113" i="2" s="1"/>
  <c r="BW113" i="2" a="1"/>
  <c r="BW113" i="2" s="1"/>
  <c r="BX113" i="2" a="1"/>
  <c r="BX113" i="2" s="1"/>
  <c r="BZ113" i="2" a="1"/>
  <c r="BZ113" i="2" s="1"/>
  <c r="CC113" i="2" a="1"/>
  <c r="CC113" i="2" s="1"/>
  <c r="BY114" i="2" a="1"/>
  <c r="BY114" i="2" s="1"/>
  <c r="BU114" i="2" a="1"/>
  <c r="BU114" i="2" s="1"/>
  <c r="BV114" i="2" s="1" a="1"/>
  <c r="BV114" i="2" s="1"/>
  <c r="BW114" i="2" a="1"/>
  <c r="BW114" i="2" s="1"/>
  <c r="BX114" i="2" a="1"/>
  <c r="BX114" i="2" s="1"/>
  <c r="BZ114" i="2" a="1"/>
  <c r="BZ114" i="2" s="1"/>
  <c r="CC114" i="2" a="1"/>
  <c r="CC114" i="2" s="1"/>
  <c r="BY115" i="2" a="1"/>
  <c r="BY115" i="2" s="1"/>
  <c r="BU115" i="2" a="1"/>
  <c r="BU115" i="2" s="1"/>
  <c r="BV115" i="2" s="1" a="1"/>
  <c r="BV115" i="2" s="1"/>
  <c r="BW115" i="2" a="1"/>
  <c r="BW115" i="2" s="1"/>
  <c r="BX115" i="2" a="1"/>
  <c r="BX115" i="2" s="1"/>
  <c r="BZ115" i="2" a="1"/>
  <c r="BZ115" i="2" s="1"/>
  <c r="CC115" i="2" a="1"/>
  <c r="CC115" i="2" s="1"/>
  <c r="BY116" i="2" a="1"/>
  <c r="BY116" i="2" s="1"/>
  <c r="BU116" i="2" a="1"/>
  <c r="BU116" i="2" s="1"/>
  <c r="BV116" i="2" s="1" a="1"/>
  <c r="BV116" i="2" s="1"/>
  <c r="BW116" i="2" a="1"/>
  <c r="BW116" i="2" s="1"/>
  <c r="BX116" i="2" a="1"/>
  <c r="BX116" i="2" s="1"/>
  <c r="BZ116" i="2" a="1"/>
  <c r="BZ116" i="2" s="1"/>
  <c r="CC116" i="2" a="1"/>
  <c r="CC116" i="2" s="1"/>
  <c r="BY117" i="2" a="1"/>
  <c r="BY117" i="2" s="1"/>
  <c r="BU117" i="2" a="1"/>
  <c r="BU117" i="2" s="1"/>
  <c r="BV117" i="2" s="1" a="1"/>
  <c r="BV117" i="2" s="1"/>
  <c r="BW117" i="2" a="1"/>
  <c r="BW117" i="2" s="1"/>
  <c r="BX117" i="2" a="1"/>
  <c r="BX117" i="2" s="1"/>
  <c r="BZ117" i="2" a="1"/>
  <c r="BZ117" i="2" s="1"/>
  <c r="CC117" i="2" a="1"/>
  <c r="CC117" i="2" s="1"/>
  <c r="BY118" i="2" a="1"/>
  <c r="BY118" i="2" s="1"/>
  <c r="BU118" i="2" a="1"/>
  <c r="BU118" i="2" s="1"/>
  <c r="BV118" i="2" s="1" a="1"/>
  <c r="BV118" i="2" s="1"/>
  <c r="BW118" i="2" a="1"/>
  <c r="BW118" i="2" s="1"/>
  <c r="BX118" i="2" a="1"/>
  <c r="BX118" i="2" s="1"/>
  <c r="BZ118" i="2" a="1"/>
  <c r="BZ118" i="2" s="1"/>
  <c r="CC118" i="2" a="1"/>
  <c r="CC118" i="2" s="1"/>
  <c r="BY119" i="2" a="1"/>
  <c r="BY119" i="2" s="1"/>
  <c r="BU119" i="2" a="1"/>
  <c r="BU119" i="2" s="1"/>
  <c r="BV119" i="2" s="1" a="1"/>
  <c r="BV119" i="2" s="1"/>
  <c r="BW119" i="2" a="1"/>
  <c r="BW119" i="2" s="1"/>
  <c r="BX119" i="2" a="1"/>
  <c r="BX119" i="2" s="1"/>
  <c r="BZ119" i="2" a="1"/>
  <c r="BZ119" i="2" s="1"/>
  <c r="CC119" i="2" a="1"/>
  <c r="CC119" i="2" s="1"/>
  <c r="BY120" i="2" a="1"/>
  <c r="BY120" i="2" s="1"/>
  <c r="BU120" i="2" a="1"/>
  <c r="BU120" i="2" s="1"/>
  <c r="BV120" i="2" s="1" a="1"/>
  <c r="BV120" i="2" s="1"/>
  <c r="BW120" i="2" a="1"/>
  <c r="BW120" i="2" s="1"/>
  <c r="BX120" i="2" a="1"/>
  <c r="BX120" i="2" s="1"/>
  <c r="BZ120" i="2" a="1"/>
  <c r="BZ120" i="2" s="1"/>
  <c r="CC120" i="2" a="1"/>
  <c r="CC120" i="2" s="1"/>
  <c r="BY121" i="2" a="1"/>
  <c r="BY121" i="2" s="1"/>
  <c r="BU121" i="2" a="1"/>
  <c r="BU121" i="2" s="1"/>
  <c r="BV121" i="2" s="1" a="1"/>
  <c r="BV121" i="2" s="1"/>
  <c r="BW121" i="2" a="1"/>
  <c r="BW121" i="2" s="1"/>
  <c r="BX121" i="2" a="1"/>
  <c r="BX121" i="2" s="1"/>
  <c r="BZ121" i="2" a="1"/>
  <c r="BZ121" i="2" s="1"/>
  <c r="CC121" i="2" a="1"/>
  <c r="CC121" i="2" s="1"/>
  <c r="BY122" i="2" a="1"/>
  <c r="BY122" i="2" s="1"/>
  <c r="BU122" i="2" a="1"/>
  <c r="BU122" i="2" s="1"/>
  <c r="BV122" i="2" s="1" a="1"/>
  <c r="BV122" i="2" s="1"/>
  <c r="BW122" i="2" a="1"/>
  <c r="BW122" i="2" s="1"/>
  <c r="BX122" i="2" a="1"/>
  <c r="BX122" i="2" s="1"/>
  <c r="BZ122" i="2" a="1"/>
  <c r="BZ122" i="2" s="1"/>
  <c r="CC122" i="2" a="1"/>
  <c r="CC122" i="2" s="1"/>
  <c r="BY123" i="2" a="1"/>
  <c r="BY123" i="2" s="1"/>
  <c r="BU123" i="2" a="1"/>
  <c r="BU123" i="2" s="1"/>
  <c r="BV123" i="2" s="1" a="1"/>
  <c r="BV123" i="2" s="1"/>
  <c r="BW123" i="2" a="1"/>
  <c r="BW123" i="2" s="1"/>
  <c r="BX123" i="2" a="1"/>
  <c r="BX123" i="2" s="1"/>
  <c r="BZ123" i="2" a="1"/>
  <c r="BZ123" i="2" s="1"/>
  <c r="CC123" i="2" a="1"/>
  <c r="CC123" i="2" s="1"/>
  <c r="BY124" i="2" a="1"/>
  <c r="BY124" i="2" s="1"/>
  <c r="BU124" i="2" a="1"/>
  <c r="BU124" i="2" s="1"/>
  <c r="BV124" i="2" s="1" a="1"/>
  <c r="BV124" i="2" s="1"/>
  <c r="BW124" i="2" a="1"/>
  <c r="BW124" i="2" s="1"/>
  <c r="BX124" i="2" a="1"/>
  <c r="BX124" i="2" s="1"/>
  <c r="BZ124" i="2" a="1"/>
  <c r="BZ124" i="2" s="1"/>
  <c r="CC124" i="2" a="1"/>
  <c r="CC124" i="2" s="1"/>
  <c r="BY125" i="2" a="1"/>
  <c r="BY125" i="2" s="1"/>
  <c r="BU125" i="2" a="1"/>
  <c r="BU125" i="2" s="1"/>
  <c r="BV125" i="2" s="1" a="1"/>
  <c r="BV125" i="2" s="1"/>
  <c r="BW125" i="2" a="1"/>
  <c r="BW125" i="2" s="1"/>
  <c r="BX125" i="2" a="1"/>
  <c r="BX125" i="2" s="1"/>
  <c r="BZ125" i="2" a="1"/>
  <c r="BZ125" i="2" s="1"/>
  <c r="CC125" i="2" a="1"/>
  <c r="CC125" i="2" s="1"/>
  <c r="BY126" i="2" a="1"/>
  <c r="BY126" i="2" s="1"/>
  <c r="BU126" i="2" a="1"/>
  <c r="BU126" i="2" s="1"/>
  <c r="BV126" i="2" s="1" a="1"/>
  <c r="BV126" i="2" s="1"/>
  <c r="BW126" i="2" a="1"/>
  <c r="BW126" i="2" s="1"/>
  <c r="BX126" i="2" a="1"/>
  <c r="BX126" i="2" s="1"/>
  <c r="BZ126" i="2" a="1"/>
  <c r="BZ126" i="2" s="1"/>
  <c r="CC126" i="2" a="1"/>
  <c r="CC126" i="2" s="1"/>
  <c r="BY99" i="2" a="1"/>
  <c r="BY99" i="2" s="1"/>
  <c r="BU99" i="2" a="1"/>
  <c r="BU99" i="2" s="1"/>
  <c r="BV99" i="2" s="1" a="1"/>
  <c r="BV99" i="2" s="1"/>
  <c r="BW99" i="2" a="1"/>
  <c r="BW99" i="2" s="1"/>
  <c r="BX99" i="2" a="1"/>
  <c r="BX99" i="2" s="1"/>
  <c r="BZ99" i="2" a="1"/>
  <c r="BZ99" i="2" s="1"/>
  <c r="CC99" i="2" a="1"/>
  <c r="CC99" i="2" s="1"/>
  <c r="BY100" i="2" a="1"/>
  <c r="BY100" i="2" s="1"/>
  <c r="BU100" i="2" a="1"/>
  <c r="BU100" i="2" s="1"/>
  <c r="BV100" i="2" s="1" a="1"/>
  <c r="BV100" i="2" s="1"/>
  <c r="BW100" i="2" a="1"/>
  <c r="BW100" i="2" s="1"/>
  <c r="BX100" i="2" a="1"/>
  <c r="BX100" i="2" s="1"/>
  <c r="BZ100" i="2" a="1"/>
  <c r="BZ100" i="2" s="1"/>
  <c r="CC100" i="2" a="1"/>
  <c r="CC100" i="2" s="1"/>
  <c r="BY101" i="2" a="1"/>
  <c r="BY101" i="2" s="1"/>
  <c r="BU101" i="2" a="1"/>
  <c r="BU101" i="2" s="1"/>
  <c r="BV101" i="2" s="1" a="1"/>
  <c r="BV101" i="2" s="1"/>
  <c r="BW101" i="2" a="1"/>
  <c r="BW101" i="2" s="1"/>
  <c r="BX101" i="2" a="1"/>
  <c r="BX101" i="2" s="1"/>
  <c r="BZ101" i="2" a="1"/>
  <c r="BZ101" i="2" s="1"/>
  <c r="CC101" i="2" a="1"/>
  <c r="CC101" i="2" s="1"/>
  <c r="BY102" i="2" a="1"/>
  <c r="BY102" i="2" s="1"/>
  <c r="BU102" i="2" a="1"/>
  <c r="BU102" i="2" s="1"/>
  <c r="BV102" i="2" s="1" a="1"/>
  <c r="BV102" i="2" s="1"/>
  <c r="BW102" i="2" a="1"/>
  <c r="BW102" i="2" s="1"/>
  <c r="BX102" i="2" a="1"/>
  <c r="BX102" i="2" s="1"/>
  <c r="BZ102" i="2" a="1"/>
  <c r="BZ102" i="2" s="1"/>
  <c r="CC102" i="2" a="1"/>
  <c r="CC102" i="2" s="1"/>
  <c r="BY103" i="2" a="1"/>
  <c r="BY103" i="2" s="1"/>
  <c r="BU103" i="2" a="1"/>
  <c r="BU103" i="2" s="1"/>
  <c r="BV103" i="2" s="1" a="1"/>
  <c r="BV103" i="2" s="1"/>
  <c r="BW103" i="2" a="1"/>
  <c r="BW103" i="2" s="1"/>
  <c r="BX103" i="2" a="1"/>
  <c r="BX103" i="2" s="1"/>
  <c r="BZ103" i="2" a="1"/>
  <c r="BZ103" i="2" s="1"/>
  <c r="CC103" i="2" a="1"/>
  <c r="CC103" i="2" s="1"/>
  <c r="BY104" i="2" a="1"/>
  <c r="BY104" i="2" s="1"/>
  <c r="BU104" i="2" a="1"/>
  <c r="BU104" i="2" s="1"/>
  <c r="BV104" i="2" s="1" a="1"/>
  <c r="BV104" i="2" s="1"/>
  <c r="BW104" i="2" a="1"/>
  <c r="BW104" i="2" s="1"/>
  <c r="BX104" i="2" a="1"/>
  <c r="BX104" i="2" s="1"/>
  <c r="BZ104" i="2" a="1"/>
  <c r="BZ104" i="2" s="1"/>
  <c r="CC104" i="2" a="1"/>
  <c r="CC104" i="2" s="1"/>
  <c r="BY105" i="2" a="1"/>
  <c r="BY105" i="2" s="1"/>
  <c r="BU105" i="2" a="1"/>
  <c r="BU105" i="2" s="1"/>
  <c r="BV105" i="2" s="1" a="1"/>
  <c r="BV105" i="2" s="1"/>
  <c r="BW105" i="2" a="1"/>
  <c r="BW105" i="2" s="1"/>
  <c r="BX105" i="2" a="1"/>
  <c r="BX105" i="2" s="1"/>
  <c r="BZ105" i="2" a="1"/>
  <c r="BZ105" i="2" s="1"/>
  <c r="CC105" i="2" a="1"/>
  <c r="CC105" i="2" s="1"/>
  <c r="BY106" i="2" a="1"/>
  <c r="BY106" i="2" s="1"/>
  <c r="BU106" i="2" a="1"/>
  <c r="BU106" i="2" s="1"/>
  <c r="BV106" i="2" s="1" a="1"/>
  <c r="BV106" i="2" s="1"/>
  <c r="BW106" i="2" a="1"/>
  <c r="BW106" i="2" s="1"/>
  <c r="BX106" i="2" a="1"/>
  <c r="BX106" i="2" s="1"/>
  <c r="BZ106" i="2" a="1"/>
  <c r="BZ106" i="2" s="1"/>
  <c r="CC106" i="2" a="1"/>
  <c r="CC106" i="2" s="1"/>
  <c r="BY107" i="2" a="1"/>
  <c r="BY107" i="2" s="1"/>
  <c r="BU107" i="2" a="1"/>
  <c r="BU107" i="2" s="1"/>
  <c r="BV107" i="2" s="1" a="1"/>
  <c r="BV107" i="2" s="1"/>
  <c r="BW107" i="2" a="1"/>
  <c r="BW107" i="2" s="1"/>
  <c r="BX107" i="2" a="1"/>
  <c r="BX107" i="2" s="1"/>
  <c r="BZ107" i="2" a="1"/>
  <c r="BZ107" i="2" s="1"/>
  <c r="CC107" i="2" a="1"/>
  <c r="CC107" i="2" s="1"/>
  <c r="BY108" i="2" a="1"/>
  <c r="BY108" i="2" s="1"/>
  <c r="BU108" i="2" a="1"/>
  <c r="BU108" i="2" s="1"/>
  <c r="BV108" i="2" s="1" a="1"/>
  <c r="BV108" i="2" s="1"/>
  <c r="BW108" i="2" a="1"/>
  <c r="BW108" i="2" s="1"/>
  <c r="BX108" i="2" a="1"/>
  <c r="BX108" i="2" s="1"/>
  <c r="BZ108" i="2" a="1"/>
  <c r="BZ108" i="2" s="1"/>
  <c r="CC108" i="2" a="1"/>
  <c r="CC108" i="2" s="1"/>
  <c r="BY109" i="2" a="1"/>
  <c r="BY109" i="2" s="1"/>
  <c r="BU109" i="2" a="1"/>
  <c r="BU109" i="2" s="1"/>
  <c r="BV109" i="2" s="1" a="1"/>
  <c r="BV109" i="2" s="1"/>
  <c r="BW109" i="2" a="1"/>
  <c r="BW109" i="2" s="1"/>
  <c r="BX109" i="2" a="1"/>
  <c r="BX109" i="2" s="1"/>
  <c r="BZ109" i="2" a="1"/>
  <c r="BZ109" i="2" s="1"/>
  <c r="CC109" i="2" a="1"/>
  <c r="CC109" i="2" s="1"/>
  <c r="BY110" i="2" a="1"/>
  <c r="BY110" i="2" s="1"/>
  <c r="BU110" i="2" a="1"/>
  <c r="BU110" i="2" s="1"/>
  <c r="BV110" i="2" s="1" a="1"/>
  <c r="BV110" i="2" s="1"/>
  <c r="BW110" i="2" a="1"/>
  <c r="BW110" i="2" s="1"/>
  <c r="BX110" i="2" a="1"/>
  <c r="BX110" i="2" s="1"/>
  <c r="BZ110" i="2" a="1"/>
  <c r="BZ110" i="2" s="1"/>
  <c r="CC110" i="2" a="1"/>
  <c r="CC110" i="2" s="1"/>
  <c r="BY111" i="2" a="1"/>
  <c r="BY111" i="2" s="1"/>
  <c r="BU111" i="2" a="1"/>
  <c r="BU111" i="2" s="1"/>
  <c r="BV111" i="2" s="1" a="1"/>
  <c r="BV111" i="2" s="1"/>
  <c r="BW111" i="2" a="1"/>
  <c r="BW111" i="2" s="1"/>
  <c r="BX111" i="2" a="1"/>
  <c r="BX111" i="2" s="1"/>
  <c r="BZ111" i="2" a="1"/>
  <c r="BZ111" i="2" s="1"/>
  <c r="CC111" i="2" a="1"/>
  <c r="CC111" i="2" s="1"/>
  <c r="BY112" i="2" a="1"/>
  <c r="BY112" i="2" s="1"/>
  <c r="BU112" i="2" a="1"/>
  <c r="BU112" i="2" s="1"/>
  <c r="BV112" i="2" s="1" a="1"/>
  <c r="BV112" i="2" s="1"/>
  <c r="BW112" i="2" a="1"/>
  <c r="BW112" i="2" s="1"/>
  <c r="BX112" i="2" a="1"/>
  <c r="BX112" i="2" s="1"/>
  <c r="BZ112" i="2" a="1"/>
  <c r="BZ112" i="2" s="1"/>
  <c r="CC112" i="2" a="1"/>
  <c r="CC112" i="2" s="1"/>
  <c r="BY85" i="2" a="1"/>
  <c r="BY85" i="2" s="1"/>
  <c r="BU85" i="2" a="1"/>
  <c r="BU85" i="2" s="1"/>
  <c r="BV85" i="2" s="1" a="1"/>
  <c r="BV85" i="2" s="1"/>
  <c r="BW85" i="2" a="1"/>
  <c r="BW85" i="2" s="1"/>
  <c r="BX85" i="2" a="1"/>
  <c r="BX85" i="2" s="1"/>
  <c r="BZ85" i="2" a="1"/>
  <c r="BZ85" i="2" s="1"/>
  <c r="CC85" i="2" a="1"/>
  <c r="CC85" i="2" s="1"/>
  <c r="BY86" i="2" a="1"/>
  <c r="BY86" i="2" s="1"/>
  <c r="BU86" i="2" a="1"/>
  <c r="BU86" i="2" s="1"/>
  <c r="BV86" i="2" s="1" a="1"/>
  <c r="BV86" i="2" s="1"/>
  <c r="BW86" i="2" a="1"/>
  <c r="BW86" i="2" s="1"/>
  <c r="BX86" i="2" a="1"/>
  <c r="BX86" i="2" s="1"/>
  <c r="BZ86" i="2" a="1"/>
  <c r="BZ86" i="2" s="1"/>
  <c r="CC86" i="2" a="1"/>
  <c r="CC86" i="2" s="1"/>
  <c r="BY87" i="2" a="1"/>
  <c r="BY87" i="2" s="1"/>
  <c r="BU87" i="2" a="1"/>
  <c r="BU87" i="2" s="1"/>
  <c r="BV87" i="2" s="1" a="1"/>
  <c r="BV87" i="2" s="1"/>
  <c r="BW87" i="2" a="1"/>
  <c r="BW87" i="2" s="1"/>
  <c r="BX87" i="2" a="1"/>
  <c r="BX87" i="2" s="1"/>
  <c r="BZ87" i="2" a="1"/>
  <c r="BZ87" i="2" s="1"/>
  <c r="CC87" i="2" a="1"/>
  <c r="CC87" i="2" s="1"/>
  <c r="BY88" i="2" a="1"/>
  <c r="BY88" i="2" s="1"/>
  <c r="BU88" i="2" a="1"/>
  <c r="BU88" i="2" s="1"/>
  <c r="BV88" i="2" s="1" a="1"/>
  <c r="BV88" i="2" s="1"/>
  <c r="BW88" i="2" a="1"/>
  <c r="BW88" i="2" s="1"/>
  <c r="BX88" i="2" a="1"/>
  <c r="BX88" i="2" s="1"/>
  <c r="BZ88" i="2" a="1"/>
  <c r="BZ88" i="2" s="1"/>
  <c r="CC88" i="2" a="1"/>
  <c r="CC88" i="2" s="1"/>
  <c r="BY89" i="2" a="1"/>
  <c r="BY89" i="2" s="1"/>
  <c r="BU89" i="2" a="1"/>
  <c r="BU89" i="2" s="1"/>
  <c r="BV89" i="2" s="1" a="1"/>
  <c r="BV89" i="2" s="1"/>
  <c r="BW89" i="2" a="1"/>
  <c r="BW89" i="2" s="1"/>
  <c r="BX89" i="2" a="1"/>
  <c r="BX89" i="2" s="1"/>
  <c r="BZ89" i="2" a="1"/>
  <c r="BZ89" i="2" s="1"/>
  <c r="CC89" i="2" a="1"/>
  <c r="CC89" i="2" s="1"/>
  <c r="BY90" i="2" a="1"/>
  <c r="BY90" i="2" s="1"/>
  <c r="BU90" i="2" a="1"/>
  <c r="BU90" i="2" s="1"/>
  <c r="BV90" i="2" s="1" a="1"/>
  <c r="BV90" i="2" s="1"/>
  <c r="BW90" i="2" a="1"/>
  <c r="BW90" i="2" s="1"/>
  <c r="BX90" i="2" a="1"/>
  <c r="BX90" i="2" s="1"/>
  <c r="BZ90" i="2" a="1"/>
  <c r="BZ90" i="2" s="1"/>
  <c r="CC90" i="2" a="1"/>
  <c r="CC90" i="2" s="1"/>
  <c r="BY91" i="2" a="1"/>
  <c r="BY91" i="2" s="1"/>
  <c r="BU91" i="2" a="1"/>
  <c r="BU91" i="2" s="1"/>
  <c r="BV91" i="2" s="1" a="1"/>
  <c r="BV91" i="2" s="1"/>
  <c r="BW91" i="2" a="1"/>
  <c r="BW91" i="2" s="1"/>
  <c r="BX91" i="2" a="1"/>
  <c r="BX91" i="2" s="1"/>
  <c r="BZ91" i="2" a="1"/>
  <c r="BZ91" i="2" s="1"/>
  <c r="CC91" i="2" a="1"/>
  <c r="CC91" i="2" s="1"/>
  <c r="BY92" i="2" a="1"/>
  <c r="BY92" i="2" s="1"/>
  <c r="BU92" i="2" a="1"/>
  <c r="BU92" i="2" s="1"/>
  <c r="BV92" i="2" s="1" a="1"/>
  <c r="BV92" i="2" s="1"/>
  <c r="BW92" i="2" a="1"/>
  <c r="BW92" i="2" s="1"/>
  <c r="BX92" i="2" a="1"/>
  <c r="BX92" i="2" s="1"/>
  <c r="BZ92" i="2" a="1"/>
  <c r="BZ92" i="2" s="1"/>
  <c r="CC92" i="2" a="1"/>
  <c r="CC92" i="2" s="1"/>
  <c r="BY93" i="2" a="1"/>
  <c r="BY93" i="2" s="1"/>
  <c r="BU93" i="2" a="1"/>
  <c r="BU93" i="2" s="1"/>
  <c r="BV93" i="2" s="1" a="1"/>
  <c r="BV93" i="2" s="1"/>
  <c r="BW93" i="2" a="1"/>
  <c r="BW93" i="2" s="1"/>
  <c r="BX93" i="2" a="1"/>
  <c r="BX93" i="2" s="1"/>
  <c r="BZ93" i="2" a="1"/>
  <c r="BZ93" i="2" s="1"/>
  <c r="CC93" i="2" a="1"/>
  <c r="CC93" i="2" s="1"/>
  <c r="BY94" i="2" a="1"/>
  <c r="BY94" i="2" s="1"/>
  <c r="BU94" i="2" a="1"/>
  <c r="BU94" i="2" s="1"/>
  <c r="BV94" i="2" s="1" a="1"/>
  <c r="BV94" i="2" s="1"/>
  <c r="BW94" i="2" a="1"/>
  <c r="BW94" i="2" s="1"/>
  <c r="BX94" i="2" a="1"/>
  <c r="BX94" i="2" s="1"/>
  <c r="BZ94" i="2" a="1"/>
  <c r="BZ94" i="2" s="1"/>
  <c r="CC94" i="2" a="1"/>
  <c r="CC94" i="2" s="1"/>
  <c r="BY95" i="2" a="1"/>
  <c r="BY95" i="2" s="1"/>
  <c r="BU95" i="2" a="1"/>
  <c r="BU95" i="2" s="1"/>
  <c r="BV95" i="2" s="1" a="1"/>
  <c r="BV95" i="2" s="1"/>
  <c r="BW95" i="2" a="1"/>
  <c r="BW95" i="2" s="1"/>
  <c r="BX95" i="2" a="1"/>
  <c r="BX95" i="2" s="1"/>
  <c r="BZ95" i="2" a="1"/>
  <c r="BZ95" i="2" s="1"/>
  <c r="CC95" i="2" a="1"/>
  <c r="CC95" i="2" s="1"/>
  <c r="BY96" i="2" a="1"/>
  <c r="BY96" i="2" s="1"/>
  <c r="BU96" i="2" a="1"/>
  <c r="BU96" i="2" s="1"/>
  <c r="BV96" i="2" s="1" a="1"/>
  <c r="BV96" i="2" s="1"/>
  <c r="BW96" i="2" a="1"/>
  <c r="BW96" i="2" s="1"/>
  <c r="BX96" i="2" a="1"/>
  <c r="BX96" i="2" s="1"/>
  <c r="BZ96" i="2" a="1"/>
  <c r="BZ96" i="2" s="1"/>
  <c r="CC96" i="2" a="1"/>
  <c r="CC96" i="2" s="1"/>
  <c r="BY97" i="2" a="1"/>
  <c r="BY97" i="2" s="1"/>
  <c r="BU97" i="2" a="1"/>
  <c r="BU97" i="2" s="1"/>
  <c r="BV97" i="2" s="1" a="1"/>
  <c r="BV97" i="2" s="1"/>
  <c r="BW97" i="2" a="1"/>
  <c r="BW97" i="2" s="1"/>
  <c r="BX97" i="2" a="1"/>
  <c r="BX97" i="2" s="1"/>
  <c r="BZ97" i="2" a="1"/>
  <c r="BZ97" i="2" s="1"/>
  <c r="CC97" i="2" a="1"/>
  <c r="CC97" i="2" s="1"/>
  <c r="BY98" i="2" a="1"/>
  <c r="BY98" i="2" s="1"/>
  <c r="BU98" i="2" a="1"/>
  <c r="BU98" i="2" s="1"/>
  <c r="BV98" i="2" s="1" a="1"/>
  <c r="BV98" i="2" s="1"/>
  <c r="BW98" i="2" a="1"/>
  <c r="BW98" i="2" s="1"/>
  <c r="BX98" i="2" a="1"/>
  <c r="BX98" i="2" s="1"/>
  <c r="BZ98" i="2" a="1"/>
  <c r="BZ98" i="2" s="1"/>
  <c r="CC98" i="2" a="1"/>
  <c r="CC98" i="2" s="1"/>
  <c r="BY71" i="2" a="1"/>
  <c r="BY71" i="2" s="1"/>
  <c r="BU71" i="2" a="1"/>
  <c r="BU71" i="2" s="1"/>
  <c r="BV71" i="2" s="1" a="1"/>
  <c r="BV71" i="2" s="1"/>
  <c r="BW71" i="2" a="1"/>
  <c r="BW71" i="2" s="1"/>
  <c r="BX71" i="2" a="1"/>
  <c r="BX71" i="2" s="1"/>
  <c r="BZ71" i="2" a="1"/>
  <c r="BZ71" i="2" s="1"/>
  <c r="CC71" i="2" a="1"/>
  <c r="CC71" i="2" s="1"/>
  <c r="BY72" i="2" a="1"/>
  <c r="BY72" i="2" s="1"/>
  <c r="BU72" i="2" a="1"/>
  <c r="BU72" i="2" s="1"/>
  <c r="BV72" i="2" s="1" a="1"/>
  <c r="BV72" i="2" s="1"/>
  <c r="BW72" i="2" a="1"/>
  <c r="BW72" i="2" s="1"/>
  <c r="BX72" i="2" a="1"/>
  <c r="BX72" i="2" s="1"/>
  <c r="BZ72" i="2" a="1"/>
  <c r="BZ72" i="2" s="1"/>
  <c r="CC72" i="2" a="1"/>
  <c r="CC72" i="2" s="1"/>
  <c r="BY73" i="2" a="1"/>
  <c r="BY73" i="2" s="1"/>
  <c r="BU73" i="2" a="1"/>
  <c r="BU73" i="2" s="1"/>
  <c r="BV73" i="2" s="1" a="1"/>
  <c r="BV73" i="2" s="1"/>
  <c r="BW73" i="2" a="1"/>
  <c r="BW73" i="2" s="1"/>
  <c r="BX73" i="2" a="1"/>
  <c r="BX73" i="2" s="1"/>
  <c r="BZ73" i="2" a="1"/>
  <c r="BZ73" i="2" s="1"/>
  <c r="CC73" i="2" a="1"/>
  <c r="CC73" i="2" s="1"/>
  <c r="BY74" i="2" a="1"/>
  <c r="BY74" i="2" s="1"/>
  <c r="BU74" i="2" a="1"/>
  <c r="BU74" i="2" s="1"/>
  <c r="BV74" i="2" s="1" a="1"/>
  <c r="BV74" i="2" s="1"/>
  <c r="BW74" i="2" a="1"/>
  <c r="BW74" i="2" s="1"/>
  <c r="BX74" i="2" a="1"/>
  <c r="BX74" i="2" s="1"/>
  <c r="BZ74" i="2" a="1"/>
  <c r="BZ74" i="2" s="1"/>
  <c r="CC74" i="2" a="1"/>
  <c r="CC74" i="2" s="1"/>
  <c r="BY75" i="2" a="1"/>
  <c r="BY75" i="2" s="1"/>
  <c r="BU75" i="2" a="1"/>
  <c r="BU75" i="2" s="1"/>
  <c r="BV75" i="2" s="1" a="1"/>
  <c r="BV75" i="2" s="1"/>
  <c r="BW75" i="2" a="1"/>
  <c r="BW75" i="2" s="1"/>
  <c r="BX75" i="2" a="1"/>
  <c r="BX75" i="2" s="1"/>
  <c r="BZ75" i="2" a="1"/>
  <c r="BZ75" i="2" s="1"/>
  <c r="CC75" i="2" a="1"/>
  <c r="CC75" i="2" s="1"/>
  <c r="BY76" i="2" a="1"/>
  <c r="BY76" i="2" s="1"/>
  <c r="BU76" i="2" a="1"/>
  <c r="BU76" i="2" s="1"/>
  <c r="BV76" i="2" s="1" a="1"/>
  <c r="BV76" i="2" s="1"/>
  <c r="BW76" i="2" a="1"/>
  <c r="BW76" i="2" s="1"/>
  <c r="BX76" i="2" a="1"/>
  <c r="BX76" i="2" s="1"/>
  <c r="BZ76" i="2" a="1"/>
  <c r="BZ76" i="2" s="1"/>
  <c r="CC76" i="2" a="1"/>
  <c r="CC76" i="2" s="1"/>
  <c r="BY77" i="2" a="1"/>
  <c r="BY77" i="2" s="1"/>
  <c r="BU77" i="2" a="1"/>
  <c r="BU77" i="2" s="1"/>
  <c r="BV77" i="2" s="1" a="1"/>
  <c r="BV77" i="2" s="1"/>
  <c r="BW77" i="2" a="1"/>
  <c r="BW77" i="2" s="1"/>
  <c r="BX77" i="2" a="1"/>
  <c r="BX77" i="2" s="1"/>
  <c r="BZ77" i="2" a="1"/>
  <c r="BZ77" i="2" s="1"/>
  <c r="CC77" i="2" a="1"/>
  <c r="CC77" i="2" s="1"/>
  <c r="BY78" i="2" a="1"/>
  <c r="BY78" i="2" s="1"/>
  <c r="BU78" i="2" a="1"/>
  <c r="BU78" i="2" s="1"/>
  <c r="BV78" i="2" s="1" a="1"/>
  <c r="BV78" i="2" s="1"/>
  <c r="BW78" i="2" a="1"/>
  <c r="BW78" i="2" s="1"/>
  <c r="BX78" i="2" a="1"/>
  <c r="BX78" i="2" s="1"/>
  <c r="BZ78" i="2" a="1"/>
  <c r="BZ78" i="2" s="1"/>
  <c r="CC78" i="2" a="1"/>
  <c r="CC78" i="2" s="1"/>
  <c r="BY79" i="2" a="1"/>
  <c r="BY79" i="2" s="1"/>
  <c r="BU79" i="2" a="1"/>
  <c r="BU79" i="2" s="1"/>
  <c r="BV79" i="2" s="1" a="1"/>
  <c r="BV79" i="2" s="1"/>
  <c r="BW79" i="2" a="1"/>
  <c r="BW79" i="2" s="1"/>
  <c r="BX79" i="2" a="1"/>
  <c r="BX79" i="2" s="1"/>
  <c r="BZ79" i="2" a="1"/>
  <c r="BZ79" i="2" s="1"/>
  <c r="CC79" i="2" a="1"/>
  <c r="CC79" i="2" s="1"/>
  <c r="BY80" i="2" a="1"/>
  <c r="BY80" i="2" s="1"/>
  <c r="BU80" i="2" a="1"/>
  <c r="BU80" i="2" s="1"/>
  <c r="BV80" i="2" s="1" a="1"/>
  <c r="BV80" i="2" s="1"/>
  <c r="BW80" i="2" a="1"/>
  <c r="BW80" i="2" s="1"/>
  <c r="BX80" i="2" a="1"/>
  <c r="BX80" i="2" s="1"/>
  <c r="BZ80" i="2" a="1"/>
  <c r="BZ80" i="2" s="1"/>
  <c r="CC80" i="2" a="1"/>
  <c r="CC80" i="2" s="1"/>
  <c r="BY81" i="2" a="1"/>
  <c r="BY81" i="2" s="1"/>
  <c r="BU81" i="2" a="1"/>
  <c r="BU81" i="2" s="1"/>
  <c r="BV81" i="2" s="1" a="1"/>
  <c r="BV81" i="2" s="1"/>
  <c r="BW81" i="2" a="1"/>
  <c r="BW81" i="2" s="1"/>
  <c r="BX81" i="2" a="1"/>
  <c r="BX81" i="2" s="1"/>
  <c r="BZ81" i="2" a="1"/>
  <c r="BZ81" i="2" s="1"/>
  <c r="CC81" i="2" a="1"/>
  <c r="CC81" i="2" s="1"/>
  <c r="BY82" i="2" a="1"/>
  <c r="BY82" i="2" s="1"/>
  <c r="BU82" i="2" a="1"/>
  <c r="BU82" i="2" s="1"/>
  <c r="BV82" i="2" s="1" a="1"/>
  <c r="BV82" i="2" s="1"/>
  <c r="BW82" i="2" a="1"/>
  <c r="BW82" i="2" s="1"/>
  <c r="BX82" i="2" a="1"/>
  <c r="BX82" i="2" s="1"/>
  <c r="BZ82" i="2" a="1"/>
  <c r="BZ82" i="2" s="1"/>
  <c r="CC82" i="2" a="1"/>
  <c r="CC82" i="2" s="1"/>
  <c r="BY83" i="2" a="1"/>
  <c r="BY83" i="2" s="1"/>
  <c r="BU83" i="2" a="1"/>
  <c r="BU83" i="2" s="1"/>
  <c r="BV83" i="2" s="1" a="1"/>
  <c r="BV83" i="2" s="1"/>
  <c r="BW83" i="2" a="1"/>
  <c r="BW83" i="2" s="1"/>
  <c r="BX83" i="2" a="1"/>
  <c r="BX83" i="2" s="1"/>
  <c r="BZ83" i="2" a="1"/>
  <c r="BZ83" i="2" s="1"/>
  <c r="CC83" i="2" a="1"/>
  <c r="CC83" i="2" s="1"/>
  <c r="BY84" i="2" a="1"/>
  <c r="BY84" i="2" s="1"/>
  <c r="BU84" i="2" a="1"/>
  <c r="BU84" i="2" s="1"/>
  <c r="BV84" i="2" s="1" a="1"/>
  <c r="BV84" i="2" s="1"/>
  <c r="BW84" i="2" a="1"/>
  <c r="BW84" i="2" s="1"/>
  <c r="BX84" i="2" a="1"/>
  <c r="BX84" i="2" s="1"/>
  <c r="BZ84" i="2" a="1"/>
  <c r="BZ84" i="2" s="1"/>
  <c r="CC84" i="2" a="1"/>
  <c r="CC84" i="2" s="1"/>
  <c r="BY57" i="2" a="1"/>
  <c r="BY57" i="2" s="1"/>
  <c r="BU57" i="2" a="1"/>
  <c r="BU57" i="2" s="1"/>
  <c r="BV57" i="2" s="1" a="1"/>
  <c r="BV57" i="2" s="1"/>
  <c r="BW57" i="2" a="1"/>
  <c r="BW57" i="2" s="1"/>
  <c r="BX57" i="2" a="1"/>
  <c r="BX57" i="2" s="1"/>
  <c r="BZ57" i="2" a="1"/>
  <c r="BZ57" i="2" s="1"/>
  <c r="CC57" i="2" a="1"/>
  <c r="CC57" i="2" s="1"/>
  <c r="BY58" i="2" a="1"/>
  <c r="BY58" i="2" s="1"/>
  <c r="BU58" i="2" a="1"/>
  <c r="BU58" i="2" s="1"/>
  <c r="BV58" i="2" s="1" a="1"/>
  <c r="BV58" i="2" s="1"/>
  <c r="BW58" i="2" a="1"/>
  <c r="BW58" i="2" s="1"/>
  <c r="BX58" i="2" a="1"/>
  <c r="BX58" i="2" s="1"/>
  <c r="BZ58" i="2" a="1"/>
  <c r="BZ58" i="2" s="1"/>
  <c r="CC58" i="2" a="1"/>
  <c r="CC58" i="2" s="1"/>
  <c r="BY59" i="2" a="1"/>
  <c r="BY59" i="2" s="1"/>
  <c r="BU59" i="2" a="1"/>
  <c r="BU59" i="2" s="1"/>
  <c r="BV59" i="2" s="1" a="1"/>
  <c r="BV59" i="2" s="1"/>
  <c r="BW59" i="2" a="1"/>
  <c r="BW59" i="2" s="1"/>
  <c r="BX59" i="2" a="1"/>
  <c r="BX59" i="2" s="1"/>
  <c r="BZ59" i="2" a="1"/>
  <c r="BZ59" i="2" s="1"/>
  <c r="CC59" i="2" a="1"/>
  <c r="CC59" i="2" s="1"/>
  <c r="BY60" i="2" a="1"/>
  <c r="BY60" i="2" s="1"/>
  <c r="BU60" i="2" a="1"/>
  <c r="BU60" i="2" s="1"/>
  <c r="BV60" i="2" s="1" a="1"/>
  <c r="BV60" i="2" s="1"/>
  <c r="BW60" i="2" a="1"/>
  <c r="BW60" i="2" s="1"/>
  <c r="BX60" i="2" a="1"/>
  <c r="BX60" i="2" s="1"/>
  <c r="BZ60" i="2" a="1"/>
  <c r="BZ60" i="2" s="1"/>
  <c r="CC60" i="2" a="1"/>
  <c r="CC60" i="2" s="1"/>
  <c r="BY61" i="2" a="1"/>
  <c r="BY61" i="2" s="1"/>
  <c r="BU61" i="2" a="1"/>
  <c r="BU61" i="2" s="1"/>
  <c r="BV61" i="2" s="1" a="1"/>
  <c r="BV61" i="2" s="1"/>
  <c r="BW61" i="2" a="1"/>
  <c r="BW61" i="2" s="1"/>
  <c r="BX61" i="2" a="1"/>
  <c r="BX61" i="2" s="1"/>
  <c r="BZ61" i="2" a="1"/>
  <c r="BZ61" i="2" s="1"/>
  <c r="CC61" i="2" a="1"/>
  <c r="CC61" i="2" s="1"/>
  <c r="BY62" i="2" a="1"/>
  <c r="BY62" i="2" s="1"/>
  <c r="BU62" i="2" a="1"/>
  <c r="BU62" i="2" s="1"/>
  <c r="BV62" i="2" s="1" a="1"/>
  <c r="BV62" i="2" s="1"/>
  <c r="BW62" i="2" a="1"/>
  <c r="BW62" i="2" s="1"/>
  <c r="BX62" i="2" a="1"/>
  <c r="BX62" i="2" s="1"/>
  <c r="BZ62" i="2" a="1"/>
  <c r="BZ62" i="2" s="1"/>
  <c r="CC62" i="2" a="1"/>
  <c r="CC62" i="2" s="1"/>
  <c r="BY63" i="2" a="1"/>
  <c r="BY63" i="2" s="1"/>
  <c r="BU63" i="2" a="1"/>
  <c r="BU63" i="2" s="1"/>
  <c r="BV63" i="2" s="1" a="1"/>
  <c r="BV63" i="2" s="1"/>
  <c r="BW63" i="2" a="1"/>
  <c r="BW63" i="2" s="1"/>
  <c r="BX63" i="2" a="1"/>
  <c r="BX63" i="2" s="1"/>
  <c r="BZ63" i="2" a="1"/>
  <c r="BZ63" i="2" s="1"/>
  <c r="CC63" i="2" a="1"/>
  <c r="CC63" i="2" s="1"/>
  <c r="BY64" i="2" a="1"/>
  <c r="BY64" i="2" s="1"/>
  <c r="BU64" i="2" a="1"/>
  <c r="BU64" i="2" s="1"/>
  <c r="BV64" i="2" s="1" a="1"/>
  <c r="BV64" i="2" s="1"/>
  <c r="BW64" i="2" a="1"/>
  <c r="BW64" i="2" s="1"/>
  <c r="BX64" i="2" a="1"/>
  <c r="BX64" i="2" s="1"/>
  <c r="BZ64" i="2" a="1"/>
  <c r="BZ64" i="2" s="1"/>
  <c r="CC64" i="2" a="1"/>
  <c r="CC64" i="2" s="1"/>
  <c r="BY65" i="2" a="1"/>
  <c r="BY65" i="2" s="1"/>
  <c r="BU65" i="2" a="1"/>
  <c r="BU65" i="2" s="1"/>
  <c r="BV65" i="2" s="1" a="1"/>
  <c r="BV65" i="2" s="1"/>
  <c r="BW65" i="2" a="1"/>
  <c r="BW65" i="2" s="1"/>
  <c r="BX65" i="2" a="1"/>
  <c r="BX65" i="2" s="1"/>
  <c r="BZ65" i="2" a="1"/>
  <c r="BZ65" i="2" s="1"/>
  <c r="CC65" i="2" a="1"/>
  <c r="CC65" i="2" s="1"/>
  <c r="BY66" i="2" a="1"/>
  <c r="BY66" i="2" s="1"/>
  <c r="BU66" i="2" a="1"/>
  <c r="BU66" i="2" s="1"/>
  <c r="BV66" i="2" s="1" a="1"/>
  <c r="BV66" i="2" s="1"/>
  <c r="BW66" i="2" a="1"/>
  <c r="BW66" i="2" s="1"/>
  <c r="BX66" i="2" a="1"/>
  <c r="BX66" i="2" s="1"/>
  <c r="BZ66" i="2" a="1"/>
  <c r="BZ66" i="2" s="1"/>
  <c r="CC66" i="2" a="1"/>
  <c r="CC66" i="2" s="1"/>
  <c r="BY67" i="2" a="1"/>
  <c r="BY67" i="2" s="1"/>
  <c r="BU67" i="2" a="1"/>
  <c r="BU67" i="2" s="1"/>
  <c r="BV67" i="2" s="1" a="1"/>
  <c r="BV67" i="2" s="1"/>
  <c r="BW67" i="2" a="1"/>
  <c r="BW67" i="2" s="1"/>
  <c r="BX67" i="2" a="1"/>
  <c r="BX67" i="2" s="1"/>
  <c r="BZ67" i="2" a="1"/>
  <c r="BZ67" i="2" s="1"/>
  <c r="CC67" i="2" a="1"/>
  <c r="CC67" i="2" s="1"/>
  <c r="BY68" i="2" a="1"/>
  <c r="BY68" i="2" s="1"/>
  <c r="BU68" i="2" a="1"/>
  <c r="BU68" i="2" s="1"/>
  <c r="BV68" i="2" s="1" a="1"/>
  <c r="BV68" i="2" s="1"/>
  <c r="BW68" i="2" a="1"/>
  <c r="BW68" i="2" s="1"/>
  <c r="BX68" i="2" a="1"/>
  <c r="BX68" i="2" s="1"/>
  <c r="BZ68" i="2" a="1"/>
  <c r="BZ68" i="2" s="1"/>
  <c r="CC68" i="2" a="1"/>
  <c r="CC68" i="2" s="1"/>
  <c r="BY69" i="2" a="1"/>
  <c r="BY69" i="2" s="1"/>
  <c r="BU69" i="2" a="1"/>
  <c r="BU69" i="2" s="1"/>
  <c r="BV69" i="2" s="1" a="1"/>
  <c r="BV69" i="2" s="1"/>
  <c r="BW69" i="2" a="1"/>
  <c r="BW69" i="2" s="1"/>
  <c r="BX69" i="2" a="1"/>
  <c r="BX69" i="2" s="1"/>
  <c r="BZ69" i="2" a="1"/>
  <c r="BZ69" i="2" s="1"/>
  <c r="CC69" i="2" a="1"/>
  <c r="CC69" i="2" s="1"/>
  <c r="BY70" i="2" a="1"/>
  <c r="BY70" i="2" s="1"/>
  <c r="BU70" i="2" a="1"/>
  <c r="BU70" i="2" s="1"/>
  <c r="BV70" i="2" s="1" a="1"/>
  <c r="BV70" i="2" s="1"/>
  <c r="BW70" i="2" a="1"/>
  <c r="BW70" i="2" s="1"/>
  <c r="BX70" i="2" a="1"/>
  <c r="BX70" i="2" s="1"/>
  <c r="BZ70" i="2" a="1"/>
  <c r="BZ70" i="2" s="1"/>
  <c r="CC70" i="2" a="1"/>
  <c r="CC70" i="2" s="1"/>
  <c r="BY43" i="2" a="1"/>
  <c r="BY43" i="2" s="1"/>
  <c r="BU43" i="2" a="1"/>
  <c r="BU43" i="2" s="1"/>
  <c r="BV43" i="2" s="1" a="1"/>
  <c r="BV43" i="2" s="1"/>
  <c r="BW43" i="2" a="1"/>
  <c r="BW43" i="2" s="1"/>
  <c r="BX43" i="2" a="1"/>
  <c r="BX43" i="2" s="1"/>
  <c r="BZ43" i="2" a="1"/>
  <c r="BZ43" i="2" s="1"/>
  <c r="CC43" i="2" a="1"/>
  <c r="CC43" i="2" s="1"/>
  <c r="BY44" i="2" a="1"/>
  <c r="BY44" i="2" s="1"/>
  <c r="BU44" i="2" a="1"/>
  <c r="BU44" i="2" s="1"/>
  <c r="BV44" i="2" s="1" a="1"/>
  <c r="BV44" i="2" s="1"/>
  <c r="BW44" i="2" a="1"/>
  <c r="BW44" i="2" s="1"/>
  <c r="BX44" i="2" a="1"/>
  <c r="BX44" i="2" s="1"/>
  <c r="BZ44" i="2" a="1"/>
  <c r="BZ44" i="2" s="1"/>
  <c r="CC44" i="2" a="1"/>
  <c r="CC44" i="2" s="1"/>
  <c r="BY45" i="2" a="1"/>
  <c r="BY45" i="2" s="1"/>
  <c r="BW45" i="2" a="1"/>
  <c r="BW45" i="2" s="1"/>
  <c r="BX45" i="2" a="1"/>
  <c r="BX45" i="2" s="1"/>
  <c r="BZ45" i="2" a="1"/>
  <c r="BZ45" i="2" s="1"/>
  <c r="CC45" i="2" a="1"/>
  <c r="CC45" i="2" s="1"/>
  <c r="BY46" i="2" a="1"/>
  <c r="BY46" i="2" s="1"/>
  <c r="BW46" i="2" a="1"/>
  <c r="BW46" i="2" s="1"/>
  <c r="BX46" i="2" a="1"/>
  <c r="BX46" i="2" s="1"/>
  <c r="BZ46" i="2" a="1"/>
  <c r="BZ46" i="2" s="1"/>
  <c r="CC46" i="2" a="1"/>
  <c r="CC46" i="2" s="1"/>
  <c r="BY47" i="2" a="1"/>
  <c r="BY47" i="2" s="1"/>
  <c r="BW47" i="2" a="1"/>
  <c r="BW47" i="2" s="1"/>
  <c r="BX47" i="2" a="1"/>
  <c r="BX47" i="2" s="1"/>
  <c r="BZ47" i="2" a="1"/>
  <c r="BZ47" i="2" s="1"/>
  <c r="CC47" i="2" a="1"/>
  <c r="CC47" i="2" s="1"/>
  <c r="BY48" i="2" a="1"/>
  <c r="BY48" i="2" s="1"/>
  <c r="BW48" i="2" a="1"/>
  <c r="BW48" i="2" s="1"/>
  <c r="BX48" i="2" a="1"/>
  <c r="BX48" i="2" s="1"/>
  <c r="BZ48" i="2" a="1"/>
  <c r="BZ48" i="2" s="1"/>
  <c r="CC48" i="2" a="1"/>
  <c r="CC48" i="2" s="1"/>
  <c r="BY49" i="2" a="1"/>
  <c r="BY49" i="2" s="1"/>
  <c r="BU49" i="2" a="1"/>
  <c r="BU49" i="2" s="1"/>
  <c r="BV49" i="2" s="1" a="1"/>
  <c r="BV49" i="2" s="1"/>
  <c r="BW49" i="2" a="1"/>
  <c r="BW49" i="2" s="1"/>
  <c r="BX49" i="2" a="1"/>
  <c r="BX49" i="2" s="1"/>
  <c r="BZ49" i="2" a="1"/>
  <c r="BZ49" i="2" s="1"/>
  <c r="CC49" i="2" a="1"/>
  <c r="CC49" i="2" s="1"/>
  <c r="BY50" i="2" a="1"/>
  <c r="BY50" i="2" s="1"/>
  <c r="BU50" i="2" a="1"/>
  <c r="BU50" i="2" s="1"/>
  <c r="BV50" i="2" s="1" a="1"/>
  <c r="BV50" i="2" s="1"/>
  <c r="BW50" i="2" a="1"/>
  <c r="BW50" i="2" s="1"/>
  <c r="BX50" i="2" a="1"/>
  <c r="BX50" i="2" s="1"/>
  <c r="BZ50" i="2" a="1"/>
  <c r="BZ50" i="2" s="1"/>
  <c r="CC50" i="2" a="1"/>
  <c r="CC50" i="2" s="1"/>
  <c r="CC51" i="2" a="1"/>
  <c r="CC51" i="2" s="1"/>
  <c r="BW51" i="2" a="1"/>
  <c r="BW51" i="2" s="1"/>
  <c r="BX51" i="2" a="1"/>
  <c r="BX51" i="2" s="1"/>
  <c r="BY51" i="2" a="1"/>
  <c r="BY51" i="2" s="1"/>
  <c r="BZ51" i="2" a="1"/>
  <c r="BZ51" i="2" s="1"/>
  <c r="BY52" i="2" a="1"/>
  <c r="BY52" i="2" s="1"/>
  <c r="BU52" i="2" a="1"/>
  <c r="BU52" i="2" s="1"/>
  <c r="BV52" i="2" s="1" a="1"/>
  <c r="BV52" i="2" s="1"/>
  <c r="BW52" i="2" a="1"/>
  <c r="BW52" i="2" s="1"/>
  <c r="BX52" i="2" a="1"/>
  <c r="BX52" i="2" s="1"/>
  <c r="BZ52" i="2" a="1"/>
  <c r="BZ52" i="2" s="1"/>
  <c r="CC52" i="2" a="1"/>
  <c r="CC52" i="2" s="1"/>
  <c r="BY53" i="2" a="1"/>
  <c r="BY53" i="2" s="1"/>
  <c r="BU53" i="2" a="1"/>
  <c r="BU53" i="2" s="1"/>
  <c r="BV53" i="2" s="1" a="1"/>
  <c r="BV53" i="2" s="1"/>
  <c r="BW53" i="2" a="1"/>
  <c r="BW53" i="2" s="1"/>
  <c r="BX53" i="2" a="1"/>
  <c r="BX53" i="2" s="1"/>
  <c r="BZ53" i="2" a="1"/>
  <c r="BZ53" i="2" s="1"/>
  <c r="CC53" i="2" a="1"/>
  <c r="CC53" i="2" s="1"/>
  <c r="BY54" i="2" a="1"/>
  <c r="BY54" i="2" s="1"/>
  <c r="BU54" i="2" a="1"/>
  <c r="BU54" i="2" s="1"/>
  <c r="BV54" i="2" s="1" a="1"/>
  <c r="BV54" i="2" s="1"/>
  <c r="BW54" i="2" a="1"/>
  <c r="BW54" i="2" s="1"/>
  <c r="BX54" i="2" a="1"/>
  <c r="BX54" i="2" s="1"/>
  <c r="BZ54" i="2" a="1"/>
  <c r="BZ54" i="2" s="1"/>
  <c r="CC54" i="2" a="1"/>
  <c r="CC54" i="2" s="1"/>
  <c r="BY55" i="2" a="1"/>
  <c r="BY55" i="2" s="1"/>
  <c r="BU55" i="2" a="1"/>
  <c r="BU55" i="2" s="1"/>
  <c r="BV55" i="2" s="1" a="1"/>
  <c r="BV55" i="2" s="1"/>
  <c r="BW55" i="2" a="1"/>
  <c r="BW55" i="2" s="1"/>
  <c r="BX55" i="2" a="1"/>
  <c r="BX55" i="2" s="1"/>
  <c r="BZ55" i="2" a="1"/>
  <c r="BZ55" i="2" s="1"/>
  <c r="CC55" i="2" a="1"/>
  <c r="CC55" i="2" s="1"/>
  <c r="BY56" i="2" a="1"/>
  <c r="BY56" i="2" s="1"/>
  <c r="BU56" i="2" a="1"/>
  <c r="BU56" i="2" s="1"/>
  <c r="BV56" i="2" s="1" a="1"/>
  <c r="BV56" i="2" s="1"/>
  <c r="BW56" i="2" a="1"/>
  <c r="BW56" i="2" s="1"/>
  <c r="BX56" i="2" a="1"/>
  <c r="BX56" i="2" s="1"/>
  <c r="BZ56" i="2" a="1"/>
  <c r="BZ56" i="2" s="1"/>
  <c r="CC56" i="2" a="1"/>
  <c r="CC56" i="2" s="1"/>
  <c r="BY29" i="2" a="1"/>
  <c r="BY29" i="2" s="1"/>
  <c r="BU29" i="2" a="1"/>
  <c r="BU29" i="2" s="1"/>
  <c r="BV29" i="2" s="1" a="1"/>
  <c r="BV29" i="2" s="1"/>
  <c r="BW29" i="2" a="1"/>
  <c r="BW29" i="2" s="1"/>
  <c r="BX29" i="2" a="1"/>
  <c r="BX29" i="2" s="1"/>
  <c r="BZ29" i="2" a="1"/>
  <c r="BZ29" i="2" s="1"/>
  <c r="CC29" i="2" a="1"/>
  <c r="CC29" i="2" s="1"/>
  <c r="BY30" i="2" a="1"/>
  <c r="BY30" i="2" s="1"/>
  <c r="BU30" i="2" a="1"/>
  <c r="BU30" i="2" s="1"/>
  <c r="BV30" i="2" s="1" a="1"/>
  <c r="BV30" i="2" s="1"/>
  <c r="BW30" i="2" a="1"/>
  <c r="BW30" i="2" s="1"/>
  <c r="BX30" i="2" a="1"/>
  <c r="BX30" i="2" s="1"/>
  <c r="BZ30" i="2" a="1"/>
  <c r="BZ30" i="2" s="1"/>
  <c r="CC30" i="2" a="1"/>
  <c r="CC30" i="2" s="1"/>
  <c r="BY31" i="2" a="1"/>
  <c r="BY31" i="2" s="1"/>
  <c r="BU31" i="2" a="1"/>
  <c r="BU31" i="2" s="1"/>
  <c r="BV31" i="2" s="1" a="1"/>
  <c r="BV31" i="2" s="1"/>
  <c r="BW31" i="2" a="1"/>
  <c r="BW31" i="2" s="1"/>
  <c r="BX31" i="2" a="1"/>
  <c r="BX31" i="2" s="1"/>
  <c r="BZ31" i="2" a="1"/>
  <c r="BZ31" i="2" s="1"/>
  <c r="CC31" i="2" a="1"/>
  <c r="CC31" i="2" s="1"/>
  <c r="BY32" i="2" a="1"/>
  <c r="BY32" i="2" s="1"/>
  <c r="BU32" i="2" a="1"/>
  <c r="BU32" i="2" s="1"/>
  <c r="BV32" i="2" s="1" a="1"/>
  <c r="BV32" i="2" s="1"/>
  <c r="BW32" i="2" a="1"/>
  <c r="BW32" i="2" s="1"/>
  <c r="BX32" i="2" a="1"/>
  <c r="BX32" i="2" s="1"/>
  <c r="BZ32" i="2" a="1"/>
  <c r="BZ32" i="2" s="1"/>
  <c r="CC32" i="2" a="1"/>
  <c r="CC32" i="2" s="1"/>
  <c r="BY33" i="2" a="1"/>
  <c r="BY33" i="2" s="1"/>
  <c r="BU33" i="2" a="1"/>
  <c r="BU33" i="2" s="1"/>
  <c r="BV33" i="2" s="1" a="1"/>
  <c r="BV33" i="2" s="1"/>
  <c r="BW33" i="2" a="1"/>
  <c r="BW33" i="2" s="1"/>
  <c r="BX33" i="2" a="1"/>
  <c r="BX33" i="2" s="1"/>
  <c r="BZ33" i="2" a="1"/>
  <c r="BZ33" i="2" s="1"/>
  <c r="CC33" i="2" a="1"/>
  <c r="CC33" i="2" s="1"/>
  <c r="BY34" i="2" a="1"/>
  <c r="BY34" i="2" s="1"/>
  <c r="BU34" i="2" a="1"/>
  <c r="BU34" i="2" s="1"/>
  <c r="BV34" i="2" s="1" a="1"/>
  <c r="BV34" i="2" s="1"/>
  <c r="BW34" i="2" a="1"/>
  <c r="BW34" i="2" s="1"/>
  <c r="BX34" i="2" a="1"/>
  <c r="BX34" i="2" s="1"/>
  <c r="BZ34" i="2" a="1"/>
  <c r="BZ34" i="2" s="1"/>
  <c r="CC34" i="2" a="1"/>
  <c r="CC34" i="2" s="1"/>
  <c r="BY35" i="2" a="1"/>
  <c r="BY35" i="2" s="1"/>
  <c r="BU35" i="2" a="1"/>
  <c r="BU35" i="2" s="1"/>
  <c r="BV35" i="2" s="1" a="1"/>
  <c r="BV35" i="2" s="1"/>
  <c r="BW35" i="2" a="1"/>
  <c r="BW35" i="2" s="1"/>
  <c r="BX35" i="2" a="1"/>
  <c r="BX35" i="2" s="1"/>
  <c r="BZ35" i="2" a="1"/>
  <c r="BZ35" i="2" s="1"/>
  <c r="CC35" i="2" a="1"/>
  <c r="CC35" i="2" s="1"/>
  <c r="BY36" i="2" a="1"/>
  <c r="BY36" i="2" s="1"/>
  <c r="BU36" i="2" a="1"/>
  <c r="BU36" i="2" s="1"/>
  <c r="BV36" i="2" s="1" a="1"/>
  <c r="BV36" i="2" s="1"/>
  <c r="BW36" i="2" a="1"/>
  <c r="BW36" i="2" s="1"/>
  <c r="BX36" i="2" a="1"/>
  <c r="BX36" i="2" s="1"/>
  <c r="BZ36" i="2" a="1"/>
  <c r="BZ36" i="2" s="1"/>
  <c r="CC36" i="2" a="1"/>
  <c r="CC36" i="2" s="1"/>
  <c r="BY37" i="2" a="1"/>
  <c r="BY37" i="2" s="1"/>
  <c r="BU37" i="2" a="1"/>
  <c r="BU37" i="2" s="1"/>
  <c r="BV37" i="2" s="1" a="1"/>
  <c r="BV37" i="2" s="1"/>
  <c r="BW37" i="2" a="1"/>
  <c r="BW37" i="2" s="1"/>
  <c r="BX37" i="2" a="1"/>
  <c r="BX37" i="2" s="1"/>
  <c r="BZ37" i="2" a="1"/>
  <c r="BZ37" i="2" s="1"/>
  <c r="CC37" i="2" a="1"/>
  <c r="CC37" i="2" s="1"/>
  <c r="BY38" i="2" a="1"/>
  <c r="BY38" i="2" s="1"/>
  <c r="BU38" i="2" a="1"/>
  <c r="BU38" i="2" s="1"/>
  <c r="BV38" i="2" s="1" a="1"/>
  <c r="BV38" i="2" s="1"/>
  <c r="BW38" i="2" a="1"/>
  <c r="BW38" i="2" s="1"/>
  <c r="BX38" i="2" a="1"/>
  <c r="BX38" i="2" s="1"/>
  <c r="BZ38" i="2" a="1"/>
  <c r="BZ38" i="2" s="1"/>
  <c r="CC38" i="2" a="1"/>
  <c r="CC38" i="2" s="1"/>
  <c r="BY39" i="2" a="1"/>
  <c r="BY39" i="2" s="1"/>
  <c r="BU39" i="2" a="1"/>
  <c r="BU39" i="2" s="1"/>
  <c r="BV39" i="2" s="1" a="1"/>
  <c r="BV39" i="2" s="1"/>
  <c r="BW39" i="2" a="1"/>
  <c r="BW39" i="2" s="1"/>
  <c r="BX39" i="2" a="1"/>
  <c r="BX39" i="2" s="1"/>
  <c r="BZ39" i="2" a="1"/>
  <c r="BZ39" i="2" s="1"/>
  <c r="CC39" i="2" a="1"/>
  <c r="CC39" i="2" s="1"/>
  <c r="BY40" i="2" a="1"/>
  <c r="BY40" i="2" s="1"/>
  <c r="BU40" i="2" a="1"/>
  <c r="BU40" i="2" s="1"/>
  <c r="BV40" i="2" s="1" a="1"/>
  <c r="BV40" i="2" s="1"/>
  <c r="BW40" i="2" a="1"/>
  <c r="BW40" i="2" s="1"/>
  <c r="BX40" i="2" a="1"/>
  <c r="BX40" i="2" s="1"/>
  <c r="BZ40" i="2" a="1"/>
  <c r="BZ40" i="2" s="1"/>
  <c r="CC40" i="2" a="1"/>
  <c r="CC40" i="2" s="1"/>
  <c r="BY41" i="2" a="1"/>
  <c r="BY41" i="2" s="1"/>
  <c r="BU41" i="2" a="1"/>
  <c r="BU41" i="2" s="1"/>
  <c r="BV41" i="2" s="1" a="1"/>
  <c r="BV41" i="2" s="1"/>
  <c r="BW41" i="2" a="1"/>
  <c r="BW41" i="2" s="1"/>
  <c r="BX41" i="2" a="1"/>
  <c r="BX41" i="2" s="1"/>
  <c r="BZ41" i="2" a="1"/>
  <c r="BZ41" i="2" s="1"/>
  <c r="CC41" i="2" a="1"/>
  <c r="CC41" i="2" s="1"/>
  <c r="BY42" i="2" a="1"/>
  <c r="BY42" i="2" s="1"/>
  <c r="BU42" i="2" a="1"/>
  <c r="BU42" i="2" s="1"/>
  <c r="BV42" i="2" s="1" a="1"/>
  <c r="BV42" i="2" s="1"/>
  <c r="BW42" i="2" a="1"/>
  <c r="BW42" i="2" s="1"/>
  <c r="BX42" i="2" a="1"/>
  <c r="BX42" i="2" s="1"/>
  <c r="BZ42" i="2" a="1"/>
  <c r="BZ42" i="2" s="1"/>
  <c r="CC42" i="2" a="1"/>
  <c r="CC42" i="2" s="1"/>
  <c r="BY15" i="2" a="1"/>
  <c r="BY15" i="2" s="1"/>
  <c r="BU15" i="2" a="1"/>
  <c r="BU15" i="2" s="1"/>
  <c r="BV15" i="2" s="1" a="1"/>
  <c r="BV15" i="2" s="1"/>
  <c r="BW15" i="2" a="1"/>
  <c r="BW15" i="2" s="1"/>
  <c r="BX15" i="2" a="1"/>
  <c r="BX15" i="2" s="1"/>
  <c r="BZ15" i="2" a="1"/>
  <c r="BZ15" i="2" s="1"/>
  <c r="CC15" i="2" a="1"/>
  <c r="CC15" i="2" s="1"/>
  <c r="CR15" i="2"/>
  <c r="CT15" i="2"/>
  <c r="CU15" i="2"/>
  <c r="CW15" i="2" a="1"/>
  <c r="CW15" i="2" s="1"/>
  <c r="CX15" i="2" a="1"/>
  <c r="CX15" i="2" s="1"/>
  <c r="CY15" i="2" a="1"/>
  <c r="CY15" i="2" s="1"/>
  <c r="BY16" i="2" a="1"/>
  <c r="BY16" i="2" s="1"/>
  <c r="BU16" i="2" a="1"/>
  <c r="BU16" i="2" s="1"/>
  <c r="BV16" i="2" s="1" a="1"/>
  <c r="BV16" i="2" s="1"/>
  <c r="BW16" i="2" a="1"/>
  <c r="BW16" i="2" s="1"/>
  <c r="BX16" i="2" a="1"/>
  <c r="BX16" i="2" s="1"/>
  <c r="BZ16" i="2" a="1"/>
  <c r="BZ16" i="2" s="1"/>
  <c r="CC16" i="2" a="1"/>
  <c r="CC16" i="2" s="1"/>
  <c r="CR16" i="2"/>
  <c r="CT16" i="2"/>
  <c r="CU16" i="2"/>
  <c r="CW16" i="2" a="1"/>
  <c r="CW16" i="2" s="1"/>
  <c r="CX16" i="2" a="1"/>
  <c r="CX16" i="2" s="1"/>
  <c r="CY16" i="2" a="1"/>
  <c r="CY16" i="2" s="1"/>
  <c r="BY17" i="2" a="1"/>
  <c r="BY17" i="2" s="1"/>
  <c r="BU17" i="2" a="1"/>
  <c r="BU17" i="2" s="1"/>
  <c r="BV17" i="2" s="1" a="1"/>
  <c r="BV17" i="2" s="1"/>
  <c r="BW17" i="2" a="1"/>
  <c r="BW17" i="2" s="1"/>
  <c r="BX17" i="2" a="1"/>
  <c r="BX17" i="2" s="1"/>
  <c r="BZ17" i="2" a="1"/>
  <c r="BZ17" i="2" s="1"/>
  <c r="CC17" i="2" a="1"/>
  <c r="CC17" i="2" s="1"/>
  <c r="CR17" i="2"/>
  <c r="CT17" i="2"/>
  <c r="CU17" i="2"/>
  <c r="CW17" i="2" a="1"/>
  <c r="CW17" i="2" s="1"/>
  <c r="CX17" i="2" a="1"/>
  <c r="CX17" i="2" s="1"/>
  <c r="CY17" i="2" a="1"/>
  <c r="CY17" i="2" s="1"/>
  <c r="BY18" i="2" a="1"/>
  <c r="BY18" i="2" s="1"/>
  <c r="BU18" i="2" a="1"/>
  <c r="BU18" i="2" s="1"/>
  <c r="BV18" i="2" s="1" a="1"/>
  <c r="BV18" i="2" s="1"/>
  <c r="BW18" i="2" a="1"/>
  <c r="BW18" i="2" s="1"/>
  <c r="BX18" i="2" a="1"/>
  <c r="BX18" i="2" s="1"/>
  <c r="BZ18" i="2" a="1"/>
  <c r="BZ18" i="2" s="1"/>
  <c r="CC18" i="2" a="1"/>
  <c r="CC18" i="2" s="1"/>
  <c r="CR18" i="2"/>
  <c r="CT18" i="2"/>
  <c r="CU18" i="2"/>
  <c r="CW18" i="2" a="1"/>
  <c r="CW18" i="2" s="1"/>
  <c r="CX18" i="2" a="1"/>
  <c r="CX18" i="2" s="1"/>
  <c r="CY18" i="2" a="1"/>
  <c r="CY18" i="2" s="1"/>
  <c r="BY19" i="2" a="1"/>
  <c r="BY19" i="2" s="1"/>
  <c r="BU19" i="2" a="1"/>
  <c r="BU19" i="2" s="1"/>
  <c r="BV19" i="2" s="1" a="1"/>
  <c r="BV19" i="2" s="1"/>
  <c r="BW19" i="2" a="1"/>
  <c r="BW19" i="2" s="1"/>
  <c r="BX19" i="2" a="1"/>
  <c r="BX19" i="2" s="1"/>
  <c r="BZ19" i="2" a="1"/>
  <c r="BZ19" i="2" s="1"/>
  <c r="CC19" i="2" a="1"/>
  <c r="CC19" i="2" s="1"/>
  <c r="CR19" i="2"/>
  <c r="CT19" i="2"/>
  <c r="CU19" i="2"/>
  <c r="CW19" i="2" a="1"/>
  <c r="CW19" i="2" s="1"/>
  <c r="CX19" i="2" a="1"/>
  <c r="CX19" i="2" s="1"/>
  <c r="CY19" i="2" a="1"/>
  <c r="CY19" i="2" s="1"/>
  <c r="BY20" i="2" a="1"/>
  <c r="BY20" i="2" s="1"/>
  <c r="BU20" i="2" a="1"/>
  <c r="BU20" i="2" s="1"/>
  <c r="BV20" i="2" s="1" a="1"/>
  <c r="BV20" i="2" s="1"/>
  <c r="BW20" i="2" a="1"/>
  <c r="BW20" i="2" s="1"/>
  <c r="BX20" i="2" a="1"/>
  <c r="BX20" i="2" s="1"/>
  <c r="BZ20" i="2" a="1"/>
  <c r="BZ20" i="2" s="1"/>
  <c r="CC20" i="2" a="1"/>
  <c r="CC20" i="2" s="1"/>
  <c r="CR20" i="2"/>
  <c r="CT20" i="2"/>
  <c r="CU20" i="2"/>
  <c r="CW20" i="2" a="1"/>
  <c r="CW20" i="2" s="1"/>
  <c r="CX20" i="2" a="1"/>
  <c r="CX20" i="2" s="1"/>
  <c r="CY20" i="2" a="1"/>
  <c r="CY20" i="2" s="1"/>
  <c r="BY21" i="2" a="1"/>
  <c r="BY21" i="2" s="1"/>
  <c r="BU21" i="2" a="1"/>
  <c r="BU21" i="2" s="1"/>
  <c r="BV21" i="2" s="1" a="1"/>
  <c r="BV21" i="2" s="1"/>
  <c r="BW21" i="2" a="1"/>
  <c r="BW21" i="2" s="1"/>
  <c r="BX21" i="2" a="1"/>
  <c r="BX21" i="2" s="1"/>
  <c r="BZ21" i="2" a="1"/>
  <c r="BZ21" i="2" s="1"/>
  <c r="CC21" i="2" a="1"/>
  <c r="CC21" i="2" s="1"/>
  <c r="BY22" i="2" a="1"/>
  <c r="BY22" i="2" s="1"/>
  <c r="BU22" i="2" a="1"/>
  <c r="BU22" i="2" s="1"/>
  <c r="BV22" i="2" s="1" a="1"/>
  <c r="BV22" i="2" s="1"/>
  <c r="BW22" i="2" a="1"/>
  <c r="BW22" i="2" s="1"/>
  <c r="BX22" i="2" a="1"/>
  <c r="BX22" i="2" s="1"/>
  <c r="BZ22" i="2" a="1"/>
  <c r="BZ22" i="2" s="1"/>
  <c r="CC22" i="2" a="1"/>
  <c r="CC22" i="2" s="1"/>
  <c r="BY23" i="2" a="1"/>
  <c r="BY23" i="2" s="1"/>
  <c r="BU23" i="2" a="1"/>
  <c r="BU23" i="2" s="1"/>
  <c r="BV23" i="2" s="1" a="1"/>
  <c r="BV23" i="2" s="1"/>
  <c r="BW23" i="2" a="1"/>
  <c r="BW23" i="2" s="1"/>
  <c r="BX23" i="2" a="1"/>
  <c r="BX23" i="2" s="1"/>
  <c r="BZ23" i="2" a="1"/>
  <c r="BZ23" i="2" s="1"/>
  <c r="CC23" i="2" a="1"/>
  <c r="CC23" i="2" s="1"/>
  <c r="BY24" i="2" a="1"/>
  <c r="BY24" i="2" s="1"/>
  <c r="BU24" i="2" a="1"/>
  <c r="BU24" i="2" s="1"/>
  <c r="BV24" i="2" s="1" a="1"/>
  <c r="BV24" i="2" s="1"/>
  <c r="BW24" i="2" a="1"/>
  <c r="BW24" i="2" s="1"/>
  <c r="BX24" i="2" a="1"/>
  <c r="BX24" i="2" s="1"/>
  <c r="BZ24" i="2" a="1"/>
  <c r="BZ24" i="2" s="1"/>
  <c r="CC24" i="2" a="1"/>
  <c r="CC24" i="2" s="1"/>
  <c r="BY25" i="2" a="1"/>
  <c r="BY25" i="2" s="1"/>
  <c r="BU25" i="2" a="1"/>
  <c r="BU25" i="2" s="1"/>
  <c r="BV25" i="2" s="1" a="1"/>
  <c r="BV25" i="2" s="1"/>
  <c r="BW25" i="2" a="1"/>
  <c r="BW25" i="2" s="1"/>
  <c r="BX25" i="2" a="1"/>
  <c r="BX25" i="2" s="1"/>
  <c r="BZ25" i="2" a="1"/>
  <c r="BZ25" i="2" s="1"/>
  <c r="CC25" i="2" a="1"/>
  <c r="CC25" i="2" s="1"/>
  <c r="BY26" i="2" a="1"/>
  <c r="BY26" i="2" s="1"/>
  <c r="BU26" i="2" a="1"/>
  <c r="BU26" i="2" s="1"/>
  <c r="BV26" i="2" s="1" a="1"/>
  <c r="BV26" i="2" s="1"/>
  <c r="BW26" i="2" a="1"/>
  <c r="BW26" i="2" s="1"/>
  <c r="BX26" i="2" a="1"/>
  <c r="BX26" i="2" s="1"/>
  <c r="BZ26" i="2" a="1"/>
  <c r="BZ26" i="2" s="1"/>
  <c r="CC26" i="2" a="1"/>
  <c r="CC26" i="2" s="1"/>
  <c r="BY27" i="2" a="1"/>
  <c r="BY27" i="2" s="1"/>
  <c r="BU27" i="2" a="1"/>
  <c r="BU27" i="2" s="1"/>
  <c r="BV27" i="2" s="1" a="1"/>
  <c r="BV27" i="2" s="1"/>
  <c r="BW27" i="2" a="1"/>
  <c r="BW27" i="2" s="1"/>
  <c r="BX27" i="2" a="1"/>
  <c r="BX27" i="2" s="1"/>
  <c r="BZ27" i="2" a="1"/>
  <c r="BZ27" i="2" s="1"/>
  <c r="CC27" i="2" a="1"/>
  <c r="CC27" i="2" s="1"/>
  <c r="BY28" i="2" a="1"/>
  <c r="BY28" i="2" s="1"/>
  <c r="BU28" i="2" a="1"/>
  <c r="BU28" i="2" s="1"/>
  <c r="BV28" i="2" s="1" a="1"/>
  <c r="BV28" i="2" s="1"/>
  <c r="BW28" i="2" a="1"/>
  <c r="BW28" i="2" s="1"/>
  <c r="BX28" i="2" a="1"/>
  <c r="BX28" i="2" s="1"/>
  <c r="BZ28" i="2" a="1"/>
  <c r="BZ28" i="2" s="1"/>
  <c r="CC28" i="2" a="1"/>
  <c r="CC28" i="2" s="1"/>
  <c r="BY2" i="2" a="1"/>
  <c r="BY2" i="2" s="1"/>
  <c r="BU2" i="2" a="1"/>
  <c r="BU2" i="2" s="1"/>
  <c r="BV2" i="2" s="1" a="1"/>
  <c r="BV2" i="2" s="1"/>
  <c r="BW2" i="2" a="1"/>
  <c r="BW2" i="2" s="1"/>
  <c r="BX2" i="2" a="1"/>
  <c r="BX2" i="2" s="1"/>
  <c r="BZ2" i="2" a="1"/>
  <c r="BZ2" i="2" s="1"/>
  <c r="CB2" i="2" a="1"/>
  <c r="CB2" i="2" s="1"/>
  <c r="CC2" i="2" a="1"/>
  <c r="CC2" i="2" s="1"/>
  <c r="CD2" i="2" a="1"/>
  <c r="CD2" i="2" s="1"/>
  <c r="CE2" i="2" a="1"/>
  <c r="CE2" i="2" s="1"/>
  <c r="CF2" i="2" a="1"/>
  <c r="CF2" i="2" s="1"/>
  <c r="CH2" i="2"/>
  <c r="CN2" i="2" a="1"/>
  <c r="CN2" i="2" s="1"/>
  <c r="CO2" i="2" s="1"/>
  <c r="CR2" i="2"/>
  <c r="CW2" i="2" a="1"/>
  <c r="CW2" i="2" s="1"/>
  <c r="CX2" i="2" a="1"/>
  <c r="CX2" i="2" s="1"/>
  <c r="CY2" i="2" a="1"/>
  <c r="CY2" i="2" s="1"/>
  <c r="BY3" i="2" a="1"/>
  <c r="BY3" i="2" s="1"/>
  <c r="BU3" i="2" a="1"/>
  <c r="BU3" i="2" s="1"/>
  <c r="BV3" i="2" s="1" a="1"/>
  <c r="BV3" i="2" s="1"/>
  <c r="BW3" i="2" a="1"/>
  <c r="BW3" i="2" s="1"/>
  <c r="BX3" i="2" a="1"/>
  <c r="BX3" i="2" s="1"/>
  <c r="BZ3" i="2" a="1"/>
  <c r="BZ3" i="2" s="1"/>
  <c r="CC3" i="2" a="1"/>
  <c r="CC3" i="2" s="1"/>
  <c r="CN3" i="2" a="1"/>
  <c r="CN3" i="2" s="1"/>
  <c r="CO3" i="2" s="1"/>
  <c r="CR3" i="2"/>
  <c r="CW3" i="2" a="1"/>
  <c r="CW3" i="2" s="1"/>
  <c r="CX3" i="2" a="1"/>
  <c r="CX3" i="2" s="1"/>
  <c r="CY3" i="2" a="1"/>
  <c r="CY3" i="2" s="1"/>
  <c r="BY4" i="2" a="1"/>
  <c r="BY4" i="2" s="1"/>
  <c r="BU4" i="2" a="1"/>
  <c r="BU4" i="2" s="1"/>
  <c r="BV4" i="2" s="1" a="1"/>
  <c r="BV4" i="2" s="1"/>
  <c r="BW4" i="2" a="1"/>
  <c r="BW4" i="2" s="1"/>
  <c r="BX4" i="2" a="1"/>
  <c r="BX4" i="2" s="1"/>
  <c r="BZ4" i="2" a="1"/>
  <c r="BZ4" i="2" s="1"/>
  <c r="CC4" i="2" a="1"/>
  <c r="CC4" i="2" s="1"/>
  <c r="CN4" i="2" a="1"/>
  <c r="CN4" i="2" s="1"/>
  <c r="CO4" i="2" s="1"/>
  <c r="CR4" i="2"/>
  <c r="CW4" i="2" a="1"/>
  <c r="CW4" i="2" s="1"/>
  <c r="CX4" i="2" a="1"/>
  <c r="CX4" i="2" s="1"/>
  <c r="CY4" i="2" a="1"/>
  <c r="CY4" i="2" s="1"/>
  <c r="BY5" i="2" a="1"/>
  <c r="BY5" i="2" s="1"/>
  <c r="BU5" i="2" a="1"/>
  <c r="BU5" i="2" s="1"/>
  <c r="BV5" i="2" s="1" a="1"/>
  <c r="BV5" i="2" s="1"/>
  <c r="BW5" i="2" a="1"/>
  <c r="BW5" i="2" s="1"/>
  <c r="BX5" i="2" a="1"/>
  <c r="BX5" i="2" s="1"/>
  <c r="BZ5" i="2" a="1"/>
  <c r="BZ5" i="2" s="1"/>
  <c r="CC5" i="2" a="1"/>
  <c r="CC5" i="2" s="1"/>
  <c r="CN5" i="2" a="1"/>
  <c r="CN5" i="2" s="1"/>
  <c r="CO5" i="2" s="1"/>
  <c r="CR5" i="2"/>
  <c r="CU5" i="2"/>
  <c r="CW5" i="2" a="1"/>
  <c r="CW5" i="2" s="1"/>
  <c r="CX5" i="2" a="1"/>
  <c r="CX5" i="2" s="1"/>
  <c r="CY5" i="2" a="1"/>
  <c r="CY5" i="2" s="1"/>
  <c r="BY6" i="2" a="1"/>
  <c r="BY6" i="2" s="1"/>
  <c r="BU6" i="2" a="1"/>
  <c r="BU6" i="2" s="1"/>
  <c r="BV6" i="2" s="1" a="1"/>
  <c r="BV6" i="2" s="1"/>
  <c r="BW6" i="2" a="1"/>
  <c r="BW6" i="2" s="1"/>
  <c r="BX6" i="2" a="1"/>
  <c r="BX6" i="2" s="1"/>
  <c r="BZ6" i="2" a="1"/>
  <c r="BZ6" i="2" s="1"/>
  <c r="CC6" i="2" a="1"/>
  <c r="CC6" i="2" s="1"/>
  <c r="CN6" i="2" a="1"/>
  <c r="CN6" i="2" s="1"/>
  <c r="CO6" i="2" s="1"/>
  <c r="CR6" i="2"/>
  <c r="CW6" i="2" a="1"/>
  <c r="CW6" i="2" s="1"/>
  <c r="CX6" i="2" a="1"/>
  <c r="CX6" i="2" s="1"/>
  <c r="CY6" i="2" a="1"/>
  <c r="CY6" i="2" s="1"/>
  <c r="BY7" i="2" a="1"/>
  <c r="BY7" i="2" s="1"/>
  <c r="BU7" i="2" a="1"/>
  <c r="BU7" i="2" s="1"/>
  <c r="BV7" i="2" s="1" a="1"/>
  <c r="BV7" i="2" s="1"/>
  <c r="BW7" i="2" a="1"/>
  <c r="BW7" i="2" s="1"/>
  <c r="BX7" i="2" a="1"/>
  <c r="BX7" i="2" s="1"/>
  <c r="BZ7" i="2" a="1"/>
  <c r="BZ7" i="2" s="1"/>
  <c r="CC7" i="2" a="1"/>
  <c r="CC7" i="2" s="1"/>
  <c r="CN7" i="2" a="1"/>
  <c r="CN7" i="2" s="1"/>
  <c r="CO7" i="2" s="1"/>
  <c r="CR7" i="2"/>
  <c r="CT7" i="2"/>
  <c r="CU7" i="2"/>
  <c r="CW7" i="2" a="1"/>
  <c r="CW7" i="2" s="1"/>
  <c r="CX7" i="2" a="1"/>
  <c r="CX7" i="2" s="1"/>
  <c r="CY7" i="2" a="1"/>
  <c r="CY7" i="2" s="1"/>
  <c r="BY8" i="2" a="1"/>
  <c r="BY8" i="2" s="1"/>
  <c r="BU8" i="2" a="1"/>
  <c r="BU8" i="2" s="1"/>
  <c r="BV8" i="2" s="1" a="1"/>
  <c r="BV8" i="2" s="1"/>
  <c r="BW8" i="2" a="1"/>
  <c r="BW8" i="2" s="1"/>
  <c r="BX8" i="2" a="1"/>
  <c r="BX8" i="2" s="1"/>
  <c r="BZ8" i="2" a="1"/>
  <c r="BZ8" i="2" s="1"/>
  <c r="CC8" i="2" a="1"/>
  <c r="CC8" i="2" s="1"/>
  <c r="CN8" i="2" a="1"/>
  <c r="CN8" i="2" s="1"/>
  <c r="CO8" i="2" s="1"/>
  <c r="CR8" i="2"/>
  <c r="CT8" i="2"/>
  <c r="CU8" i="2"/>
  <c r="CW8" i="2" a="1"/>
  <c r="CW8" i="2" s="1"/>
  <c r="CX8" i="2" a="1"/>
  <c r="CX8" i="2" s="1"/>
  <c r="CY8" i="2" a="1"/>
  <c r="CY8" i="2" s="1"/>
  <c r="BY9" i="2" a="1"/>
  <c r="BY9" i="2" s="1"/>
  <c r="BU9" i="2" a="1"/>
  <c r="BU9" i="2" s="1"/>
  <c r="BV9" i="2" s="1" a="1"/>
  <c r="BV9" i="2" s="1"/>
  <c r="BW9" i="2" a="1"/>
  <c r="BW9" i="2" s="1"/>
  <c r="BX9" i="2" a="1"/>
  <c r="BX9" i="2" s="1"/>
  <c r="BZ9" i="2" a="1"/>
  <c r="BZ9" i="2" s="1"/>
  <c r="CC9" i="2" a="1"/>
  <c r="CC9" i="2" s="1"/>
  <c r="CR9" i="2"/>
  <c r="CT9" i="2"/>
  <c r="CU9" i="2"/>
  <c r="CW9" i="2" a="1"/>
  <c r="CW9" i="2" s="1"/>
  <c r="CX9" i="2" a="1"/>
  <c r="CX9" i="2" s="1"/>
  <c r="CY9" i="2" a="1"/>
  <c r="CY9" i="2" s="1"/>
  <c r="BY10" i="2" a="1"/>
  <c r="BY10" i="2" s="1"/>
  <c r="BU10" i="2" a="1"/>
  <c r="BU10" i="2" s="1"/>
  <c r="BV10" i="2" s="1" a="1"/>
  <c r="BV10" i="2" s="1"/>
  <c r="BW10" i="2" a="1"/>
  <c r="BW10" i="2" s="1"/>
  <c r="BX10" i="2" a="1"/>
  <c r="BX10" i="2" s="1"/>
  <c r="BZ10" i="2" a="1"/>
  <c r="BZ10" i="2" s="1"/>
  <c r="CC10" i="2" a="1"/>
  <c r="CC10" i="2" s="1"/>
  <c r="CR10" i="2"/>
  <c r="CT10" i="2"/>
  <c r="CU10" i="2"/>
  <c r="CW10" i="2" a="1"/>
  <c r="CW10" i="2" s="1"/>
  <c r="CX10" i="2" a="1"/>
  <c r="CX10" i="2" s="1"/>
  <c r="CY10" i="2" a="1"/>
  <c r="CY10" i="2" s="1"/>
  <c r="BY11" i="2" a="1"/>
  <c r="BY11" i="2" s="1"/>
  <c r="BU11" i="2" a="1"/>
  <c r="BU11" i="2" s="1"/>
  <c r="BV11" i="2" s="1" a="1"/>
  <c r="BV11" i="2" s="1"/>
  <c r="BW11" i="2" a="1"/>
  <c r="BW11" i="2" s="1"/>
  <c r="BX11" i="2" a="1"/>
  <c r="BX11" i="2" s="1"/>
  <c r="BZ11" i="2" a="1"/>
  <c r="BZ11" i="2" s="1"/>
  <c r="CC11" i="2" a="1"/>
  <c r="CC11" i="2" s="1"/>
  <c r="CR11" i="2"/>
  <c r="CT11" i="2"/>
  <c r="CW11" i="2" a="1"/>
  <c r="CW11" i="2" s="1"/>
  <c r="CX11" i="2" a="1"/>
  <c r="CX11" i="2" s="1"/>
  <c r="CY11" i="2" a="1"/>
  <c r="CY11" i="2" s="1"/>
  <c r="BY12" i="2" a="1"/>
  <c r="BY12" i="2" s="1"/>
  <c r="BU12" i="2" a="1"/>
  <c r="BU12" i="2" s="1"/>
  <c r="BV12" i="2" s="1" a="1"/>
  <c r="BV12" i="2" s="1"/>
  <c r="BW12" i="2" a="1"/>
  <c r="BW12" i="2" s="1"/>
  <c r="BX12" i="2" a="1"/>
  <c r="BX12" i="2" s="1"/>
  <c r="BZ12" i="2" a="1"/>
  <c r="BZ12" i="2" s="1"/>
  <c r="CC12" i="2" a="1"/>
  <c r="CC12" i="2" s="1"/>
  <c r="CR12" i="2"/>
  <c r="CT12" i="2"/>
  <c r="CW12" i="2" a="1"/>
  <c r="CW12" i="2" s="1"/>
  <c r="CX12" i="2" a="1"/>
  <c r="CX12" i="2" s="1"/>
  <c r="CY12" i="2" a="1"/>
  <c r="CY12" i="2" s="1"/>
  <c r="BY13" i="2" a="1"/>
  <c r="BY13" i="2" s="1"/>
  <c r="BU13" i="2" a="1"/>
  <c r="BU13" i="2" s="1"/>
  <c r="BV13" i="2" s="1" a="1"/>
  <c r="BV13" i="2" s="1"/>
  <c r="BW13" i="2" a="1"/>
  <c r="BW13" i="2" s="1"/>
  <c r="BX13" i="2" a="1"/>
  <c r="BX13" i="2" s="1"/>
  <c r="BZ13" i="2" a="1"/>
  <c r="BZ13" i="2" s="1"/>
  <c r="CC13" i="2" a="1"/>
  <c r="CC13" i="2" s="1"/>
  <c r="CR13" i="2"/>
  <c r="CT13" i="2"/>
  <c r="CW13" i="2" a="1"/>
  <c r="CW13" i="2" s="1"/>
  <c r="CX13" i="2" a="1"/>
  <c r="CX13" i="2" s="1"/>
  <c r="CY13" i="2" a="1"/>
  <c r="CY13" i="2" s="1"/>
  <c r="BY14" i="2" a="1"/>
  <c r="BY14" i="2" s="1"/>
  <c r="BU14" i="2" a="1"/>
  <c r="BU14" i="2" s="1"/>
  <c r="BV14" i="2" s="1" a="1"/>
  <c r="BV14" i="2" s="1"/>
  <c r="BW14" i="2" a="1"/>
  <c r="BW14" i="2" s="1"/>
  <c r="BX14" i="2" a="1"/>
  <c r="BX14" i="2" s="1"/>
  <c r="BZ14" i="2" a="1"/>
  <c r="BZ14" i="2" s="1"/>
  <c r="CC14" i="2" a="1"/>
  <c r="CC14" i="2" s="1"/>
  <c r="CR14" i="2"/>
  <c r="CT14" i="2"/>
  <c r="CU14" i="2"/>
  <c r="CW14" i="2" a="1"/>
  <c r="CW14" i="2" s="1"/>
  <c r="CX14" i="2" a="1"/>
  <c r="CX14" i="2" s="1"/>
  <c r="CY14" i="2" a="1"/>
  <c r="CY14" i="2" s="1"/>
  <c r="AF69" i="32"/>
  <c r="AJ69" i="32"/>
  <c r="AN69" i="32"/>
  <c r="AE72" i="32"/>
  <c r="AF72" i="32" s="1"/>
  <c r="AI72" i="32"/>
  <c r="AJ72" i="32" s="1"/>
  <c r="AM72" i="32"/>
  <c r="AN72" i="32" s="1"/>
  <c r="J35" i="32"/>
  <c r="N35" i="32" a="1"/>
  <c r="N35" i="32" s="1"/>
  <c r="J36" i="32"/>
  <c r="N36" i="32" a="1"/>
  <c r="N36" i="32" s="1"/>
  <c r="J37" i="32"/>
  <c r="N37" i="32" a="1"/>
  <c r="N37" i="32" s="1"/>
  <c r="J38" i="32"/>
  <c r="Y38" i="32" s="1"/>
  <c r="N38" i="32" a="1"/>
  <c r="N38" i="32" s="1"/>
  <c r="T38" i="32"/>
  <c r="J39" i="32"/>
  <c r="N39" i="32" a="1"/>
  <c r="N39" i="32" s="1"/>
  <c r="J40" i="32"/>
  <c r="N40" i="32" a="1"/>
  <c r="N40" i="32" s="1"/>
  <c r="J41" i="32"/>
  <c r="N41" i="32" a="1"/>
  <c r="N41" i="32" s="1"/>
  <c r="J42" i="32"/>
  <c r="N42" i="32" a="1"/>
  <c r="N42" i="32" s="1"/>
  <c r="J43" i="32"/>
  <c r="Y43" i="32" s="1"/>
  <c r="N43" i="32" a="1"/>
  <c r="N43" i="32" s="1"/>
  <c r="T43" i="32"/>
  <c r="J44" i="32"/>
  <c r="N44" i="32" a="1"/>
  <c r="N44" i="32" s="1"/>
  <c r="J45" i="32"/>
  <c r="N45" i="32" a="1"/>
  <c r="N45" i="32" s="1"/>
  <c r="J46" i="32"/>
  <c r="N46" i="32" a="1"/>
  <c r="N46" i="32" s="1"/>
  <c r="AD49" i="32"/>
  <c r="AH49" i="32"/>
  <c r="AL49" i="32"/>
  <c r="AE61" i="32"/>
  <c r="AI61" i="32"/>
  <c r="AM61" i="32"/>
  <c r="AE68" i="32" a="1"/>
  <c r="AE68" i="32" s="1"/>
  <c r="AF68" i="32" s="1"/>
  <c r="AI68" i="32" a="1"/>
  <c r="AI68" i="32" s="1"/>
  <c r="AJ68" i="32" s="1"/>
  <c r="AM68" i="32" a="1"/>
  <c r="AM68" i="32" s="1"/>
  <c r="AN68" i="32" s="1"/>
  <c r="AD2" i="32"/>
  <c r="AE5" i="32"/>
  <c r="D3" i="32" s="1"/>
  <c r="E3" i="32" s="1"/>
  <c r="AI5" i="32"/>
  <c r="D9" i="32" s="1"/>
  <c r="E9" i="32" s="1"/>
  <c r="AM5" i="32"/>
  <c r="D15" i="32" s="1"/>
  <c r="E15" i="32" s="1"/>
  <c r="AE7" i="32"/>
  <c r="H3" i="32" s="1"/>
  <c r="AI7" i="32"/>
  <c r="H9" i="32" s="1"/>
  <c r="AM7" i="32"/>
  <c r="H15" i="32" s="1"/>
  <c r="AE8" i="32"/>
  <c r="AI8" i="32"/>
  <c r="AM8" i="32"/>
  <c r="AE9" i="32"/>
  <c r="O3" i="32" s="1"/>
  <c r="AI9" i="32"/>
  <c r="O9" i="32" s="1"/>
  <c r="AM9" i="32"/>
  <c r="O15" i="32" s="1"/>
  <c r="AE10" i="32"/>
  <c r="Q3" i="32" s="1"/>
  <c r="AI10" i="32"/>
  <c r="Q9" i="32" s="1"/>
  <c r="AM10" i="32"/>
  <c r="Q15" i="32" s="1"/>
  <c r="AE12" i="32"/>
  <c r="AE14" i="32" s="1" a="1"/>
  <c r="AE14" i="32" s="1"/>
  <c r="G3" i="32" s="1"/>
  <c r="AI12" i="32"/>
  <c r="AI39" i="32" s="1"/>
  <c r="AM12" i="32"/>
  <c r="AM14" i="32" s="1" a="1"/>
  <c r="AM14" i="32" s="1"/>
  <c r="G15" i="32" s="1"/>
  <c r="J21" i="32"/>
  <c r="N21" i="32" a="1"/>
  <c r="N21" i="32" s="1"/>
  <c r="J22" i="32"/>
  <c r="N22" i="32" a="1"/>
  <c r="N22" i="32" s="1"/>
  <c r="J23" i="32"/>
  <c r="N23" i="32" a="1"/>
  <c r="N23" i="32" s="1"/>
  <c r="J24" i="32"/>
  <c r="N24" i="32" a="1"/>
  <c r="N24" i="32" s="1"/>
  <c r="J25" i="32"/>
  <c r="N25" i="32" a="1"/>
  <c r="N25" i="32" s="1"/>
  <c r="J26" i="32"/>
  <c r="N26" i="32" a="1"/>
  <c r="N26" i="32" s="1"/>
  <c r="J29" i="32"/>
  <c r="Y29" i="32" s="1"/>
  <c r="N29" i="32" a="1"/>
  <c r="N29" i="32" s="1"/>
  <c r="T29" i="32"/>
  <c r="J32" i="32"/>
  <c r="N32" i="32" a="1"/>
  <c r="N32" i="32" s="1"/>
  <c r="J34" i="32"/>
  <c r="N34" i="32" a="1"/>
  <c r="N34" i="32" s="1"/>
  <c r="J39" i="9"/>
  <c r="N39" i="9" a="1"/>
  <c r="N39" i="9" s="1"/>
  <c r="J40" i="9"/>
  <c r="N40" i="9" a="1"/>
  <c r="N40" i="9" s="1"/>
  <c r="J41" i="9"/>
  <c r="N41" i="9" a="1"/>
  <c r="N41" i="9" s="1"/>
  <c r="J42" i="9"/>
  <c r="Y42" i="9" s="1"/>
  <c r="N42" i="9" a="1"/>
  <c r="N42" i="9" s="1"/>
  <c r="T42" i="9"/>
  <c r="J43" i="9"/>
  <c r="N43" i="9" a="1"/>
  <c r="N43" i="9" s="1"/>
  <c r="J44" i="9"/>
  <c r="N44" i="9" a="1"/>
  <c r="N44" i="9" s="1"/>
  <c r="J45" i="9"/>
  <c r="N45" i="9" a="1"/>
  <c r="N45" i="9" s="1"/>
  <c r="B3" i="9"/>
  <c r="D3" i="9"/>
  <c r="E3" i="9" s="1"/>
  <c r="H3" i="9"/>
  <c r="O3" i="9"/>
  <c r="Q3" i="9"/>
  <c r="J7" i="9"/>
  <c r="M7" i="9"/>
  <c r="Z7" i="9" s="1"/>
  <c r="P7" i="9"/>
  <c r="J8" i="9"/>
  <c r="K8" i="9"/>
  <c r="P8" i="9"/>
  <c r="B9" i="9"/>
  <c r="D9" i="9"/>
  <c r="E9" i="9" s="1"/>
  <c r="H9" i="9"/>
  <c r="O9" i="9"/>
  <c r="Q9" i="9"/>
  <c r="J13" i="9"/>
  <c r="M13" i="9"/>
  <c r="P13" i="9"/>
  <c r="J14" i="9"/>
  <c r="K14" i="9"/>
  <c r="P14" i="9"/>
  <c r="B15" i="9"/>
  <c r="D15" i="9"/>
  <c r="E15" i="9" s="1"/>
  <c r="H15" i="9"/>
  <c r="O15" i="9"/>
  <c r="Q15" i="9"/>
  <c r="J19" i="9"/>
  <c r="M19" i="9"/>
  <c r="P19" i="9"/>
  <c r="J20" i="9"/>
  <c r="P20" i="9"/>
  <c r="J21" i="9"/>
  <c r="N21" i="9" a="1"/>
  <c r="N21" i="9" s="1"/>
  <c r="T21" i="9"/>
  <c r="J22" i="9"/>
  <c r="N22" i="9" a="1"/>
  <c r="N22" i="9" s="1"/>
  <c r="J23" i="9"/>
  <c r="N23" i="9" a="1"/>
  <c r="N23" i="9" s="1"/>
  <c r="J24" i="9"/>
  <c r="N24" i="9" a="1"/>
  <c r="N24" i="9" s="1"/>
  <c r="J25" i="9"/>
  <c r="N25" i="9" a="1"/>
  <c r="N25" i="9" s="1"/>
  <c r="J26" i="9"/>
  <c r="N26" i="9" a="1"/>
  <c r="N26" i="9" s="1"/>
  <c r="J29" i="9"/>
  <c r="N29" i="9" a="1"/>
  <c r="N29" i="9" s="1"/>
  <c r="T29" i="9"/>
  <c r="J32" i="9"/>
  <c r="N32" i="9" a="1"/>
  <c r="N32" i="9" s="1"/>
  <c r="J34" i="9"/>
  <c r="N34" i="9" a="1"/>
  <c r="N34" i="9" s="1"/>
  <c r="J35" i="9"/>
  <c r="N35" i="9" a="1"/>
  <c r="N35" i="9" s="1"/>
  <c r="J36" i="9"/>
  <c r="N36" i="9" a="1"/>
  <c r="N36" i="9" s="1"/>
  <c r="J37" i="9"/>
  <c r="N37" i="9" a="1"/>
  <c r="N37" i="9" s="1"/>
  <c r="J38" i="9"/>
  <c r="N38" i="9" a="1"/>
  <c r="N38" i="9" s="1"/>
  <c r="T38" i="9"/>
  <c r="I3" i="32" l="1"/>
  <c r="S3" i="32" s="1" a="1"/>
  <c r="S3" i="32" s="1"/>
  <c r="I9" i="32"/>
  <c r="C3" i="32" a="1"/>
  <c r="I15" i="32"/>
  <c r="S15" i="32" s="1" a="1"/>
  <c r="S15" i="32" s="1"/>
  <c r="U15" i="32" a="1"/>
  <c r="U15" i="32" s="1"/>
  <c r="U3" i="32" a="1"/>
  <c r="U3" i="32" s="1"/>
  <c r="AP4" i="9" a="1"/>
  <c r="AP4" i="9" s="1"/>
  <c r="AP42" i="9" s="1" a="1"/>
  <c r="AP42" i="9" s="1"/>
  <c r="AP21" i="9" s="1"/>
  <c r="AH42" i="9" a="1"/>
  <c r="AH42" i="9" s="1"/>
  <c r="AH21" i="9" s="1"/>
  <c r="AL42" i="9" a="1"/>
  <c r="AL42" i="9" s="1"/>
  <c r="AL21" i="9" s="1"/>
  <c r="AQ6" i="32" a="1"/>
  <c r="AQ6" i="32" s="1"/>
  <c r="AR16" i="32" a="1"/>
  <c r="AR16" i="32" s="1"/>
  <c r="AR18" i="32" a="1"/>
  <c r="AR18" i="32" s="1"/>
  <c r="AQ12" i="32" a="1"/>
  <c r="AQ12" i="32" s="1"/>
  <c r="AP7" i="32" a="1"/>
  <c r="AP7" i="32" s="1"/>
  <c r="AQ18" i="32" a="1"/>
  <c r="AQ18" i="32" s="1"/>
  <c r="AP12" i="32" a="1"/>
  <c r="AP12" i="32" s="1"/>
  <c r="AP18" i="32" a="1"/>
  <c r="AP18" i="32" s="1"/>
  <c r="AR6" i="32" a="1"/>
  <c r="AR6" i="32" s="1"/>
  <c r="AR17" i="32" a="1"/>
  <c r="AR17" i="32" s="1"/>
  <c r="AR11" i="32" a="1"/>
  <c r="AR11" i="32" s="1"/>
  <c r="AQ17" i="32" a="1"/>
  <c r="AQ17" i="32" s="1"/>
  <c r="I3" i="9"/>
  <c r="AQ11" i="32" a="1"/>
  <c r="AQ11" i="32" s="1"/>
  <c r="AP17" i="32" a="1"/>
  <c r="AP17" i="32" s="1"/>
  <c r="AP11" i="32" a="1"/>
  <c r="AP11" i="32" s="1"/>
  <c r="AP6" i="32" a="1"/>
  <c r="AP6" i="32" s="1"/>
  <c r="AR5" i="32" a="1"/>
  <c r="AR5" i="32" s="1"/>
  <c r="AR10" i="32" a="1"/>
  <c r="AR10" i="32" s="1"/>
  <c r="AQ5" i="32" a="1"/>
  <c r="AQ5" i="32" s="1"/>
  <c r="AQ16" i="32" a="1"/>
  <c r="AQ16" i="32" s="1"/>
  <c r="AP5" i="32" a="1"/>
  <c r="AP5" i="32" s="1"/>
  <c r="AP16" i="32" a="1"/>
  <c r="AP16" i="32" s="1"/>
  <c r="AQ10" i="32" a="1"/>
  <c r="AQ10" i="32" s="1"/>
  <c r="AR15" i="32" a="1"/>
  <c r="AR15" i="32" s="1"/>
  <c r="AP10" i="32" a="1"/>
  <c r="AP10" i="32" s="1"/>
  <c r="AR4" i="32" a="1"/>
  <c r="AR4" i="32" s="1"/>
  <c r="AR9" i="32" a="1"/>
  <c r="AR9" i="32" s="1"/>
  <c r="AQ15" i="32" a="1"/>
  <c r="AQ15" i="32" s="1"/>
  <c r="AQ4" i="32" a="1"/>
  <c r="AQ4" i="32" s="1"/>
  <c r="AP15" i="32" a="1"/>
  <c r="AP15" i="32" s="1"/>
  <c r="AQ9" i="32" a="1"/>
  <c r="AQ9" i="32" s="1"/>
  <c r="AP4" i="32" a="1"/>
  <c r="AP4" i="32" s="1"/>
  <c r="AR14" i="32" a="1"/>
  <c r="AR14" i="32" s="1"/>
  <c r="AP9" i="32" a="1"/>
  <c r="AP9" i="32" s="1"/>
  <c r="AR3" i="32" a="1"/>
  <c r="AR3" i="32" s="1"/>
  <c r="AQ14" i="32" a="1"/>
  <c r="AQ14" i="32" s="1"/>
  <c r="AR8" i="32" a="1"/>
  <c r="AR8" i="32" s="1"/>
  <c r="AQ3" i="32" a="1"/>
  <c r="AQ3" i="32" s="1"/>
  <c r="AR20" i="32" a="1"/>
  <c r="AR20" i="32" s="1"/>
  <c r="AQ20" i="32" a="1"/>
  <c r="AQ20" i="32" s="1"/>
  <c r="AP14" i="32" a="1"/>
  <c r="AP14" i="32" s="1"/>
  <c r="AP3" i="32" a="1"/>
  <c r="AP3" i="32" s="1"/>
  <c r="AP20" i="32" a="1"/>
  <c r="AP20" i="32" s="1"/>
  <c r="AR13" i="32" a="1"/>
  <c r="AR13" i="32" s="1"/>
  <c r="AQ8" i="32" a="1"/>
  <c r="AQ8" i="32" s="1"/>
  <c r="I15" i="9"/>
  <c r="AR19" i="32" a="1"/>
  <c r="AR19" i="32" s="1"/>
  <c r="AQ13" i="32" a="1"/>
  <c r="AQ13" i="32" s="1"/>
  <c r="AP8" i="32" a="1"/>
  <c r="AP8" i="32" s="1"/>
  <c r="AR2" i="32" a="1"/>
  <c r="AR2" i="32" s="1"/>
  <c r="AQ19" i="32" a="1"/>
  <c r="AQ19" i="32" s="1"/>
  <c r="AP13" i="32" a="1"/>
  <c r="AP13" i="32" s="1"/>
  <c r="AR7" i="32" a="1"/>
  <c r="AR7" i="32" s="1"/>
  <c r="AQ2" i="32" a="1"/>
  <c r="AQ2" i="32" s="1"/>
  <c r="AI52" i="32" s="1" a="1"/>
  <c r="AI52" i="32" s="1"/>
  <c r="AI4" i="32" s="1"/>
  <c r="K14" i="32" s="1"/>
  <c r="AP19" i="32" a="1"/>
  <c r="AP19" i="32" s="1"/>
  <c r="AR12" i="32" a="1"/>
  <c r="AR12" i="32" s="1"/>
  <c r="AQ7" i="32" a="1"/>
  <c r="AQ7" i="32" s="1"/>
  <c r="AP2" i="32" a="1"/>
  <c r="AP2" i="32" s="1"/>
  <c r="AI14" i="32" a="1"/>
  <c r="AI14" i="32" s="1"/>
  <c r="G9" i="32" s="1"/>
  <c r="AM39" i="32"/>
  <c r="AE39" i="32"/>
  <c r="AE36" i="32"/>
  <c r="AM36" i="32"/>
  <c r="AI36" i="32"/>
  <c r="AL2" i="32"/>
  <c r="AH2" i="32"/>
  <c r="G15" i="9"/>
  <c r="I9" i="9"/>
  <c r="Z60" i="9" l="1"/>
  <c r="C3" i="32"/>
  <c r="P5" i="32"/>
  <c r="P4" i="32"/>
  <c r="J4" i="32"/>
  <c r="J5" i="32"/>
  <c r="C9" i="32" a="1"/>
  <c r="K5" i="32" a="1"/>
  <c r="K5" i="32" s="1"/>
  <c r="K4" i="32" a="1"/>
  <c r="K4" i="32" s="1"/>
  <c r="U9" i="32" a="1"/>
  <c r="U9" i="32" s="1"/>
  <c r="S9" i="32" a="1"/>
  <c r="S9" i="32" s="1"/>
  <c r="AC9" i="9"/>
  <c r="AL44" i="9"/>
  <c r="AH44" i="9"/>
  <c r="AP44" i="9"/>
  <c r="AP45" i="9"/>
  <c r="AC3" i="9"/>
  <c r="Z59" i="9" l="1"/>
  <c r="Z58" i="9"/>
  <c r="Z57" i="9"/>
  <c r="A57" i="9"/>
  <c r="C9" i="32"/>
  <c r="P11" i="32"/>
  <c r="J10" i="32"/>
  <c r="P10" i="32"/>
  <c r="J11" i="32"/>
  <c r="K10" i="32" a="1"/>
  <c r="K10" i="32" s="1"/>
  <c r="K11" i="32" a="1"/>
  <c r="K11" i="32" s="1"/>
  <c r="J3" i="32"/>
  <c r="P3" i="32"/>
  <c r="K3" i="32" a="1"/>
  <c r="K3" i="32" s="1"/>
  <c r="R3" i="32" a="1"/>
  <c r="R3" i="32" s="1"/>
  <c r="K7" i="32" a="1"/>
  <c r="K7" i="32" s="1"/>
  <c r="X7" i="32" s="1"/>
  <c r="K6" i="32" a="1"/>
  <c r="K6" i="32" s="1"/>
  <c r="X6" i="32" s="1"/>
  <c r="H393" i="1"/>
  <c r="G27" i="37"/>
  <c r="E27" i="37"/>
  <c r="D27" i="37"/>
  <c r="D24" i="37"/>
  <c r="Q23" i="37"/>
  <c r="Q24" i="37" s="1"/>
  <c r="D23" i="37"/>
  <c r="Q22" i="37"/>
  <c r="D22" i="37"/>
  <c r="B19" i="37"/>
  <c r="B18" i="37"/>
  <c r="H14" i="37"/>
  <c r="G32" i="37" s="1"/>
  <c r="R11" i="37"/>
  <c r="R10" i="37"/>
  <c r="T9" i="37"/>
  <c r="L8" i="37"/>
  <c r="Q7" i="37"/>
  <c r="R7" i="37" s="1"/>
  <c r="J3" i="37"/>
  <c r="I3" i="37"/>
  <c r="G3" i="37"/>
  <c r="A3" i="37"/>
  <c r="C4" i="37" s="1"/>
  <c r="H1" i="37"/>
  <c r="C22" i="36"/>
  <c r="E5" i="36" s="1"/>
  <c r="C21" i="36"/>
  <c r="D5" i="36" s="1"/>
  <c r="E10" i="36" s="1"/>
  <c r="C20" i="36"/>
  <c r="O10" i="36"/>
  <c r="L10" i="36"/>
  <c r="C10" i="36"/>
  <c r="A10" i="36"/>
  <c r="M5" i="36"/>
  <c r="F5" i="36"/>
  <c r="AL73" i="9" l="1" a="1"/>
  <c r="AL73" i="9" s="1"/>
  <c r="AL72" i="9" a="1"/>
  <c r="AL72" i="9" s="1"/>
  <c r="AL70" i="9" a="1"/>
  <c r="AL70" i="9" s="1"/>
  <c r="AL71" i="9" a="1"/>
  <c r="AL71" i="9" s="1"/>
  <c r="P9" i="32"/>
  <c r="J9" i="32"/>
  <c r="K12" i="32" a="1"/>
  <c r="K12" i="32" s="1"/>
  <c r="X12" i="32" s="1"/>
  <c r="K13" i="32" a="1"/>
  <c r="K13" i="32" s="1"/>
  <c r="X13" i="32" s="1"/>
  <c r="K9" i="32" a="1"/>
  <c r="K9" i="32" s="1"/>
  <c r="R9" i="32" a="1"/>
  <c r="R9" i="32" s="1"/>
  <c r="G5" i="36"/>
  <c r="D3" i="37" s="1"/>
  <c r="E9" i="37" s="1"/>
  <c r="A8" i="37"/>
  <c r="AA4" i="37"/>
  <c r="C5" i="37"/>
  <c r="H3" i="37"/>
  <c r="B10" i="36"/>
  <c r="C3" i="37"/>
  <c r="B3" i="37" s="1"/>
  <c r="L4" i="37"/>
  <c r="M4" i="37"/>
  <c r="B4" i="37"/>
  <c r="O4" i="37"/>
  <c r="C5" i="36"/>
  <c r="V57" i="9" l="1"/>
  <c r="Y57" i="9" s="1"/>
  <c r="V63" i="9"/>
  <c r="W63" i="9"/>
  <c r="AP73" i="9" s="1" a="1"/>
  <c r="AP73" i="9" s="1"/>
  <c r="AP66" i="9" s="1" a="1"/>
  <c r="AP66" i="9" s="1"/>
  <c r="E3" i="37"/>
  <c r="E10" i="37"/>
  <c r="H8" i="37"/>
  <c r="M3" i="37"/>
  <c r="N4" i="37"/>
  <c r="X3" i="37" s="1"/>
  <c r="E8" i="37"/>
  <c r="B5" i="37"/>
  <c r="N6" i="37" s="1"/>
  <c r="M5" i="37"/>
  <c r="L5" i="37"/>
  <c r="L3" i="37" s="1"/>
  <c r="V3" i="37" s="1"/>
  <c r="O5" i="37"/>
  <c r="C8" i="37"/>
  <c r="AL66" i="9" l="1" a="1"/>
  <c r="AL66" i="9" s="1"/>
  <c r="AL64" i="9" s="1"/>
  <c r="AP64" i="9"/>
  <c r="AP67" i="9"/>
  <c r="AO75" i="9"/>
  <c r="Y63" i="9"/>
  <c r="N5" i="37"/>
  <c r="K8" i="37"/>
  <c r="N3" i="37"/>
  <c r="AK75" i="9" l="1"/>
  <c r="AL77" i="9" s="1"/>
  <c r="AL80" i="9" s="1"/>
  <c r="AL67" i="9"/>
  <c r="AL65" i="9"/>
  <c r="AL68" i="9"/>
  <c r="AP76" i="9"/>
  <c r="AP95" i="9" s="1"/>
  <c r="AP77" i="9"/>
  <c r="AP80" i="9" s="1"/>
  <c r="AP65" i="9"/>
  <c r="AP68" i="9"/>
  <c r="N8" i="37"/>
  <c r="X5" i="37" s="1"/>
  <c r="AL76" i="9" l="1"/>
  <c r="AL95" i="9" s="1"/>
  <c r="AP79" i="9"/>
  <c r="AP81" i="9" s="1"/>
  <c r="AP83" i="9" s="1" a="1"/>
  <c r="AP83" i="9" s="1"/>
  <c r="AP78" i="9"/>
  <c r="AP82" i="9" s="1" a="1"/>
  <c r="AP82" i="9" s="1"/>
  <c r="L19" i="37"/>
  <c r="Q31" i="37" s="1"/>
  <c r="T7" i="37"/>
  <c r="M10" i="37"/>
  <c r="N12" i="37"/>
  <c r="Q28" i="37"/>
  <c r="X4" i="37"/>
  <c r="W4" i="37" s="1"/>
  <c r="L21" i="37"/>
  <c r="L22" i="37"/>
  <c r="F23" i="36"/>
  <c r="F22" i="36"/>
  <c r="C29" i="36" s="1"/>
  <c r="Q9" i="37"/>
  <c r="W7" i="37"/>
  <c r="AL78" i="9" l="1"/>
  <c r="AL82" i="9" s="1" a="1"/>
  <c r="AL82" i="9" s="1"/>
  <c r="AL79" i="9"/>
  <c r="AL81" i="9" s="1"/>
  <c r="AL83" i="9" s="1" a="1"/>
  <c r="AL83" i="9" s="1"/>
  <c r="M11" i="37"/>
  <c r="L18" i="37"/>
  <c r="Y10" i="37"/>
  <c r="Y5" i="37" s="1"/>
  <c r="M19" i="37"/>
  <c r="Y8" i="37"/>
  <c r="Y3" i="37" s="1"/>
  <c r="Y7" i="37"/>
  <c r="R9" i="37"/>
  <c r="S10" i="36"/>
  <c r="W5" i="37"/>
  <c r="T10" i="37"/>
  <c r="P6" i="37"/>
  <c r="P5" i="37"/>
  <c r="P3" i="37"/>
  <c r="P4" i="37"/>
  <c r="T5" i="37" l="1"/>
  <c r="Q5" i="37"/>
  <c r="R5" i="37" s="1"/>
  <c r="T6" i="37"/>
  <c r="Q6" i="37"/>
  <c r="R6" i="37" s="1"/>
  <c r="Q4" i="37"/>
  <c r="R4" i="37" s="1"/>
  <c r="T4" i="37"/>
  <c r="T11" i="37"/>
  <c r="W3" i="37"/>
  <c r="G10" i="36" l="1"/>
  <c r="H10" i="36" s="1"/>
  <c r="O3" i="37" l="1"/>
  <c r="Q3" i="37" l="1"/>
  <c r="T3" i="37"/>
  <c r="T8" i="37" s="1"/>
  <c r="T12" i="37" s="1"/>
  <c r="T13" i="37" s="1"/>
  <c r="T14" i="37" s="1"/>
  <c r="R3" i="37" l="1"/>
  <c r="Q8" i="37"/>
  <c r="Q12" i="37" l="1"/>
  <c r="R8" i="37"/>
  <c r="R12" i="37" s="1"/>
  <c r="R13" i="37" s="1"/>
  <c r="Q13" i="37"/>
  <c r="L13" i="37" s="1"/>
  <c r="I33" i="37"/>
  <c r="J33" i="37" l="1"/>
  <c r="L33" i="37" s="1"/>
  <c r="I34" i="37"/>
  <c r="K33" i="37"/>
  <c r="L15" i="37"/>
  <c r="I26" i="37"/>
  <c r="M13" i="37"/>
  <c r="L14" i="37"/>
  <c r="D10" i="36" l="1"/>
  <c r="K26" i="37"/>
  <c r="M15" i="37"/>
  <c r="J26" i="37"/>
  <c r="L26" i="37" s="1"/>
  <c r="M14" i="37"/>
  <c r="I27" i="37"/>
  <c r="K27" i="37" s="1"/>
  <c r="L16" i="37"/>
  <c r="K34" i="37"/>
  <c r="J34" i="37"/>
  <c r="L34" i="37" s="1"/>
  <c r="N16" i="37" l="1"/>
  <c r="L17" i="37"/>
  <c r="M16" i="37"/>
  <c r="J27" i="37"/>
  <c r="L27" i="37" s="1"/>
  <c r="E11" i="36"/>
  <c r="F10" i="36"/>
  <c r="M10" i="36"/>
  <c r="N10" i="36" s="1"/>
  <c r="P10" i="36" l="1"/>
  <c r="Q10" i="36" s="1"/>
  <c r="C31" i="36" s="1"/>
  <c r="D36" i="36" l="1"/>
  <c r="C34" i="36"/>
  <c r="C36" i="36"/>
  <c r="C37" i="36" s="1"/>
  <c r="C30" i="36"/>
  <c r="C32" i="36" s="1"/>
  <c r="AC15" i="9" l="1"/>
  <c r="AM52" i="32" a="1"/>
  <c r="AM52" i="32" s="1"/>
  <c r="AM4" i="32" s="1"/>
  <c r="K13" i="9" a="1"/>
  <c r="K13" i="9" s="1"/>
  <c r="X13" i="9" s="1"/>
  <c r="K7" i="9" a="1"/>
  <c r="K7" i="9" s="1"/>
  <c r="X7" i="9" s="1"/>
  <c r="C3" i="9" a="1"/>
  <c r="C9" i="9" a="1"/>
  <c r="CJ2" i="2" a="1"/>
  <c r="CJ2" i="2" s="1"/>
  <c r="CI2" i="2" a="1"/>
  <c r="CI2" i="2" s="1"/>
  <c r="N56" i="27"/>
  <c r="K56" i="27"/>
  <c r="CU13" i="2" s="1"/>
  <c r="K55" i="27"/>
  <c r="CU12" i="2" s="1"/>
  <c r="N54" i="27"/>
  <c r="K54" i="27"/>
  <c r="CU11" i="2" s="1"/>
  <c r="N52" i="27"/>
  <c r="N51" i="27"/>
  <c r="N49" i="27"/>
  <c r="J49" i="27"/>
  <c r="CT6" i="2" s="1"/>
  <c r="N48" i="27"/>
  <c r="J48" i="27"/>
  <c r="CT5" i="2" s="1"/>
  <c r="N47" i="27"/>
  <c r="J47" i="27"/>
  <c r="CT4" i="2" s="1"/>
  <c r="N46" i="27"/>
  <c r="J46" i="27"/>
  <c r="CT3" i="2" s="1"/>
  <c r="N45" i="27"/>
  <c r="J45" i="27"/>
  <c r="CT2" i="2" s="1"/>
  <c r="I42" i="27"/>
  <c r="I41" i="27"/>
  <c r="L40" i="27"/>
  <c r="E39" i="27"/>
  <c r="G32" i="27"/>
  <c r="D24" i="27"/>
  <c r="D23" i="27"/>
  <c r="D22" i="27"/>
  <c r="B19" i="27"/>
  <c r="B18" i="27"/>
  <c r="B14" i="27"/>
  <c r="D12" i="27"/>
  <c r="Q11" i="27"/>
  <c r="R11" i="27" s="1"/>
  <c r="T10" i="27"/>
  <c r="Q9" i="27"/>
  <c r="R9" i="27" s="1"/>
  <c r="L8" i="27"/>
  <c r="Q7" i="27"/>
  <c r="R7" i="27" s="1"/>
  <c r="J3" i="27"/>
  <c r="I3" i="27"/>
  <c r="T11" i="27" s="1"/>
  <c r="G3" i="27"/>
  <c r="C3" i="27"/>
  <c r="B3" i="27" s="1"/>
  <c r="A3" i="27"/>
  <c r="C5" i="27" s="1"/>
  <c r="B5" i="27" s="1"/>
  <c r="H1" i="27"/>
  <c r="G1" i="27"/>
  <c r="K20" i="32" l="1"/>
  <c r="C15" i="32" a="1"/>
  <c r="C9" i="9"/>
  <c r="J11" i="9"/>
  <c r="P12" i="9"/>
  <c r="J10" i="9"/>
  <c r="K10" i="9" a="1"/>
  <c r="K10" i="9" s="1"/>
  <c r="P11" i="9"/>
  <c r="P10" i="9"/>
  <c r="J12" i="9"/>
  <c r="K11" i="9" a="1"/>
  <c r="K11" i="9" s="1"/>
  <c r="K12" i="9" a="1"/>
  <c r="K12" i="9" s="1"/>
  <c r="C3" i="9"/>
  <c r="J4" i="9"/>
  <c r="P4" i="9"/>
  <c r="P6" i="9"/>
  <c r="P5" i="9"/>
  <c r="K6" i="9" a="1"/>
  <c r="K6" i="9" s="1"/>
  <c r="J6" i="9"/>
  <c r="J5" i="9"/>
  <c r="K4" i="9" a="1"/>
  <c r="K4" i="9" s="1"/>
  <c r="K5" i="9" a="1"/>
  <c r="K5" i="9" s="1"/>
  <c r="C15" i="9" a="1"/>
  <c r="K20" i="9"/>
  <c r="K19" i="9" a="1"/>
  <c r="K19" i="9" s="1"/>
  <c r="X19" i="9" s="1"/>
  <c r="L54" i="27"/>
  <c r="L55" i="27"/>
  <c r="L56" i="27"/>
  <c r="H3" i="27"/>
  <c r="M3" i="27"/>
  <c r="A8" i="27"/>
  <c r="C4" i="27"/>
  <c r="M4" i="27" s="1"/>
  <c r="AA4" i="27"/>
  <c r="Y3" i="27"/>
  <c r="P5" i="27"/>
  <c r="F10" i="27"/>
  <c r="L5" i="27"/>
  <c r="M5" i="27"/>
  <c r="F3" i="27"/>
  <c r="D3" i="27"/>
  <c r="C15" i="32" l="1"/>
  <c r="J16" i="32"/>
  <c r="P16" i="32"/>
  <c r="P17" i="32"/>
  <c r="J17" i="32"/>
  <c r="K18" i="9" a="1"/>
  <c r="K18" i="9" s="1"/>
  <c r="K16" i="9" a="1"/>
  <c r="K16" i="9" s="1"/>
  <c r="K17" i="9" a="1"/>
  <c r="K17" i="9" s="1"/>
  <c r="J3" i="9"/>
  <c r="G21" i="9" s="1"/>
  <c r="P3" i="9"/>
  <c r="K3" i="9" a="1"/>
  <c r="K3" i="9" s="1"/>
  <c r="C15" i="9"/>
  <c r="J17" i="9"/>
  <c r="P16" i="9"/>
  <c r="P17" i="9"/>
  <c r="P18" i="9"/>
  <c r="J16" i="9"/>
  <c r="J18" i="9"/>
  <c r="K9" i="9" a="1"/>
  <c r="K9" i="9" s="1"/>
  <c r="P9" i="9"/>
  <c r="J9" i="9"/>
  <c r="B4" i="27"/>
  <c r="E8" i="27"/>
  <c r="L4" i="27" a="1"/>
  <c r="L4" i="27" s="1"/>
  <c r="L3" i="27" s="1"/>
  <c r="C8" i="27"/>
  <c r="K5" i="27"/>
  <c r="N5" i="27" s="1"/>
  <c r="E10" i="27"/>
  <c r="E9" i="27"/>
  <c r="K4" i="27"/>
  <c r="E3" i="27" s="1"/>
  <c r="S3" i="9" l="1" a="1"/>
  <c r="S3" i="9" s="1"/>
  <c r="U3" i="9" a="1"/>
  <c r="U3" i="9" s="1"/>
  <c r="U9" i="9" a="1"/>
  <c r="U9" i="9" s="1"/>
  <c r="S9" i="9" a="1"/>
  <c r="S9" i="9" s="1"/>
  <c r="P15" i="32"/>
  <c r="J15" i="32"/>
  <c r="R15" i="32" a="1"/>
  <c r="R15" i="32" s="1"/>
  <c r="K17" i="32" a="1"/>
  <c r="K17" i="32" s="1"/>
  <c r="K16" i="32" a="1"/>
  <c r="K16" i="32" s="1"/>
  <c r="K19" i="32" a="1"/>
  <c r="K19" i="32" s="1"/>
  <c r="X19" i="32" s="1"/>
  <c r="K18" i="32" a="1"/>
  <c r="K18" i="32" s="1"/>
  <c r="X18" i="32" s="1"/>
  <c r="K15" i="32" a="1"/>
  <c r="K15" i="32" s="1"/>
  <c r="J15" i="9"/>
  <c r="S15" i="9" s="1" a="1"/>
  <c r="S15" i="9" s="1"/>
  <c r="P15" i="9"/>
  <c r="K15" i="9" a="1"/>
  <c r="K15" i="9" s="1"/>
  <c r="G21" i="32"/>
  <c r="K3" i="27"/>
  <c r="N3" i="27" s="1"/>
  <c r="N4" i="27"/>
  <c r="K21" i="32" l="1"/>
  <c r="T21" i="32" s="1"/>
  <c r="U15" i="9" a="1"/>
  <c r="U15" i="9" s="1"/>
  <c r="R15" i="9" a="1"/>
  <c r="R15" i="9" s="1"/>
  <c r="X3" i="27"/>
  <c r="W3" i="27" s="1"/>
  <c r="K8" i="27"/>
  <c r="L9" i="27"/>
  <c r="Q22" i="27"/>
  <c r="O4" i="27"/>
  <c r="N6" i="27"/>
  <c r="H8" i="27"/>
  <c r="X19" i="27" l="1"/>
  <c r="X16" i="27"/>
  <c r="X20" i="27"/>
  <c r="Y20" i="27" s="1"/>
  <c r="X18" i="27"/>
  <c r="X17" i="27"/>
  <c r="Q18" i="27"/>
  <c r="Q17" i="27"/>
  <c r="N8" i="27"/>
  <c r="X21" i="27" l="1"/>
  <c r="X5" i="27"/>
  <c r="W5" i="27" s="1"/>
  <c r="Q10" i="27" s="1"/>
  <c r="R10" i="27" s="1"/>
  <c r="K47" i="27"/>
  <c r="CU4" i="2" s="1"/>
  <c r="E38" i="27"/>
  <c r="L19" i="27"/>
  <c r="K45" i="27"/>
  <c r="CU2" i="2" s="1"/>
  <c r="N12" i="27"/>
  <c r="T7" i="27"/>
  <c r="L21" i="27"/>
  <c r="L22" i="27"/>
  <c r="Q26" i="27"/>
  <c r="L20" i="27"/>
  <c r="K46" i="27"/>
  <c r="CU3" i="2" s="1"/>
  <c r="K49" i="27"/>
  <c r="CU6" i="2" s="1"/>
  <c r="X4" i="27"/>
  <c r="Q32" i="27" l="1"/>
  <c r="O49" i="27"/>
  <c r="E40" i="27"/>
  <c r="M19" i="27"/>
  <c r="L18" i="27"/>
  <c r="Y10" i="27"/>
  <c r="Y4" i="27" s="1"/>
  <c r="T9" i="27" l="1"/>
  <c r="Y23" i="27" s="1"/>
  <c r="W4" i="27"/>
  <c r="P3" i="27"/>
  <c r="P6" i="27"/>
  <c r="P4" i="27"/>
  <c r="T4" i="27" l="1"/>
  <c r="Q4" i="27"/>
  <c r="R4" i="27" s="1"/>
  <c r="Y17" i="27"/>
  <c r="T6" i="27"/>
  <c r="Q6" i="27"/>
  <c r="R6" i="27" s="1"/>
  <c r="Y19" i="27"/>
  <c r="I18" i="16" l="1"/>
  <c r="A3" i="4" l="1" a="1"/>
  <c r="A3" i="4" s="1"/>
  <c r="B3" i="4" a="1"/>
  <c r="B3" i="4" s="1"/>
  <c r="C3" i="4" a="1"/>
  <c r="C3" i="4" s="1"/>
  <c r="D3" i="4" a="1"/>
  <c r="D3" i="4" s="1"/>
  <c r="R3" i="4" a="1"/>
  <c r="R3" i="4" s="1"/>
  <c r="X3" i="4" a="1"/>
  <c r="X3" i="4" s="1"/>
  <c r="Y3" i="4" s="1"/>
  <c r="A4" i="4" a="1"/>
  <c r="A4" i="4" s="1"/>
  <c r="B4" i="4" a="1"/>
  <c r="B4" i="4" s="1"/>
  <c r="C4" i="4" a="1"/>
  <c r="C4" i="4" s="1"/>
  <c r="D4" i="4" a="1"/>
  <c r="D4" i="4" s="1"/>
  <c r="F4" i="4" a="1"/>
  <c r="F4" i="4" s="1"/>
  <c r="R4" i="4" a="1"/>
  <c r="R4" i="4" s="1"/>
  <c r="X4" i="4" a="1"/>
  <c r="X4" i="4" s="1"/>
  <c r="Y4" i="4" s="1"/>
  <c r="A5" i="4" a="1"/>
  <c r="A5" i="4" s="1"/>
  <c r="B5" i="4" a="1"/>
  <c r="B5" i="4" s="1"/>
  <c r="C5" i="4" a="1"/>
  <c r="C5" i="4" s="1"/>
  <c r="D5" i="4" a="1"/>
  <c r="D5" i="4" s="1"/>
  <c r="F5" i="4" a="1"/>
  <c r="F5" i="4" s="1"/>
  <c r="R5" i="4" a="1"/>
  <c r="R5" i="4" s="1"/>
  <c r="X5" i="4" a="1"/>
  <c r="X5" i="4" s="1"/>
  <c r="Y5" i="4" s="1"/>
  <c r="A6" i="4" a="1"/>
  <c r="A6" i="4" s="1"/>
  <c r="B6" i="4" a="1"/>
  <c r="B6" i="4" s="1"/>
  <c r="C6" i="4" a="1"/>
  <c r="C6" i="4" s="1"/>
  <c r="D6" i="4" a="1"/>
  <c r="D6" i="4" s="1"/>
  <c r="F6" i="4" a="1"/>
  <c r="F6" i="4" s="1"/>
  <c r="R6" i="4" a="1"/>
  <c r="R6" i="4" s="1"/>
  <c r="X6" i="4" a="1"/>
  <c r="X6" i="4" s="1"/>
  <c r="Y6" i="4" s="1"/>
  <c r="A7" i="4" a="1"/>
  <c r="A7" i="4" s="1"/>
  <c r="B7" i="4" a="1"/>
  <c r="B7" i="4" s="1"/>
  <c r="C7" i="4" a="1"/>
  <c r="C7" i="4" s="1"/>
  <c r="D7" i="4" a="1"/>
  <c r="D7" i="4" s="1"/>
  <c r="F7" i="4" a="1"/>
  <c r="F7" i="4" s="1"/>
  <c r="R7" i="4" a="1"/>
  <c r="R7" i="4" s="1"/>
  <c r="X7" i="4" a="1"/>
  <c r="X7" i="4" s="1"/>
  <c r="A8" i="4" a="1"/>
  <c r="A8" i="4" s="1"/>
  <c r="B8" i="4" a="1"/>
  <c r="B8" i="4" s="1"/>
  <c r="C8" i="4" a="1"/>
  <c r="C8" i="4" s="1"/>
  <c r="D8" i="4" a="1"/>
  <c r="D8" i="4" s="1"/>
  <c r="F8" i="4" a="1"/>
  <c r="F8" i="4" s="1"/>
  <c r="R8" i="4" a="1"/>
  <c r="R8" i="4" s="1"/>
  <c r="X8" i="4" a="1"/>
  <c r="X8" i="4" s="1"/>
  <c r="W4" i="4" l="1"/>
  <c r="I5" i="4"/>
  <c r="N5" i="4" s="1"/>
  <c r="W7" i="4"/>
  <c r="H5" i="4"/>
  <c r="AP25" i="4" s="1"/>
  <c r="W6" i="4"/>
  <c r="W5" i="4"/>
  <c r="I7" i="4"/>
  <c r="N7" i="4" s="1"/>
  <c r="H4" i="4"/>
  <c r="AL25" i="4" s="1"/>
  <c r="H7" i="4"/>
  <c r="Y7" i="4"/>
  <c r="W8" i="4"/>
  <c r="I8" i="4"/>
  <c r="H8" i="4"/>
  <c r="BB25" i="4" s="1"/>
  <c r="H3" i="4"/>
  <c r="I6" i="4"/>
  <c r="H6" i="4"/>
  <c r="I4" i="4"/>
  <c r="AX25" i="4" l="1"/>
  <c r="AX9" i="4"/>
  <c r="F3" i="4" a="1"/>
  <c r="F3" i="4" s="1"/>
  <c r="I3" i="4" s="1"/>
  <c r="K3" i="4" s="1"/>
  <c r="AH25" i="4"/>
  <c r="AT9" i="4"/>
  <c r="AT25" i="4"/>
  <c r="K7" i="4"/>
  <c r="K5" i="4"/>
  <c r="K4" i="4"/>
  <c r="N4" i="4"/>
  <c r="K8" i="4"/>
  <c r="Y8" i="4"/>
  <c r="N8" i="4"/>
  <c r="N6" i="4"/>
  <c r="K6" i="4"/>
  <c r="W3" i="4" l="1"/>
  <c r="N3" i="4"/>
  <c r="AG23" i="4"/>
  <c r="AK23" i="4"/>
  <c r="AO23" i="4"/>
  <c r="AS23" i="4"/>
  <c r="AW23" i="4"/>
  <c r="BA23" i="4"/>
  <c r="AL9" i="4" l="1"/>
  <c r="G4" i="4" s="1" a="1"/>
  <c r="G4" i="4" s="1"/>
  <c r="E4" i="4" l="1"/>
  <c r="R5" i="5" l="1"/>
  <c r="R6" i="5"/>
  <c r="R7" i="5"/>
  <c r="R8" i="5"/>
  <c r="R9" i="5"/>
  <c r="R10" i="5"/>
  <c r="R11" i="5"/>
  <c r="R12" i="5"/>
  <c r="R13" i="5"/>
  <c r="R14" i="5"/>
  <c r="D13" i="16" l="1"/>
  <c r="E13" i="16"/>
  <c r="F13" i="16"/>
  <c r="G13" i="16"/>
  <c r="H13" i="16"/>
  <c r="I13" i="16"/>
  <c r="J13" i="16"/>
  <c r="K13" i="16"/>
  <c r="D14" i="16"/>
  <c r="E14" i="16"/>
  <c r="F14" i="16"/>
  <c r="G14" i="16"/>
  <c r="H14" i="16"/>
  <c r="I14" i="16"/>
  <c r="J14" i="16"/>
  <c r="K14" i="16"/>
  <c r="D15" i="16"/>
  <c r="E15" i="16"/>
  <c r="F15" i="16"/>
  <c r="G15" i="16"/>
  <c r="H15" i="16"/>
  <c r="I15" i="16"/>
  <c r="J15" i="16"/>
  <c r="K15" i="16"/>
  <c r="D16" i="16"/>
  <c r="E16" i="16"/>
  <c r="F16" i="16"/>
  <c r="G16" i="16"/>
  <c r="H16" i="16"/>
  <c r="I16" i="16"/>
  <c r="J16" i="16"/>
  <c r="K16" i="16"/>
  <c r="D17" i="16"/>
  <c r="E17" i="16"/>
  <c r="F17" i="16"/>
  <c r="G17" i="16"/>
  <c r="H17" i="16"/>
  <c r="I17" i="16"/>
  <c r="J17" i="16"/>
  <c r="K17" i="16"/>
  <c r="D18" i="16"/>
  <c r="E18" i="16"/>
  <c r="F18" i="16"/>
  <c r="G18" i="16"/>
  <c r="H18" i="16"/>
  <c r="J18" i="16"/>
  <c r="K18" i="16"/>
  <c r="D19" i="16"/>
  <c r="E19" i="16"/>
  <c r="F19" i="16"/>
  <c r="G19" i="16"/>
  <c r="H19" i="16"/>
  <c r="I19" i="16"/>
  <c r="J19" i="16"/>
  <c r="K19" i="16"/>
  <c r="D20" i="16"/>
  <c r="E20" i="16"/>
  <c r="F20" i="16"/>
  <c r="G20" i="16"/>
  <c r="H20" i="16"/>
  <c r="I20" i="16"/>
  <c r="J20" i="16"/>
  <c r="K20" i="16"/>
  <c r="D21" i="16"/>
  <c r="E21" i="16"/>
  <c r="F21" i="16"/>
  <c r="G21" i="16"/>
  <c r="H21" i="16"/>
  <c r="I21" i="16"/>
  <c r="J21" i="16"/>
  <c r="K21" i="16"/>
  <c r="D22" i="16"/>
  <c r="E22" i="16"/>
  <c r="F22" i="16"/>
  <c r="G22" i="16"/>
  <c r="H22" i="16"/>
  <c r="I22" i="16"/>
  <c r="J22" i="16"/>
  <c r="K22" i="16"/>
  <c r="J38" i="17"/>
  <c r="I38" i="17"/>
  <c r="H38" i="17"/>
  <c r="G38" i="17"/>
  <c r="F38" i="17"/>
  <c r="E38" i="17"/>
  <c r="D38" i="17"/>
  <c r="J37" i="17"/>
  <c r="I37" i="17"/>
  <c r="H37" i="17"/>
  <c r="G37" i="17"/>
  <c r="F37" i="17"/>
  <c r="E37" i="17"/>
  <c r="D37" i="17"/>
  <c r="J36" i="17"/>
  <c r="I36" i="17"/>
  <c r="H36" i="17"/>
  <c r="G36" i="17"/>
  <c r="F36" i="17"/>
  <c r="E36" i="17"/>
  <c r="D36" i="17"/>
  <c r="J35" i="17"/>
  <c r="I35" i="17"/>
  <c r="H35" i="17"/>
  <c r="G35" i="17"/>
  <c r="F35" i="17"/>
  <c r="E35" i="17"/>
  <c r="D35" i="17"/>
  <c r="J34" i="17"/>
  <c r="I34" i="17"/>
  <c r="H34" i="17"/>
  <c r="G34" i="17"/>
  <c r="F34" i="17"/>
  <c r="E34" i="17"/>
  <c r="D34" i="17"/>
  <c r="J33" i="17"/>
  <c r="I33" i="17"/>
  <c r="H33" i="17"/>
  <c r="G33" i="17"/>
  <c r="F33" i="17"/>
  <c r="E33" i="17"/>
  <c r="D33" i="17"/>
  <c r="J32" i="17"/>
  <c r="I32" i="17"/>
  <c r="H32" i="17"/>
  <c r="G32" i="17"/>
  <c r="F32" i="17"/>
  <c r="E32" i="17"/>
  <c r="D32" i="17"/>
  <c r="J31" i="17"/>
  <c r="I31" i="17"/>
  <c r="H31" i="17"/>
  <c r="G31" i="17"/>
  <c r="F31" i="17"/>
  <c r="E31" i="17"/>
  <c r="D31" i="17"/>
  <c r="J30" i="17"/>
  <c r="I30" i="17"/>
  <c r="H30" i="17"/>
  <c r="G30" i="17"/>
  <c r="F30" i="17"/>
  <c r="E30" i="17"/>
  <c r="D30" i="17"/>
  <c r="J29" i="17"/>
  <c r="I29" i="17"/>
  <c r="H29" i="17"/>
  <c r="G29" i="17"/>
  <c r="F29" i="17"/>
  <c r="E29" i="17"/>
  <c r="D29" i="17"/>
  <c r="J28" i="17"/>
  <c r="I28" i="17"/>
  <c r="H28" i="17"/>
  <c r="G28" i="17"/>
  <c r="F28" i="17"/>
  <c r="E28" i="17"/>
  <c r="D28" i="17"/>
  <c r="J27" i="17"/>
  <c r="I27" i="17"/>
  <c r="H27" i="17"/>
  <c r="G27" i="17"/>
  <c r="F27" i="17"/>
  <c r="E27" i="17"/>
  <c r="D27" i="17"/>
  <c r="J26" i="17"/>
  <c r="I26" i="17"/>
  <c r="H26" i="17"/>
  <c r="G26" i="17"/>
  <c r="F26" i="17"/>
  <c r="E26" i="17"/>
  <c r="D26" i="17"/>
  <c r="J25" i="17"/>
  <c r="I25" i="17"/>
  <c r="H25" i="17"/>
  <c r="G25" i="17"/>
  <c r="F25" i="17"/>
  <c r="E25" i="17"/>
  <c r="D25" i="17"/>
  <c r="J24" i="17"/>
  <c r="I24" i="17"/>
  <c r="H24" i="17"/>
  <c r="G24" i="17"/>
  <c r="F24" i="17"/>
  <c r="E24" i="17"/>
  <c r="D24" i="17"/>
  <c r="J23" i="17"/>
  <c r="I23" i="17"/>
  <c r="H23" i="17"/>
  <c r="G23" i="17"/>
  <c r="F23" i="17"/>
  <c r="E23" i="17"/>
  <c r="D23" i="17"/>
  <c r="J22" i="17"/>
  <c r="I22" i="17"/>
  <c r="H22" i="17"/>
  <c r="G22" i="17"/>
  <c r="F22" i="17"/>
  <c r="E22" i="17"/>
  <c r="D22" i="17"/>
  <c r="J21" i="17"/>
  <c r="I21" i="17"/>
  <c r="H21" i="17"/>
  <c r="G21" i="17"/>
  <c r="F21" i="17"/>
  <c r="E21" i="17"/>
  <c r="D21" i="17"/>
  <c r="C44" i="13" l="1"/>
  <c r="C43" i="13"/>
  <c r="C42" i="13"/>
  <c r="C41" i="13"/>
  <c r="C40" i="13"/>
  <c r="C39" i="13"/>
  <c r="C38" i="13"/>
  <c r="C37" i="13"/>
  <c r="C36" i="13"/>
  <c r="C35" i="13"/>
  <c r="C33" i="13"/>
  <c r="C34" i="13"/>
  <c r="L6" i="5" l="1"/>
  <c r="L7" i="5"/>
  <c r="L8" i="5"/>
  <c r="L9" i="5"/>
  <c r="L10" i="5"/>
  <c r="L11" i="5"/>
  <c r="L12" i="5"/>
  <c r="L13" i="5"/>
  <c r="L14" i="5"/>
  <c r="L5" i="5"/>
  <c r="Y6" i="5"/>
  <c r="Y7" i="5"/>
  <c r="Y8" i="5"/>
  <c r="Y9" i="5"/>
  <c r="Y10" i="5"/>
  <c r="Y11" i="5"/>
  <c r="Y12" i="5"/>
  <c r="Y13" i="5"/>
  <c r="Y14" i="5"/>
  <c r="Y5" i="5"/>
  <c r="D2" i="1" l="1"/>
  <c r="W14" i="5"/>
  <c r="X14" i="5" s="1"/>
  <c r="W13" i="5"/>
  <c r="X13" i="5" s="1"/>
  <c r="W12" i="5"/>
  <c r="X12" i="5" s="1"/>
  <c r="W11" i="5"/>
  <c r="X11" i="5" s="1"/>
  <c r="W10" i="5"/>
  <c r="X10" i="5" s="1"/>
  <c r="W9" i="5"/>
  <c r="X9" i="5" s="1"/>
  <c r="W8" i="5"/>
  <c r="X8" i="5" s="1"/>
  <c r="W7" i="5"/>
  <c r="X7" i="5" s="1"/>
  <c r="W6" i="5"/>
  <c r="X6" i="5" s="1"/>
  <c r="T5" i="5"/>
  <c r="AA5" i="5"/>
  <c r="AA14" i="5"/>
  <c r="AA13" i="5"/>
  <c r="AA12" i="5"/>
  <c r="AA11" i="5"/>
  <c r="AA10" i="5"/>
  <c r="AA9" i="5"/>
  <c r="AA8" i="5"/>
  <c r="AA7" i="5"/>
  <c r="AA6" i="5"/>
  <c r="N14" i="5"/>
  <c r="N13" i="5"/>
  <c r="N12" i="5"/>
  <c r="N11" i="5"/>
  <c r="N10" i="5"/>
  <c r="N9" i="5"/>
  <c r="N8" i="5"/>
  <c r="N7" i="5"/>
  <c r="N6" i="5"/>
  <c r="N5" i="5"/>
  <c r="O13" i="5" l="1"/>
  <c r="O14" i="5"/>
  <c r="O6" i="5"/>
  <c r="O7" i="5"/>
  <c r="O8" i="5"/>
  <c r="O9" i="5"/>
  <c r="O10" i="5"/>
  <c r="O11" i="5"/>
  <c r="O12" i="5"/>
  <c r="W5" i="5"/>
  <c r="X5" i="5" s="1"/>
  <c r="O5" i="5"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M15" i="1" l="1" a="1"/>
  <c r="M15" i="1" s="1"/>
  <c r="M387" i="1" a="1"/>
  <c r="M387" i="1" s="1"/>
  <c r="M5" i="1" a="1"/>
  <c r="M5" i="1" s="1"/>
  <c r="M318" i="1" a="1"/>
  <c r="M318" i="1" s="1"/>
  <c r="M47" i="1" a="1"/>
  <c r="M47" i="1" s="1"/>
  <c r="L17" i="1" a="1"/>
  <c r="L17" i="1" s="1"/>
  <c r="M196" i="1" a="1"/>
  <c r="M196" i="1" s="1"/>
  <c r="L353" i="1" a="1"/>
  <c r="L353" i="1" s="1"/>
  <c r="M98" i="1" a="1"/>
  <c r="M98" i="1" s="1"/>
  <c r="L240" i="1" a="1"/>
  <c r="L240" i="1" s="1"/>
  <c r="L23" i="1" a="1"/>
  <c r="L23" i="1" s="1"/>
  <c r="M161" i="1" a="1"/>
  <c r="M161" i="1" s="1"/>
  <c r="L196" i="1" a="1"/>
  <c r="L196" i="1" s="1"/>
  <c r="L106" i="1" a="1"/>
  <c r="L106" i="1" s="1"/>
  <c r="L78" i="1" a="1"/>
  <c r="L78" i="1" s="1"/>
  <c r="L287" i="1" a="1"/>
  <c r="L287" i="1" s="1"/>
  <c r="L171" i="1" a="1"/>
  <c r="L171" i="1" s="1"/>
  <c r="L172" i="1" a="1"/>
  <c r="L172" i="1" s="1"/>
  <c r="L145" i="1" a="1"/>
  <c r="L145" i="1" s="1"/>
  <c r="L59" i="1" a="1"/>
  <c r="L59" i="1" s="1"/>
  <c r="M273" i="1" a="1"/>
  <c r="M273" i="1" s="1"/>
  <c r="M266" i="1" a="1"/>
  <c r="M266" i="1" s="1"/>
  <c r="M152" i="1" a="1"/>
  <c r="M152" i="1" s="1"/>
  <c r="M45" i="1" a="1"/>
  <c r="M45" i="1" s="1"/>
  <c r="M101" i="1" a="1"/>
  <c r="M101" i="1" s="1"/>
  <c r="L350" i="1" a="1"/>
  <c r="L350" i="1" s="1"/>
  <c r="M187" i="1" a="1"/>
  <c r="M187" i="1" s="1"/>
  <c r="M81" i="1" a="1"/>
  <c r="M81" i="1" s="1"/>
  <c r="L157" i="1" a="1"/>
  <c r="L157" i="1" s="1"/>
  <c r="L9" i="1" a="1"/>
  <c r="L9" i="1" s="1"/>
  <c r="L136" i="1" a="1"/>
  <c r="L136" i="1" s="1"/>
  <c r="M371" i="1" a="1"/>
  <c r="M371" i="1" s="1"/>
  <c r="M222" i="1" a="1"/>
  <c r="M222" i="1" s="1"/>
  <c r="M368" i="1" a="1"/>
  <c r="M368" i="1" s="1"/>
  <c r="L189" i="1" a="1"/>
  <c r="L189" i="1" s="1"/>
  <c r="M334" i="1" a="1"/>
  <c r="M334" i="1" s="1"/>
  <c r="M16" i="1" a="1"/>
  <c r="M16" i="1" s="1"/>
  <c r="M7" i="1" a="1"/>
  <c r="M7" i="1" s="1"/>
  <c r="M13" i="1" a="1"/>
  <c r="M13" i="1" s="1"/>
  <c r="M258" i="1" a="1"/>
  <c r="M258" i="1" s="1"/>
  <c r="M138" i="1" a="1"/>
  <c r="M138" i="1" s="1"/>
  <c r="L71" i="1" a="1"/>
  <c r="L71" i="1" s="1"/>
  <c r="L253" i="1" a="1"/>
  <c r="L253" i="1" s="1"/>
  <c r="M66" i="1" a="1"/>
  <c r="M66" i="1" s="1"/>
  <c r="L229" i="1" a="1"/>
  <c r="L229" i="1" s="1"/>
  <c r="L202" i="1" a="1"/>
  <c r="L202" i="1" s="1"/>
  <c r="L2" i="1" a="1"/>
  <c r="L2" i="1" s="1"/>
  <c r="M210" i="1" a="1"/>
  <c r="M210" i="1" s="1"/>
  <c r="M154" i="1" a="1"/>
  <c r="M154" i="1" s="1"/>
  <c r="M297" i="1" a="1"/>
  <c r="M297" i="1" s="1"/>
  <c r="L311" i="1" a="1"/>
  <c r="L311" i="1" s="1"/>
  <c r="L64" i="1" a="1"/>
  <c r="L64" i="1" s="1"/>
  <c r="L363" i="1" a="1"/>
  <c r="L363" i="1" s="1"/>
  <c r="M306" i="1" a="1"/>
  <c r="M306" i="1" s="1"/>
  <c r="M33" i="1" a="1"/>
  <c r="M33" i="1" s="1"/>
  <c r="M8" i="1" a="1"/>
  <c r="M8" i="1" s="1"/>
  <c r="M31" i="1" a="1"/>
  <c r="M31" i="1" s="1"/>
  <c r="M278" i="1" a="1"/>
  <c r="M278" i="1" s="1"/>
  <c r="M158" i="1" a="1"/>
  <c r="M158" i="1" s="1"/>
  <c r="L95" i="1" a="1"/>
  <c r="L95" i="1" s="1"/>
  <c r="L281" i="1" a="1"/>
  <c r="L281" i="1" s="1"/>
  <c r="M90" i="1" a="1"/>
  <c r="M90" i="1" s="1"/>
  <c r="L257" i="1" a="1"/>
  <c r="L257" i="1" s="1"/>
  <c r="L231" i="1" a="1"/>
  <c r="L231" i="1" s="1"/>
  <c r="L61" i="1" a="1"/>
  <c r="L61" i="1" s="1"/>
  <c r="M153" i="1" a="1"/>
  <c r="M153" i="1" s="1"/>
  <c r="M74" i="1" a="1"/>
  <c r="M74" i="1" s="1"/>
  <c r="M247" i="1" a="1"/>
  <c r="M247" i="1" s="1"/>
  <c r="L277" i="1" a="1"/>
  <c r="L277" i="1" s="1"/>
  <c r="L183" i="1" a="1"/>
  <c r="L183" i="1" s="1"/>
  <c r="L247" i="1" a="1"/>
  <c r="L247" i="1" s="1"/>
  <c r="L62" i="1" a="1"/>
  <c r="L62" i="1" s="1"/>
  <c r="L85" i="1" a="1"/>
  <c r="L85" i="1" s="1"/>
  <c r="L8" i="1" a="1"/>
  <c r="L8" i="1" s="1"/>
  <c r="L114" i="1" a="1"/>
  <c r="L114" i="1" s="1"/>
  <c r="M136" i="1" a="1"/>
  <c r="M136" i="1" s="1"/>
  <c r="L334" i="1" a="1"/>
  <c r="L334" i="1" s="1"/>
  <c r="M263" i="1" a="1"/>
  <c r="M263" i="1" s="1"/>
  <c r="L225" i="1" a="1"/>
  <c r="L225" i="1" s="1"/>
  <c r="M40" i="1" a="1"/>
  <c r="M40" i="1" s="1"/>
  <c r="L291" i="1" a="1"/>
  <c r="L291" i="1" s="1"/>
  <c r="L299" i="1" a="1"/>
  <c r="L299" i="1" s="1"/>
  <c r="M379" i="1" a="1"/>
  <c r="M379" i="1" s="1"/>
  <c r="M268" i="1" a="1"/>
  <c r="M268" i="1" s="1"/>
  <c r="M102" i="1" a="1"/>
  <c r="M102" i="1" s="1"/>
  <c r="M50" i="1" a="1"/>
  <c r="M50" i="1" s="1"/>
  <c r="L19" i="1" a="1"/>
  <c r="L19" i="1" s="1"/>
  <c r="M6" i="1" a="1"/>
  <c r="M6" i="1" s="1"/>
  <c r="M337" i="1" a="1"/>
  <c r="M337" i="1" s="1"/>
  <c r="M65" i="1" a="1"/>
  <c r="M65" i="1" s="1"/>
  <c r="L42" i="1" a="1"/>
  <c r="L42" i="1" s="1"/>
  <c r="M238" i="1" a="1"/>
  <c r="M238" i="1" s="1"/>
  <c r="L375" i="1" a="1"/>
  <c r="L375" i="1" s="1"/>
  <c r="M118" i="1" a="1"/>
  <c r="M118" i="1" s="1"/>
  <c r="L264" i="1" a="1"/>
  <c r="L264" i="1" s="1"/>
  <c r="L47" i="1" a="1"/>
  <c r="L47" i="1" s="1"/>
  <c r="M181" i="1" a="1"/>
  <c r="M181" i="1" s="1"/>
  <c r="L224" i="1" a="1"/>
  <c r="L224" i="1" s="1"/>
  <c r="L135" i="1" a="1"/>
  <c r="L135" i="1" s="1"/>
  <c r="M30" i="1" a="1"/>
  <c r="M30" i="1" s="1"/>
  <c r="L317" i="1" a="1"/>
  <c r="L317" i="1" s="1"/>
  <c r="L200" i="1" a="1"/>
  <c r="L200" i="1" s="1"/>
  <c r="L201" i="1" a="1"/>
  <c r="L201" i="1" s="1"/>
  <c r="L174" i="1" a="1"/>
  <c r="L174" i="1" s="1"/>
  <c r="L123" i="1" a="1"/>
  <c r="L123" i="1" s="1"/>
  <c r="M331" i="1" a="1"/>
  <c r="M331" i="1" s="1"/>
  <c r="M293" i="1" a="1"/>
  <c r="M293" i="1" s="1"/>
  <c r="M184" i="1" a="1"/>
  <c r="M184" i="1" s="1"/>
  <c r="M72" i="1" a="1"/>
  <c r="M72" i="1" s="1"/>
  <c r="M128" i="1" a="1"/>
  <c r="M128" i="1" s="1"/>
  <c r="L380" i="1" a="1"/>
  <c r="L380" i="1" s="1"/>
  <c r="M245" i="1" a="1"/>
  <c r="M245" i="1" s="1"/>
  <c r="M131" i="1" a="1"/>
  <c r="M131" i="1" s="1"/>
  <c r="L245" i="1" a="1"/>
  <c r="L245" i="1" s="1"/>
  <c r="L276" i="1" a="1"/>
  <c r="L276" i="1" s="1"/>
  <c r="L386" i="1" a="1"/>
  <c r="L386" i="1" s="1"/>
  <c r="L251" i="1" a="1"/>
  <c r="L251" i="1" s="1"/>
  <c r="L128" i="1" a="1"/>
  <c r="L128" i="1" s="1"/>
  <c r="L73" i="1" a="1"/>
  <c r="L73" i="1" s="1"/>
  <c r="L342" i="1" a="1"/>
  <c r="L342" i="1" s="1"/>
  <c r="L221" i="1" a="1"/>
  <c r="L221" i="1" s="1"/>
  <c r="L41" i="1" a="1"/>
  <c r="L41" i="1" s="1"/>
  <c r="M356" i="1" a="1"/>
  <c r="M356" i="1" s="1"/>
  <c r="L66" i="1" a="1"/>
  <c r="L66" i="1" s="1"/>
  <c r="M28" i="1" a="1"/>
  <c r="M28" i="1" s="1"/>
  <c r="L288" i="1" a="1"/>
  <c r="L288" i="1" s="1"/>
  <c r="M201" i="1" a="1"/>
  <c r="M201" i="1" s="1"/>
  <c r="L166" i="1" a="1"/>
  <c r="L166" i="1" s="1"/>
  <c r="L343" i="1" a="1"/>
  <c r="L343" i="1" s="1"/>
  <c r="L230" i="1" a="1"/>
  <c r="L230" i="1" s="1"/>
  <c r="L180" i="1" a="1"/>
  <c r="L180" i="1" s="1"/>
  <c r="M321" i="1" a="1"/>
  <c r="M321" i="1" s="1"/>
  <c r="M127" i="1" a="1"/>
  <c r="M127" i="1" s="1"/>
  <c r="M46" i="1" a="1"/>
  <c r="M46" i="1" s="1"/>
  <c r="M189" i="1" a="1"/>
  <c r="M189" i="1" s="1"/>
  <c r="M307" i="1" a="1"/>
  <c r="M307" i="1" s="1"/>
  <c r="M168" i="1" a="1"/>
  <c r="M168" i="1" s="1"/>
  <c r="L159" i="1" a="1"/>
  <c r="L159" i="1" s="1"/>
  <c r="M137" i="1" a="1"/>
  <c r="M137" i="1" s="1"/>
  <c r="L63" i="1" a="1"/>
  <c r="L63" i="1" s="1"/>
  <c r="M376" i="1" a="1"/>
  <c r="M376" i="1" s="1"/>
  <c r="L90" i="1" a="1"/>
  <c r="L90" i="1" s="1"/>
  <c r="M116" i="1" a="1"/>
  <c r="M116" i="1" s="1"/>
  <c r="L312" i="1" a="1"/>
  <c r="L312" i="1" s="1"/>
  <c r="M242" i="1" a="1"/>
  <c r="M242" i="1" s="1"/>
  <c r="L197" i="1" a="1"/>
  <c r="L197" i="1" s="1"/>
  <c r="L369" i="1" a="1"/>
  <c r="L369" i="1" s="1"/>
  <c r="L258" i="1" a="1"/>
  <c r="L258" i="1" s="1"/>
  <c r="L242" i="1" a="1"/>
  <c r="L242" i="1" s="1"/>
  <c r="M350" i="1" a="1"/>
  <c r="M350" i="1" s="1"/>
  <c r="M236" i="1" a="1"/>
  <c r="M236" i="1" s="1"/>
  <c r="M185" i="1" a="1"/>
  <c r="M185" i="1" s="1"/>
  <c r="M355" i="1" a="1"/>
  <c r="M355" i="1" s="1"/>
  <c r="L389" i="1" a="1"/>
  <c r="L389" i="1" s="1"/>
  <c r="L307" i="1" a="1"/>
  <c r="L307" i="1" s="1"/>
  <c r="M311" i="1" a="1"/>
  <c r="M311" i="1" s="1"/>
  <c r="L190" i="1" a="1"/>
  <c r="L190" i="1" s="1"/>
  <c r="M17" i="1" a="1"/>
  <c r="M17" i="1" s="1"/>
  <c r="M24" i="1" a="1"/>
  <c r="M24" i="1" s="1"/>
  <c r="M14" i="1" a="1"/>
  <c r="M14" i="1" s="1"/>
  <c r="M320" i="1" a="1"/>
  <c r="M320" i="1" s="1"/>
  <c r="M179" i="1" a="1"/>
  <c r="M179" i="1" s="1"/>
  <c r="L120" i="1" a="1"/>
  <c r="L120" i="1" s="1"/>
  <c r="L314" i="1" a="1"/>
  <c r="L314" i="1" s="1"/>
  <c r="M121" i="1" a="1"/>
  <c r="M121" i="1" s="1"/>
  <c r="L290" i="1" a="1"/>
  <c r="L290" i="1" s="1"/>
  <c r="L262" i="1" a="1"/>
  <c r="L262" i="1" s="1"/>
  <c r="L125" i="1" a="1"/>
  <c r="L125" i="1" s="1"/>
  <c r="M267" i="1" a="1"/>
  <c r="M267" i="1" s="1"/>
  <c r="M211" i="1" a="1"/>
  <c r="M211" i="1" s="1"/>
  <c r="M69" i="1" a="1"/>
  <c r="M69" i="1" s="1"/>
  <c r="L151" i="1" a="1"/>
  <c r="L151" i="1" s="1"/>
  <c r="M25" i="1" a="1"/>
  <c r="M25" i="1" s="1"/>
  <c r="L74" i="1" a="1"/>
  <c r="L74" i="1" s="1"/>
  <c r="M55" i="1" a="1"/>
  <c r="M55" i="1" s="1"/>
  <c r="L187" i="1" a="1"/>
  <c r="L187" i="1" s="1"/>
  <c r="M384" i="1" a="1"/>
  <c r="M384" i="1" s="1"/>
  <c r="M198" i="1" a="1"/>
  <c r="M198" i="1" s="1"/>
  <c r="M261" i="1" a="1"/>
  <c r="M261" i="1" s="1"/>
  <c r="M38" i="1" a="1"/>
  <c r="M38" i="1" s="1"/>
  <c r="L192" i="1" a="1"/>
  <c r="L192" i="1" s="1"/>
  <c r="M344" i="1" a="1"/>
  <c r="M344" i="1" s="1"/>
  <c r="M64" i="1" a="1"/>
  <c r="M64" i="1" s="1"/>
  <c r="L315" i="1" a="1"/>
  <c r="L315" i="1" s="1"/>
  <c r="M231" i="1" a="1"/>
  <c r="M231" i="1" s="1"/>
  <c r="M122" i="1" a="1"/>
  <c r="M122" i="1" s="1"/>
  <c r="L370" i="1" a="1"/>
  <c r="L370" i="1" s="1"/>
  <c r="L371" i="1" a="1"/>
  <c r="L371" i="1" s="1"/>
  <c r="L346" i="1" a="1"/>
  <c r="L346" i="1" s="1"/>
  <c r="M77" i="1" a="1"/>
  <c r="M77" i="1" s="1"/>
  <c r="L301" i="1" a="1"/>
  <c r="L301" i="1" s="1"/>
  <c r="L83" i="1" a="1"/>
  <c r="L83" i="1" s="1"/>
  <c r="M351" i="1" a="1"/>
  <c r="M351" i="1" s="1"/>
  <c r="M381" i="1" a="1"/>
  <c r="M381" i="1" s="1"/>
  <c r="M295" i="1" a="1"/>
  <c r="M295" i="1" s="1"/>
  <c r="M186" i="1" a="1"/>
  <c r="M186" i="1" s="1"/>
  <c r="L209" i="1" a="1"/>
  <c r="L209" i="1" s="1"/>
  <c r="L97" i="1" a="1"/>
  <c r="L97" i="1" s="1"/>
  <c r="L98" i="1" a="1"/>
  <c r="L98" i="1" s="1"/>
  <c r="L127" i="1" a="1"/>
  <c r="L127" i="1" s="1"/>
  <c r="M54" i="1" a="1"/>
  <c r="M54" i="1" s="1"/>
  <c r="M191" i="1" a="1"/>
  <c r="M191" i="1" s="1"/>
  <c r="L302" i="1" a="1"/>
  <c r="L302" i="1" s="1"/>
  <c r="L75" i="1" a="1"/>
  <c r="L75" i="1" s="1"/>
  <c r="L33" i="1" a="1"/>
  <c r="L33" i="1" s="1"/>
  <c r="M142" i="1" a="1"/>
  <c r="M142" i="1" s="1"/>
  <c r="M87" i="1" a="1"/>
  <c r="M87" i="1" s="1"/>
  <c r="L173" i="1" a="1"/>
  <c r="L173" i="1" s="1"/>
  <c r="M10" i="1" a="1"/>
  <c r="M10" i="1" s="1"/>
  <c r="L96" i="1" a="1"/>
  <c r="L96" i="1" s="1"/>
  <c r="M75" i="1" a="1"/>
  <c r="M75" i="1" s="1"/>
  <c r="L211" i="1" a="1"/>
  <c r="L211" i="1" s="1"/>
  <c r="L18" i="1" a="1"/>
  <c r="L18" i="1" s="1"/>
  <c r="M218" i="1" a="1"/>
  <c r="M218" i="1" s="1"/>
  <c r="M282" i="1" a="1"/>
  <c r="M282" i="1" s="1"/>
  <c r="M59" i="1" a="1"/>
  <c r="M59" i="1" s="1"/>
  <c r="L216" i="1" a="1"/>
  <c r="L216" i="1" s="1"/>
  <c r="M367" i="1" a="1"/>
  <c r="M367" i="1" s="1"/>
  <c r="M89" i="1" a="1"/>
  <c r="M89" i="1" s="1"/>
  <c r="L341" i="1" a="1"/>
  <c r="L341" i="1" s="1"/>
  <c r="M260" i="1" a="1"/>
  <c r="M260" i="1" s="1"/>
  <c r="M148" i="1" a="1"/>
  <c r="M148" i="1" s="1"/>
  <c r="M41" i="1" a="1"/>
  <c r="M41" i="1" s="1"/>
  <c r="M68" i="1" a="1"/>
  <c r="M68" i="1" s="1"/>
  <c r="L372" i="1" a="1"/>
  <c r="L372" i="1" s="1"/>
  <c r="M130" i="1" a="1"/>
  <c r="M130" i="1" s="1"/>
  <c r="L358" i="1" a="1"/>
  <c r="L358" i="1" s="1"/>
  <c r="L113" i="1" a="1"/>
  <c r="L113" i="1" s="1"/>
  <c r="M380" i="1" a="1"/>
  <c r="M380" i="1" s="1"/>
  <c r="L26" i="1" a="1"/>
  <c r="L26" i="1" s="1"/>
  <c r="M327" i="1" a="1"/>
  <c r="M327" i="1" s="1"/>
  <c r="M212" i="1" a="1"/>
  <c r="M212" i="1" s="1"/>
  <c r="L270" i="1" a="1"/>
  <c r="L270" i="1" s="1"/>
  <c r="L154" i="1" a="1"/>
  <c r="L154" i="1" s="1"/>
  <c r="L333" i="1" a="1"/>
  <c r="L333" i="1" s="1"/>
  <c r="L362" i="1" a="1"/>
  <c r="L362" i="1" s="1"/>
  <c r="M144" i="1" a="1"/>
  <c r="M144" i="1" s="1"/>
  <c r="L102" i="1" a="1"/>
  <c r="L102" i="1" s="1"/>
  <c r="M333" i="1" a="1"/>
  <c r="M333" i="1" s="1"/>
  <c r="L332" i="1" a="1"/>
  <c r="L332" i="1" s="1"/>
  <c r="L278" i="1" a="1"/>
  <c r="L278" i="1" s="1"/>
  <c r="L65" i="1" a="1"/>
  <c r="L65" i="1" s="1"/>
  <c r="M104" i="1" a="1"/>
  <c r="M104" i="1" s="1"/>
  <c r="L195" i="1" a="1"/>
  <c r="L195" i="1" s="1"/>
  <c r="M26" i="1" a="1"/>
  <c r="M26" i="1" s="1"/>
  <c r="L118" i="1" a="1"/>
  <c r="L118" i="1" s="1"/>
  <c r="M94" i="1" a="1"/>
  <c r="M94" i="1" s="1"/>
  <c r="L235" i="1" a="1"/>
  <c r="L235" i="1" s="1"/>
  <c r="L43" i="1" a="1"/>
  <c r="L43" i="1" s="1"/>
  <c r="M239" i="1" a="1"/>
  <c r="M239" i="1" s="1"/>
  <c r="M302" i="1" a="1"/>
  <c r="M302" i="1" s="1"/>
  <c r="M79" i="1" a="1"/>
  <c r="M79" i="1" s="1"/>
  <c r="L241" i="1" a="1"/>
  <c r="L241" i="1" s="1"/>
  <c r="M21" i="1" a="1"/>
  <c r="M21" i="1" s="1"/>
  <c r="M117" i="1" a="1"/>
  <c r="M117" i="1" s="1"/>
  <c r="L367" i="1" a="1"/>
  <c r="L367" i="1" s="1"/>
  <c r="M288" i="1" a="1"/>
  <c r="M288" i="1" s="1"/>
  <c r="M174" i="1" a="1"/>
  <c r="M174" i="1" s="1"/>
  <c r="M34" i="1" a="1"/>
  <c r="M34" i="1" s="1"/>
  <c r="M35" i="1" a="1"/>
  <c r="M35" i="1" s="1"/>
  <c r="L140" i="1" a="1"/>
  <c r="L140" i="1" s="1"/>
  <c r="M298" i="1" a="1"/>
  <c r="M298" i="1" s="1"/>
  <c r="L115" i="1" a="1"/>
  <c r="L115" i="1" s="1"/>
  <c r="M37" i="1" a="1"/>
  <c r="M37" i="1" s="1"/>
  <c r="M221" i="1" a="1"/>
  <c r="M221" i="1" s="1"/>
  <c r="M304" i="1" a="1"/>
  <c r="M304" i="1" s="1"/>
  <c r="M313" i="1" a="1"/>
  <c r="M313" i="1" s="1"/>
  <c r="M315" i="1" a="1"/>
  <c r="M315" i="1" s="1"/>
  <c r="L50" i="1" a="1"/>
  <c r="L50" i="1" s="1"/>
  <c r="M124" i="1" a="1"/>
  <c r="M124" i="1" s="1"/>
  <c r="M162" i="1" a="1"/>
  <c r="M162" i="1" s="1"/>
  <c r="M52" i="1" a="1"/>
  <c r="M52" i="1" s="1"/>
  <c r="L347" i="1" a="1"/>
  <c r="L347" i="1" s="1"/>
  <c r="M352" i="1" a="1"/>
  <c r="M352" i="1" s="1"/>
  <c r="L149" i="1" a="1"/>
  <c r="L149" i="1" s="1"/>
  <c r="L29" i="1" a="1"/>
  <c r="L29" i="1" s="1"/>
  <c r="L384" i="1" a="1"/>
  <c r="L384" i="1" s="1"/>
  <c r="L186" i="1" a="1"/>
  <c r="L186" i="1" s="1"/>
  <c r="L388" i="1" a="1"/>
  <c r="L388" i="1" s="1"/>
  <c r="L359" i="1" a="1"/>
  <c r="L359" i="1" s="1"/>
  <c r="M165" i="1" a="1"/>
  <c r="M165" i="1" s="1"/>
  <c r="L198" i="1" a="1"/>
  <c r="L198" i="1" s="1"/>
  <c r="L206" i="1" a="1"/>
  <c r="L206" i="1" s="1"/>
  <c r="L188" i="1" a="1"/>
  <c r="L188" i="1" s="1"/>
  <c r="M112" i="1" a="1"/>
  <c r="M112" i="1" s="1"/>
  <c r="L141" i="1" a="1"/>
  <c r="L141" i="1" s="1"/>
  <c r="M219" i="1" a="1"/>
  <c r="M219" i="1" s="1"/>
  <c r="L237" i="1" a="1"/>
  <c r="L237" i="1" s="1"/>
  <c r="M86" i="1" a="1"/>
  <c r="M86" i="1" s="1"/>
  <c r="L391" i="1" a="1"/>
  <c r="L391" i="1" s="1"/>
  <c r="M20" i="1" a="1"/>
  <c r="M20" i="1" s="1"/>
  <c r="M322" i="1" a="1"/>
  <c r="M322" i="1" s="1"/>
  <c r="L45" i="1" a="1"/>
  <c r="L45" i="1" s="1"/>
  <c r="M233" i="1" a="1"/>
  <c r="M233" i="1" s="1"/>
  <c r="M100" i="1" a="1"/>
  <c r="M100" i="1" s="1"/>
  <c r="M49" i="1" a="1"/>
  <c r="M49" i="1" s="1"/>
  <c r="L158" i="1" a="1"/>
  <c r="L158" i="1" s="1"/>
  <c r="M223" i="1" a="1"/>
  <c r="M223" i="1" s="1"/>
  <c r="L250" i="1" a="1"/>
  <c r="L250" i="1" s="1"/>
  <c r="M364" i="1" a="1"/>
  <c r="M364" i="1" s="1"/>
  <c r="L77" i="1" a="1"/>
  <c r="L77" i="1" s="1"/>
  <c r="M292" i="1" a="1"/>
  <c r="M292" i="1" s="1"/>
  <c r="M126" i="1" a="1"/>
  <c r="M126" i="1" s="1"/>
  <c r="M105" i="1" a="1"/>
  <c r="M105" i="1" s="1"/>
  <c r="L246" i="1" a="1"/>
  <c r="L246" i="1" s="1"/>
  <c r="L36" i="1" a="1"/>
  <c r="L36" i="1" s="1"/>
  <c r="L272" i="1" a="1"/>
  <c r="L272" i="1" s="1"/>
  <c r="M388" i="1" a="1"/>
  <c r="M388" i="1" s="1"/>
  <c r="L254" i="1" a="1"/>
  <c r="L254" i="1" s="1"/>
  <c r="M317" i="1" a="1"/>
  <c r="M317" i="1" s="1"/>
  <c r="M294" i="1" a="1"/>
  <c r="M294" i="1" s="1"/>
  <c r="M214" i="1" a="1"/>
  <c r="M214" i="1" s="1"/>
  <c r="L316" i="1" a="1"/>
  <c r="L316" i="1" s="1"/>
  <c r="L286" i="1" a="1"/>
  <c r="L286" i="1" s="1"/>
  <c r="L294" i="1" a="1"/>
  <c r="L294" i="1" s="1"/>
  <c r="M389" i="1" a="1"/>
  <c r="M389" i="1" s="1"/>
  <c r="L137" i="1" a="1"/>
  <c r="L137" i="1" s="1"/>
  <c r="M246" i="1" a="1"/>
  <c r="M246" i="1" s="1"/>
  <c r="L234" i="1" a="1"/>
  <c r="L234" i="1" s="1"/>
  <c r="M143" i="1" a="1"/>
  <c r="M143" i="1" s="1"/>
  <c r="L279" i="1" a="1"/>
  <c r="L279" i="1" s="1"/>
  <c r="M253" i="1" a="1"/>
  <c r="M253" i="1" s="1"/>
  <c r="L308" i="1" a="1"/>
  <c r="L308" i="1" s="1"/>
  <c r="L144" i="1" a="1"/>
  <c r="L144" i="1" s="1"/>
  <c r="L170" i="1" a="1"/>
  <c r="L170" i="1" s="1"/>
  <c r="M330" i="1" a="1"/>
  <c r="M330" i="1" s="1"/>
  <c r="L267" i="1" a="1"/>
  <c r="L267" i="1" s="1"/>
  <c r="M360" i="1" a="1"/>
  <c r="M360" i="1" s="1"/>
  <c r="L218" i="1" a="1"/>
  <c r="L218" i="1" s="1"/>
  <c r="M272" i="1" a="1"/>
  <c r="M272" i="1" s="1"/>
  <c r="L330" i="1" a="1"/>
  <c r="L330" i="1" s="1"/>
  <c r="L168" i="1" a="1"/>
  <c r="L168" i="1" s="1"/>
  <c r="L199" i="1" a="1"/>
  <c r="L199" i="1" s="1"/>
  <c r="M391" i="1" a="1"/>
  <c r="M391" i="1" s="1"/>
  <c r="L296" i="1" a="1"/>
  <c r="L296" i="1" s="1"/>
  <c r="L69" i="1" a="1"/>
  <c r="L69" i="1" s="1"/>
  <c r="M111" i="1" a="1"/>
  <c r="M111" i="1" s="1"/>
  <c r="M290" i="1" a="1"/>
  <c r="M290" i="1" s="1"/>
  <c r="L352" i="1" a="1"/>
  <c r="L352" i="1" s="1"/>
  <c r="L265" i="1" a="1"/>
  <c r="L265" i="1" s="1"/>
  <c r="L227" i="1" a="1"/>
  <c r="L227" i="1" s="1"/>
  <c r="L60" i="1" a="1"/>
  <c r="L60" i="1" s="1"/>
  <c r="L323" i="1" a="1"/>
  <c r="L323" i="1" s="1"/>
  <c r="M18" i="1" a="1"/>
  <c r="M18" i="1" s="1"/>
  <c r="M2" i="1" a="1"/>
  <c r="M2" i="1" s="1"/>
  <c r="L162" i="1" a="1"/>
  <c r="L162" i="1" s="1"/>
  <c r="M319" i="1" a="1"/>
  <c r="M319" i="1" s="1"/>
  <c r="L139" i="1" a="1"/>
  <c r="L139" i="1" s="1"/>
  <c r="M58" i="1" a="1"/>
  <c r="M58" i="1" s="1"/>
  <c r="M241" i="1" a="1"/>
  <c r="M241" i="1" s="1"/>
  <c r="M324" i="1" a="1"/>
  <c r="M324" i="1" s="1"/>
  <c r="M342" i="1" a="1"/>
  <c r="M342" i="1" s="1"/>
  <c r="M347" i="1" a="1"/>
  <c r="M347" i="1" s="1"/>
  <c r="L80" i="1" a="1"/>
  <c r="L80" i="1" s="1"/>
  <c r="M150" i="1" a="1"/>
  <c r="M150" i="1" s="1"/>
  <c r="M213" i="1" a="1"/>
  <c r="M213" i="1" s="1"/>
  <c r="M107" i="1" a="1"/>
  <c r="M107" i="1" s="1"/>
  <c r="L373" i="1" a="1"/>
  <c r="L373" i="1" s="1"/>
  <c r="L56" i="1" a="1"/>
  <c r="L56" i="1" s="1"/>
  <c r="L178" i="1" a="1"/>
  <c r="L178" i="1" s="1"/>
  <c r="L89" i="1" a="1"/>
  <c r="L89" i="1" s="1"/>
  <c r="M82" i="1" a="1"/>
  <c r="M82" i="1" s="1"/>
  <c r="M192" i="1" a="1"/>
  <c r="M192" i="1" s="1"/>
  <c r="M251" i="1" a="1"/>
  <c r="M251" i="1" s="1"/>
  <c r="L10" i="1" a="1"/>
  <c r="L10" i="1" s="1"/>
  <c r="M252" i="1" a="1"/>
  <c r="M252" i="1" s="1"/>
  <c r="M109" i="1" a="1"/>
  <c r="M109" i="1" s="1"/>
  <c r="L35" i="1" a="1"/>
  <c r="L35" i="1" s="1"/>
  <c r="M3" i="1" a="1"/>
  <c r="M3" i="1" s="1"/>
  <c r="M240" i="1" a="1"/>
  <c r="M240" i="1" s="1"/>
  <c r="L12" i="1" a="1"/>
  <c r="L12" i="1" s="1"/>
  <c r="M208" i="1" a="1"/>
  <c r="M208" i="1" s="1"/>
  <c r="M71" i="1" a="1"/>
  <c r="M71" i="1" s="1"/>
  <c r="L354" i="1" a="1"/>
  <c r="L354" i="1" s="1"/>
  <c r="L72" i="1" a="1"/>
  <c r="L72" i="1" s="1"/>
  <c r="L280" i="1" a="1"/>
  <c r="L280" i="1" s="1"/>
  <c r="L228" i="1" a="1"/>
  <c r="L228" i="1" s="1"/>
  <c r="L212" i="1" a="1"/>
  <c r="L212" i="1" s="1"/>
  <c r="M171" i="1" a="1"/>
  <c r="M171" i="1" s="1"/>
  <c r="L318" i="1" a="1"/>
  <c r="L318" i="1" s="1"/>
  <c r="M274" i="1" a="1"/>
  <c r="M274" i="1" s="1"/>
  <c r="L268" i="1" a="1"/>
  <c r="L268" i="1" s="1"/>
  <c r="M308" i="1" a="1"/>
  <c r="M308" i="1" s="1"/>
  <c r="M254" i="1" a="1"/>
  <c r="M254" i="1" s="1"/>
  <c r="M4" i="1" a="1"/>
  <c r="M4" i="1" s="1"/>
  <c r="L236" i="1" a="1"/>
  <c r="L236" i="1" s="1"/>
  <c r="M202" i="1" a="1"/>
  <c r="M202" i="1" s="1"/>
  <c r="L344" i="1" a="1"/>
  <c r="L344" i="1" s="1"/>
  <c r="L3" i="1" a="1"/>
  <c r="L3" i="1" s="1"/>
  <c r="L297" i="1" a="1"/>
  <c r="L297" i="1" s="1"/>
  <c r="L194" i="1" a="1"/>
  <c r="L194" i="1" s="1"/>
  <c r="M275" i="1" a="1"/>
  <c r="M275" i="1" s="1"/>
  <c r="M42" i="1" a="1"/>
  <c r="M42" i="1" s="1"/>
  <c r="L260" i="1" a="1"/>
  <c r="L260" i="1" s="1"/>
  <c r="M286" i="1" a="1"/>
  <c r="M286" i="1" s="1"/>
  <c r="M92" i="1" a="1"/>
  <c r="M92" i="1" s="1"/>
  <c r="M43" i="1" a="1"/>
  <c r="M43" i="1" s="1"/>
  <c r="L324" i="1" a="1"/>
  <c r="L324" i="1" s="1"/>
  <c r="M108" i="1" a="1"/>
  <c r="M108" i="1" s="1"/>
  <c r="L249" i="1" a="1"/>
  <c r="L249" i="1" s="1"/>
  <c r="M9" i="1" a="1"/>
  <c r="M9" i="1" s="1"/>
  <c r="L285" i="1" a="1"/>
  <c r="L285" i="1" s="1"/>
  <c r="M312" i="1" a="1"/>
  <c r="M312" i="1" s="1"/>
  <c r="M123" i="1" a="1"/>
  <c r="M123" i="1" s="1"/>
  <c r="M70" i="1" a="1"/>
  <c r="M70" i="1" s="1"/>
  <c r="M129" i="1" a="1"/>
  <c r="M129" i="1" s="1"/>
  <c r="M310" i="1" a="1"/>
  <c r="M310" i="1" s="1"/>
  <c r="M167" i="1" a="1"/>
  <c r="M167" i="1" s="1"/>
  <c r="M61" i="1" a="1"/>
  <c r="M61" i="1" s="1"/>
  <c r="L46" i="1" a="1"/>
  <c r="L46" i="1" s="1"/>
  <c r="M22" i="1" a="1"/>
  <c r="M22" i="1" s="1"/>
  <c r="L21" i="1" a="1"/>
  <c r="L21" i="1" s="1"/>
  <c r="L25" i="1" a="1"/>
  <c r="L25" i="1" s="1"/>
  <c r="M357" i="1" a="1"/>
  <c r="M357" i="1" s="1"/>
  <c r="M57" i="1" a="1"/>
  <c r="M57" i="1" s="1"/>
  <c r="L131" i="1" a="1"/>
  <c r="L131" i="1" s="1"/>
  <c r="M11" i="1" a="1"/>
  <c r="M11" i="1" s="1"/>
  <c r="L70" i="1" a="1"/>
  <c r="L70" i="1" s="1"/>
  <c r="M120" i="1" a="1"/>
  <c r="M120" i="1" s="1"/>
  <c r="L53" i="1" a="1"/>
  <c r="L53" i="1" s="1"/>
  <c r="L55" i="1" a="1"/>
  <c r="L55" i="1" s="1"/>
  <c r="L31" i="1" a="1"/>
  <c r="L31" i="1" s="1"/>
  <c r="M369" i="1" a="1"/>
  <c r="M369" i="1" s="1"/>
  <c r="L365" i="1" a="1"/>
  <c r="L365" i="1" s="1"/>
  <c r="M29" i="1" a="1"/>
  <c r="M29" i="1" s="1"/>
  <c r="L94" i="1" a="1"/>
  <c r="L94" i="1" s="1"/>
  <c r="M146" i="1" a="1"/>
  <c r="M146" i="1" s="1"/>
  <c r="L82" i="1" a="1"/>
  <c r="L82" i="1" s="1"/>
  <c r="L84" i="1" a="1"/>
  <c r="L84" i="1" s="1"/>
  <c r="M141" i="1" a="1"/>
  <c r="M141" i="1" s="1"/>
  <c r="M36" i="1" a="1"/>
  <c r="M36" i="1" s="1"/>
  <c r="L184" i="1" a="1"/>
  <c r="L184" i="1" s="1"/>
  <c r="M339" i="1" a="1"/>
  <c r="M339" i="1" s="1"/>
  <c r="L164" i="1" a="1"/>
  <c r="L164" i="1" s="1"/>
  <c r="M220" i="1" a="1"/>
  <c r="M220" i="1" s="1"/>
  <c r="M283" i="1" a="1"/>
  <c r="M283" i="1" s="1"/>
  <c r="M88" i="1" a="1"/>
  <c r="M88" i="1" s="1"/>
  <c r="M372" i="1" a="1"/>
  <c r="M372" i="1" s="1"/>
  <c r="M374" i="1" a="1"/>
  <c r="M374" i="1" s="1"/>
  <c r="L110" i="1" a="1"/>
  <c r="L110" i="1" s="1"/>
  <c r="M182" i="1" a="1"/>
  <c r="M182" i="1" s="1"/>
  <c r="M271" i="1" a="1"/>
  <c r="M271" i="1" s="1"/>
  <c r="M164" i="1" a="1"/>
  <c r="M164" i="1" s="1"/>
  <c r="M44" i="1" a="1"/>
  <c r="M44" i="1" s="1"/>
  <c r="L86" i="1" a="1"/>
  <c r="L86" i="1" s="1"/>
  <c r="L207" i="1" a="1"/>
  <c r="L207" i="1" s="1"/>
  <c r="L152" i="1" a="1"/>
  <c r="L152" i="1" s="1"/>
  <c r="M133" i="1" a="1"/>
  <c r="M133" i="1" s="1"/>
  <c r="L103" i="1" a="1"/>
  <c r="L103" i="1" s="1"/>
  <c r="M363" i="1" a="1"/>
  <c r="M363" i="1" s="1"/>
  <c r="L193" i="1" a="1"/>
  <c r="L193" i="1" s="1"/>
  <c r="L329" i="1" a="1"/>
  <c r="L329" i="1" s="1"/>
  <c r="M160" i="1" a="1"/>
  <c r="M160" i="1" s="1"/>
  <c r="M383" i="1" a="1"/>
  <c r="M383" i="1" s="1"/>
  <c r="M303" i="1" a="1"/>
  <c r="M303" i="1" s="1"/>
  <c r="L14" i="1" a="1"/>
  <c r="L14" i="1" s="1"/>
  <c r="M329" i="1" a="1"/>
  <c r="M329" i="1" s="1"/>
  <c r="L117" i="1" a="1"/>
  <c r="L117" i="1" s="1"/>
  <c r="M190" i="1" a="1"/>
  <c r="M190" i="1" s="1"/>
  <c r="M195" i="1" a="1"/>
  <c r="M195" i="1" s="1"/>
  <c r="M178" i="1" a="1"/>
  <c r="M178" i="1" s="1"/>
  <c r="L138" i="1" a="1"/>
  <c r="L138" i="1" s="1"/>
  <c r="M323" i="1" a="1"/>
  <c r="M323" i="1" s="1"/>
  <c r="L49" i="1" a="1"/>
  <c r="L49" i="1" s="1"/>
  <c r="M390" i="1" a="1"/>
  <c r="M390" i="1" s="1"/>
  <c r="L148" i="1" a="1"/>
  <c r="L148" i="1" s="1"/>
  <c r="M248" i="1" a="1"/>
  <c r="M248" i="1" s="1"/>
  <c r="L126" i="1" a="1"/>
  <c r="L126" i="1" s="1"/>
  <c r="M197" i="1" a="1"/>
  <c r="M197" i="1" s="1"/>
  <c r="L163" i="1" a="1"/>
  <c r="L163" i="1" s="1"/>
  <c r="M343" i="1" a="1"/>
  <c r="M343" i="1" s="1"/>
  <c r="L79" i="1" a="1"/>
  <c r="L79" i="1" s="1"/>
  <c r="L326" i="1" a="1"/>
  <c r="L326" i="1" s="1"/>
  <c r="L177" i="1" a="1"/>
  <c r="L177" i="1" s="1"/>
  <c r="M359" i="1" a="1"/>
  <c r="M359" i="1" s="1"/>
  <c r="L361" i="1" a="1"/>
  <c r="L361" i="1" s="1"/>
  <c r="M216" i="1" a="1"/>
  <c r="M216" i="1" s="1"/>
  <c r="L259" i="1" a="1"/>
  <c r="L259" i="1" s="1"/>
  <c r="M365" i="1" a="1"/>
  <c r="M365" i="1" s="1"/>
  <c r="L109" i="1" a="1"/>
  <c r="L109" i="1" s="1"/>
  <c r="L382" i="1" a="1"/>
  <c r="L382" i="1" s="1"/>
  <c r="L205" i="1" a="1"/>
  <c r="L205" i="1" s="1"/>
  <c r="M53" i="1" a="1"/>
  <c r="M53" i="1" s="1"/>
  <c r="L34" i="1" a="1"/>
  <c r="L34" i="1" s="1"/>
  <c r="M234" i="1" a="1"/>
  <c r="M234" i="1" s="1"/>
  <c r="L284" i="1" a="1"/>
  <c r="L284" i="1" s="1"/>
  <c r="L22" i="1" a="1"/>
  <c r="L22" i="1" s="1"/>
  <c r="L282" i="1" a="1"/>
  <c r="L282" i="1" s="1"/>
  <c r="M378" i="1" a="1"/>
  <c r="M378" i="1" s="1"/>
  <c r="M325" i="1" a="1"/>
  <c r="M325" i="1" s="1"/>
  <c r="M301" i="1" a="1"/>
  <c r="M301" i="1" s="1"/>
  <c r="L390" i="1" a="1"/>
  <c r="L390" i="1" s="1"/>
  <c r="M224" i="1" a="1"/>
  <c r="M224" i="1" s="1"/>
  <c r="M27" i="1" a="1"/>
  <c r="M27" i="1" s="1"/>
  <c r="L309" i="1" a="1"/>
  <c r="L309" i="1" s="1"/>
  <c r="L11" i="1" a="1"/>
  <c r="L11" i="1" s="1"/>
  <c r="M149" i="1" a="1"/>
  <c r="M149" i="1" s="1"/>
  <c r="M97" i="1" a="1"/>
  <c r="M97" i="1" s="1"/>
  <c r="M157" i="1" a="1"/>
  <c r="M157" i="1" s="1"/>
  <c r="L214" i="1" a="1"/>
  <c r="L214" i="1" s="1"/>
  <c r="L99" i="1" a="1"/>
  <c r="L99" i="1" s="1"/>
  <c r="M78" i="1" a="1"/>
  <c r="M78" i="1" s="1"/>
  <c r="L331" i="1" a="1"/>
  <c r="L331" i="1" s="1"/>
  <c r="L40" i="1" a="1"/>
  <c r="L40" i="1" s="1"/>
  <c r="M207" i="1" a="1"/>
  <c r="M207" i="1" s="1"/>
  <c r="M125" i="1" a="1"/>
  <c r="M125" i="1" s="1"/>
  <c r="M244" i="1" a="1"/>
  <c r="M244" i="1" s="1"/>
  <c r="M110" i="1" a="1"/>
  <c r="M110" i="1" s="1"/>
  <c r="M83" i="1" a="1"/>
  <c r="M83" i="1" s="1"/>
  <c r="M96" i="1" a="1"/>
  <c r="M96" i="1" s="1"/>
  <c r="M156" i="1" a="1"/>
  <c r="M156" i="1" s="1"/>
  <c r="L76" i="1" a="1"/>
  <c r="L76" i="1" s="1"/>
  <c r="M265" i="1" a="1"/>
  <c r="M265" i="1" s="1"/>
  <c r="M183" i="1" a="1"/>
  <c r="M183" i="1" s="1"/>
  <c r="M309" i="1" a="1"/>
  <c r="M309" i="1" s="1"/>
  <c r="M12" i="1" a="1"/>
  <c r="M12" i="1" s="1"/>
  <c r="M177" i="1" a="1"/>
  <c r="M177" i="1" s="1"/>
  <c r="L289" i="1" a="1"/>
  <c r="L289" i="1" s="1"/>
  <c r="M173" i="1" a="1"/>
  <c r="M173" i="1" s="1"/>
  <c r="M291" i="1" a="1"/>
  <c r="M291" i="1" s="1"/>
  <c r="L124" i="1" a="1"/>
  <c r="L124" i="1" s="1"/>
  <c r="L116" i="1" a="1"/>
  <c r="L116" i="1" s="1"/>
  <c r="M270" i="1" a="1"/>
  <c r="M270" i="1" s="1"/>
  <c r="L273" i="1" a="1"/>
  <c r="L273" i="1" s="1"/>
  <c r="L304" i="1" a="1"/>
  <c r="L304" i="1" s="1"/>
  <c r="L222" i="1" a="1"/>
  <c r="L222" i="1" s="1"/>
  <c r="L223" i="1" a="1"/>
  <c r="L223" i="1" s="1"/>
  <c r="M194" i="1" a="1"/>
  <c r="M194" i="1" s="1"/>
  <c r="L146" i="1" a="1"/>
  <c r="L146" i="1" s="1"/>
  <c r="M135" i="1" a="1"/>
  <c r="M135" i="1" s="1"/>
  <c r="M332" i="1" a="1"/>
  <c r="M332" i="1" s="1"/>
  <c r="L179" i="1" a="1"/>
  <c r="L179" i="1" s="1"/>
  <c r="M281" i="1" a="1"/>
  <c r="M281" i="1" s="1"/>
  <c r="L27" i="1" a="1"/>
  <c r="L27" i="1" s="1"/>
  <c r="M229" i="1" a="1"/>
  <c r="M229" i="1" s="1"/>
  <c r="L133" i="1" a="1"/>
  <c r="L133" i="1" s="1"/>
  <c r="L87" i="1" a="1"/>
  <c r="L87" i="1" s="1"/>
  <c r="M200" i="1" a="1"/>
  <c r="M200" i="1" s="1"/>
  <c r="L39" i="1" a="1"/>
  <c r="L39" i="1" s="1"/>
  <c r="M346" i="1" a="1"/>
  <c r="M346" i="1" s="1"/>
  <c r="M32" i="1" a="1"/>
  <c r="M32" i="1" s="1"/>
  <c r="M259" i="1" a="1"/>
  <c r="M259" i="1" s="1"/>
  <c r="L313" i="1" a="1"/>
  <c r="L313" i="1" s="1"/>
  <c r="M204" i="1" a="1"/>
  <c r="M204" i="1" s="1"/>
  <c r="M349" i="1" a="1"/>
  <c r="M349" i="1" s="1"/>
  <c r="L181" i="1" a="1"/>
  <c r="L181" i="1" s="1"/>
  <c r="L147" i="1" a="1"/>
  <c r="L147" i="1" s="1"/>
  <c r="M296" i="1" a="1"/>
  <c r="M296" i="1" s="1"/>
  <c r="L328" i="1" a="1"/>
  <c r="L328" i="1" s="1"/>
  <c r="M228" i="1" a="1"/>
  <c r="M228" i="1" s="1"/>
  <c r="M249" i="1" a="1"/>
  <c r="M249" i="1" s="1"/>
  <c r="L310" i="1" a="1"/>
  <c r="L310" i="1" s="1"/>
  <c r="M366" i="1" a="1"/>
  <c r="M366" i="1" s="1"/>
  <c r="M23" i="1" a="1"/>
  <c r="M23" i="1" s="1"/>
  <c r="M279" i="1" a="1"/>
  <c r="M279" i="1" s="1"/>
  <c r="L335" i="1" a="1"/>
  <c r="L335" i="1" s="1"/>
  <c r="M230" i="1" a="1"/>
  <c r="M230" i="1" s="1"/>
  <c r="M377" i="1" a="1"/>
  <c r="M377" i="1" s="1"/>
  <c r="L243" i="1" a="1"/>
  <c r="L243" i="1" s="1"/>
  <c r="L176" i="1" a="1"/>
  <c r="L176" i="1" s="1"/>
  <c r="M328" i="1" a="1"/>
  <c r="M328" i="1" s="1"/>
  <c r="M166" i="1" a="1"/>
  <c r="M166" i="1" s="1"/>
  <c r="M250" i="1" a="1"/>
  <c r="M250" i="1" s="1"/>
  <c r="L155" i="1" a="1"/>
  <c r="L155" i="1" s="1"/>
  <c r="M132" i="1" a="1"/>
  <c r="M132" i="1" s="1"/>
  <c r="L134" i="1" a="1"/>
  <c r="L134" i="1" s="1"/>
  <c r="M235" i="1" a="1"/>
  <c r="M235" i="1" s="1"/>
  <c r="L338" i="1" a="1"/>
  <c r="L338" i="1" s="1"/>
  <c r="M151" i="1" a="1"/>
  <c r="M151" i="1" s="1"/>
  <c r="L165" i="1" a="1"/>
  <c r="L165" i="1" s="1"/>
  <c r="L24" i="1" a="1"/>
  <c r="L24" i="1" s="1"/>
  <c r="L275" i="1" a="1"/>
  <c r="L275" i="1" s="1"/>
  <c r="M95" i="1" a="1"/>
  <c r="M95" i="1" s="1"/>
  <c r="M206" i="1" a="1"/>
  <c r="M206" i="1" s="1"/>
  <c r="L54" i="1" a="1"/>
  <c r="L54" i="1" s="1"/>
  <c r="L130" i="1" a="1"/>
  <c r="L130" i="1" s="1"/>
  <c r="M115" i="1" a="1"/>
  <c r="M115" i="1" s="1"/>
  <c r="M232" i="1" a="1"/>
  <c r="M232" i="1" s="1"/>
  <c r="L271" i="1" a="1"/>
  <c r="L271" i="1" s="1"/>
  <c r="L108" i="1" a="1"/>
  <c r="L108" i="1" s="1"/>
  <c r="M145" i="1" a="1"/>
  <c r="M145" i="1" s="1"/>
  <c r="L175" i="1" a="1"/>
  <c r="L175" i="1" s="1"/>
  <c r="L37" i="1" a="1"/>
  <c r="L37" i="1" s="1"/>
  <c r="M176" i="1" a="1"/>
  <c r="M176" i="1" s="1"/>
  <c r="M289" i="1" a="1"/>
  <c r="M289" i="1" s="1"/>
  <c r="L383" i="1" a="1"/>
  <c r="L383" i="1" s="1"/>
  <c r="M199" i="1" a="1"/>
  <c r="M199" i="1" s="1"/>
  <c r="M203" i="1" a="1"/>
  <c r="M203" i="1" s="1"/>
  <c r="L232" i="1" a="1"/>
  <c r="L232" i="1" s="1"/>
  <c r="M227" i="1" a="1"/>
  <c r="M227" i="1" s="1"/>
  <c r="M361" i="1" a="1"/>
  <c r="M361" i="1" s="1"/>
  <c r="L298" i="1" a="1"/>
  <c r="L298" i="1" s="1"/>
  <c r="M358" i="1" a="1"/>
  <c r="M358" i="1" s="1"/>
  <c r="L30" i="1" a="1"/>
  <c r="L30" i="1" s="1"/>
  <c r="M255" i="1" a="1"/>
  <c r="M255" i="1" s="1"/>
  <c r="L293" i="1" a="1"/>
  <c r="L293" i="1" s="1"/>
  <c r="L385" i="1" a="1"/>
  <c r="L385" i="1" s="1"/>
  <c r="L91" i="1" a="1"/>
  <c r="L91" i="1" s="1"/>
  <c r="L15" i="1" a="1"/>
  <c r="L15" i="1" s="1"/>
  <c r="L121" i="1" a="1"/>
  <c r="L121" i="1" s="1"/>
  <c r="M336" i="1" a="1"/>
  <c r="M336" i="1" s="1"/>
  <c r="L107" i="1" a="1"/>
  <c r="L107" i="1" s="1"/>
  <c r="M114" i="1" a="1"/>
  <c r="M114" i="1" s="1"/>
  <c r="M300" i="1" a="1"/>
  <c r="M300" i="1" s="1"/>
  <c r="L357" i="1" a="1"/>
  <c r="L357" i="1" s="1"/>
  <c r="M256" i="1" a="1"/>
  <c r="M256" i="1" s="1"/>
  <c r="L16" i="1" a="1"/>
  <c r="L16" i="1" s="1"/>
  <c r="L300" i="1" a="1"/>
  <c r="L300" i="1" s="1"/>
  <c r="L204" i="1" a="1"/>
  <c r="L204" i="1" s="1"/>
  <c r="M354" i="1" a="1"/>
  <c r="M354" i="1" s="1"/>
  <c r="L160" i="1" a="1"/>
  <c r="L160" i="1" s="1"/>
  <c r="L156" i="1" a="1"/>
  <c r="L156" i="1" s="1"/>
  <c r="L387" i="1" a="1"/>
  <c r="L387" i="1" s="1"/>
  <c r="L129" i="1" a="1"/>
  <c r="L129" i="1" s="1"/>
  <c r="M134" i="1" a="1"/>
  <c r="M134" i="1" s="1"/>
  <c r="M341" i="1" a="1"/>
  <c r="M341" i="1" s="1"/>
  <c r="L379" i="1" a="1"/>
  <c r="L379" i="1" s="1"/>
  <c r="M314" i="1" a="1"/>
  <c r="M314" i="1" s="1"/>
  <c r="L51" i="1" a="1"/>
  <c r="L51" i="1" s="1"/>
  <c r="L355" i="1" a="1"/>
  <c r="L355" i="1" s="1"/>
  <c r="L233" i="1" a="1"/>
  <c r="L233" i="1" s="1"/>
  <c r="L28" i="1" a="1"/>
  <c r="L28" i="1" s="1"/>
  <c r="M62" i="1" a="1"/>
  <c r="M62" i="1" s="1"/>
  <c r="L248" i="1" a="1"/>
  <c r="L248" i="1" s="1"/>
  <c r="M338" i="1" a="1"/>
  <c r="M338" i="1" s="1"/>
  <c r="L217" i="1" a="1"/>
  <c r="L217" i="1" s="1"/>
  <c r="M155" i="1" a="1"/>
  <c r="M155" i="1" s="1"/>
  <c r="M362" i="1" a="1"/>
  <c r="M362" i="1" s="1"/>
  <c r="M39" i="1" a="1"/>
  <c r="M39" i="1" s="1"/>
  <c r="M345" i="1" a="1"/>
  <c r="M345" i="1" s="1"/>
  <c r="L81" i="1" a="1"/>
  <c r="L81" i="1" s="1"/>
  <c r="M51" i="1" a="1"/>
  <c r="M51" i="1" s="1"/>
  <c r="L266" i="1" a="1"/>
  <c r="L266" i="1" s="1"/>
  <c r="L88" i="1" a="1"/>
  <c r="L88" i="1" s="1"/>
  <c r="M276" i="1" a="1"/>
  <c r="M276" i="1" s="1"/>
  <c r="M370" i="1" a="1"/>
  <c r="M370" i="1" s="1"/>
  <c r="L226" i="1" a="1"/>
  <c r="L226" i="1" s="1"/>
  <c r="L239" i="1" a="1"/>
  <c r="L239" i="1" s="1"/>
  <c r="M175" i="1" a="1"/>
  <c r="M175" i="1" s="1"/>
  <c r="M385" i="1" a="1"/>
  <c r="M385" i="1" s="1"/>
  <c r="M60" i="1" a="1"/>
  <c r="M60" i="1" s="1"/>
  <c r="M373" i="1" a="1"/>
  <c r="M373" i="1" s="1"/>
  <c r="L111" i="1" a="1"/>
  <c r="L111" i="1" s="1"/>
  <c r="M106" i="1" a="1"/>
  <c r="M106" i="1" s="1"/>
  <c r="L295" i="1" a="1"/>
  <c r="L295" i="1" s="1"/>
  <c r="L150" i="1" a="1"/>
  <c r="L150" i="1" s="1"/>
  <c r="L169" i="1" a="1"/>
  <c r="L169" i="1" s="1"/>
  <c r="L161" i="1" a="1"/>
  <c r="L161" i="1" s="1"/>
  <c r="L100" i="1" a="1"/>
  <c r="L100" i="1" s="1"/>
  <c r="M113" i="1" a="1"/>
  <c r="M113" i="1" s="1"/>
  <c r="L119" i="1" a="1"/>
  <c r="L119" i="1" s="1"/>
  <c r="L256" i="1" a="1"/>
  <c r="L256" i="1" s="1"/>
  <c r="M209" i="1" a="1"/>
  <c r="M209" i="1" s="1"/>
  <c r="M103" i="1" a="1"/>
  <c r="M103" i="1" s="1"/>
  <c r="L339" i="1" a="1"/>
  <c r="L339" i="1" s="1"/>
  <c r="M56" i="1" a="1"/>
  <c r="M56" i="1" s="1"/>
  <c r="M67" i="1" a="1"/>
  <c r="M67" i="1" s="1"/>
  <c r="L377" i="1" a="1"/>
  <c r="L377" i="1" s="1"/>
  <c r="L7" i="1" a="1"/>
  <c r="L7" i="1" s="1"/>
  <c r="M76" i="1" a="1"/>
  <c r="M76" i="1" s="1"/>
  <c r="M91" i="1" a="1"/>
  <c r="M91" i="1" s="1"/>
  <c r="M73" i="1" a="1"/>
  <c r="M73" i="1" s="1"/>
  <c r="M284" i="1" a="1"/>
  <c r="M284" i="1" s="1"/>
  <c r="M285" i="1" a="1"/>
  <c r="M285" i="1" s="1"/>
  <c r="L191" i="1" a="1"/>
  <c r="L191" i="1" s="1"/>
  <c r="M386" i="1" a="1"/>
  <c r="M386" i="1" s="1"/>
  <c r="L210" i="1" a="1"/>
  <c r="L210" i="1" s="1"/>
  <c r="M188" i="1" a="1"/>
  <c r="M188" i="1" s="1"/>
  <c r="L366" i="1" a="1"/>
  <c r="L366" i="1" s="1"/>
  <c r="M269" i="1" a="1"/>
  <c r="M269" i="1" s="1"/>
  <c r="L104" i="1" a="1"/>
  <c r="L104" i="1" s="1"/>
  <c r="L356" i="1" a="1"/>
  <c r="L356" i="1" s="1"/>
  <c r="L122" i="1" a="1"/>
  <c r="L122" i="1" s="1"/>
  <c r="L327" i="1" a="1"/>
  <c r="L327" i="1" s="1"/>
  <c r="M262" i="1" a="1"/>
  <c r="M262" i="1" s="1"/>
  <c r="M172" i="1" a="1"/>
  <c r="M172" i="1" s="1"/>
  <c r="M382" i="1" a="1"/>
  <c r="M382" i="1" s="1"/>
  <c r="L220" i="1" a="1"/>
  <c r="L220" i="1" s="1"/>
  <c r="M139" i="1" a="1"/>
  <c r="M139" i="1" s="1"/>
  <c r="L238" i="1" a="1"/>
  <c r="L238" i="1" s="1"/>
  <c r="M226" i="1" a="1"/>
  <c r="M226" i="1" s="1"/>
  <c r="L38" i="1" a="1"/>
  <c r="L38" i="1" s="1"/>
  <c r="M159" i="1" a="1"/>
  <c r="M159" i="1" s="1"/>
  <c r="L263" i="1" a="1"/>
  <c r="L263" i="1" s="1"/>
  <c r="L132" i="1" a="1"/>
  <c r="L132" i="1" s="1"/>
  <c r="L67" i="1" a="1"/>
  <c r="L67" i="1" s="1"/>
  <c r="M375" i="1" a="1"/>
  <c r="M375" i="1" s="1"/>
  <c r="L32" i="1" a="1"/>
  <c r="L32" i="1" s="1"/>
  <c r="L306" i="1" a="1"/>
  <c r="L306" i="1" s="1"/>
  <c r="M287" i="1" a="1"/>
  <c r="M287" i="1" s="1"/>
  <c r="L321" i="1" a="1"/>
  <c r="L321" i="1" s="1"/>
  <c r="M335" i="1" a="1"/>
  <c r="M335" i="1" s="1"/>
  <c r="L261" i="1" a="1"/>
  <c r="L261" i="1" s="1"/>
  <c r="M217" i="1" a="1"/>
  <c r="M217" i="1" s="1"/>
  <c r="L20" i="1" a="1"/>
  <c r="L20" i="1" s="1"/>
  <c r="M80" i="1" a="1"/>
  <c r="M80" i="1" s="1"/>
  <c r="L13" i="1" a="1"/>
  <c r="L13" i="1" s="1"/>
  <c r="L142" i="1" a="1"/>
  <c r="L142" i="1" s="1"/>
  <c r="M163" i="1" a="1"/>
  <c r="M163" i="1" s="1"/>
  <c r="L322" i="1" a="1"/>
  <c r="L322" i="1" s="1"/>
  <c r="L208" i="1" a="1"/>
  <c r="L208" i="1" s="1"/>
  <c r="L336" i="1" a="1"/>
  <c r="L336" i="1" s="1"/>
  <c r="M63" i="1" a="1"/>
  <c r="M63" i="1" s="1"/>
  <c r="L337" i="1" a="1"/>
  <c r="L337" i="1" s="1"/>
  <c r="L283" i="1" a="1"/>
  <c r="L283" i="1" s="1"/>
  <c r="M237" i="1" a="1"/>
  <c r="M237" i="1" s="1"/>
  <c r="L44" i="1" a="1"/>
  <c r="L44" i="1" s="1"/>
  <c r="M99" i="1" a="1"/>
  <c r="M99" i="1" s="1"/>
  <c r="L48" i="1" a="1"/>
  <c r="L48" i="1" s="1"/>
  <c r="L319" i="1" a="1"/>
  <c r="L319" i="1" s="1"/>
  <c r="M215" i="1" a="1"/>
  <c r="M215" i="1" s="1"/>
  <c r="L348" i="1" a="1"/>
  <c r="L348" i="1" s="1"/>
  <c r="L269" i="1" a="1"/>
  <c r="L269" i="1" s="1"/>
  <c r="L4" i="1" a="1"/>
  <c r="L4" i="1" s="1"/>
  <c r="M84" i="1" a="1"/>
  <c r="M84" i="1" s="1"/>
  <c r="M280" i="1" a="1"/>
  <c r="M280" i="1" s="1"/>
  <c r="L305" i="1" a="1"/>
  <c r="L305" i="1" s="1"/>
  <c r="M257" i="1" a="1"/>
  <c r="M257" i="1" s="1"/>
  <c r="L68" i="1" a="1"/>
  <c r="L68" i="1" s="1"/>
  <c r="M119" i="1" a="1"/>
  <c r="M119" i="1" s="1"/>
  <c r="M147" i="1" a="1"/>
  <c r="M147" i="1" s="1"/>
  <c r="L345" i="1" a="1"/>
  <c r="L345" i="1" s="1"/>
  <c r="L182" i="1" a="1"/>
  <c r="L182" i="1" s="1"/>
  <c r="L376" i="1" a="1"/>
  <c r="L376" i="1" s="1"/>
  <c r="L325" i="1" a="1"/>
  <c r="L325" i="1" s="1"/>
  <c r="L252" i="1" a="1"/>
  <c r="L252" i="1" s="1"/>
  <c r="L5" i="1" a="1"/>
  <c r="L5" i="1" s="1"/>
  <c r="L185" i="1" a="1"/>
  <c r="L185" i="1" s="1"/>
  <c r="M19" i="1" a="1"/>
  <c r="M19" i="1" s="1"/>
  <c r="M277" i="1" a="1"/>
  <c r="M277" i="1" s="1"/>
  <c r="L92" i="1" a="1"/>
  <c r="L92" i="1" s="1"/>
  <c r="M140" i="1" a="1"/>
  <c r="M140" i="1" s="1"/>
  <c r="M205" i="1" a="1"/>
  <c r="M205" i="1" s="1"/>
  <c r="M93" i="1" a="1"/>
  <c r="M93" i="1" s="1"/>
  <c r="L244" i="1" a="1"/>
  <c r="L244" i="1" s="1"/>
  <c r="M326" i="1" a="1"/>
  <c r="M326" i="1" s="1"/>
  <c r="L381" i="1" a="1"/>
  <c r="L381" i="1" s="1"/>
  <c r="M170" i="1" a="1"/>
  <c r="M170" i="1" s="1"/>
  <c r="L255" i="1" a="1"/>
  <c r="L255" i="1" s="1"/>
  <c r="M85" i="1" a="1"/>
  <c r="M85" i="1" s="1"/>
  <c r="L374" i="1" a="1"/>
  <c r="L374" i="1" s="1"/>
  <c r="L105" i="1" a="1"/>
  <c r="L105" i="1" s="1"/>
  <c r="L112" i="1" a="1"/>
  <c r="L112" i="1" s="1"/>
  <c r="L349" i="1" a="1"/>
  <c r="L349" i="1" s="1"/>
  <c r="L101" i="1" a="1"/>
  <c r="L101" i="1" s="1"/>
  <c r="L6" i="1" a="1"/>
  <c r="L6" i="1" s="1"/>
  <c r="L143" i="1" a="1"/>
  <c r="L143" i="1" s="1"/>
  <c r="L292" i="1" a="1"/>
  <c r="L292" i="1" s="1"/>
  <c r="L93" i="1" a="1"/>
  <c r="L93" i="1" s="1"/>
  <c r="L274" i="1" a="1"/>
  <c r="L274" i="1" s="1"/>
  <c r="L167" i="1" a="1"/>
  <c r="L167" i="1" s="1"/>
  <c r="L320" i="1" a="1"/>
  <c r="L320" i="1" s="1"/>
  <c r="L153" i="1" a="1"/>
  <c r="L153" i="1" s="1"/>
  <c r="M169" i="1" a="1"/>
  <c r="M169" i="1" s="1"/>
  <c r="L340" i="1" a="1"/>
  <c r="L340" i="1" s="1"/>
  <c r="M243" i="1" a="1"/>
  <c r="M243" i="1" s="1"/>
  <c r="M193" i="1" a="1"/>
  <c r="M193" i="1" s="1"/>
  <c r="L215" i="1" a="1"/>
  <c r="L215" i="1" s="1"/>
  <c r="L58" i="1" a="1"/>
  <c r="L58" i="1" s="1"/>
  <c r="L364" i="1" a="1"/>
  <c r="L364" i="1" s="1"/>
  <c r="M225" i="1" a="1"/>
  <c r="M225" i="1" s="1"/>
  <c r="M264" i="1" a="1"/>
  <c r="M264" i="1" s="1"/>
  <c r="M353" i="1" a="1"/>
  <c r="M353" i="1" s="1"/>
  <c r="L360" i="1" a="1"/>
  <c r="L360" i="1" s="1"/>
  <c r="L378" i="1" a="1"/>
  <c r="L378" i="1" s="1"/>
  <c r="L203" i="1" a="1"/>
  <c r="L203" i="1" s="1"/>
  <c r="L219" i="1" a="1"/>
  <c r="L219" i="1" s="1"/>
  <c r="M340" i="1" a="1"/>
  <c r="M340" i="1" s="1"/>
  <c r="M316" i="1" a="1"/>
  <c r="M316" i="1" s="1"/>
  <c r="M305" i="1" a="1"/>
  <c r="M305" i="1" s="1"/>
  <c r="M299" i="1" a="1"/>
  <c r="M299" i="1" s="1"/>
  <c r="M348" i="1" a="1"/>
  <c r="M348" i="1" s="1"/>
  <c r="L57" i="1" a="1"/>
  <c r="L57" i="1" s="1"/>
  <c r="L303" i="1" a="1"/>
  <c r="L303" i="1" s="1"/>
  <c r="M180" i="1" a="1"/>
  <c r="M180" i="1" s="1"/>
  <c r="L351" i="1" a="1"/>
  <c r="L351" i="1" s="1"/>
  <c r="L368" i="1" a="1"/>
  <c r="L368" i="1" s="1"/>
  <c r="L52" i="1" a="1"/>
  <c r="L52" i="1" s="1"/>
  <c r="M48" i="1" a="1"/>
  <c r="M48" i="1" s="1"/>
  <c r="L213" i="1" a="1"/>
  <c r="L213" i="1" s="1"/>
  <c r="I2" i="1"/>
  <c r="J2" i="1" s="1"/>
  <c r="I3" i="1"/>
  <c r="J3" i="1" s="1"/>
  <c r="I4" i="1"/>
  <c r="J4" i="1" s="1"/>
  <c r="I5" i="1"/>
  <c r="J5" i="1" s="1"/>
  <c r="I6" i="1"/>
  <c r="J6" i="1" s="1"/>
  <c r="I7" i="1"/>
  <c r="J7" i="1" s="1"/>
  <c r="I8" i="1"/>
  <c r="I9" i="1"/>
  <c r="I10" i="1"/>
  <c r="I11" i="1"/>
  <c r="I12" i="1"/>
  <c r="I13" i="1"/>
  <c r="I14" i="1"/>
  <c r="I15" i="1"/>
  <c r="I16" i="1"/>
  <c r="I17" i="1"/>
  <c r="I18" i="1"/>
  <c r="I19" i="1"/>
  <c r="I20" i="1"/>
  <c r="I21" i="1"/>
  <c r="I22" i="1"/>
  <c r="I23" i="1"/>
  <c r="I24" i="1"/>
  <c r="J24" i="1" s="1"/>
  <c r="I25" i="1"/>
  <c r="I26" i="1"/>
  <c r="J26" i="1" s="1"/>
  <c r="I27" i="1"/>
  <c r="I28" i="1"/>
  <c r="I29" i="1"/>
  <c r="I30" i="1"/>
  <c r="I31" i="1"/>
  <c r="I32" i="1"/>
  <c r="I33" i="1"/>
  <c r="I34" i="1"/>
  <c r="I35" i="1"/>
  <c r="I36" i="1"/>
  <c r="I37" i="1"/>
  <c r="I38" i="1"/>
  <c r="I39" i="1"/>
  <c r="I40" i="1"/>
  <c r="I41" i="1"/>
  <c r="I42" i="1"/>
  <c r="I43" i="1"/>
  <c r="I44" i="1"/>
  <c r="I45" i="1"/>
  <c r="I46" i="1"/>
  <c r="J46" i="1" s="1"/>
  <c r="I47" i="1"/>
  <c r="J47" i="1" s="1"/>
  <c r="I48" i="1"/>
  <c r="J48" i="1" s="1"/>
  <c r="I49" i="1"/>
  <c r="J49" i="1" s="1"/>
  <c r="I50" i="1"/>
  <c r="J50" i="1" s="1"/>
  <c r="I51" i="1"/>
  <c r="J51" i="1" s="1"/>
  <c r="I52" i="1"/>
  <c r="J52" i="1" s="1"/>
  <c r="I53" i="1"/>
  <c r="J53" i="1" s="1"/>
  <c r="I54" i="1"/>
  <c r="I55" i="1"/>
  <c r="I56" i="1"/>
  <c r="J56" i="1" s="1"/>
  <c r="I57" i="1"/>
  <c r="J57" i="1" s="1"/>
  <c r="I58" i="1"/>
  <c r="I59" i="1"/>
  <c r="I60" i="1"/>
  <c r="J60" i="1" s="1"/>
  <c r="I61" i="1"/>
  <c r="I62" i="1"/>
  <c r="I63" i="1"/>
  <c r="I64" i="1"/>
  <c r="I65" i="1"/>
  <c r="I66" i="1"/>
  <c r="I67" i="1"/>
  <c r="I68" i="1"/>
  <c r="J68" i="1" s="1"/>
  <c r="I69" i="1"/>
  <c r="J69" i="1" s="1"/>
  <c r="I70" i="1"/>
  <c r="J70" i="1" s="1"/>
  <c r="I71" i="1"/>
  <c r="J71" i="1" s="1"/>
  <c r="I72" i="1"/>
  <c r="I73" i="1"/>
  <c r="I74" i="1"/>
  <c r="I75" i="1"/>
  <c r="I76" i="1"/>
  <c r="I77" i="1"/>
  <c r="I78" i="1"/>
  <c r="I79" i="1"/>
  <c r="I80" i="1"/>
  <c r="I81" i="1"/>
  <c r="I82" i="1"/>
  <c r="J82" i="1" s="1"/>
  <c r="I83" i="1"/>
  <c r="I84" i="1"/>
  <c r="I85" i="1"/>
  <c r="J85" i="1" s="1"/>
  <c r="I86" i="1"/>
  <c r="I87" i="1"/>
  <c r="I88" i="1"/>
  <c r="I89" i="1"/>
  <c r="I90" i="1"/>
  <c r="J90" i="1" s="1"/>
  <c r="I91" i="1"/>
  <c r="I92" i="1"/>
  <c r="J92" i="1" s="1"/>
  <c r="I93" i="1"/>
  <c r="J93" i="1" s="1"/>
  <c r="I94" i="1"/>
  <c r="I95" i="1"/>
  <c r="J95" i="1" s="1"/>
  <c r="I96" i="1"/>
  <c r="J96" i="1" s="1"/>
  <c r="I97" i="1"/>
  <c r="J97" i="1" s="1"/>
  <c r="I98" i="1"/>
  <c r="J98" i="1" s="1"/>
  <c r="I99" i="1"/>
  <c r="J99" i="1" s="1"/>
  <c r="I100" i="1"/>
  <c r="I101" i="1"/>
  <c r="I102" i="1"/>
  <c r="I103" i="1"/>
  <c r="I104" i="1"/>
  <c r="J104" i="1" s="1"/>
  <c r="I105" i="1"/>
  <c r="I106" i="1"/>
  <c r="I107" i="1"/>
  <c r="I108" i="1"/>
  <c r="I109" i="1"/>
  <c r="I110" i="1"/>
  <c r="I111" i="1"/>
  <c r="I112" i="1"/>
  <c r="J112" i="1" s="1"/>
  <c r="I113" i="1"/>
  <c r="J113" i="1" s="1"/>
  <c r="I114" i="1"/>
  <c r="J114" i="1" s="1"/>
  <c r="I115" i="1"/>
  <c r="I116" i="1"/>
  <c r="I117" i="1"/>
  <c r="I118" i="1"/>
  <c r="I119" i="1"/>
  <c r="I120" i="1"/>
  <c r="I121" i="1"/>
  <c r="I122" i="1"/>
  <c r="I123" i="1"/>
  <c r="I124" i="1"/>
  <c r="I125" i="1"/>
  <c r="I126" i="1"/>
  <c r="I127" i="1"/>
  <c r="I128" i="1"/>
  <c r="I129" i="1"/>
  <c r="I130" i="1"/>
  <c r="I131" i="1"/>
  <c r="I132" i="1"/>
  <c r="I133" i="1"/>
  <c r="I134" i="1"/>
  <c r="J134" i="1" s="1"/>
  <c r="I135" i="1"/>
  <c r="J135" i="1" s="1"/>
  <c r="I136" i="1"/>
  <c r="J136" i="1" s="1"/>
  <c r="I137" i="1"/>
  <c r="J137" i="1" s="1"/>
  <c r="I138" i="1"/>
  <c r="J138" i="1" s="1"/>
  <c r="I139" i="1"/>
  <c r="J139" i="1" s="1"/>
  <c r="I140" i="1"/>
  <c r="I141" i="1"/>
  <c r="I142" i="1"/>
  <c r="I143" i="1"/>
  <c r="I144" i="1"/>
  <c r="J144" i="1" s="1"/>
  <c r="I145" i="1"/>
  <c r="I146" i="1"/>
  <c r="I147" i="1"/>
  <c r="I148" i="1"/>
  <c r="I149" i="1"/>
  <c r="I150" i="1"/>
  <c r="I151" i="1"/>
  <c r="I152" i="1"/>
  <c r="I153" i="1"/>
  <c r="I154" i="1"/>
  <c r="I155" i="1"/>
  <c r="J155" i="1" s="1"/>
  <c r="I156" i="1"/>
  <c r="J156" i="1" s="1"/>
  <c r="I157" i="1"/>
  <c r="J157" i="1" s="1"/>
  <c r="I158" i="1"/>
  <c r="J158" i="1" s="1"/>
  <c r="I159" i="1"/>
  <c r="J159" i="1" s="1"/>
  <c r="I160" i="1"/>
  <c r="J160" i="1" s="1"/>
  <c r="I161" i="1"/>
  <c r="J161" i="1" s="1"/>
  <c r="I162" i="1"/>
  <c r="J162" i="1" s="1"/>
  <c r="I163" i="1"/>
  <c r="J163" i="1" s="1"/>
  <c r="I164" i="1"/>
  <c r="I165" i="1"/>
  <c r="I166" i="1"/>
  <c r="I167" i="1"/>
  <c r="I168" i="1"/>
  <c r="I169" i="1"/>
  <c r="I170" i="1"/>
  <c r="I171" i="1"/>
  <c r="I172" i="1"/>
  <c r="I173" i="1"/>
  <c r="I174" i="1"/>
  <c r="I175" i="1"/>
  <c r="I176" i="1"/>
  <c r="I177" i="1"/>
  <c r="I178" i="1"/>
  <c r="J178" i="1" s="1"/>
  <c r="I179" i="1"/>
  <c r="J179" i="1" s="1"/>
  <c r="I180" i="1"/>
  <c r="J180" i="1" s="1"/>
  <c r="I181" i="1"/>
  <c r="J181" i="1" s="1"/>
  <c r="I182" i="1"/>
  <c r="J182" i="1" s="1"/>
  <c r="I183" i="1"/>
  <c r="J183" i="1" s="1"/>
  <c r="I184" i="1"/>
  <c r="J184" i="1" s="1"/>
  <c r="I185" i="1"/>
  <c r="J185" i="1" s="1"/>
  <c r="I186" i="1"/>
  <c r="I187" i="1"/>
  <c r="I188" i="1"/>
  <c r="J188" i="1" s="1"/>
  <c r="I189" i="1"/>
  <c r="I190" i="1"/>
  <c r="I191" i="1"/>
  <c r="I192" i="1"/>
  <c r="I193" i="1"/>
  <c r="I194" i="1"/>
  <c r="I195" i="1"/>
  <c r="I196" i="1"/>
  <c r="I197" i="1"/>
  <c r="I198" i="1"/>
  <c r="I199" i="1"/>
  <c r="I200" i="1"/>
  <c r="J200" i="1" s="1"/>
  <c r="I201" i="1"/>
  <c r="J201" i="1" s="1"/>
  <c r="I202" i="1"/>
  <c r="J202" i="1" s="1"/>
  <c r="I203" i="1"/>
  <c r="J203" i="1" s="1"/>
  <c r="I204" i="1"/>
  <c r="J204" i="1" s="1"/>
  <c r="I205" i="1"/>
  <c r="J205" i="1" s="1"/>
  <c r="I206" i="1"/>
  <c r="J206" i="1" s="1"/>
  <c r="I207" i="1"/>
  <c r="J207" i="1" s="1"/>
  <c r="I208" i="1"/>
  <c r="J208" i="1" s="1"/>
  <c r="I209" i="1"/>
  <c r="J209" i="1" s="1"/>
  <c r="I210" i="1"/>
  <c r="J210" i="1" s="1"/>
  <c r="I211" i="1"/>
  <c r="I212" i="1"/>
  <c r="I213" i="1"/>
  <c r="I214" i="1"/>
  <c r="I215" i="1"/>
  <c r="I216" i="1"/>
  <c r="I217" i="1"/>
  <c r="I218" i="1"/>
  <c r="I219" i="1"/>
  <c r="I220" i="1"/>
  <c r="I221" i="1"/>
  <c r="I222" i="1"/>
  <c r="J222" i="1" s="1"/>
  <c r="I223" i="1"/>
  <c r="J223" i="1" s="1"/>
  <c r="I224" i="1"/>
  <c r="J224" i="1" s="1"/>
  <c r="I225" i="1"/>
  <c r="J225" i="1" s="1"/>
  <c r="I226" i="1"/>
  <c r="J226" i="1" s="1"/>
  <c r="I227" i="1"/>
  <c r="J227" i="1" s="1"/>
  <c r="I228" i="1"/>
  <c r="J228" i="1" s="1"/>
  <c r="I229" i="1"/>
  <c r="J229" i="1" s="1"/>
  <c r="I230" i="1"/>
  <c r="I231" i="1"/>
  <c r="I232" i="1"/>
  <c r="I233" i="1"/>
  <c r="I234" i="1"/>
  <c r="I235" i="1"/>
  <c r="I236" i="1"/>
  <c r="I237" i="1"/>
  <c r="I238" i="1"/>
  <c r="I239" i="1"/>
  <c r="I240" i="1"/>
  <c r="I241" i="1"/>
  <c r="I242" i="1"/>
  <c r="I243" i="1"/>
  <c r="I244" i="1"/>
  <c r="J244" i="1" s="1"/>
  <c r="I245" i="1"/>
  <c r="J245" i="1" s="1"/>
  <c r="I246" i="1"/>
  <c r="J246" i="1" s="1"/>
  <c r="I247" i="1"/>
  <c r="J247" i="1" s="1"/>
  <c r="I248" i="1"/>
  <c r="J248" i="1" s="1"/>
  <c r="I249" i="1"/>
  <c r="J249" i="1" s="1"/>
  <c r="I250" i="1"/>
  <c r="J250" i="1" s="1"/>
  <c r="I251" i="1"/>
  <c r="J251" i="1" s="1"/>
  <c r="I252" i="1"/>
  <c r="J252" i="1" s="1"/>
  <c r="I253" i="1"/>
  <c r="J253" i="1" s="1"/>
  <c r="I254" i="1"/>
  <c r="J254" i="1" s="1"/>
  <c r="I255" i="1"/>
  <c r="I256" i="1"/>
  <c r="I257" i="1"/>
  <c r="I258" i="1"/>
  <c r="I259" i="1"/>
  <c r="I260" i="1"/>
  <c r="I261" i="1"/>
  <c r="I262" i="1"/>
  <c r="I263" i="1"/>
  <c r="I264" i="1"/>
  <c r="I265" i="1"/>
  <c r="I266" i="1"/>
  <c r="J266" i="1" s="1"/>
  <c r="I267" i="1"/>
  <c r="J267" i="1" s="1"/>
  <c r="I268" i="1"/>
  <c r="J268" i="1" s="1"/>
  <c r="I269" i="1"/>
  <c r="J269" i="1" s="1"/>
  <c r="I270" i="1"/>
  <c r="J270" i="1" s="1"/>
  <c r="I271" i="1"/>
  <c r="J271" i="1" s="1"/>
  <c r="I272" i="1"/>
  <c r="J272" i="1" s="1"/>
  <c r="I273" i="1"/>
  <c r="J273" i="1" s="1"/>
  <c r="I274" i="1"/>
  <c r="J274" i="1" s="1"/>
  <c r="I275" i="1"/>
  <c r="J275" i="1" s="1"/>
  <c r="I276" i="1"/>
  <c r="J276" i="1" s="1"/>
  <c r="I277" i="1"/>
  <c r="J277" i="1" s="1"/>
  <c r="I278" i="1"/>
  <c r="I279" i="1"/>
  <c r="I280" i="1"/>
  <c r="I281" i="1"/>
  <c r="I282" i="1"/>
  <c r="I283" i="1"/>
  <c r="I284" i="1"/>
  <c r="I285" i="1"/>
  <c r="I286" i="1"/>
  <c r="I287" i="1"/>
  <c r="I288" i="1"/>
  <c r="J288" i="1" s="1"/>
  <c r="I289" i="1"/>
  <c r="J289" i="1" s="1"/>
  <c r="I290" i="1"/>
  <c r="J290" i="1" s="1"/>
  <c r="I291" i="1"/>
  <c r="J291" i="1" s="1"/>
  <c r="I292" i="1"/>
  <c r="J292" i="1" s="1"/>
  <c r="I293" i="1"/>
  <c r="J293" i="1" s="1"/>
  <c r="I294" i="1"/>
  <c r="J294" i="1" s="1"/>
  <c r="I295" i="1"/>
  <c r="J295" i="1" s="1"/>
  <c r="I296" i="1"/>
  <c r="J296" i="1" s="1"/>
  <c r="I297" i="1"/>
  <c r="I298" i="1"/>
  <c r="I299" i="1"/>
  <c r="I300" i="1"/>
  <c r="I301" i="1"/>
  <c r="I302" i="1"/>
  <c r="I303" i="1"/>
  <c r="I304" i="1"/>
  <c r="I305" i="1"/>
  <c r="I306" i="1"/>
  <c r="I307" i="1"/>
  <c r="I308" i="1"/>
  <c r="I309" i="1"/>
  <c r="I310" i="1"/>
  <c r="J310" i="1" s="1"/>
  <c r="I311" i="1"/>
  <c r="J311" i="1" s="1"/>
  <c r="I312" i="1"/>
  <c r="J312" i="1" s="1"/>
  <c r="I313" i="1"/>
  <c r="J313" i="1" s="1"/>
  <c r="I314" i="1"/>
  <c r="J314" i="1" s="1"/>
  <c r="I315" i="1"/>
  <c r="J315" i="1" s="1"/>
  <c r="I316" i="1"/>
  <c r="J316" i="1" s="1"/>
  <c r="I317" i="1"/>
  <c r="J317" i="1" s="1"/>
  <c r="I318" i="1"/>
  <c r="J318" i="1" s="1"/>
  <c r="I319" i="1"/>
  <c r="J319" i="1" s="1"/>
  <c r="I320" i="1"/>
  <c r="J320" i="1" s="1"/>
  <c r="I321" i="1"/>
  <c r="J321" i="1" s="1"/>
  <c r="I322" i="1"/>
  <c r="I323" i="1"/>
  <c r="I324" i="1"/>
  <c r="I325" i="1"/>
  <c r="I326" i="1"/>
  <c r="I327" i="1"/>
  <c r="I328" i="1"/>
  <c r="I329" i="1"/>
  <c r="I330" i="1"/>
  <c r="I331" i="1"/>
  <c r="I332" i="1"/>
  <c r="J332" i="1" s="1"/>
  <c r="I333" i="1"/>
  <c r="J333" i="1" s="1"/>
  <c r="I334" i="1"/>
  <c r="J334" i="1" s="1"/>
  <c r="I335" i="1"/>
  <c r="J335" i="1" s="1"/>
  <c r="I336" i="1"/>
  <c r="J336" i="1" s="1"/>
  <c r="I337" i="1"/>
  <c r="J337" i="1" s="1"/>
  <c r="I338" i="1"/>
  <c r="J338" i="1" s="1"/>
  <c r="I339" i="1"/>
  <c r="I340" i="1"/>
  <c r="I341" i="1"/>
  <c r="I342" i="1"/>
  <c r="I343" i="1"/>
  <c r="I344" i="1"/>
  <c r="I345" i="1"/>
  <c r="I346" i="1"/>
  <c r="I347" i="1"/>
  <c r="I348" i="1"/>
  <c r="I349" i="1"/>
  <c r="I350" i="1"/>
  <c r="I351" i="1"/>
  <c r="I352" i="1"/>
  <c r="I353" i="1"/>
  <c r="I354" i="1"/>
  <c r="J354" i="1" s="1"/>
  <c r="I355" i="1"/>
  <c r="J355" i="1" s="1"/>
  <c r="I356" i="1"/>
  <c r="J356" i="1" s="1"/>
  <c r="I357" i="1"/>
  <c r="J357" i="1" s="1"/>
  <c r="I358" i="1"/>
  <c r="J358" i="1" s="1"/>
  <c r="I359" i="1"/>
  <c r="J359" i="1" s="1"/>
  <c r="I360" i="1"/>
  <c r="J360" i="1" s="1"/>
  <c r="I361" i="1"/>
  <c r="J361" i="1" s="1"/>
  <c r="I362" i="1"/>
  <c r="J362" i="1" s="1"/>
  <c r="I363" i="1"/>
  <c r="J363" i="1" s="1"/>
  <c r="I364" i="1"/>
  <c r="J364" i="1" s="1"/>
  <c r="I365" i="1"/>
  <c r="J365" i="1" s="1"/>
  <c r="I366" i="1"/>
  <c r="I367" i="1"/>
  <c r="I368" i="1"/>
  <c r="I369" i="1"/>
  <c r="I370" i="1"/>
  <c r="I371" i="1"/>
  <c r="I372" i="1"/>
  <c r="I373" i="1"/>
  <c r="I374" i="1"/>
  <c r="I375" i="1"/>
  <c r="I376" i="1"/>
  <c r="J376" i="1" s="1"/>
  <c r="I377" i="1"/>
  <c r="J377" i="1" s="1"/>
  <c r="I378" i="1"/>
  <c r="J378" i="1" s="1"/>
  <c r="I379" i="1"/>
  <c r="J379" i="1" s="1"/>
  <c r="I380" i="1"/>
  <c r="J380" i="1" s="1"/>
  <c r="I381" i="1"/>
  <c r="I382" i="1"/>
  <c r="I383" i="1"/>
  <c r="I384" i="1"/>
  <c r="I385" i="1"/>
  <c r="I386" i="1"/>
  <c r="I387" i="1"/>
  <c r="I388" i="1"/>
  <c r="I389" i="1"/>
  <c r="I390" i="1"/>
  <c r="I391"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Z59" i="1" l="1" a="1"/>
  <c r="Z59" i="1" s="1"/>
  <c r="Z41" i="1" a="1"/>
  <c r="Z41" i="1" s="1"/>
  <c r="Z22" i="1" a="1"/>
  <c r="Z22" i="1" s="1"/>
  <c r="Z2" i="1" a="1"/>
  <c r="Z2" i="1" s="1"/>
  <c r="Z40" i="1" a="1"/>
  <c r="Z40" i="1" s="1"/>
  <c r="Z50" i="1" a="1"/>
  <c r="Z50" i="1" s="1"/>
  <c r="Z29" i="1" a="1"/>
  <c r="Z29" i="1" s="1"/>
  <c r="Z46" i="1" a="1"/>
  <c r="Z46" i="1" s="1"/>
  <c r="Z7" i="1" a="1"/>
  <c r="Z7" i="1" s="1"/>
  <c r="Z24" i="1" a="1"/>
  <c r="Z24" i="1" s="1"/>
  <c r="Z42" i="1" a="1"/>
  <c r="Z42" i="1" s="1"/>
  <c r="Z58" i="1" a="1"/>
  <c r="Z58" i="1" s="1"/>
  <c r="Z21" i="1" a="1"/>
  <c r="Z21" i="1" s="1"/>
  <c r="Z31" i="1" a="1"/>
  <c r="Z31" i="1" s="1"/>
  <c r="Z47" i="1" a="1"/>
  <c r="Z47" i="1" s="1"/>
  <c r="Z26" i="1" a="1"/>
  <c r="Z26" i="1" s="1"/>
  <c r="Z5" i="1" a="1"/>
  <c r="Z5" i="1" s="1"/>
  <c r="Z39" i="1" a="1"/>
  <c r="Z39" i="1" s="1"/>
  <c r="Z20" i="1" a="1"/>
  <c r="Z20" i="1" s="1"/>
  <c r="Z49" i="1" a="1"/>
  <c r="Z49" i="1" s="1"/>
  <c r="Z48" i="1" a="1"/>
  <c r="Z48" i="1" s="1"/>
  <c r="Z28" i="1" a="1"/>
  <c r="Z28" i="1" s="1"/>
  <c r="Z27" i="1" a="1"/>
  <c r="Z27" i="1" s="1"/>
  <c r="Z45" i="1" a="1"/>
  <c r="Z45" i="1" s="1"/>
  <c r="Z6" i="1" a="1"/>
  <c r="Z6" i="1" s="1"/>
  <c r="Z43" i="1" a="1"/>
  <c r="Z43" i="1" s="1"/>
  <c r="Z23" i="1" a="1"/>
  <c r="Z23" i="1" s="1"/>
  <c r="Z57" i="1" a="1"/>
  <c r="Z57" i="1" s="1"/>
  <c r="Z38" i="1" a="1"/>
  <c r="Z38" i="1" s="1"/>
  <c r="Z19" i="1" a="1"/>
  <c r="Z19" i="1" s="1"/>
  <c r="Z56" i="1" a="1"/>
  <c r="Z56" i="1" s="1"/>
  <c r="Z37" i="1" a="1"/>
  <c r="Z37" i="1" s="1"/>
  <c r="Z18" i="1" a="1"/>
  <c r="Z18" i="1" s="1"/>
  <c r="Z55" i="1" a="1"/>
  <c r="Z55" i="1" s="1"/>
  <c r="Z36" i="1" a="1"/>
  <c r="Z36" i="1" s="1"/>
  <c r="Z17" i="1" a="1"/>
  <c r="Z17" i="1" s="1"/>
  <c r="Z16" i="1" a="1"/>
  <c r="Z16" i="1" s="1"/>
  <c r="Z54" i="1" a="1"/>
  <c r="Z54" i="1" s="1"/>
  <c r="Z35" i="1" a="1"/>
  <c r="Z35" i="1" s="1"/>
  <c r="Z15" i="1" a="1"/>
  <c r="Z15" i="1" s="1"/>
  <c r="Z53" i="1" a="1"/>
  <c r="Z53" i="1" s="1"/>
  <c r="Z34" i="1" a="1"/>
  <c r="Z34" i="1" s="1"/>
  <c r="Z14" i="1" a="1"/>
  <c r="Z14" i="1" s="1"/>
  <c r="Z52" i="1" a="1"/>
  <c r="Z52" i="1" s="1"/>
  <c r="Z33" i="1" a="1"/>
  <c r="Z33" i="1" s="1"/>
  <c r="Z51" i="1" a="1"/>
  <c r="Z51" i="1" s="1"/>
  <c r="Z13" i="1" a="1"/>
  <c r="Z13" i="1" s="1"/>
  <c r="Z32" i="1" a="1"/>
  <c r="Z32" i="1" s="1"/>
  <c r="Z12" i="1" a="1"/>
  <c r="Z12" i="1" s="1"/>
  <c r="Z11" i="1" a="1"/>
  <c r="Z11" i="1" s="1"/>
  <c r="Z30" i="1" a="1"/>
  <c r="Z30" i="1" s="1"/>
  <c r="Z10" i="1" a="1"/>
  <c r="Z10" i="1" s="1"/>
  <c r="Z9" i="1" a="1"/>
  <c r="Z9" i="1" s="1"/>
  <c r="Z8" i="1" a="1"/>
  <c r="Z8" i="1" s="1"/>
  <c r="Z25" i="1" a="1"/>
  <c r="Z25" i="1" s="1"/>
  <c r="Z44" i="1" a="1"/>
  <c r="Z44" i="1" s="1"/>
  <c r="Z4" i="1" a="1"/>
  <c r="Z4" i="1" s="1"/>
  <c r="Z3" i="1" a="1"/>
  <c r="Z3" i="1" s="1"/>
  <c r="F54" i="29" a="1"/>
  <c r="F54" i="29" s="1"/>
  <c r="F33" i="29" a="1"/>
  <c r="F33" i="29" s="1"/>
  <c r="F11" i="29" a="1"/>
  <c r="F11" i="29" s="1"/>
  <c r="F37" i="29" a="1"/>
  <c r="F37" i="29" s="1"/>
  <c r="F53" i="29" a="1"/>
  <c r="F53" i="29" s="1"/>
  <c r="F32" i="29" a="1"/>
  <c r="F32" i="29" s="1"/>
  <c r="F10" i="29" a="1"/>
  <c r="F10" i="29" s="1"/>
  <c r="F6" i="29" a="1"/>
  <c r="F6" i="29" s="1"/>
  <c r="F52" i="29" a="1"/>
  <c r="F52" i="29" s="1"/>
  <c r="F31" i="29" a="1"/>
  <c r="F31" i="29" s="1"/>
  <c r="F9" i="29" a="1"/>
  <c r="F9" i="29" s="1"/>
  <c r="F8" i="29" a="1"/>
  <c r="F8" i="29" s="1"/>
  <c r="F7" i="29" a="1"/>
  <c r="F7" i="29" s="1"/>
  <c r="F58" i="29" a="1"/>
  <c r="F58" i="29" s="1"/>
  <c r="F34" i="29" a="1"/>
  <c r="F34" i="29" s="1"/>
  <c r="F51" i="29" a="1"/>
  <c r="F51" i="29" s="1"/>
  <c r="F30" i="29" a="1"/>
  <c r="F30" i="29" s="1"/>
  <c r="F23" i="29" a="1"/>
  <c r="F23" i="29" s="1"/>
  <c r="F50" i="29" a="1"/>
  <c r="F50" i="29" s="1"/>
  <c r="F29" i="29" a="1"/>
  <c r="F29" i="29" s="1"/>
  <c r="F13" i="29" a="1"/>
  <c r="F13" i="29" s="1"/>
  <c r="F49" i="29" a="1"/>
  <c r="F49" i="29" s="1"/>
  <c r="F28" i="29" a="1"/>
  <c r="F28" i="29" s="1"/>
  <c r="F55" i="29" a="1"/>
  <c r="F55" i="29" s="1"/>
  <c r="F48" i="29" a="1"/>
  <c r="F48" i="29" s="1"/>
  <c r="F27" i="29" a="1"/>
  <c r="F27" i="29" s="1"/>
  <c r="F5" i="29" a="1"/>
  <c r="F5" i="29" s="1"/>
  <c r="F26" i="29" a="1"/>
  <c r="F26" i="29" s="1"/>
  <c r="F24" i="29" a="1"/>
  <c r="F24" i="29" s="1"/>
  <c r="F36" i="29" a="1"/>
  <c r="F36" i="29" s="1"/>
  <c r="F47" i="29" a="1"/>
  <c r="F47" i="29" s="1"/>
  <c r="F25" i="29" a="1"/>
  <c r="F25" i="29" s="1"/>
  <c r="F46" i="29" a="1"/>
  <c r="F46" i="29" s="1"/>
  <c r="F45" i="29" a="1"/>
  <c r="F45" i="29" s="1"/>
  <c r="F44" i="29" a="1"/>
  <c r="F44" i="29" s="1"/>
  <c r="F14" i="29" a="1"/>
  <c r="F14" i="29" s="1"/>
  <c r="F12" i="29" a="1"/>
  <c r="F12" i="29" s="1"/>
  <c r="F22" i="29" a="1"/>
  <c r="F22" i="29" s="1"/>
  <c r="F35" i="29" a="1"/>
  <c r="F35" i="29" s="1"/>
  <c r="F43" i="29" a="1"/>
  <c r="F43" i="29" s="1"/>
  <c r="F21" i="29" a="1"/>
  <c r="F21" i="29" s="1"/>
  <c r="F42" i="29" a="1"/>
  <c r="F42" i="29" s="1"/>
  <c r="F20" i="29" a="1"/>
  <c r="F20" i="29" s="1"/>
  <c r="F19" i="29" a="1"/>
  <c r="F19" i="29" s="1"/>
  <c r="F40" i="29" a="1"/>
  <c r="F40" i="29" s="1"/>
  <c r="F18" i="29" a="1"/>
  <c r="F18" i="29" s="1"/>
  <c r="F39" i="29" a="1"/>
  <c r="F39" i="29" s="1"/>
  <c r="F17" i="29" a="1"/>
  <c r="F17" i="29" s="1"/>
  <c r="F38" i="29" a="1"/>
  <c r="F38" i="29" s="1"/>
  <c r="F16" i="29" a="1"/>
  <c r="F16" i="29" s="1"/>
  <c r="F15" i="29" a="1"/>
  <c r="F15" i="29" s="1"/>
  <c r="F56" i="29" a="1"/>
  <c r="F56" i="29" s="1"/>
  <c r="F62" i="29" a="1"/>
  <c r="F62" i="29" s="1"/>
  <c r="F41" i="29" a="1"/>
  <c r="F41" i="29" s="1"/>
  <c r="F61" i="29" a="1"/>
  <c r="F61" i="29" s="1"/>
  <c r="F60" i="29" a="1"/>
  <c r="F60" i="29" s="1"/>
  <c r="F59" i="29" a="1"/>
  <c r="F59" i="29" s="1"/>
  <c r="F57" i="29" a="1"/>
  <c r="F57" i="29" s="1"/>
  <c r="N292" i="1" a="1"/>
  <c r="N292" i="1" s="1"/>
  <c r="O292" i="1"/>
  <c r="O252" i="1"/>
  <c r="N252" i="1" a="1"/>
  <c r="N252" i="1" s="1"/>
  <c r="N337" i="1" a="1"/>
  <c r="N337" i="1" s="1"/>
  <c r="O337" i="1"/>
  <c r="N38" i="1" a="1"/>
  <c r="N38" i="1" s="1"/>
  <c r="O239" i="1"/>
  <c r="N239" i="1" a="1"/>
  <c r="N239" i="1" s="1"/>
  <c r="N30" i="1" a="1"/>
  <c r="N30" i="1" s="1"/>
  <c r="O30" i="1"/>
  <c r="O275" i="1"/>
  <c r="N275" i="1" a="1"/>
  <c r="N275" i="1" s="1"/>
  <c r="N34" i="1" a="1"/>
  <c r="N34" i="1" s="1"/>
  <c r="O138" i="1"/>
  <c r="N138" i="1" a="1"/>
  <c r="N138" i="1" s="1"/>
  <c r="O110" i="1"/>
  <c r="N110" i="1" a="1"/>
  <c r="N110" i="1" s="1"/>
  <c r="N70" i="1" a="1"/>
  <c r="N70" i="1" s="1"/>
  <c r="O70" i="1"/>
  <c r="O354" i="1"/>
  <c r="N354" i="1" a="1"/>
  <c r="N354" i="1" s="1"/>
  <c r="N141" i="1" a="1"/>
  <c r="N141" i="1" s="1"/>
  <c r="O141" i="1"/>
  <c r="O65" i="1"/>
  <c r="N65" i="1" a="1"/>
  <c r="N65" i="1" s="1"/>
  <c r="O341" i="1"/>
  <c r="N341" i="1" a="1"/>
  <c r="N341" i="1" s="1"/>
  <c r="N97" i="1" a="1"/>
  <c r="N97" i="1" s="1"/>
  <c r="O97" i="1"/>
  <c r="O187" i="1"/>
  <c r="N187" i="1" a="1"/>
  <c r="N187" i="1" s="1"/>
  <c r="N389" i="1" a="1"/>
  <c r="N389" i="1" s="1"/>
  <c r="O389" i="1"/>
  <c r="O253" i="1"/>
  <c r="N253" i="1" a="1"/>
  <c r="N253" i="1" s="1"/>
  <c r="N6" i="1" a="1"/>
  <c r="N6" i="1" s="1"/>
  <c r="N336" i="1" a="1"/>
  <c r="N336" i="1" s="1"/>
  <c r="O336" i="1"/>
  <c r="N377" i="1" a="1"/>
  <c r="N377" i="1" s="1"/>
  <c r="O377" i="1"/>
  <c r="N129" i="1" a="1"/>
  <c r="N129" i="1" s="1"/>
  <c r="O129" i="1"/>
  <c r="O165" i="1"/>
  <c r="N165" i="1" a="1"/>
  <c r="N165" i="1" s="1"/>
  <c r="O222" i="1"/>
  <c r="N222" i="1" a="1"/>
  <c r="N222" i="1" s="1"/>
  <c r="N205" i="1" a="1"/>
  <c r="N205" i="1" s="1"/>
  <c r="O205" i="1"/>
  <c r="O260" i="1"/>
  <c r="N260" i="1" a="1"/>
  <c r="N260" i="1" s="1"/>
  <c r="O36" i="1"/>
  <c r="N36" i="1" a="1"/>
  <c r="N36" i="1" s="1"/>
  <c r="N71" i="1" a="1"/>
  <c r="N71" i="1" s="1"/>
  <c r="O71" i="1"/>
  <c r="N59" i="1" a="1"/>
  <c r="N59" i="1" s="1"/>
  <c r="O219" i="1"/>
  <c r="N219" i="1" a="1"/>
  <c r="N219" i="1" s="1"/>
  <c r="O101" i="1"/>
  <c r="N101" i="1" a="1"/>
  <c r="N101" i="1" s="1"/>
  <c r="O182" i="1"/>
  <c r="N182" i="1" a="1"/>
  <c r="N182" i="1" s="1"/>
  <c r="O208" i="1"/>
  <c r="N208" i="1" a="1"/>
  <c r="N208" i="1" s="1"/>
  <c r="O387" i="1"/>
  <c r="N387" i="1" a="1"/>
  <c r="N387" i="1" s="1"/>
  <c r="O147" i="1"/>
  <c r="N147" i="1" a="1"/>
  <c r="N147" i="1" s="1"/>
  <c r="O304" i="1"/>
  <c r="N304" i="1" a="1"/>
  <c r="N304" i="1" s="1"/>
  <c r="N331" i="1" a="1"/>
  <c r="N331" i="1" s="1"/>
  <c r="O331" i="1"/>
  <c r="N382" i="1" a="1"/>
  <c r="N382" i="1" s="1"/>
  <c r="O382" i="1"/>
  <c r="N12" i="1" a="1"/>
  <c r="N12" i="1" s="1"/>
  <c r="O267" i="1"/>
  <c r="N267" i="1" a="1"/>
  <c r="N267" i="1" s="1"/>
  <c r="N246" i="1" a="1"/>
  <c r="N246" i="1" s="1"/>
  <c r="O246" i="1"/>
  <c r="N206" i="1" a="1"/>
  <c r="N206" i="1" s="1"/>
  <c r="O206" i="1"/>
  <c r="N140" i="1" a="1"/>
  <c r="N140" i="1" s="1"/>
  <c r="O140" i="1"/>
  <c r="N216" i="1" a="1"/>
  <c r="N216" i="1" s="1"/>
  <c r="O216" i="1"/>
  <c r="N343" i="1" a="1"/>
  <c r="N343" i="1" s="1"/>
  <c r="O343" i="1"/>
  <c r="N257" i="1" a="1"/>
  <c r="N257" i="1" s="1"/>
  <c r="O257" i="1"/>
  <c r="O145" i="1"/>
  <c r="N145" i="1" a="1"/>
  <c r="N145" i="1" s="1"/>
  <c r="N213" i="1" a="1"/>
  <c r="N213" i="1" s="1"/>
  <c r="O213" i="1"/>
  <c r="O57" i="1"/>
  <c r="N57" i="1" a="1"/>
  <c r="N57" i="1" s="1"/>
  <c r="N203" i="1" a="1"/>
  <c r="N203" i="1" s="1"/>
  <c r="O203" i="1"/>
  <c r="N349" i="1" a="1"/>
  <c r="N349" i="1" s="1"/>
  <c r="O349" i="1"/>
  <c r="N345" i="1" a="1"/>
  <c r="N345" i="1" s="1"/>
  <c r="O345" i="1"/>
  <c r="O322" i="1"/>
  <c r="N322" i="1" a="1"/>
  <c r="N322" i="1" s="1"/>
  <c r="O220" i="1"/>
  <c r="N220" i="1" a="1"/>
  <c r="N220" i="1" s="1"/>
  <c r="N88" i="1" a="1"/>
  <c r="N88" i="1" s="1"/>
  <c r="O88" i="1"/>
  <c r="N156" i="1" a="1"/>
  <c r="N156" i="1" s="1"/>
  <c r="O156" i="1"/>
  <c r="N338" i="1" a="1"/>
  <c r="N338" i="1" s="1"/>
  <c r="O338" i="1"/>
  <c r="O181" i="1"/>
  <c r="N181" i="1" a="1"/>
  <c r="N181" i="1" s="1"/>
  <c r="N273" i="1" a="1"/>
  <c r="N273" i="1" s="1"/>
  <c r="O273" i="1"/>
  <c r="O109" i="1"/>
  <c r="N109" i="1" a="1"/>
  <c r="N109" i="1" s="1"/>
  <c r="N117" i="1" a="1"/>
  <c r="N117" i="1" s="1"/>
  <c r="O117" i="1"/>
  <c r="O139" i="1"/>
  <c r="N139" i="1" a="1"/>
  <c r="N139" i="1" s="1"/>
  <c r="N198" i="1" a="1"/>
  <c r="N198" i="1" s="1"/>
  <c r="O198" i="1"/>
  <c r="O102" i="1"/>
  <c r="N102" i="1" a="1"/>
  <c r="N102" i="1" s="1"/>
  <c r="O151" i="1"/>
  <c r="N151" i="1" a="1"/>
  <c r="N151" i="1" s="1"/>
  <c r="O166" i="1"/>
  <c r="N166" i="1" a="1"/>
  <c r="N166" i="1" s="1"/>
  <c r="N172" i="1" a="1"/>
  <c r="N172" i="1" s="1"/>
  <c r="O172" i="1"/>
  <c r="N378" i="1" a="1"/>
  <c r="N378" i="1" s="1"/>
  <c r="O378" i="1"/>
  <c r="N112" i="1" a="1"/>
  <c r="N112" i="1" s="1"/>
  <c r="O112" i="1"/>
  <c r="N339" i="1" a="1"/>
  <c r="N339" i="1" s="1"/>
  <c r="O339" i="1"/>
  <c r="O266" i="1"/>
  <c r="N266" i="1" a="1"/>
  <c r="N266" i="1" s="1"/>
  <c r="N160" i="1" a="1"/>
  <c r="N160" i="1" s="1"/>
  <c r="O160" i="1"/>
  <c r="O232" i="1"/>
  <c r="N232" i="1" a="1"/>
  <c r="N232" i="1" s="1"/>
  <c r="O99" i="1"/>
  <c r="N99" i="1" a="1"/>
  <c r="N99" i="1" s="1"/>
  <c r="N25" i="1" a="1"/>
  <c r="N25" i="1" s="1"/>
  <c r="O194" i="1"/>
  <c r="N194" i="1" a="1"/>
  <c r="N194" i="1" s="1"/>
  <c r="N170" i="1" a="1"/>
  <c r="N170" i="1" s="1"/>
  <c r="O170" i="1"/>
  <c r="N242" i="1" a="1"/>
  <c r="N242" i="1" s="1"/>
  <c r="O242" i="1"/>
  <c r="O123" i="1"/>
  <c r="N123" i="1" a="1"/>
  <c r="N123" i="1" s="1"/>
  <c r="O281" i="1"/>
  <c r="N281" i="1" a="1"/>
  <c r="N281" i="1" s="1"/>
  <c r="N171" i="1" a="1"/>
  <c r="N171" i="1" s="1"/>
  <c r="O171" i="1"/>
  <c r="N287" i="1" a="1"/>
  <c r="N287" i="1" s="1"/>
  <c r="O287" i="1"/>
  <c r="N55" i="1" a="1"/>
  <c r="N55" i="1" s="1"/>
  <c r="O78" i="1"/>
  <c r="N78" i="1" a="1"/>
  <c r="N78" i="1" s="1"/>
  <c r="O327" i="1"/>
  <c r="N327" i="1" a="1"/>
  <c r="N327" i="1" s="1"/>
  <c r="N300" i="1" a="1"/>
  <c r="N300" i="1" s="1"/>
  <c r="O300" i="1"/>
  <c r="N383" i="1" a="1"/>
  <c r="N383" i="1" s="1"/>
  <c r="O383" i="1"/>
  <c r="N155" i="1" a="1"/>
  <c r="N155" i="1" s="1"/>
  <c r="O155" i="1"/>
  <c r="N361" i="1" a="1"/>
  <c r="N361" i="1" s="1"/>
  <c r="O361" i="1"/>
  <c r="N184" i="1" a="1"/>
  <c r="N184" i="1" s="1"/>
  <c r="O184" i="1"/>
  <c r="N46" i="1" a="1"/>
  <c r="N46" i="1" s="1"/>
  <c r="N344" i="1" a="1"/>
  <c r="N344" i="1" s="1"/>
  <c r="O344" i="1"/>
  <c r="O186" i="1"/>
  <c r="N186" i="1" a="1"/>
  <c r="N186" i="1" s="1"/>
  <c r="O367" i="1"/>
  <c r="N367" i="1" a="1"/>
  <c r="N367" i="1" s="1"/>
  <c r="N154" i="1" a="1"/>
  <c r="N154" i="1" s="1"/>
  <c r="O154" i="1"/>
  <c r="O211" i="1"/>
  <c r="N211" i="1" a="1"/>
  <c r="N211" i="1" s="1"/>
  <c r="O125" i="1"/>
  <c r="N125" i="1" a="1"/>
  <c r="N125" i="1" s="1"/>
  <c r="O197" i="1"/>
  <c r="N197" i="1" a="1"/>
  <c r="N197" i="1" s="1"/>
  <c r="O66" i="1"/>
  <c r="N66" i="1" a="1"/>
  <c r="N66" i="1" s="1"/>
  <c r="N200" i="1" a="1"/>
  <c r="N200" i="1" s="1"/>
  <c r="O200" i="1"/>
  <c r="O106" i="1"/>
  <c r="N106" i="1" a="1"/>
  <c r="N106" i="1" s="1"/>
  <c r="N255" i="1" a="1"/>
  <c r="N255" i="1" s="1"/>
  <c r="O255" i="1"/>
  <c r="O305" i="1"/>
  <c r="N305" i="1" a="1"/>
  <c r="N305" i="1" s="1"/>
  <c r="N20" i="1" a="1"/>
  <c r="N20" i="1" s="1"/>
  <c r="O122" i="1"/>
  <c r="N122" i="1" a="1"/>
  <c r="N122" i="1" s="1"/>
  <c r="N119" i="1" a="1"/>
  <c r="N119" i="1" s="1"/>
  <c r="O119" i="1"/>
  <c r="N16" i="1" a="1"/>
  <c r="N16" i="1" s="1"/>
  <c r="N10" i="1" a="1"/>
  <c r="N10" i="1" s="1"/>
  <c r="O323" i="1"/>
  <c r="N323" i="1" a="1"/>
  <c r="N323" i="1" s="1"/>
  <c r="O279" i="1"/>
  <c r="N279" i="1" a="1"/>
  <c r="N279" i="1" s="1"/>
  <c r="N250" i="1" a="1"/>
  <c r="N250" i="1" s="1"/>
  <c r="O250" i="1"/>
  <c r="O384" i="1"/>
  <c r="N384" i="1" a="1"/>
  <c r="N384" i="1" s="1"/>
  <c r="N270" i="1" a="1"/>
  <c r="N270" i="1" s="1"/>
  <c r="O270" i="1"/>
  <c r="N346" i="1" a="1"/>
  <c r="N346" i="1" s="1"/>
  <c r="O346" i="1"/>
  <c r="O262" i="1"/>
  <c r="N262" i="1" a="1"/>
  <c r="N262" i="1" s="1"/>
  <c r="N317" i="1" a="1"/>
  <c r="N317" i="1" s="1"/>
  <c r="O317" i="1"/>
  <c r="O225" i="1"/>
  <c r="N225" i="1" a="1"/>
  <c r="N225" i="1" s="1"/>
  <c r="O189" i="1"/>
  <c r="N189" i="1" a="1"/>
  <c r="N189" i="1" s="1"/>
  <c r="O196" i="1"/>
  <c r="N196" i="1" a="1"/>
  <c r="N196" i="1" s="1"/>
  <c r="N360" i="1" a="1"/>
  <c r="N360" i="1" s="1"/>
  <c r="O360" i="1"/>
  <c r="N215" i="1" a="1"/>
  <c r="N215" i="1" s="1"/>
  <c r="O215" i="1"/>
  <c r="N175" i="1" a="1"/>
  <c r="N175" i="1" s="1"/>
  <c r="O175" i="1"/>
  <c r="O167" i="1"/>
  <c r="N167" i="1" a="1"/>
  <c r="N167" i="1" s="1"/>
  <c r="N132" i="1" a="1"/>
  <c r="N132" i="1" s="1"/>
  <c r="O132" i="1"/>
  <c r="O385" i="1"/>
  <c r="N385" i="1" a="1"/>
  <c r="N385" i="1" s="1"/>
  <c r="O190" i="1"/>
  <c r="N190" i="1" a="1"/>
  <c r="N190" i="1" s="1"/>
  <c r="O277" i="1"/>
  <c r="N277" i="1" a="1"/>
  <c r="N277" i="1" s="1"/>
  <c r="N2" i="1" a="1"/>
  <c r="N2" i="1" s="1"/>
  <c r="Q2" i="1" a="1"/>
  <c r="Q2" i="1" s="1"/>
  <c r="O2" i="1"/>
  <c r="O143" i="1"/>
  <c r="N143" i="1" a="1"/>
  <c r="N143" i="1" s="1"/>
  <c r="O325" i="1"/>
  <c r="N325" i="1" a="1"/>
  <c r="N325" i="1" s="1"/>
  <c r="N7" i="1" a="1"/>
  <c r="N7" i="1" s="1"/>
  <c r="N226" i="1" a="1"/>
  <c r="N226" i="1" s="1"/>
  <c r="O226" i="1"/>
  <c r="N24" i="1" a="1"/>
  <c r="N24" i="1" s="1"/>
  <c r="O24" i="1"/>
  <c r="N328" i="1" a="1"/>
  <c r="N328" i="1" s="1"/>
  <c r="O328" i="1"/>
  <c r="O223" i="1"/>
  <c r="N223" i="1" a="1"/>
  <c r="N223" i="1" s="1"/>
  <c r="O218" i="1"/>
  <c r="N218" i="1" a="1"/>
  <c r="N218" i="1" s="1"/>
  <c r="N272" i="1" a="1"/>
  <c r="N272" i="1" s="1"/>
  <c r="O272" i="1"/>
  <c r="N115" i="1" a="1"/>
  <c r="N115" i="1" s="1"/>
  <c r="O115" i="1"/>
  <c r="O278" i="1"/>
  <c r="N278" i="1" a="1"/>
  <c r="N278" i="1" s="1"/>
  <c r="O209" i="1"/>
  <c r="N209" i="1" a="1"/>
  <c r="N209" i="1" s="1"/>
  <c r="O180" i="1"/>
  <c r="N180" i="1" a="1"/>
  <c r="N180" i="1" s="1"/>
  <c r="N19" i="1" a="1"/>
  <c r="N19" i="1" s="1"/>
  <c r="O61" i="1"/>
  <c r="N61" i="1" a="1"/>
  <c r="N61" i="1" s="1"/>
  <c r="N376" i="1" a="1"/>
  <c r="N376" i="1" s="1"/>
  <c r="O376" i="1"/>
  <c r="O238" i="1"/>
  <c r="N238" i="1" a="1"/>
  <c r="N238" i="1" s="1"/>
  <c r="N298" i="1" a="1"/>
  <c r="N298" i="1" s="1"/>
  <c r="O298" i="1"/>
  <c r="N40" i="1" a="1"/>
  <c r="N40" i="1" s="1"/>
  <c r="N131" i="1" a="1"/>
  <c r="N131" i="1" s="1"/>
  <c r="O131" i="1"/>
  <c r="O188" i="1"/>
  <c r="N188" i="1" a="1"/>
  <c r="N188" i="1" s="1"/>
  <c r="N332" i="1" a="1"/>
  <c r="N332" i="1" s="1"/>
  <c r="O332" i="1"/>
  <c r="N74" i="1" a="1"/>
  <c r="N74" i="1" s="1"/>
  <c r="O74" i="1"/>
  <c r="O230" i="1"/>
  <c r="N230" i="1" a="1"/>
  <c r="N230" i="1" s="1"/>
  <c r="O231" i="1"/>
  <c r="N231" i="1" a="1"/>
  <c r="N231" i="1" s="1"/>
  <c r="O105" i="1"/>
  <c r="N105" i="1" a="1"/>
  <c r="N105" i="1" s="1"/>
  <c r="O142" i="1"/>
  <c r="N142" i="1" a="1"/>
  <c r="N142" i="1" s="1"/>
  <c r="N134" i="1" a="1"/>
  <c r="N134" i="1" s="1"/>
  <c r="O134" i="1"/>
  <c r="N116" i="1" a="1"/>
  <c r="N116" i="1" s="1"/>
  <c r="O116" i="1"/>
  <c r="N214" i="1" a="1"/>
  <c r="N214" i="1" s="1"/>
  <c r="O214" i="1"/>
  <c r="O259" i="1"/>
  <c r="N259" i="1" a="1"/>
  <c r="N259" i="1" s="1"/>
  <c r="N14" i="1" a="1"/>
  <c r="N14" i="1" s="1"/>
  <c r="O164" i="1"/>
  <c r="N164" i="1" a="1"/>
  <c r="N164" i="1" s="1"/>
  <c r="O21" i="1"/>
  <c r="N21" i="1" a="1"/>
  <c r="N21" i="1" s="1"/>
  <c r="O297" i="1"/>
  <c r="N297" i="1" a="1"/>
  <c r="N297" i="1" s="1"/>
  <c r="N35" i="1" a="1"/>
  <c r="N35" i="1" s="1"/>
  <c r="N162" i="1" a="1"/>
  <c r="N162" i="1" s="1"/>
  <c r="O162" i="1"/>
  <c r="O144" i="1"/>
  <c r="N144" i="1" a="1"/>
  <c r="N144" i="1" s="1"/>
  <c r="N359" i="1" a="1"/>
  <c r="N359" i="1" s="1"/>
  <c r="O359" i="1"/>
  <c r="O362" i="1"/>
  <c r="N362" i="1" a="1"/>
  <c r="N362" i="1" s="1"/>
  <c r="N83" i="1" a="1"/>
  <c r="N83" i="1" s="1"/>
  <c r="O83" i="1"/>
  <c r="N258" i="1" a="1"/>
  <c r="N258" i="1" s="1"/>
  <c r="O258" i="1"/>
  <c r="N288" i="1" a="1"/>
  <c r="N288" i="1" s="1"/>
  <c r="O288" i="1"/>
  <c r="N174" i="1" a="1"/>
  <c r="N174" i="1" s="1"/>
  <c r="O174" i="1"/>
  <c r="N299" i="1" a="1"/>
  <c r="N299" i="1" s="1"/>
  <c r="O299" i="1"/>
  <c r="N95" i="1" a="1"/>
  <c r="N95" i="1" s="1"/>
  <c r="O95" i="1"/>
  <c r="N374" i="1" a="1"/>
  <c r="N374" i="1" s="1"/>
  <c r="O374" i="1"/>
  <c r="O68" i="1"/>
  <c r="N68" i="1" a="1"/>
  <c r="N68" i="1" s="1"/>
  <c r="N13" i="1" a="1"/>
  <c r="N13" i="1" s="1"/>
  <c r="O81" i="1"/>
  <c r="N81" i="1" a="1"/>
  <c r="N81" i="1" s="1"/>
  <c r="N204" i="1" a="1"/>
  <c r="N204" i="1" s="1"/>
  <c r="O204" i="1"/>
  <c r="N313" i="1" a="1"/>
  <c r="N313" i="1" s="1"/>
  <c r="O313" i="1"/>
  <c r="O124" i="1"/>
  <c r="N124" i="1" a="1"/>
  <c r="N124" i="1" s="1"/>
  <c r="N3" i="1" a="1"/>
  <c r="N3" i="1" s="1"/>
  <c r="O3" i="1"/>
  <c r="O308" i="1"/>
  <c r="N308" i="1" a="1"/>
  <c r="N308" i="1" s="1"/>
  <c r="O77" i="1"/>
  <c r="N77" i="1" a="1"/>
  <c r="N77" i="1" s="1"/>
  <c r="O388" i="1"/>
  <c r="N388" i="1" a="1"/>
  <c r="N388" i="1" s="1"/>
  <c r="N333" i="1" a="1"/>
  <c r="N333" i="1" s="1"/>
  <c r="O333" i="1"/>
  <c r="N18" i="1" a="1"/>
  <c r="N18" i="1" s="1"/>
  <c r="N301" i="1" a="1"/>
  <c r="N301" i="1" s="1"/>
  <c r="O301" i="1"/>
  <c r="O369" i="1"/>
  <c r="N369" i="1" a="1"/>
  <c r="N369" i="1" s="1"/>
  <c r="N201" i="1" a="1"/>
  <c r="N201" i="1" s="1"/>
  <c r="O201" i="1"/>
  <c r="N291" i="1" a="1"/>
  <c r="N291" i="1" s="1"/>
  <c r="O291" i="1"/>
  <c r="N256" i="1" a="1"/>
  <c r="N256" i="1" s="1"/>
  <c r="O256" i="1"/>
  <c r="O364" i="1"/>
  <c r="N364" i="1" a="1"/>
  <c r="N364" i="1" s="1"/>
  <c r="O356" i="1"/>
  <c r="N356" i="1" a="1"/>
  <c r="N356" i="1" s="1"/>
  <c r="N289" i="1" a="1"/>
  <c r="N289" i="1" s="1"/>
  <c r="O289" i="1"/>
  <c r="N11" i="1" a="1"/>
  <c r="N11" i="1" s="1"/>
  <c r="N177" i="1" a="1"/>
  <c r="N177" i="1" s="1"/>
  <c r="O177" i="1"/>
  <c r="N329" i="1" a="1"/>
  <c r="N329" i="1" s="1"/>
  <c r="O329" i="1"/>
  <c r="O236" i="1"/>
  <c r="N236" i="1" a="1"/>
  <c r="N236" i="1" s="1"/>
  <c r="O60" i="1"/>
  <c r="N60" i="1" a="1"/>
  <c r="N60" i="1" s="1"/>
  <c r="N29" i="1" a="1"/>
  <c r="N29" i="1" s="1"/>
  <c r="O96" i="1"/>
  <c r="N96" i="1" a="1"/>
  <c r="N96" i="1" s="1"/>
  <c r="O371" i="1"/>
  <c r="N371" i="1" a="1"/>
  <c r="N371" i="1" s="1"/>
  <c r="N290" i="1" a="1"/>
  <c r="N290" i="1" s="1"/>
  <c r="O290" i="1"/>
  <c r="O312" i="1"/>
  <c r="N312" i="1" a="1"/>
  <c r="N312" i="1" s="1"/>
  <c r="N41" i="1" a="1"/>
  <c r="N41" i="1" s="1"/>
  <c r="O58" i="1"/>
  <c r="N58" i="1" a="1"/>
  <c r="N58" i="1" s="1"/>
  <c r="N381" i="1" a="1"/>
  <c r="N381" i="1" s="1"/>
  <c r="O381" i="1"/>
  <c r="O261" i="1"/>
  <c r="N261" i="1" a="1"/>
  <c r="N261" i="1" s="1"/>
  <c r="O104" i="1"/>
  <c r="N104" i="1" a="1"/>
  <c r="N104" i="1" s="1"/>
  <c r="O100" i="1"/>
  <c r="N100" i="1" a="1"/>
  <c r="N100" i="1" s="1"/>
  <c r="O357" i="1"/>
  <c r="N357" i="1" a="1"/>
  <c r="N357" i="1" s="1"/>
  <c r="N37" i="1" a="1"/>
  <c r="N37" i="1" s="1"/>
  <c r="N39" i="1" a="1"/>
  <c r="N39" i="1" s="1"/>
  <c r="O309" i="1"/>
  <c r="N309" i="1" a="1"/>
  <c r="N309" i="1" s="1"/>
  <c r="O326" i="1"/>
  <c r="N326" i="1" a="1"/>
  <c r="N326" i="1" s="1"/>
  <c r="O193" i="1"/>
  <c r="N193" i="1" a="1"/>
  <c r="N193" i="1" s="1"/>
  <c r="N84" i="1" a="1"/>
  <c r="N84" i="1" s="1"/>
  <c r="O84" i="1"/>
  <c r="N227" i="1" a="1"/>
  <c r="N227" i="1" s="1"/>
  <c r="O227" i="1"/>
  <c r="O234" i="1"/>
  <c r="N234" i="1" a="1"/>
  <c r="N234" i="1" s="1"/>
  <c r="N158" i="1" a="1"/>
  <c r="N158" i="1" s="1"/>
  <c r="O158" i="1"/>
  <c r="O149" i="1"/>
  <c r="N149" i="1" a="1"/>
  <c r="N149" i="1" s="1"/>
  <c r="N241" i="1" a="1"/>
  <c r="N241" i="1" s="1"/>
  <c r="O241" i="1"/>
  <c r="O370" i="1"/>
  <c r="N370" i="1" a="1"/>
  <c r="N370" i="1" s="1"/>
  <c r="O221" i="1"/>
  <c r="N221" i="1" a="1"/>
  <c r="N221" i="1" s="1"/>
  <c r="N135" i="1" a="1"/>
  <c r="N135" i="1" s="1"/>
  <c r="O135" i="1"/>
  <c r="N334" i="1" a="1"/>
  <c r="N334" i="1" s="1"/>
  <c r="O334" i="1"/>
  <c r="N23" i="1" a="1"/>
  <c r="N23" i="1" s="1"/>
  <c r="N4" i="1" a="1"/>
  <c r="N4" i="1" s="1"/>
  <c r="N217" i="1" a="1"/>
  <c r="N217" i="1" s="1"/>
  <c r="O217" i="1"/>
  <c r="N26" i="1" a="1"/>
  <c r="N26" i="1" s="1"/>
  <c r="N90" i="1" a="1"/>
  <c r="N90" i="1" s="1"/>
  <c r="O90" i="1"/>
  <c r="O342" i="1"/>
  <c r="N342" i="1" a="1"/>
  <c r="N342" i="1" s="1"/>
  <c r="O224" i="1"/>
  <c r="N224" i="1" a="1"/>
  <c r="N224" i="1" s="1"/>
  <c r="N240" i="1" a="1"/>
  <c r="N240" i="1" s="1"/>
  <c r="O240" i="1"/>
  <c r="N244" i="1" a="1"/>
  <c r="N244" i="1" s="1"/>
  <c r="O244" i="1"/>
  <c r="N269" i="1" a="1"/>
  <c r="N269" i="1" s="1"/>
  <c r="O269" i="1"/>
  <c r="O321" i="1"/>
  <c r="N321" i="1" a="1"/>
  <c r="N321" i="1" s="1"/>
  <c r="O366" i="1"/>
  <c r="N366" i="1" a="1"/>
  <c r="N366" i="1" s="1"/>
  <c r="O169" i="1"/>
  <c r="N169" i="1" a="1"/>
  <c r="N169" i="1" s="1"/>
  <c r="N243" i="1" a="1"/>
  <c r="N243" i="1" s="1"/>
  <c r="O243" i="1"/>
  <c r="N87" i="1" a="1"/>
  <c r="N87" i="1" s="1"/>
  <c r="O87" i="1"/>
  <c r="O103" i="1"/>
  <c r="N103" i="1" a="1"/>
  <c r="N103" i="1" s="1"/>
  <c r="N89" i="1" a="1"/>
  <c r="N89" i="1" s="1"/>
  <c r="O89" i="1"/>
  <c r="O352" i="1"/>
  <c r="N352" i="1" a="1"/>
  <c r="N352" i="1" s="1"/>
  <c r="O137" i="1"/>
  <c r="N137" i="1" a="1"/>
  <c r="N137" i="1" s="1"/>
  <c r="N347" i="1" a="1"/>
  <c r="N347" i="1" s="1"/>
  <c r="O347" i="1"/>
  <c r="O120" i="1"/>
  <c r="N120" i="1" a="1"/>
  <c r="N120" i="1" s="1"/>
  <c r="N73" i="1" a="1"/>
  <c r="N73" i="1" s="1"/>
  <c r="O73" i="1"/>
  <c r="N114" i="1" a="1"/>
  <c r="N114" i="1" s="1"/>
  <c r="O114" i="1"/>
  <c r="O363" i="1"/>
  <c r="N363" i="1" a="1"/>
  <c r="N363" i="1" s="1"/>
  <c r="N136" i="1" a="1"/>
  <c r="N136" i="1" s="1"/>
  <c r="O136" i="1"/>
  <c r="O52" i="1"/>
  <c r="N52" i="1" a="1"/>
  <c r="N52" i="1" s="1"/>
  <c r="N348" i="1" a="1"/>
  <c r="N348" i="1" s="1"/>
  <c r="O348" i="1"/>
  <c r="O150" i="1"/>
  <c r="N150" i="1" a="1"/>
  <c r="N150" i="1" s="1"/>
  <c r="N248" i="1" a="1"/>
  <c r="N248" i="1" s="1"/>
  <c r="O248" i="1"/>
  <c r="O107" i="1"/>
  <c r="N107" i="1" a="1"/>
  <c r="N107" i="1" s="1"/>
  <c r="O108" i="1"/>
  <c r="N108" i="1" a="1"/>
  <c r="N108" i="1" s="1"/>
  <c r="N133" i="1" a="1"/>
  <c r="N133" i="1" s="1"/>
  <c r="O133" i="1"/>
  <c r="N390" i="1" a="1"/>
  <c r="N390" i="1" s="1"/>
  <c r="O390" i="1"/>
  <c r="N163" i="1" a="1"/>
  <c r="N163" i="1" s="1"/>
  <c r="O163" i="1"/>
  <c r="N94" i="1" a="1"/>
  <c r="N94" i="1" s="1"/>
  <c r="O94" i="1"/>
  <c r="O268" i="1"/>
  <c r="N268" i="1" a="1"/>
  <c r="N268" i="1" s="1"/>
  <c r="O178" i="1"/>
  <c r="N178" i="1" a="1"/>
  <c r="N178" i="1" s="1"/>
  <c r="N113" i="1" a="1"/>
  <c r="N113" i="1" s="1"/>
  <c r="O113" i="1"/>
  <c r="N315" i="1" a="1"/>
  <c r="N315" i="1" s="1"/>
  <c r="O315" i="1"/>
  <c r="O63" i="1"/>
  <c r="N63" i="1" a="1"/>
  <c r="N63" i="1" s="1"/>
  <c r="N128" i="1" a="1"/>
  <c r="N128" i="1" s="1"/>
  <c r="O128" i="1"/>
  <c r="N47" i="1" a="1"/>
  <c r="N47" i="1" s="1"/>
  <c r="N8" i="1" a="1"/>
  <c r="N8" i="1" s="1"/>
  <c r="O8" i="1"/>
  <c r="O64" i="1"/>
  <c r="N64" i="1" a="1"/>
  <c r="N64" i="1" s="1"/>
  <c r="N9" i="1" a="1"/>
  <c r="N9" i="1" s="1"/>
  <c r="O353" i="1"/>
  <c r="N353" i="1" a="1"/>
  <c r="N353" i="1" s="1"/>
  <c r="O368" i="1"/>
  <c r="N368" i="1" a="1"/>
  <c r="N368" i="1" s="1"/>
  <c r="O340" i="1"/>
  <c r="N340" i="1" a="1"/>
  <c r="N340" i="1" s="1"/>
  <c r="O306" i="1"/>
  <c r="N306" i="1" a="1"/>
  <c r="N306" i="1" s="1"/>
  <c r="O210" i="1"/>
  <c r="N210" i="1" a="1"/>
  <c r="N210" i="1" s="1"/>
  <c r="N295" i="1" a="1"/>
  <c r="N295" i="1" s="1"/>
  <c r="O295" i="1"/>
  <c r="N271" i="1" a="1"/>
  <c r="N271" i="1" s="1"/>
  <c r="O271" i="1"/>
  <c r="O152" i="1"/>
  <c r="N152" i="1" a="1"/>
  <c r="N152" i="1" s="1"/>
  <c r="N56" i="1" a="1"/>
  <c r="N56" i="1" s="1"/>
  <c r="N294" i="1" a="1"/>
  <c r="N294" i="1" s="1"/>
  <c r="O294" i="1"/>
  <c r="N45" i="1" a="1"/>
  <c r="N45" i="1" s="1"/>
  <c r="N43" i="1" a="1"/>
  <c r="N43" i="1" s="1"/>
  <c r="N358" i="1" a="1"/>
  <c r="N358" i="1" s="1"/>
  <c r="O358" i="1"/>
  <c r="N33" i="1" a="1"/>
  <c r="N33" i="1" s="1"/>
  <c r="N251" i="1" a="1"/>
  <c r="N251" i="1" s="1"/>
  <c r="O251" i="1"/>
  <c r="O264" i="1"/>
  <c r="N264" i="1" a="1"/>
  <c r="N264" i="1" s="1"/>
  <c r="N85" i="1" a="1"/>
  <c r="N85" i="1" s="1"/>
  <c r="O85" i="1"/>
  <c r="O311" i="1"/>
  <c r="N311" i="1" a="1"/>
  <c r="N311" i="1" s="1"/>
  <c r="N157" i="1" a="1"/>
  <c r="N157" i="1" s="1"/>
  <c r="O157" i="1"/>
  <c r="O351" i="1"/>
  <c r="N351" i="1" a="1"/>
  <c r="N351" i="1" s="1"/>
  <c r="O319" i="1"/>
  <c r="N319" i="1" a="1"/>
  <c r="N319" i="1" s="1"/>
  <c r="N32" i="1" a="1"/>
  <c r="N32" i="1" s="1"/>
  <c r="N28" i="1" a="1"/>
  <c r="N28" i="1" s="1"/>
  <c r="O121" i="1"/>
  <c r="N121" i="1" a="1"/>
  <c r="N121" i="1" s="1"/>
  <c r="N335" i="1" a="1"/>
  <c r="N335" i="1" s="1"/>
  <c r="O335" i="1"/>
  <c r="N27" i="1" a="1"/>
  <c r="N27" i="1" s="1"/>
  <c r="O76" i="1"/>
  <c r="N76" i="1" a="1"/>
  <c r="N76" i="1" s="1"/>
  <c r="N126" i="1" a="1"/>
  <c r="N126" i="1" s="1"/>
  <c r="O126" i="1"/>
  <c r="N207" i="1" a="1"/>
  <c r="N207" i="1" s="1"/>
  <c r="O207" i="1"/>
  <c r="O365" i="1"/>
  <c r="N365" i="1" a="1"/>
  <c r="N365" i="1" s="1"/>
  <c r="N285" i="1" a="1"/>
  <c r="N285" i="1" s="1"/>
  <c r="O285" i="1"/>
  <c r="O318" i="1"/>
  <c r="N318" i="1" a="1"/>
  <c r="N318" i="1" s="1"/>
  <c r="O373" i="1"/>
  <c r="N373" i="1" a="1"/>
  <c r="N373" i="1" s="1"/>
  <c r="N69" i="1" a="1"/>
  <c r="N69" i="1" s="1"/>
  <c r="O69" i="1"/>
  <c r="N286" i="1" a="1"/>
  <c r="N286" i="1" s="1"/>
  <c r="O286" i="1"/>
  <c r="O235" i="1"/>
  <c r="N235" i="1" a="1"/>
  <c r="N235" i="1" s="1"/>
  <c r="N75" i="1" a="1"/>
  <c r="N75" i="1" s="1"/>
  <c r="O75" i="1"/>
  <c r="N159" i="1" a="1"/>
  <c r="N159" i="1" s="1"/>
  <c r="O159" i="1"/>
  <c r="O386" i="1"/>
  <c r="N386" i="1" a="1"/>
  <c r="N386" i="1" s="1"/>
  <c r="O62" i="1"/>
  <c r="N62" i="1" a="1"/>
  <c r="N62" i="1" s="1"/>
  <c r="O17" i="1"/>
  <c r="N17" i="1" a="1"/>
  <c r="N17" i="1" s="1"/>
  <c r="N161" i="1" a="1"/>
  <c r="N161" i="1" s="1"/>
  <c r="O161" i="1"/>
  <c r="N176" i="1" a="1"/>
  <c r="N176" i="1" s="1"/>
  <c r="O176" i="1"/>
  <c r="O79" i="1"/>
  <c r="N79" i="1" a="1"/>
  <c r="N79" i="1" s="1"/>
  <c r="O82" i="1"/>
  <c r="N82" i="1" a="1"/>
  <c r="N82" i="1" s="1"/>
  <c r="O265" i="1"/>
  <c r="N265" i="1" a="1"/>
  <c r="N265" i="1" s="1"/>
  <c r="N173" i="1" a="1"/>
  <c r="N173" i="1" s="1"/>
  <c r="O173" i="1"/>
  <c r="N314" i="1" a="1"/>
  <c r="N314" i="1" s="1"/>
  <c r="O314" i="1"/>
  <c r="O153" i="1"/>
  <c r="N153" i="1" a="1"/>
  <c r="N153" i="1" s="1"/>
  <c r="N92" i="1" a="1"/>
  <c r="N92" i="1" s="1"/>
  <c r="O92" i="1"/>
  <c r="N48" i="1" a="1"/>
  <c r="N48" i="1" s="1"/>
  <c r="O191" i="1"/>
  <c r="N191" i="1" a="1"/>
  <c r="N191" i="1" s="1"/>
  <c r="O111" i="1"/>
  <c r="N111" i="1" a="1"/>
  <c r="N111" i="1" s="1"/>
  <c r="O233" i="1"/>
  <c r="N233" i="1" a="1"/>
  <c r="N233" i="1" s="1"/>
  <c r="N15" i="1" a="1"/>
  <c r="N15" i="1" s="1"/>
  <c r="N86" i="1" a="1"/>
  <c r="N86" i="1" s="1"/>
  <c r="O86" i="1"/>
  <c r="O296" i="1"/>
  <c r="N296" i="1" a="1"/>
  <c r="N296" i="1" s="1"/>
  <c r="N316" i="1" a="1"/>
  <c r="N316" i="1" s="1"/>
  <c r="O316" i="1"/>
  <c r="N50" i="1" a="1"/>
  <c r="N50" i="1" s="1"/>
  <c r="O372" i="1"/>
  <c r="N372" i="1" a="1"/>
  <c r="N372" i="1" s="1"/>
  <c r="O302" i="1"/>
  <c r="N302" i="1" a="1"/>
  <c r="N302" i="1" s="1"/>
  <c r="O192" i="1"/>
  <c r="N192" i="1" a="1"/>
  <c r="N192" i="1" s="1"/>
  <c r="O276" i="1"/>
  <c r="N276" i="1" a="1"/>
  <c r="N276" i="1" s="1"/>
  <c r="N375" i="1" a="1"/>
  <c r="N375" i="1" s="1"/>
  <c r="O375" i="1"/>
  <c r="N247" i="1" a="1"/>
  <c r="N247" i="1" s="1"/>
  <c r="O247" i="1"/>
  <c r="O303" i="1"/>
  <c r="N303" i="1" a="1"/>
  <c r="N303" i="1" s="1"/>
  <c r="O320" i="1"/>
  <c r="N320" i="1" a="1"/>
  <c r="N320" i="1" s="1"/>
  <c r="O67" i="1"/>
  <c r="N67" i="1" a="1"/>
  <c r="N67" i="1" s="1"/>
  <c r="O355" i="1"/>
  <c r="N355" i="1" a="1"/>
  <c r="N355" i="1" s="1"/>
  <c r="N91" i="1" a="1"/>
  <c r="N91" i="1" s="1"/>
  <c r="O91" i="1"/>
  <c r="N130" i="1" a="1"/>
  <c r="N130" i="1" s="1"/>
  <c r="O130" i="1"/>
  <c r="O179" i="1"/>
  <c r="N179" i="1" a="1"/>
  <c r="N179" i="1" s="1"/>
  <c r="O282" i="1"/>
  <c r="N282" i="1" a="1"/>
  <c r="N282" i="1" s="1"/>
  <c r="O148" i="1"/>
  <c r="N148" i="1" a="1"/>
  <c r="N148" i="1" s="1"/>
  <c r="N31" i="1" a="1"/>
  <c r="N31" i="1" s="1"/>
  <c r="O31" i="1"/>
  <c r="N249" i="1" a="1"/>
  <c r="N249" i="1" s="1"/>
  <c r="O249" i="1"/>
  <c r="N212" i="1" a="1"/>
  <c r="N212" i="1" s="1"/>
  <c r="O212" i="1"/>
  <c r="N391" i="1" a="1"/>
  <c r="N391" i="1" s="1"/>
  <c r="O391" i="1"/>
  <c r="N118" i="1" a="1"/>
  <c r="N118" i="1" s="1"/>
  <c r="O118" i="1"/>
  <c r="N245" i="1" a="1"/>
  <c r="N245" i="1" s="1"/>
  <c r="O245" i="1"/>
  <c r="O183" i="1"/>
  <c r="N183" i="1" a="1"/>
  <c r="N183" i="1" s="1"/>
  <c r="O350" i="1"/>
  <c r="N350" i="1" a="1"/>
  <c r="N350" i="1" s="1"/>
  <c r="N44" i="1" a="1"/>
  <c r="N44" i="1" s="1"/>
  <c r="N51" i="1" a="1"/>
  <c r="N51" i="1" s="1"/>
  <c r="N54" i="1" a="1"/>
  <c r="N54" i="1" s="1"/>
  <c r="N22" i="1" a="1"/>
  <c r="N22" i="1" s="1"/>
  <c r="N228" i="1" a="1"/>
  <c r="N228" i="1" s="1"/>
  <c r="O228" i="1"/>
  <c r="N42" i="1" a="1"/>
  <c r="N42" i="1" s="1"/>
  <c r="N199" i="1" a="1"/>
  <c r="N199" i="1" s="1"/>
  <c r="O199" i="1"/>
  <c r="O274" i="1"/>
  <c r="N274" i="1" a="1"/>
  <c r="N274" i="1" s="1"/>
  <c r="N185" i="1" a="1"/>
  <c r="N185" i="1" s="1"/>
  <c r="O185" i="1"/>
  <c r="O263" i="1"/>
  <c r="N263" i="1" a="1"/>
  <c r="N263" i="1" s="1"/>
  <c r="N293" i="1" a="1"/>
  <c r="N293" i="1" s="1"/>
  <c r="O293" i="1"/>
  <c r="O310" i="1"/>
  <c r="N310" i="1" a="1"/>
  <c r="N310" i="1" s="1"/>
  <c r="N284" i="1" a="1"/>
  <c r="N284" i="1" s="1"/>
  <c r="O284" i="1"/>
  <c r="N49" i="1" a="1"/>
  <c r="N49" i="1" s="1"/>
  <c r="O49" i="1"/>
  <c r="O53" i="1"/>
  <c r="N53" i="1" a="1"/>
  <c r="N53" i="1" s="1"/>
  <c r="O324" i="1"/>
  <c r="N324" i="1" a="1"/>
  <c r="N324" i="1" s="1"/>
  <c r="O280" i="1"/>
  <c r="N280" i="1" a="1"/>
  <c r="N280" i="1" s="1"/>
  <c r="O80" i="1"/>
  <c r="N80" i="1" a="1"/>
  <c r="N80" i="1" s="1"/>
  <c r="O168" i="1"/>
  <c r="N168" i="1" a="1"/>
  <c r="N168" i="1" s="1"/>
  <c r="O237" i="1"/>
  <c r="N237" i="1" a="1"/>
  <c r="N237" i="1" s="1"/>
  <c r="O195" i="1"/>
  <c r="N195" i="1" a="1"/>
  <c r="N195" i="1" s="1"/>
  <c r="N127" i="1" a="1"/>
  <c r="N127" i="1" s="1"/>
  <c r="O127" i="1"/>
  <c r="N202" i="1" a="1"/>
  <c r="N202" i="1" s="1"/>
  <c r="O202" i="1"/>
  <c r="N93" i="1" a="1"/>
  <c r="N93" i="1" s="1"/>
  <c r="O93" i="1"/>
  <c r="N5" i="1" a="1"/>
  <c r="N5" i="1" s="1"/>
  <c r="O5" i="1"/>
  <c r="N283" i="1" a="1"/>
  <c r="N283" i="1" s="1"/>
  <c r="O283" i="1"/>
  <c r="N379" i="1" a="1"/>
  <c r="N379" i="1" s="1"/>
  <c r="O379" i="1"/>
  <c r="O146" i="1"/>
  <c r="N146" i="1" a="1"/>
  <c r="N146" i="1" s="1"/>
  <c r="N72" i="1" a="1"/>
  <c r="N72" i="1" s="1"/>
  <c r="O72" i="1"/>
  <c r="N330" i="1" a="1"/>
  <c r="N330" i="1" s="1"/>
  <c r="O330" i="1"/>
  <c r="O254" i="1"/>
  <c r="N254" i="1" a="1"/>
  <c r="N254" i="1" s="1"/>
  <c r="O98" i="1"/>
  <c r="N98" i="1" a="1"/>
  <c r="N98" i="1" s="1"/>
  <c r="O307" i="1"/>
  <c r="N307" i="1" a="1"/>
  <c r="N307" i="1" s="1"/>
  <c r="N380" i="1" a="1"/>
  <c r="N380" i="1" s="1"/>
  <c r="O380" i="1"/>
  <c r="N229" i="1" a="1"/>
  <c r="N229" i="1" s="1"/>
  <c r="O229" i="1"/>
  <c r="J72" i="1"/>
  <c r="J28" i="1"/>
  <c r="J116" i="1"/>
  <c r="O59" i="1" s="1"/>
  <c r="J27" i="1"/>
  <c r="J386" i="1"/>
  <c r="J342" i="1"/>
  <c r="J298" i="1"/>
  <c r="J232" i="1"/>
  <c r="O13" i="1" s="1"/>
  <c r="J166" i="1"/>
  <c r="J78" i="1"/>
  <c r="J34" i="1"/>
  <c r="J385" i="1"/>
  <c r="J341" i="1"/>
  <c r="J297" i="1"/>
  <c r="J231" i="1"/>
  <c r="J187" i="1"/>
  <c r="J165" i="1"/>
  <c r="J121" i="1"/>
  <c r="J33" i="1"/>
  <c r="O26" i="1" s="1"/>
  <c r="J372" i="1"/>
  <c r="J350" i="1"/>
  <c r="J328" i="1"/>
  <c r="J306" i="1"/>
  <c r="J284" i="1"/>
  <c r="J262" i="1"/>
  <c r="O18" i="1" s="1"/>
  <c r="J240" i="1"/>
  <c r="J218" i="1"/>
  <c r="J196" i="1"/>
  <c r="J174" i="1"/>
  <c r="O41" i="1" s="1"/>
  <c r="J152" i="1"/>
  <c r="J130" i="1"/>
  <c r="J108" i="1"/>
  <c r="J86" i="1"/>
  <c r="O51" i="1" s="1"/>
  <c r="J64" i="1"/>
  <c r="J42" i="1"/>
  <c r="J20" i="1"/>
  <c r="J164" i="1"/>
  <c r="J142" i="1"/>
  <c r="O35" i="1" s="1"/>
  <c r="J120" i="1"/>
  <c r="J382" i="1"/>
  <c r="J118" i="1"/>
  <c r="J30" i="1"/>
  <c r="J8" i="1"/>
  <c r="J285" i="1"/>
  <c r="J153" i="1"/>
  <c r="J307" i="1"/>
  <c r="J109" i="1"/>
  <c r="O56" i="1" s="1"/>
  <c r="J147" i="1"/>
  <c r="J125" i="1"/>
  <c r="J103" i="1"/>
  <c r="J81" i="1"/>
  <c r="J59" i="1"/>
  <c r="J37" i="1"/>
  <c r="J15" i="1"/>
  <c r="J329" i="1"/>
  <c r="J241" i="1"/>
  <c r="J175" i="1"/>
  <c r="J87" i="1"/>
  <c r="J21" i="1"/>
  <c r="J388" i="1"/>
  <c r="J366" i="1"/>
  <c r="J344" i="1"/>
  <c r="J322" i="1"/>
  <c r="J300" i="1"/>
  <c r="J278" i="1"/>
  <c r="J256" i="1"/>
  <c r="J234" i="1"/>
  <c r="J212" i="1"/>
  <c r="O9" i="1" s="1"/>
  <c r="J190" i="1"/>
  <c r="J168" i="1"/>
  <c r="J146" i="1"/>
  <c r="O37" i="1" s="1"/>
  <c r="J124" i="1"/>
  <c r="J102" i="1"/>
  <c r="J80" i="1"/>
  <c r="J58" i="1"/>
  <c r="J36" i="1"/>
  <c r="O29" i="1" s="1"/>
  <c r="J14" i="1"/>
  <c r="J373" i="1"/>
  <c r="J263" i="1"/>
  <c r="O16" i="1" s="1"/>
  <c r="J219" i="1"/>
  <c r="J65" i="1"/>
  <c r="J351" i="1"/>
  <c r="J197" i="1"/>
  <c r="J141" i="1"/>
  <c r="J119" i="1"/>
  <c r="J75" i="1"/>
  <c r="J381" i="1"/>
  <c r="J117" i="1"/>
  <c r="J73" i="1"/>
  <c r="J384" i="1"/>
  <c r="J340" i="1"/>
  <c r="J383" i="1"/>
  <c r="J339" i="1"/>
  <c r="J25" i="1"/>
  <c r="J375" i="1"/>
  <c r="J353" i="1"/>
  <c r="J331" i="1"/>
  <c r="J309" i="1"/>
  <c r="J287" i="1"/>
  <c r="J265" i="1"/>
  <c r="J243" i="1"/>
  <c r="O15" i="1" s="1"/>
  <c r="J221" i="1"/>
  <c r="J199" i="1"/>
  <c r="J177" i="1"/>
  <c r="J133" i="1"/>
  <c r="J111" i="1"/>
  <c r="J89" i="1"/>
  <c r="J67" i="1"/>
  <c r="J45" i="1"/>
  <c r="J23" i="1"/>
  <c r="O20" i="1" s="1"/>
  <c r="J374" i="1"/>
  <c r="J352" i="1"/>
  <c r="J330" i="1"/>
  <c r="J308" i="1"/>
  <c r="J286" i="1"/>
  <c r="J264" i="1"/>
  <c r="J242" i="1"/>
  <c r="O14" i="1" s="1"/>
  <c r="J220" i="1"/>
  <c r="J198" i="1"/>
  <c r="J176" i="1"/>
  <c r="J154" i="1"/>
  <c r="J66" i="1"/>
  <c r="J44" i="1"/>
  <c r="J22" i="1"/>
  <c r="O19" i="1" s="1"/>
  <c r="J371" i="1"/>
  <c r="J349" i="1"/>
  <c r="J327" i="1"/>
  <c r="J305" i="1"/>
  <c r="J283" i="1"/>
  <c r="J261" i="1"/>
  <c r="J239" i="1"/>
  <c r="J217" i="1"/>
  <c r="J195" i="1"/>
  <c r="J173" i="1"/>
  <c r="J151" i="1"/>
  <c r="J129" i="1"/>
  <c r="J107" i="1"/>
  <c r="O55" i="1" s="1"/>
  <c r="J63" i="1"/>
  <c r="O46" i="1" s="1"/>
  <c r="J41" i="1"/>
  <c r="J19" i="1"/>
  <c r="J370" i="1"/>
  <c r="J348" i="1"/>
  <c r="J326" i="1"/>
  <c r="J304" i="1"/>
  <c r="J282" i="1"/>
  <c r="J260" i="1"/>
  <c r="J238" i="1"/>
  <c r="J216" i="1"/>
  <c r="J194" i="1"/>
  <c r="J172" i="1"/>
  <c r="O44" i="1" s="1"/>
  <c r="J150" i="1"/>
  <c r="J128" i="1"/>
  <c r="J106" i="1"/>
  <c r="J84" i="1"/>
  <c r="O50" i="1" s="1"/>
  <c r="J62" i="1"/>
  <c r="J40" i="1"/>
  <c r="J18" i="1"/>
  <c r="O23" i="1" s="1"/>
  <c r="J391" i="1"/>
  <c r="J369" i="1"/>
  <c r="J347" i="1"/>
  <c r="J325" i="1"/>
  <c r="J303" i="1"/>
  <c r="J281" i="1"/>
  <c r="J259" i="1"/>
  <c r="J237" i="1"/>
  <c r="J215" i="1"/>
  <c r="J193" i="1"/>
  <c r="O4" i="1" s="1"/>
  <c r="J171" i="1"/>
  <c r="J149" i="1"/>
  <c r="J127" i="1"/>
  <c r="J105" i="1"/>
  <c r="J83" i="1"/>
  <c r="J61" i="1"/>
  <c r="J39" i="1"/>
  <c r="J17" i="1"/>
  <c r="J390" i="1"/>
  <c r="J368" i="1"/>
  <c r="J346" i="1"/>
  <c r="J324" i="1"/>
  <c r="J302" i="1"/>
  <c r="J280" i="1"/>
  <c r="J258" i="1"/>
  <c r="J236" i="1"/>
  <c r="J214" i="1"/>
  <c r="J192" i="1"/>
  <c r="O7" i="1" s="1"/>
  <c r="J170" i="1"/>
  <c r="J148" i="1"/>
  <c r="J126" i="1"/>
  <c r="J38" i="1"/>
  <c r="J16" i="1"/>
  <c r="J389" i="1"/>
  <c r="J367" i="1"/>
  <c r="J345" i="1"/>
  <c r="J323" i="1"/>
  <c r="J301" i="1"/>
  <c r="J279" i="1"/>
  <c r="J257" i="1"/>
  <c r="J235" i="1"/>
  <c r="J213" i="1"/>
  <c r="O10" i="1" s="1"/>
  <c r="J191" i="1"/>
  <c r="J169" i="1"/>
  <c r="J387" i="1"/>
  <c r="J343" i="1"/>
  <c r="J299" i="1"/>
  <c r="J255" i="1"/>
  <c r="J233" i="1"/>
  <c r="O12" i="1" s="1"/>
  <c r="J211" i="1"/>
  <c r="J189" i="1"/>
  <c r="J167" i="1"/>
  <c r="O43" i="1" s="1"/>
  <c r="J145" i="1"/>
  <c r="J123" i="1"/>
  <c r="O33" i="1" s="1"/>
  <c r="J101" i="1"/>
  <c r="J79" i="1"/>
  <c r="O48" i="1" s="1"/>
  <c r="J35" i="1"/>
  <c r="J13" i="1"/>
  <c r="J94" i="1"/>
  <c r="J91" i="1"/>
  <c r="J88" i="1"/>
  <c r="J11" i="1"/>
  <c r="J9" i="1"/>
  <c r="J115" i="1"/>
  <c r="J10" i="1"/>
  <c r="J140" i="1"/>
  <c r="J32" i="1"/>
  <c r="O25" i="1" s="1"/>
  <c r="J110" i="1"/>
  <c r="J31" i="1"/>
  <c r="J55" i="1"/>
  <c r="J54" i="1"/>
  <c r="J29" i="1"/>
  <c r="J186" i="1"/>
  <c r="O6" i="1" s="1"/>
  <c r="J131" i="1"/>
  <c r="J230" i="1"/>
  <c r="J100" i="1"/>
  <c r="J76" i="1"/>
  <c r="J132" i="1"/>
  <c r="J77" i="1"/>
  <c r="J143" i="1"/>
  <c r="J122" i="1"/>
  <c r="J74" i="1"/>
  <c r="J43" i="1"/>
  <c r="J12" i="1"/>
  <c r="AA29" i="1" l="1"/>
  <c r="AA27" i="1"/>
  <c r="AA26" i="1"/>
  <c r="AA30" i="1"/>
  <c r="AA31" i="1"/>
  <c r="AA28" i="1"/>
  <c r="AA25" i="1"/>
  <c r="AA13" i="1"/>
  <c r="AA11" i="1"/>
  <c r="AA12" i="1"/>
  <c r="AA9" i="1"/>
  <c r="AA10" i="1"/>
  <c r="AA59" i="1"/>
  <c r="AA54" i="1"/>
  <c r="AA52" i="1"/>
  <c r="AA55" i="1"/>
  <c r="AA58" i="1"/>
  <c r="AA53" i="1"/>
  <c r="AA57" i="1"/>
  <c r="AA56" i="1"/>
  <c r="AA22" i="1"/>
  <c r="AA20" i="1"/>
  <c r="AA21" i="1"/>
  <c r="AA23" i="1"/>
  <c r="AA19" i="1"/>
  <c r="AA24" i="1"/>
  <c r="AA18" i="1"/>
  <c r="AA16" i="1"/>
  <c r="AA15" i="1"/>
  <c r="AA14" i="1"/>
  <c r="AA17" i="1"/>
  <c r="AA44" i="1"/>
  <c r="AA42" i="1"/>
  <c r="AA39" i="1"/>
  <c r="AA40" i="1"/>
  <c r="AA43" i="1"/>
  <c r="AA38" i="1"/>
  <c r="AA41" i="1"/>
  <c r="AA37" i="1"/>
  <c r="AA33" i="1"/>
  <c r="AA34" i="1"/>
  <c r="AA32" i="1"/>
  <c r="AA35" i="1"/>
  <c r="AA36" i="1"/>
  <c r="AA2" i="1"/>
  <c r="AA7" i="1"/>
  <c r="AA5" i="1"/>
  <c r="AA3" i="1"/>
  <c r="AA4" i="1"/>
  <c r="AA8" i="1"/>
  <c r="AA6" i="1"/>
  <c r="AA45" i="1"/>
  <c r="AA47" i="1"/>
  <c r="AA48" i="1"/>
  <c r="AA49" i="1"/>
  <c r="AA46" i="1"/>
  <c r="AA50" i="1"/>
  <c r="AA51" i="1"/>
  <c r="G40" i="29"/>
  <c r="G39" i="29"/>
  <c r="G38" i="29"/>
  <c r="G37" i="29"/>
  <c r="G36" i="29"/>
  <c r="G35" i="29"/>
  <c r="G27" i="29"/>
  <c r="G24" i="29"/>
  <c r="G22" i="29"/>
  <c r="G26" i="29"/>
  <c r="G25" i="29"/>
  <c r="G23" i="29"/>
  <c r="G16" i="29"/>
  <c r="G15" i="29"/>
  <c r="G14" i="29"/>
  <c r="G13" i="29"/>
  <c r="G12" i="29"/>
  <c r="G11" i="29"/>
  <c r="G9" i="29"/>
  <c r="G10" i="29"/>
  <c r="G8" i="29"/>
  <c r="G7" i="29"/>
  <c r="G6" i="29"/>
  <c r="G5" i="29"/>
  <c r="G18" i="29"/>
  <c r="G17" i="29"/>
  <c r="G19" i="29"/>
  <c r="G20" i="29"/>
  <c r="G21" i="29"/>
  <c r="G53" i="29"/>
  <c r="G54" i="29"/>
  <c r="G52" i="29"/>
  <c r="G51" i="29"/>
  <c r="G50" i="29"/>
  <c r="G49" i="29"/>
  <c r="G48" i="29"/>
  <c r="G62" i="29"/>
  <c r="G61" i="29"/>
  <c r="G60" i="29"/>
  <c r="G59" i="29"/>
  <c r="G58" i="29"/>
  <c r="G57" i="29"/>
  <c r="G56" i="29"/>
  <c r="G55" i="29"/>
  <c r="G42" i="29"/>
  <c r="G41" i="29"/>
  <c r="G47" i="29"/>
  <c r="G46" i="29"/>
  <c r="G45" i="29"/>
  <c r="G44" i="29"/>
  <c r="G43" i="29"/>
  <c r="G34" i="29"/>
  <c r="G33" i="29"/>
  <c r="G31" i="29"/>
  <c r="G32" i="29"/>
  <c r="G30" i="29"/>
  <c r="G29" i="29"/>
  <c r="G28" i="29"/>
  <c r="O32" i="1"/>
  <c r="O38" i="1"/>
  <c r="O22" i="1"/>
  <c r="O42" i="1"/>
  <c r="O39" i="1"/>
  <c r="O11" i="1"/>
  <c r="O54" i="1"/>
  <c r="O45" i="1"/>
  <c r="O28" i="1"/>
  <c r="Q3" i="1" a="1"/>
  <c r="Q3" i="1" s="1"/>
  <c r="O47" i="1"/>
  <c r="O40" i="1"/>
  <c r="O27" i="1"/>
  <c r="O34" i="1"/>
  <c r="R23" i="1" l="1"/>
  <c r="R8" i="1"/>
  <c r="R19" i="1"/>
  <c r="R45" i="1"/>
  <c r="R35" i="1"/>
  <c r="R20" i="1"/>
  <c r="R46" i="1"/>
  <c r="R41" i="1"/>
  <c r="R42" i="1"/>
  <c r="R25" i="1"/>
  <c r="R5" i="1"/>
  <c r="R21" i="1"/>
  <c r="R18" i="1"/>
  <c r="R49" i="1"/>
  <c r="R7" i="1"/>
  <c r="R43" i="1"/>
  <c r="R28" i="1"/>
  <c r="R10" i="1"/>
  <c r="R29" i="1"/>
  <c r="R11" i="1"/>
  <c r="S11" i="1" s="1"/>
  <c r="R30" i="1"/>
  <c r="R33" i="1"/>
  <c r="R6" i="1"/>
  <c r="R9" i="1"/>
  <c r="R12" i="1"/>
  <c r="R31" i="1"/>
  <c r="R34" i="1"/>
  <c r="R32" i="1"/>
  <c r="R13" i="1"/>
  <c r="R2" i="1"/>
  <c r="R39" i="1"/>
  <c r="R14" i="1"/>
  <c r="R24" i="1"/>
  <c r="R44" i="1"/>
  <c r="R27" i="1"/>
  <c r="R50" i="1"/>
  <c r="R36" i="1"/>
  <c r="R40" i="1"/>
  <c r="R15" i="1"/>
  <c r="R17" i="1"/>
  <c r="R3" i="1"/>
  <c r="R37" i="1"/>
  <c r="R48" i="1"/>
  <c r="R47" i="1"/>
  <c r="R38" i="1"/>
  <c r="R4" i="1"/>
  <c r="R22" i="1"/>
  <c r="R26" i="1"/>
  <c r="R16" i="1"/>
  <c r="Q4" i="1" a="1"/>
  <c r="Q4" i="1" s="1"/>
  <c r="Q5" i="1" l="1" a="1"/>
  <c r="Q5" i="1" s="1"/>
  <c r="Q6" i="1" l="1" a="1"/>
  <c r="Q6" i="1" s="1"/>
  <c r="Q7" i="1" l="1" a="1"/>
  <c r="Q7" i="1" s="1"/>
  <c r="Q8" i="1" l="1" a="1"/>
  <c r="Q8" i="1" s="1"/>
  <c r="AH9" i="4"/>
  <c r="G3" i="4" l="1" a="1"/>
  <c r="G3" i="4" s="1"/>
  <c r="E3" i="4" s="1"/>
  <c r="S5" i="4" a="1"/>
  <c r="S5" i="4" s="1"/>
  <c r="S4" i="4" a="1"/>
  <c r="S4" i="4" s="1"/>
  <c r="S6" i="4" a="1"/>
  <c r="S6" i="4" s="1"/>
  <c r="S7" i="4" a="1"/>
  <c r="S7" i="4" s="1"/>
  <c r="S8" i="4" a="1"/>
  <c r="S8" i="4" s="1"/>
  <c r="S3" i="4" a="1"/>
  <c r="S3" i="4" s="1"/>
  <c r="Q9" i="1" a="1"/>
  <c r="Q9" i="1" s="1"/>
  <c r="AP9" i="4"/>
  <c r="G5" i="4" s="1" a="1"/>
  <c r="G5" i="4" s="1"/>
  <c r="G6" i="4" a="1"/>
  <c r="G6" i="4" s="1"/>
  <c r="U3" i="4" l="1"/>
  <c r="T3" i="4"/>
  <c r="U4" i="4"/>
  <c r="T4" i="4"/>
  <c r="T6" i="4"/>
  <c r="E6" i="4"/>
  <c r="E5" i="4"/>
  <c r="T5" i="4"/>
  <c r="Q10" i="1" a="1"/>
  <c r="Q10" i="1" s="1"/>
  <c r="Q12" i="1" l="1" a="1"/>
  <c r="Q12" i="1" s="1"/>
  <c r="Q13" i="1" s="1" a="1"/>
  <c r="Q13" i="1" s="1"/>
  <c r="P11" i="5" l="1"/>
  <c r="P14" i="5"/>
  <c r="P7" i="5"/>
  <c r="P8" i="5"/>
  <c r="P13" i="5"/>
  <c r="P9" i="5"/>
  <c r="P10" i="5"/>
  <c r="P6" i="5"/>
  <c r="P12" i="5"/>
  <c r="Q14" i="1" a="1"/>
  <c r="Q14" i="1" s="1"/>
  <c r="S9" i="5" l="1"/>
  <c r="AB9" i="5"/>
  <c r="AC9" i="5" s="1"/>
  <c r="AF9" i="5" s="1"/>
  <c r="S6" i="5"/>
  <c r="AB6" i="5"/>
  <c r="AC6" i="5" s="1"/>
  <c r="AF6" i="5" s="1"/>
  <c r="S8" i="5"/>
  <c r="AB8" i="5"/>
  <c r="AC8" i="5" s="1"/>
  <c r="AF8" i="5" s="1"/>
  <c r="S7" i="5"/>
  <c r="AB7" i="5"/>
  <c r="AC7" i="5" s="1"/>
  <c r="AF7" i="5" s="1"/>
  <c r="S12" i="5"/>
  <c r="AB12" i="5"/>
  <c r="AC12" i="5" s="1"/>
  <c r="AF12" i="5" s="1"/>
  <c r="S14" i="5"/>
  <c r="AB14" i="5"/>
  <c r="AC14" i="5" s="1"/>
  <c r="AF14" i="5" s="1"/>
  <c r="Q15" i="1" a="1"/>
  <c r="Q15" i="1" s="1"/>
  <c r="S10" i="5"/>
  <c r="AB10" i="5"/>
  <c r="AC10" i="5" s="1"/>
  <c r="AF10" i="5" s="1"/>
  <c r="S13" i="5"/>
  <c r="AB13" i="5"/>
  <c r="AC13" i="5" s="1"/>
  <c r="AF13" i="5" s="1"/>
  <c r="S11" i="5"/>
  <c r="AB11" i="5"/>
  <c r="AC11" i="5" s="1"/>
  <c r="AF11" i="5" s="1"/>
  <c r="Q16" i="1" l="1" a="1"/>
  <c r="Q16" i="1" s="1"/>
  <c r="Q17" i="1" l="1" a="1"/>
  <c r="Q17" i="1" s="1"/>
  <c r="G7" i="4" a="1"/>
  <c r="G7" i="4" s="1"/>
  <c r="BB9" i="4"/>
  <c r="G8" i="4" s="1" a="1"/>
  <c r="G8" i="4" s="1"/>
  <c r="T8" i="4" l="1"/>
  <c r="E8" i="4"/>
  <c r="E7" i="4"/>
  <c r="T7" i="4"/>
  <c r="Q18" i="1" a="1"/>
  <c r="Q18" i="1" s="1"/>
  <c r="Q19" i="1" l="1" a="1"/>
  <c r="Q19" i="1" s="1"/>
  <c r="Q20" i="1" l="1" a="1"/>
  <c r="Q20" i="1" s="1"/>
  <c r="AP20" i="2" s="1" a="1"/>
  <c r="AP20" i="2" s="1"/>
  <c r="Q21" i="1" l="1" a="1"/>
  <c r="Q21" i="1" s="1"/>
  <c r="Q22" i="1" l="1" a="1"/>
  <c r="Q22" i="1" s="1"/>
  <c r="Q23" i="1" l="1" a="1"/>
  <c r="Q23" i="1" s="1"/>
  <c r="Q24" i="1" l="1" a="1"/>
  <c r="Q24" i="1" s="1"/>
  <c r="Q25" i="1" l="1" a="1"/>
  <c r="Q25" i="1" s="1"/>
  <c r="Q26" i="1" l="1" a="1"/>
  <c r="Q26" i="1" s="1"/>
  <c r="Q27" i="1" l="1" a="1"/>
  <c r="Q27" i="1" s="1"/>
  <c r="Q28" i="1" l="1" a="1"/>
  <c r="Q28" i="1" s="1"/>
  <c r="Q29" i="1" l="1" a="1"/>
  <c r="Q29" i="1" s="1"/>
  <c r="Q30" i="1" l="1" a="1"/>
  <c r="Q30" i="1" s="1"/>
  <c r="Q31" i="1" l="1" a="1"/>
  <c r="Q31" i="1" s="1"/>
  <c r="Q32" i="1" l="1" a="1"/>
  <c r="Q32" i="1" s="1"/>
  <c r="Q33" i="1" l="1" a="1"/>
  <c r="Q33" i="1" s="1"/>
  <c r="Q34" i="1" l="1" a="1"/>
  <c r="Q34" i="1" s="1"/>
  <c r="Q35" i="1" l="1" a="1"/>
  <c r="Q35" i="1" s="1"/>
  <c r="Q36" i="1" l="1" a="1"/>
  <c r="Q36" i="1" s="1"/>
  <c r="Q37" i="1" l="1" a="1"/>
  <c r="Q37" i="1" s="1"/>
  <c r="Q38" i="1" l="1" a="1"/>
  <c r="Q38" i="1" s="1"/>
  <c r="Q39" i="1" l="1" a="1"/>
  <c r="Q39" i="1" s="1"/>
  <c r="Q40" i="1" l="1" a="1"/>
  <c r="Q40" i="1" s="1"/>
  <c r="Q41" i="1" l="1" a="1"/>
  <c r="Q41" i="1" s="1"/>
  <c r="Q42" i="1" l="1" a="1"/>
  <c r="Q42" i="1" s="1"/>
  <c r="Q43" i="1" l="1" a="1"/>
  <c r="Q43" i="1" s="1"/>
  <c r="Q44" i="1" l="1" a="1"/>
  <c r="Q44" i="1" s="1"/>
  <c r="Q45" i="1" l="1" a="1"/>
  <c r="Q45" i="1" s="1"/>
  <c r="Q46" i="1" l="1" a="1"/>
  <c r="Q46" i="1" s="1"/>
  <c r="Q47" i="1" l="1" a="1"/>
  <c r="Q47" i="1" s="1"/>
  <c r="Q48" i="1" l="1" a="1"/>
  <c r="Q48" i="1" s="1"/>
  <c r="Q49" i="1" l="1" a="1"/>
  <c r="Q49" i="1" s="1"/>
  <c r="Q50" i="1" l="1" a="1"/>
  <c r="Q50" i="1" s="1"/>
  <c r="AP2" i="2" l="1" a="1"/>
  <c r="AP2" i="2" s="1"/>
  <c r="AP6" i="2" a="1"/>
  <c r="AP6" i="2" s="1"/>
  <c r="AP7" i="2" a="1"/>
  <c r="AP7" i="2" s="1"/>
  <c r="AP3" i="2" a="1"/>
  <c r="AP3" i="2" s="1"/>
  <c r="AP4" i="2" a="1"/>
  <c r="AP4" i="2" s="1"/>
  <c r="AP5" i="2" a="1"/>
  <c r="AP5" i="2" s="1"/>
  <c r="L13" i="32" l="1"/>
  <c r="L4" i="32"/>
  <c r="M4" i="32" s="1"/>
  <c r="L6" i="32"/>
  <c r="L11" i="32"/>
  <c r="M11" i="32" s="1"/>
  <c r="L8" i="32"/>
  <c r="L10" i="32"/>
  <c r="M10" i="32" s="1"/>
  <c r="L7" i="32"/>
  <c r="L17" i="32"/>
  <c r="M17" i="32" s="1"/>
  <c r="L19" i="32"/>
  <c r="L20" i="32"/>
  <c r="L5" i="32"/>
  <c r="M5" i="32" s="1"/>
  <c r="L16" i="32"/>
  <c r="M16" i="32" s="1"/>
  <c r="L12" i="32"/>
  <c r="L14" i="32"/>
  <c r="L18" i="32"/>
  <c r="L9" i="32"/>
  <c r="M9" i="32" s="1"/>
  <c r="L3" i="32"/>
  <c r="M3" i="32" s="1"/>
  <c r="L15" i="32"/>
  <c r="M15" i="32" s="1"/>
  <c r="U5" i="4"/>
  <c r="U7" i="4"/>
  <c r="L14" i="9"/>
  <c r="L19" i="9"/>
  <c r="L20" i="9"/>
  <c r="L7" i="9"/>
  <c r="L13" i="9"/>
  <c r="L8" i="9"/>
  <c r="L4" i="9"/>
  <c r="M4" i="9" s="1"/>
  <c r="L10" i="9"/>
  <c r="M10" i="9" s="1"/>
  <c r="L11" i="9"/>
  <c r="M11" i="9" s="1"/>
  <c r="L5" i="9"/>
  <c r="M5" i="9" s="1"/>
  <c r="L12" i="9"/>
  <c r="M12" i="9" s="1"/>
  <c r="L6" i="9"/>
  <c r="M6" i="9" s="1"/>
  <c r="L16" i="9"/>
  <c r="M16" i="9" s="1"/>
  <c r="L9" i="9"/>
  <c r="M9" i="9" s="1"/>
  <c r="L3" i="9"/>
  <c r="M3" i="9" s="1"/>
  <c r="L17" i="9"/>
  <c r="M17" i="9" s="1"/>
  <c r="L18" i="9"/>
  <c r="M18" i="9" s="1"/>
  <c r="L15" i="9"/>
  <c r="M15" i="9" s="1"/>
  <c r="M14" i="32" l="1"/>
  <c r="M20" i="32"/>
  <c r="Z18" i="32" s="1"/>
  <c r="M8" i="32"/>
  <c r="A9" i="32"/>
  <c r="X14" i="32"/>
  <c r="T9" i="32"/>
  <c r="A15" i="32"/>
  <c r="M20" i="9"/>
  <c r="T15" i="9" s="1"/>
  <c r="M8" i="9"/>
  <c r="M14" i="9"/>
  <c r="T9" i="9" l="1"/>
  <c r="T3" i="9"/>
  <c r="AH36" i="9"/>
  <c r="T15" i="32"/>
  <c r="X8" i="32"/>
  <c r="A3" i="32"/>
  <c r="T3" i="32"/>
  <c r="AL36" i="9"/>
  <c r="AP38" i="9"/>
  <c r="AP43" i="9" s="1"/>
  <c r="AP36" i="9"/>
  <c r="AE63" i="32"/>
  <c r="A15" i="9"/>
  <c r="AI63" i="32"/>
  <c r="X8" i="9"/>
  <c r="AM63" i="32"/>
  <c r="X14" i="9"/>
  <c r="AM20" i="32" l="1" a="1"/>
  <c r="AM20" i="32" s="1"/>
  <c r="AM23" i="32" a="1"/>
  <c r="AM23" i="32" s="1"/>
  <c r="AM40" i="32" a="1"/>
  <c r="AM40" i="32" s="1"/>
  <c r="AM22" i="32" a="1"/>
  <c r="AM22" i="32" s="1"/>
  <c r="AM37" i="32" a="1"/>
  <c r="AM37" i="32" s="1"/>
  <c r="AM35" i="32" a="1"/>
  <c r="AM35" i="32" s="1"/>
  <c r="AI37" i="32" a="1"/>
  <c r="AI37" i="32" s="1"/>
  <c r="AI40" i="32" a="1"/>
  <c r="AI40" i="32" s="1"/>
  <c r="AI35" i="32" a="1"/>
  <c r="AI35" i="32" s="1"/>
  <c r="AI22" i="32" a="1"/>
  <c r="AI22" i="32" s="1"/>
  <c r="AI23" i="32" a="1"/>
  <c r="AI23" i="32" s="1"/>
  <c r="AI20" i="32" a="1"/>
  <c r="AI20" i="32" s="1"/>
  <c r="AE37" i="32" a="1"/>
  <c r="AE37" i="32" s="1"/>
  <c r="AE40" i="32" a="1"/>
  <c r="AE40" i="32" s="1"/>
  <c r="AE22" i="32" a="1"/>
  <c r="AE22" i="32" s="1"/>
  <c r="AE35" i="32" a="1"/>
  <c r="AE35" i="32" s="1"/>
  <c r="AE20" i="32" a="1"/>
  <c r="AE20" i="32" s="1"/>
  <c r="AE23" i="32" a="1"/>
  <c r="AE23" i="32" s="1"/>
  <c r="A3" i="9" l="1"/>
  <c r="AH23" i="9" l="1" a="1"/>
  <c r="AH23" i="9" s="1"/>
  <c r="A9" i="9"/>
  <c r="AL23" i="9" l="1" a="1"/>
  <c r="AL23" i="9" s="1"/>
  <c r="AP23" i="9" a="1"/>
  <c r="AP23" i="9" s="1"/>
  <c r="AH38" i="9" l="1"/>
  <c r="AH43" i="9" l="1"/>
  <c r="AH15" i="9" l="1" a="1"/>
  <c r="AH15" i="9" s="1"/>
  <c r="AH45" i="9" l="1"/>
  <c r="G3" i="9"/>
  <c r="G9" i="9"/>
  <c r="R9" i="9" s="1" a="1"/>
  <c r="R9" i="9" s="1"/>
  <c r="AL38" i="9"/>
  <c r="AL43" i="9" s="1"/>
  <c r="AL45" i="9"/>
  <c r="R3" i="9" l="1" a="1"/>
  <c r="R3" i="9" s="1"/>
  <c r="AH24" i="9" s="1" a="1"/>
  <c r="AH24" i="9" s="1"/>
  <c r="W6" i="16"/>
  <c r="AD11" i="16"/>
  <c r="U21" i="16"/>
  <c r="X17" i="16"/>
  <c r="O22" i="16"/>
  <c r="AD8" i="16"/>
  <c r="O18" i="16"/>
  <c r="X22" i="16"/>
  <c r="P8" i="16"/>
  <c r="AB10" i="16"/>
  <c r="AA10" i="16"/>
  <c r="Z21" i="16"/>
  <c r="AD21" i="16"/>
  <c r="AA14" i="16"/>
  <c r="T20" i="16"/>
  <c r="T7" i="16"/>
  <c r="X11" i="16"/>
  <c r="P11" i="16"/>
  <c r="AC19" i="16"/>
  <c r="AD5" i="16"/>
  <c r="Y6" i="16"/>
  <c r="U4" i="16"/>
  <c r="Z9" i="16"/>
  <c r="U15" i="16"/>
  <c r="Q11" i="16"/>
  <c r="U19" i="16"/>
  <c r="V17" i="16"/>
  <c r="AA18" i="16"/>
  <c r="T17" i="16"/>
  <c r="AD10" i="16"/>
  <c r="S3" i="16"/>
  <c r="AC14" i="16"/>
  <c r="T11" i="16"/>
  <c r="P10" i="16"/>
  <c r="T19" i="16"/>
  <c r="Z4" i="16"/>
  <c r="R4" i="16"/>
  <c r="AA15" i="16"/>
  <c r="Y10" i="16"/>
  <c r="O12" i="16"/>
  <c r="Q9" i="16"/>
  <c r="V16" i="16"/>
  <c r="P17" i="16"/>
  <c r="U22" i="16"/>
  <c r="AC17" i="16"/>
  <c r="O6" i="16"/>
  <c r="AB9" i="16"/>
  <c r="S15" i="16"/>
  <c r="T14" i="16"/>
  <c r="S12" i="16"/>
  <c r="O3" i="16"/>
  <c r="V20" i="16"/>
  <c r="AD14" i="16"/>
  <c r="AA7" i="16"/>
  <c r="AD20" i="16"/>
  <c r="AD16" i="16"/>
  <c r="Q8" i="16"/>
  <c r="AB8" i="16"/>
  <c r="Q3" i="16"/>
  <c r="P12" i="16"/>
  <c r="Q10" i="16"/>
  <c r="Z12" i="16"/>
  <c r="P4" i="16"/>
  <c r="AC21" i="16"/>
  <c r="W5" i="16"/>
  <c r="W3" i="16"/>
  <c r="AA6" i="16"/>
  <c r="AB21" i="16"/>
  <c r="AD3" i="16"/>
  <c r="R16" i="16"/>
  <c r="Y3" i="16"/>
  <c r="P16" i="16"/>
  <c r="Z22" i="16"/>
  <c r="P3" i="16"/>
  <c r="U12" i="16"/>
  <c r="AA8" i="16"/>
  <c r="T15" i="16"/>
  <c r="Y18" i="16"/>
  <c r="O16" i="16"/>
  <c r="V3" i="16"/>
  <c r="T22" i="16"/>
  <c r="Q16" i="16"/>
  <c r="T8" i="16"/>
  <c r="W9" i="16"/>
  <c r="AB19" i="16"/>
  <c r="AC3" i="16"/>
  <c r="X18" i="16"/>
  <c r="P9" i="16"/>
  <c r="AB17" i="16"/>
  <c r="R19" i="16"/>
  <c r="Q7" i="16"/>
  <c r="AD4" i="16"/>
  <c r="Y17" i="16"/>
  <c r="Z16" i="16"/>
  <c r="O4" i="16"/>
  <c r="Z5" i="16"/>
  <c r="AC4" i="16"/>
  <c r="W7" i="16"/>
  <c r="X12" i="16"/>
  <c r="Q22" i="16"/>
  <c r="R9" i="16"/>
  <c r="AB4" i="16"/>
  <c r="AA11" i="16"/>
  <c r="S6" i="16"/>
  <c r="AA17" i="16"/>
  <c r="V18" i="16"/>
  <c r="W18" i="16"/>
  <c r="S16" i="16"/>
  <c r="R3" i="16"/>
  <c r="Q14" i="16"/>
  <c r="O9" i="16"/>
  <c r="AA3" i="16"/>
  <c r="U8" i="16"/>
  <c r="X13" i="16"/>
  <c r="X14" i="16"/>
  <c r="V8" i="16"/>
  <c r="R13" i="16"/>
  <c r="X3" i="16"/>
  <c r="O17" i="16"/>
  <c r="Z20" i="16"/>
  <c r="U10" i="16"/>
  <c r="O14" i="16"/>
  <c r="T6" i="16"/>
  <c r="S10" i="16"/>
  <c r="AD19" i="16"/>
  <c r="AA22" i="16"/>
  <c r="R6" i="16"/>
  <c r="Q21" i="16"/>
  <c r="Q18" i="16"/>
  <c r="O21" i="16"/>
  <c r="Y4" i="16"/>
  <c r="T18" i="16"/>
  <c r="R7" i="16"/>
  <c r="T21" i="16"/>
  <c r="AC12" i="16"/>
  <c r="Q12" i="16"/>
  <c r="V12" i="16"/>
  <c r="U5" i="16"/>
  <c r="X15" i="16"/>
  <c r="U16" i="16"/>
  <c r="U7" i="16"/>
  <c r="Z3" i="16"/>
  <c r="S5" i="16"/>
  <c r="Z18" i="16"/>
  <c r="AD22" i="16"/>
  <c r="W12" i="16"/>
  <c r="R17" i="16"/>
  <c r="V10" i="16"/>
  <c r="S19" i="16"/>
  <c r="AA16" i="16"/>
  <c r="AD15" i="16"/>
  <c r="O15" i="16"/>
  <c r="Z10" i="16"/>
  <c r="X7" i="16"/>
  <c r="T3" i="16"/>
  <c r="Y21" i="16"/>
  <c r="AB7" i="16"/>
  <c r="X21" i="16"/>
  <c r="Q4" i="16"/>
  <c r="AA19" i="16"/>
  <c r="AA13" i="16"/>
  <c r="O10" i="16"/>
  <c r="AD7" i="16"/>
  <c r="X10" i="16"/>
  <c r="R14" i="16"/>
  <c r="O19" i="16"/>
  <c r="R10" i="16"/>
  <c r="P21" i="16"/>
  <c r="V7" i="16"/>
  <c r="Y15" i="16"/>
  <c r="Q6" i="16"/>
  <c r="P13" i="16"/>
  <c r="Y22" i="16"/>
  <c r="AD12" i="16"/>
  <c r="AA20" i="16"/>
  <c r="W11" i="16"/>
  <c r="R22" i="16"/>
  <c r="S9" i="16"/>
  <c r="AB18" i="16"/>
  <c r="U20" i="16"/>
  <c r="T5" i="16"/>
  <c r="W13" i="16"/>
  <c r="X4" i="16"/>
  <c r="U11" i="16"/>
  <c r="U14" i="16"/>
  <c r="Z15" i="16"/>
  <c r="AA21" i="16"/>
  <c r="W14" i="16"/>
  <c r="AB22" i="16"/>
  <c r="AA5" i="16"/>
  <c r="V13" i="16"/>
  <c r="AA4" i="16"/>
  <c r="S20" i="16"/>
  <c r="S14" i="16"/>
  <c r="W15" i="16"/>
  <c r="T16" i="16"/>
  <c r="S11" i="16"/>
  <c r="Y12" i="16"/>
  <c r="S18" i="16"/>
  <c r="AB13" i="16"/>
  <c r="U3" i="16"/>
  <c r="Q5" i="16"/>
  <c r="T9" i="16"/>
  <c r="AB16" i="16"/>
  <c r="V5" i="16"/>
  <c r="S22" i="16"/>
  <c r="Y19" i="16"/>
  <c r="U6" i="16"/>
  <c r="R21" i="16"/>
  <c r="V22" i="16"/>
  <c r="X9" i="16"/>
  <c r="P7" i="16"/>
  <c r="R8" i="16"/>
  <c r="X5" i="16"/>
  <c r="AD6" i="16"/>
  <c r="Z19" i="16"/>
  <c r="O13" i="16"/>
  <c r="R12" i="16"/>
  <c r="Y20" i="16"/>
  <c r="Z13" i="16"/>
  <c r="Z6" i="16"/>
  <c r="P19" i="16"/>
  <c r="Y7" i="16"/>
  <c r="AD18" i="16"/>
  <c r="S8" i="16"/>
  <c r="AB6" i="16"/>
  <c r="AC22" i="16"/>
  <c r="AB3" i="16"/>
  <c r="U9" i="16"/>
  <c r="Z17" i="16"/>
  <c r="R11" i="16"/>
  <c r="AC15" i="16"/>
  <c r="X16" i="16"/>
  <c r="Y13" i="16"/>
  <c r="AB11" i="16"/>
  <c r="AA12" i="16"/>
  <c r="AB12" i="16"/>
  <c r="R5" i="16"/>
  <c r="AC10" i="16"/>
  <c r="V6" i="16"/>
  <c r="AD13" i="16"/>
  <c r="S21" i="16"/>
  <c r="W22" i="16"/>
  <c r="W4" i="16"/>
  <c r="R15" i="16"/>
  <c r="P20" i="16"/>
  <c r="X6" i="16"/>
  <c r="Y8" i="16"/>
  <c r="O5" i="16"/>
  <c r="AB14" i="16"/>
  <c r="Z11" i="16"/>
  <c r="AA9" i="16"/>
  <c r="W16" i="16"/>
  <c r="R20" i="16"/>
  <c r="AB5" i="16"/>
  <c r="AD9" i="16"/>
  <c r="P14" i="16"/>
  <c r="AB20" i="16"/>
  <c r="V14" i="16"/>
  <c r="V15" i="16"/>
  <c r="V19" i="16"/>
  <c r="W8" i="16"/>
  <c r="AB15" i="16"/>
  <c r="W21" i="16"/>
  <c r="S7" i="16"/>
  <c r="Y14" i="16"/>
  <c r="V4" i="16"/>
  <c r="Z7" i="16"/>
  <c r="Y11" i="16"/>
  <c r="O11" i="16"/>
  <c r="P18" i="16"/>
  <c r="P6" i="16"/>
  <c r="V9" i="16"/>
  <c r="X19" i="16"/>
  <c r="Z8" i="16"/>
  <c r="AC11" i="16"/>
  <c r="P22" i="16"/>
  <c r="P5" i="16"/>
  <c r="S17" i="16"/>
  <c r="W17" i="16"/>
  <c r="AC5" i="16"/>
  <c r="AC9" i="16"/>
  <c r="Q19" i="16"/>
  <c r="T10" i="16"/>
  <c r="W10" i="16"/>
  <c r="Y5" i="16"/>
  <c r="S13" i="16"/>
  <c r="Q15" i="16"/>
  <c r="U17" i="16"/>
  <c r="Y9" i="16"/>
  <c r="AD17" i="16"/>
  <c r="S4" i="16"/>
  <c r="X8" i="16"/>
  <c r="Y16" i="16"/>
  <c r="AC7" i="16"/>
  <c r="O8" i="16"/>
  <c r="Z14" i="16"/>
  <c r="T4" i="16"/>
  <c r="U18" i="16"/>
  <c r="T12" i="16"/>
  <c r="Q17" i="16"/>
  <c r="V21" i="16"/>
  <c r="AC13" i="16"/>
  <c r="W19" i="16"/>
  <c r="U13" i="16"/>
  <c r="AC20" i="16"/>
  <c r="P15" i="16"/>
  <c r="AC8" i="16"/>
  <c r="W20" i="16"/>
  <c r="Q13" i="16"/>
  <c r="V11" i="16"/>
  <c r="R18" i="16"/>
  <c r="Q20" i="16"/>
  <c r="O7" i="16"/>
  <c r="T13" i="16"/>
  <c r="AC16" i="16"/>
  <c r="AC6" i="16"/>
  <c r="AC18" i="16"/>
  <c r="O20" i="16"/>
  <c r="X20" i="16"/>
  <c r="AP24" i="9" a="1"/>
  <c r="AP24" i="9" s="1"/>
  <c r="AL24" i="9" l="1" a="1"/>
  <c r="AL24" i="9" s="1"/>
  <c r="U8" i="4" l="1"/>
  <c r="U6" i="4"/>
  <c r="S28" i="1"/>
  <c r="S16" i="1"/>
  <c r="S18" i="1"/>
  <c r="S12" i="1"/>
  <c r="S27" i="1"/>
  <c r="S43" i="1"/>
  <c r="S49" i="1"/>
  <c r="S19" i="1"/>
  <c r="S8" i="1"/>
  <c r="S15" i="1"/>
  <c r="S13" i="1"/>
  <c r="S37" i="1"/>
  <c r="S7" i="1"/>
  <c r="S10" i="1"/>
  <c r="S17" i="1"/>
  <c r="S21" i="1"/>
  <c r="S36" i="1"/>
  <c r="S6" i="1"/>
  <c r="S3" i="1"/>
  <c r="S40" i="1"/>
  <c r="S42" i="1"/>
  <c r="S29" i="1"/>
  <c r="S45" i="1"/>
  <c r="S20" i="1"/>
  <c r="S50" i="1"/>
  <c r="S23" i="1"/>
  <c r="S2" i="1"/>
  <c r="S14" i="1"/>
  <c r="S4" i="1"/>
  <c r="S41" i="1"/>
  <c r="S25" i="1"/>
  <c r="S32" i="1"/>
  <c r="L8" i="4"/>
  <c r="V8" i="4" s="1"/>
  <c r="S22" i="1"/>
  <c r="S46" i="1"/>
  <c r="S33" i="1"/>
  <c r="L6" i="4"/>
  <c r="M6" i="4" s="1"/>
  <c r="O6" i="4" s="1"/>
  <c r="S34" i="1"/>
  <c r="S35" i="1"/>
  <c r="S24" i="1"/>
  <c r="P5" i="5"/>
  <c r="AB5" i="5" s="1"/>
  <c r="AC5" i="5" s="1"/>
  <c r="S44" i="1"/>
  <c r="L3" i="4"/>
  <c r="P3" i="4" s="1"/>
  <c r="S48" i="1"/>
  <c r="S31" i="1"/>
  <c r="S5" i="1"/>
  <c r="S26" i="1"/>
  <c r="S38" i="1"/>
  <c r="L5" i="4"/>
  <c r="V5" i="4" s="1"/>
  <c r="S39" i="1"/>
  <c r="L4" i="4"/>
  <c r="M4" i="4" s="1"/>
  <c r="O4" i="4" s="1"/>
  <c r="S30" i="1"/>
  <c r="L7" i="4"/>
  <c r="V7" i="4" s="1"/>
  <c r="S47" i="1"/>
  <c r="S9" i="1"/>
  <c r="S5" i="5" l="1"/>
  <c r="M7" i="4"/>
  <c r="O7" i="4" s="1"/>
  <c r="V6" i="4"/>
  <c r="P7" i="4"/>
  <c r="Z7" i="4" s="1"/>
  <c r="AX14" i="4" s="1"/>
  <c r="M3" i="4"/>
  <c r="O3" i="4" s="1"/>
  <c r="AC3" i="4" s="1"/>
  <c r="M5" i="4"/>
  <c r="O5" i="4" s="1"/>
  <c r="P6" i="4"/>
  <c r="AC6" i="4" s="1"/>
  <c r="AD5" i="5"/>
  <c r="AF5" i="5"/>
  <c r="P4" i="4"/>
  <c r="AC4" i="4" s="1"/>
  <c r="P5" i="4"/>
  <c r="V3" i="4"/>
  <c r="V4" i="4"/>
  <c r="M8" i="4"/>
  <c r="O8" i="4" s="1"/>
  <c r="P8" i="4"/>
  <c r="Z6" i="4" l="1"/>
  <c r="AT14" i="4" s="1"/>
  <c r="AC7" i="4"/>
  <c r="Z3" i="4"/>
  <c r="AA7" i="4" a="1"/>
  <c r="AA7" i="4" s="1"/>
  <c r="AB7" i="4" a="1"/>
  <c r="AB7" i="4" s="1"/>
  <c r="AW17" i="4" s="1"/>
  <c r="AX19" i="4" s="1"/>
  <c r="AH14" i="4"/>
  <c r="AG17" i="4" s="1"/>
  <c r="AB3" i="4" a="1"/>
  <c r="AB3" i="4" s="1"/>
  <c r="AA3" i="4" a="1"/>
  <c r="AA3" i="4" s="1"/>
  <c r="AC5" i="4"/>
  <c r="Z5" i="4"/>
  <c r="Z4" i="4"/>
  <c r="Z8" i="4"/>
  <c r="AC8" i="4"/>
  <c r="N16" i="32" a="1"/>
  <c r="N16" i="32" s="1"/>
  <c r="N4" i="32" a="1"/>
  <c r="N4" i="32" s="1"/>
  <c r="AA6" i="4" l="1" a="1"/>
  <c r="AA6" i="4" s="1"/>
  <c r="AB6" i="4" a="1"/>
  <c r="AB6" i="4" s="1"/>
  <c r="AS17" i="4" s="1"/>
  <c r="AT19" i="4" s="1"/>
  <c r="N15" i="32" a="1"/>
  <c r="N15" i="32" s="1"/>
  <c r="X15" i="32" s="1"/>
  <c r="N10" i="9" a="1"/>
  <c r="N10" i="9" s="1"/>
  <c r="X10" i="9" s="1"/>
  <c r="N9" i="9" a="1"/>
  <c r="N9" i="9" s="1"/>
  <c r="Z9" i="9" s="1"/>
  <c r="N15" i="9" a="1"/>
  <c r="N15" i="9" s="1"/>
  <c r="X15" i="9" s="1"/>
  <c r="N11" i="32" a="1"/>
  <c r="N11" i="32" s="1"/>
  <c r="Z11" i="32" s="1"/>
  <c r="N17" i="32" a="1"/>
  <c r="N17" i="32" s="1"/>
  <c r="X17" i="32" s="1"/>
  <c r="N18" i="9" a="1"/>
  <c r="N18" i="9" s="1"/>
  <c r="Z18" i="9" s="1"/>
  <c r="N6" i="9" a="1"/>
  <c r="N6" i="9" s="1"/>
  <c r="Z6" i="9" s="1"/>
  <c r="N3" i="9" a="1"/>
  <c r="N3" i="9" s="1"/>
  <c r="Z3" i="9" s="1"/>
  <c r="N9" i="32" a="1"/>
  <c r="N9" i="32" s="1"/>
  <c r="X9" i="32" s="1"/>
  <c r="N12" i="9" a="1"/>
  <c r="N12" i="9" s="1"/>
  <c r="Z12" i="9" s="1"/>
  <c r="N17" i="9" a="1"/>
  <c r="N17" i="9" s="1"/>
  <c r="Z17" i="9" s="1"/>
  <c r="N10" i="32" a="1"/>
  <c r="N10" i="32" s="1"/>
  <c r="Z10" i="32" s="1"/>
  <c r="N16" i="9" a="1"/>
  <c r="N16" i="9" s="1"/>
  <c r="Z16" i="9" s="1"/>
  <c r="X4" i="32"/>
  <c r="Z4" i="32"/>
  <c r="AA8" i="4" a="1"/>
  <c r="AA8" i="4" s="1"/>
  <c r="BB14" i="4"/>
  <c r="AB8" i="4" a="1"/>
  <c r="AB8" i="4" s="1"/>
  <c r="BA17" i="4" s="1"/>
  <c r="BB19" i="4" s="1"/>
  <c r="AL14" i="4"/>
  <c r="AK17" i="4" s="1"/>
  <c r="AA4" i="4" a="1"/>
  <c r="AA4" i="4" s="1"/>
  <c r="AB4" i="4" a="1"/>
  <c r="AB4" i="4" s="1"/>
  <c r="AB5" i="4" a="1"/>
  <c r="AB5" i="4" s="1"/>
  <c r="AA5" i="4" a="1"/>
  <c r="AA5" i="4" s="1"/>
  <c r="AP14" i="4"/>
  <c r="AO17" i="4" s="1"/>
  <c r="N11" i="9" a="1"/>
  <c r="N11" i="9" s="1"/>
  <c r="N3" i="32" a="1"/>
  <c r="N3" i="32" s="1"/>
  <c r="X16" i="32"/>
  <c r="Z16" i="32"/>
  <c r="N5" i="9" a="1"/>
  <c r="N5" i="9" s="1"/>
  <c r="N5" i="32" a="1"/>
  <c r="N5" i="32" s="1"/>
  <c r="N4" i="9" a="1"/>
  <c r="N4" i="9" s="1"/>
  <c r="BF16" i="4"/>
  <c r="AH19" i="4"/>
  <c r="Z15" i="32" l="1"/>
  <c r="Z17" i="32"/>
  <c r="X11" i="32"/>
  <c r="X9" i="9"/>
  <c r="Z15" i="9"/>
  <c r="AH22" i="9" a="1"/>
  <c r="AH22" i="9" s="1"/>
  <c r="Z9" i="32"/>
  <c r="X12" i="9"/>
  <c r="X3" i="9"/>
  <c r="Z10" i="9"/>
  <c r="X6" i="9"/>
  <c r="X18" i="9"/>
  <c r="AM21" i="32" a="1"/>
  <c r="AM21" i="32" s="1"/>
  <c r="V15" i="32" s="1"/>
  <c r="AI21" i="32" a="1"/>
  <c r="AI21" i="32" s="1"/>
  <c r="V9" i="32" s="1"/>
  <c r="X10" i="32"/>
  <c r="X17" i="9"/>
  <c r="AP22" i="9" a="1"/>
  <c r="AP22" i="9" s="1"/>
  <c r="W15" i="9" s="1"/>
  <c r="X16" i="9"/>
  <c r="X11" i="9"/>
  <c r="Z11" i="9"/>
  <c r="Z3" i="32"/>
  <c r="AE21" i="32" a="1"/>
  <c r="AE21" i="32" s="1"/>
  <c r="X3" i="32"/>
  <c r="AL19" i="4"/>
  <c r="BF17" i="4"/>
  <c r="AL22" i="9" a="1"/>
  <c r="AL22" i="9" s="1"/>
  <c r="X5" i="32"/>
  <c r="Z5" i="32"/>
  <c r="Z4" i="9"/>
  <c r="X4" i="9"/>
  <c r="X5" i="9"/>
  <c r="Z5" i="9"/>
  <c r="BF18" i="4"/>
  <c r="AP19" i="4"/>
  <c r="V3" i="9" l="1"/>
  <c r="W3" i="9"/>
  <c r="V9" i="9"/>
  <c r="W9" i="9"/>
  <c r="AH25" i="9" a="1"/>
  <c r="AH25" i="9" s="1"/>
  <c r="AL25" i="9" a="1"/>
  <c r="AL25" i="9" s="1"/>
  <c r="W9" i="32"/>
  <c r="Y9" i="32" s="1"/>
  <c r="AI70" i="32" s="1"/>
  <c r="AI71" i="32" s="1"/>
  <c r="W15" i="32"/>
  <c r="Y15" i="32" s="1"/>
  <c r="AM70" i="32" s="1"/>
  <c r="AM71" i="32" s="1"/>
  <c r="V15" i="9"/>
  <c r="Y15" i="9" s="1"/>
  <c r="AI24" i="32" a="1"/>
  <c r="AI24" i="32" s="1"/>
  <c r="AI17" i="32" s="1" a="1"/>
  <c r="AI17" i="32" s="1"/>
  <c r="AM24" i="32" a="1"/>
  <c r="AM24" i="32" s="1"/>
  <c r="AM17" i="32" s="1" a="1"/>
  <c r="AM17" i="32" s="1"/>
  <c r="V3" i="32"/>
  <c r="W3" i="32"/>
  <c r="AE24" i="32" s="1" a="1"/>
  <c r="AE24" i="32" s="1"/>
  <c r="AH18" i="9" l="1" a="1"/>
  <c r="AH18" i="9" s="1"/>
  <c r="AP25" i="9" a="1"/>
  <c r="AP25" i="9" s="1"/>
  <c r="AP18" i="9" s="1" a="1"/>
  <c r="AP18" i="9" s="1"/>
  <c r="AE17" i="32" a="1"/>
  <c r="AE17" i="32" s="1"/>
  <c r="AE15" i="32" s="1"/>
  <c r="AL18" i="9" a="1"/>
  <c r="AL18" i="9" s="1"/>
  <c r="AK27" i="9" s="1"/>
  <c r="Y3" i="32"/>
  <c r="AE70" i="32" s="1"/>
  <c r="AE71" i="32" s="1"/>
  <c r="AF71" i="32" s="1"/>
  <c r="AI73" i="32"/>
  <c r="AI64" i="32" s="1"/>
  <c r="AI65" i="32" s="1"/>
  <c r="AI66" i="32" s="1"/>
  <c r="AJ71" i="32"/>
  <c r="Y3" i="9"/>
  <c r="AM73" i="32"/>
  <c r="AM64" i="32" s="1"/>
  <c r="AM65" i="32" s="1"/>
  <c r="AM66" i="32" s="1"/>
  <c r="AN71" i="32"/>
  <c r="Y9" i="9"/>
  <c r="AL26" i="32"/>
  <c r="AM15" i="32"/>
  <c r="AM18" i="32"/>
  <c r="AH26" i="32"/>
  <c r="AI18" i="32"/>
  <c r="AI15" i="32"/>
  <c r="AG27" i="9" l="1"/>
  <c r="AH28" i="9" s="1"/>
  <c r="AH19" i="9"/>
  <c r="AH16" i="9"/>
  <c r="AH20" i="9" s="1"/>
  <c r="AD26" i="32"/>
  <c r="AE28" i="32" s="1"/>
  <c r="AE31" i="32" s="1"/>
  <c r="AE18" i="32"/>
  <c r="AE73" i="32"/>
  <c r="AE64" i="32" s="1"/>
  <c r="AE65" i="32" s="1"/>
  <c r="AE66" i="32" s="1"/>
  <c r="AL16" i="9"/>
  <c r="AL20" i="9" s="1"/>
  <c r="AL19" i="9"/>
  <c r="AO27" i="9"/>
  <c r="AP19" i="9"/>
  <c r="AP16" i="9"/>
  <c r="AI27" i="32"/>
  <c r="AI28" i="32"/>
  <c r="AI31" i="32" s="1"/>
  <c r="AI16" i="32"/>
  <c r="AI19" i="32"/>
  <c r="AM16" i="32"/>
  <c r="AM19" i="32"/>
  <c r="AM28" i="32"/>
  <c r="AM31" i="32" s="1"/>
  <c r="AM27" i="32"/>
  <c r="AL29" i="9"/>
  <c r="AL32" i="9" s="1"/>
  <c r="AL28" i="9"/>
  <c r="AL47" i="9" s="1"/>
  <c r="AE16" i="32"/>
  <c r="AE19" i="32"/>
  <c r="AH30" i="9" l="1"/>
  <c r="AH47" i="9"/>
  <c r="AH29" i="9"/>
  <c r="AH32" i="9" s="1"/>
  <c r="AH31" i="9"/>
  <c r="AH33" i="9" s="1"/>
  <c r="AH17" i="9"/>
  <c r="AL30" i="9"/>
  <c r="AE27" i="32"/>
  <c r="AL17" i="9"/>
  <c r="AP20" i="9"/>
  <c r="AP17" i="9"/>
  <c r="AP28" i="9"/>
  <c r="AP29" i="9"/>
  <c r="AP32" i="9" s="1"/>
  <c r="AE29" i="32"/>
  <c r="AE33" i="32" s="1" a="1"/>
  <c r="AE33" i="32" s="1"/>
  <c r="AE30" i="32"/>
  <c r="AE32" i="32" s="1"/>
  <c r="AE34" i="32" s="1" a="1"/>
  <c r="AE34" i="32" s="1"/>
  <c r="AL31" i="9"/>
  <c r="AL33" i="9" s="1"/>
  <c r="AL35" i="9" s="1" a="1"/>
  <c r="AL35" i="9" s="1"/>
  <c r="AM30" i="32"/>
  <c r="AM32" i="32" s="1"/>
  <c r="AM34" i="32" s="1" a="1"/>
  <c r="AM34" i="32" s="1"/>
  <c r="AM29" i="32"/>
  <c r="AM33" i="32" s="1" a="1"/>
  <c r="AM33" i="32" s="1"/>
  <c r="AI30" i="32"/>
  <c r="AI32" i="32" s="1"/>
  <c r="AI34" i="32" s="1" a="1"/>
  <c r="AI34" i="32" s="1"/>
  <c r="AI29" i="32"/>
  <c r="AI33" i="32" s="1" a="1"/>
  <c r="AI33" i="32" s="1"/>
  <c r="AH34" i="9" l="1" a="1"/>
  <c r="AH34" i="9" s="1"/>
  <c r="AP30" i="9"/>
  <c r="AP47" i="9"/>
  <c r="AH35" i="9" a="1"/>
  <c r="AH35" i="9" s="1"/>
  <c r="AP31" i="9"/>
  <c r="AP33" i="9" s="1"/>
  <c r="AP35" i="9" s="1" a="1"/>
  <c r="AP35" i="9" s="1"/>
  <c r="AL34" i="9" a="1"/>
  <c r="AL34" i="9" s="1"/>
  <c r="AP34" i="9" l="1" a="1"/>
  <c r="AP34" i="9" s="1"/>
  <c r="O5" i="27" l="1"/>
  <c r="Q5" i="27" l="1"/>
  <c r="R5" i="27" s="1"/>
  <c r="Y18" i="27"/>
  <c r="T5" i="27"/>
  <c r="K10" i="27" l="1"/>
  <c r="O3" i="27" l="1"/>
  <c r="T3" i="27" l="1"/>
  <c r="T8" i="27" s="1"/>
  <c r="Q3" i="27"/>
  <c r="Y16" i="27"/>
  <c r="Y21" i="27" s="1"/>
  <c r="Y24" i="27" s="1"/>
  <c r="Q8" i="27" l="1"/>
  <c r="R3" i="27"/>
  <c r="T13" i="27"/>
  <c r="T12" i="27"/>
  <c r="T16" i="27" s="1"/>
  <c r="T14" i="27" l="1"/>
  <c r="Y22" i="27"/>
  <c r="Y25" i="27" s="1"/>
  <c r="Q13" i="27"/>
  <c r="R8" i="27"/>
  <c r="R12" i="27" s="1"/>
  <c r="R13" i="27" s="1"/>
  <c r="I33" i="27"/>
  <c r="Q12" i="27"/>
  <c r="J33" i="27" l="1"/>
  <c r="I36" i="27"/>
  <c r="I34" i="27"/>
  <c r="K33" i="27"/>
  <c r="L13" i="27"/>
  <c r="Q23" i="27"/>
  <c r="Q24" i="27" l="1"/>
  <c r="R24" i="27" s="1"/>
  <c r="L49" i="27"/>
  <c r="L48" i="27"/>
  <c r="L15" i="27"/>
  <c r="M13" i="27"/>
  <c r="L14" i="27"/>
  <c r="I26" i="27"/>
  <c r="K26" i="27" s="1"/>
  <c r="J42" i="27"/>
  <c r="J34" i="27"/>
  <c r="J41" i="27"/>
  <c r="K34" i="27"/>
  <c r="C49" i="27"/>
  <c r="L33" i="27"/>
  <c r="C48" i="27" l="1"/>
  <c r="C54" i="27"/>
  <c r="C55" i="27" s="1"/>
  <c r="C47" i="27"/>
  <c r="C52" i="27" s="1"/>
  <c r="L34" i="27"/>
  <c r="K41" i="27"/>
  <c r="K42" i="27"/>
  <c r="I27" i="27"/>
  <c r="K27" i="27" s="1"/>
  <c r="L16" i="27"/>
  <c r="M14" i="27"/>
  <c r="M15" i="27"/>
  <c r="J26" i="27"/>
  <c r="L26" i="27" s="1"/>
  <c r="C50" i="27" l="1"/>
  <c r="Y26" i="27" s="1"/>
  <c r="Y27" i="27" s="1"/>
  <c r="Y28" i="27" s="1"/>
  <c r="J27" i="27"/>
  <c r="L27" i="27" s="1"/>
  <c r="M16" i="27"/>
  <c r="M42" i="27"/>
  <c r="L42" i="27"/>
  <c r="M41" i="27"/>
  <c r="L41" i="2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E3" authorId="0" shapeId="0" xr:uid="{1BE25DB3-6311-4804-8E78-1F864A89C4E3}">
      <text>
        <r>
          <rPr>
            <b/>
            <sz val="9"/>
            <color indexed="81"/>
            <rFont val="Tahoma"/>
            <family val="2"/>
          </rPr>
          <t>user:</t>
        </r>
        <r>
          <rPr>
            <sz val="9"/>
            <color indexed="81"/>
            <rFont val="Tahoma"/>
            <family val="2"/>
          </rPr>
          <t xml:space="preserve">
רוחב היריעה שהלקוח מבקש. אם יש תמחור של Impression אז יש לרשום כאן את הרוחב של הריעיה שנשתמש</t>
        </r>
      </text>
    </comment>
    <comment ref="X3" authorId="0" shapeId="0" xr:uid="{0C8AC027-F72F-4904-94AE-1BEE8F2AAB2B}">
      <text>
        <r>
          <rPr>
            <b/>
            <sz val="9"/>
            <color indexed="81"/>
            <rFont val="Tahoma"/>
            <family val="2"/>
          </rPr>
          <t>user:</t>
        </r>
        <r>
          <rPr>
            <sz val="9"/>
            <color indexed="81"/>
            <rFont val="Tahoma"/>
            <family val="2"/>
          </rPr>
          <t xml:space="preserve">
להבין</t>
        </r>
      </text>
    </comment>
    <comment ref="Q22" authorId="0" shapeId="0" xr:uid="{11480735-0CAB-4B67-8CED-DC11859D4CA6}">
      <text>
        <r>
          <rPr>
            <b/>
            <sz val="9"/>
            <color indexed="81"/>
            <rFont val="Tahoma"/>
            <family val="2"/>
          </rPr>
          <t>user:</t>
        </r>
        <r>
          <rPr>
            <sz val="9"/>
            <color indexed="81"/>
            <rFont val="Tahoma"/>
            <family val="2"/>
          </rPr>
          <t xml:space="preserve">
רוחב היריעה המבוקש מחולק ברוחב הפוטמורה
אורך היריעה מחולק ב1000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Shay Nahum</author>
  </authors>
  <commentList>
    <comment ref="F2" authorId="0" shapeId="0" xr:uid="{7C6FCA15-7984-4F44-879B-64FC20B2B931}">
      <text>
        <r>
          <rPr>
            <b/>
            <sz val="9"/>
            <color indexed="81"/>
            <rFont val="Tahoma"/>
            <family val="2"/>
          </rPr>
          <t>user:</t>
        </r>
        <r>
          <rPr>
            <sz val="9"/>
            <color indexed="81"/>
            <rFont val="Tahoma"/>
            <family val="2"/>
          </rPr>
          <t xml:space="preserve">
הפסיעה/רוחב של השקית בתוך היריעה</t>
        </r>
      </text>
    </comment>
    <comment ref="E3" authorId="0" shapeId="0" xr:uid="{00D817A1-C0B8-4AFF-9DA3-50B504D45904}">
      <text>
        <r>
          <rPr>
            <b/>
            <sz val="9"/>
            <color indexed="81"/>
            <rFont val="Tahoma"/>
            <family val="2"/>
          </rPr>
          <t>user:</t>
        </r>
        <r>
          <rPr>
            <sz val="9"/>
            <color indexed="81"/>
            <rFont val="Tahoma"/>
            <family val="2"/>
          </rPr>
          <t xml:space="preserve">
רוחב היריעה שהלקוח מבקש. אם יש תמחור של Impression אז יש לרשום כאן את הרוחב של הריעיה שנשתמש</t>
        </r>
      </text>
    </comment>
    <comment ref="X3" authorId="0" shapeId="0" xr:uid="{3D4BE94F-2107-4984-AC8A-C5CECDC79710}">
      <text>
        <r>
          <rPr>
            <b/>
            <sz val="9"/>
            <color indexed="81"/>
            <rFont val="Tahoma"/>
            <family val="2"/>
          </rPr>
          <t>user:</t>
        </r>
        <r>
          <rPr>
            <sz val="9"/>
            <color indexed="81"/>
            <rFont val="Tahoma"/>
            <family val="2"/>
          </rPr>
          <t xml:space="preserve">
להבין</t>
        </r>
      </text>
    </comment>
    <comment ref="Q17" authorId="1" shapeId="0" xr:uid="{6917627E-0F12-435D-948E-59004376E1BB}">
      <text>
        <r>
          <rPr>
            <b/>
            <sz val="9"/>
            <color indexed="81"/>
            <rFont val="Tahoma"/>
            <family val="2"/>
          </rPr>
          <t>Shay Nahum:</t>
        </r>
        <r>
          <rPr>
            <sz val="9"/>
            <color indexed="81"/>
            <rFont val="Tahoma"/>
            <family val="2"/>
          </rPr>
          <t xml:space="preserve">
Talk to Oren and Verify 608 Waste paramaters</t>
        </r>
      </text>
    </comment>
    <comment ref="Q22" authorId="0" shapeId="0" xr:uid="{7098CB55-419F-4BF4-A3AF-1F651AD8CA3B}">
      <text>
        <r>
          <rPr>
            <b/>
            <sz val="9"/>
            <color indexed="81"/>
            <rFont val="Tahoma"/>
            <family val="2"/>
          </rPr>
          <t>user:</t>
        </r>
        <r>
          <rPr>
            <sz val="9"/>
            <color indexed="81"/>
            <rFont val="Tahoma"/>
            <family val="2"/>
          </rPr>
          <t xml:space="preserve">
רוחב היריעה המבוקש מחולק ברוחב הפוטמורה
אורך היריעה מחולק ב1000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tc={FFC01D9C-2636-44F1-B5DD-7DEB63CA12E2}</author>
    <author>tc={B545A99D-9EF4-4948-93F0-BFBF32BC3B17}</author>
    <author>tc={2A87582D-5128-42E6-B4C5-FC297492FF90}</author>
    <author>tc={BA401F1F-68A0-4393-8437-301AF5E0C834}</author>
    <author>tc={6A8F4E62-01CB-4D92-AB8C-70D2F01F6B7B}</author>
  </authors>
  <commentList>
    <comment ref="D203" authorId="0" shapeId="0" xr:uid="{FFC01D9C-2636-44F1-B5DD-7DEB63CA12E2}">
      <text>
        <t xml:space="preserve">[Threaded comment]
Your version of Excel allows you to read this threaded comment; however, any edits to it will get removed if the file is opened in a newer version of Excel. Learn more: https://go.microsoft.com/fwlink/?linkid=870924
Comment:
    Need to be checked
</t>
      </text>
    </comment>
    <comment ref="F203" authorId="1" shapeId="0" xr:uid="{B545A99D-9EF4-4948-93F0-BFBF32BC3B17}">
      <text>
        <t xml:space="preserve">[Threaded comment]
Your version of Excel allows you to read this threaded comment; however, any edits to it will get removed if the file is opened in a newer version of Excel. Learn more: https://go.microsoft.com/fwlink/?linkid=870924
Comment:
    Need to be checked
</t>
      </text>
    </comment>
    <comment ref="F222" authorId="2" shapeId="0" xr:uid="{2A87582D-5128-42E6-B4C5-FC297492FF90}">
      <text>
        <t xml:space="preserve">[Threaded comment]
Your version of Excel allows you to read this threaded comment; however, any edits to it will get removed if the file is opened in a newer version of Excel. Learn more: https://go.microsoft.com/fwlink/?linkid=870924
Comment:
    Need to be checked
</t>
      </text>
    </comment>
    <comment ref="F233" authorId="3" shapeId="0" xr:uid="{BA401F1F-68A0-4393-8437-301AF5E0C834}">
      <text>
        <t>[Threaded comment]
Your version of Excel allows you to read this threaded comment; however, any edits to it will get removed if the file is opened in a newer version of Excel. Learn more: https://go.microsoft.com/fwlink/?linkid=870924
Comment:
    Need to be checked</t>
      </text>
    </comment>
    <comment ref="F252" authorId="4" shapeId="0" xr:uid="{6A8F4E62-01CB-4D92-AB8C-70D2F01F6B7B}">
      <text>
        <t>[Threaded comment]
Your version of Excel allows you to read this threaded comment; however, any edits to it will get removed if the file is opened in a newer version of Excel. Learn more: https://go.microsoft.com/fwlink/?linkid=870924
Comment:
    Need to be checked</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tc={6C98EA5A-6121-4E6D-A12F-448489E9AFCD}</author>
  </authors>
  <commentList>
    <comment ref="E4" authorId="0" shapeId="0" xr:uid="{6C98EA5A-6121-4E6D-A12F-448489E9AFCD}">
      <text>
        <t>[Threaded comment]
Your version of Excel allows you to read this threaded comment; however, any edits to it will get removed if the file is opened in a newer version of Excel. Learn more: https://go.microsoft.com/fwlink/?linkid=870924
Comment:
    Tune Price</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<sst xmlns="http://schemas.openxmlformats.org/spreadsheetml/2006/main" count="4748" uniqueCount="1324">
  <si>
    <t>TIPA 302FG</t>
  </si>
  <si>
    <t>Film</t>
  </si>
  <si>
    <t>Ext</t>
  </si>
  <si>
    <t>Material</t>
  </si>
  <si>
    <t>Thickness (µ)</t>
  </si>
  <si>
    <t>Ext. A (Out - Chillroll)</t>
  </si>
  <si>
    <t xml:space="preserve">Ext. B </t>
  </si>
  <si>
    <t>Ext. C (In)</t>
  </si>
  <si>
    <t>FD92PM</t>
  </si>
  <si>
    <t>KAB59A</t>
  </si>
  <si>
    <t>S723</t>
  </si>
  <si>
    <t>S724</t>
  </si>
  <si>
    <t>PBSA</t>
  </si>
  <si>
    <t>PLA</t>
  </si>
  <si>
    <t>PBAT</t>
  </si>
  <si>
    <t>PCL</t>
  </si>
  <si>
    <t>AO-PBS</t>
  </si>
  <si>
    <t>SLAB-PBSA</t>
  </si>
  <si>
    <t>AB-PLA</t>
  </si>
  <si>
    <t>PVOH</t>
  </si>
  <si>
    <t>PBS</t>
  </si>
  <si>
    <t>Resin</t>
  </si>
  <si>
    <t>Grade</t>
  </si>
  <si>
    <t>B12</t>
  </si>
  <si>
    <t>P65D</t>
  </si>
  <si>
    <t>TH801T</t>
  </si>
  <si>
    <t>RM WHITE BIO8153</t>
  </si>
  <si>
    <t>Jin-Eco</t>
  </si>
  <si>
    <t>N43</t>
  </si>
  <si>
    <t>A200</t>
  </si>
  <si>
    <t>BVE8049P</t>
  </si>
  <si>
    <r>
      <t>Price (</t>
    </r>
    <r>
      <rPr>
        <sz val="11"/>
        <color theme="1"/>
        <rFont val="Calibri"/>
        <family val="2"/>
      </rPr>
      <t>€</t>
    </r>
    <r>
      <rPr>
        <sz val="11"/>
        <color theme="1"/>
        <rFont val="Arial"/>
        <family val="2"/>
      </rPr>
      <t>/kg)</t>
    </r>
  </si>
  <si>
    <t>Resin 2C</t>
  </si>
  <si>
    <t>Resin 1A</t>
  </si>
  <si>
    <t>Resin 1B</t>
  </si>
  <si>
    <t>Resin 2A</t>
  </si>
  <si>
    <t>Resin 2B</t>
  </si>
  <si>
    <t>Resin 4A</t>
  </si>
  <si>
    <t>Resin 6</t>
  </si>
  <si>
    <t>Resin 7</t>
  </si>
  <si>
    <t>Resin 8</t>
  </si>
  <si>
    <t>ECOMP WHITE</t>
  </si>
  <si>
    <t>Resin 9C</t>
  </si>
  <si>
    <t>TIPA 302FG W</t>
  </si>
  <si>
    <t>TIPA 312 FG</t>
  </si>
  <si>
    <t>TIPA 306M</t>
  </si>
  <si>
    <t>TIPA 306W</t>
  </si>
  <si>
    <t>PL202.1</t>
  </si>
  <si>
    <t>PL202.2</t>
  </si>
  <si>
    <t>PL202.3</t>
  </si>
  <si>
    <t>Percentage of the price related to thickness</t>
  </si>
  <si>
    <t>QTY</t>
  </si>
  <si>
    <t>TIPA 312MFGW</t>
  </si>
  <si>
    <t>Price Calculated(€) Thickness &amp; QTY related</t>
  </si>
  <si>
    <t>Resin 13B</t>
  </si>
  <si>
    <t>Film Type</t>
  </si>
  <si>
    <t>Width (mm)</t>
  </si>
  <si>
    <t>Length (Mr)</t>
  </si>
  <si>
    <t>Density</t>
  </si>
  <si>
    <t>Total KG in one Meter</t>
  </si>
  <si>
    <t>Total Kg Produced</t>
  </si>
  <si>
    <t>Hourly rate</t>
  </si>
  <si>
    <t>1Kg production cost</t>
  </si>
  <si>
    <t>RM cost in 1 Kg</t>
  </si>
  <si>
    <t>Total RM and Production</t>
  </si>
  <si>
    <t>Depreciation</t>
  </si>
  <si>
    <t>Total Cost and depreciation</t>
  </si>
  <si>
    <t>Other costs</t>
  </si>
  <si>
    <t>Setup</t>
  </si>
  <si>
    <t>Total Cost</t>
  </si>
  <si>
    <t>Dropdown</t>
  </si>
  <si>
    <t>Manual</t>
  </si>
  <si>
    <t>Weight Override</t>
  </si>
  <si>
    <t>Serial Number</t>
  </si>
  <si>
    <t>LX175</t>
  </si>
  <si>
    <t>RMLX175</t>
  </si>
  <si>
    <t>RMN43</t>
  </si>
  <si>
    <t>RMB12</t>
  </si>
  <si>
    <t>RM ECO</t>
  </si>
  <si>
    <t>RMT801</t>
  </si>
  <si>
    <t>RMP65D</t>
  </si>
  <si>
    <t>RM TA45-08 S723</t>
  </si>
  <si>
    <t>RM TA45-08 S724</t>
  </si>
  <si>
    <t>RM A KAB59A</t>
  </si>
  <si>
    <t>RMPM2</t>
  </si>
  <si>
    <t>TBD</t>
  </si>
  <si>
    <t>RMA200</t>
  </si>
  <si>
    <r>
      <t>Price (</t>
    </r>
    <r>
      <rPr>
        <sz val="11"/>
        <color theme="1"/>
        <rFont val="Calibri"/>
        <family val="2"/>
      </rPr>
      <t>€</t>
    </r>
    <r>
      <rPr>
        <sz val="11"/>
        <color theme="1"/>
        <rFont val="Arial"/>
        <family val="2"/>
      </rPr>
      <t>/kg)</t>
    </r>
    <r>
      <rPr>
        <b/>
        <sz val="11"/>
        <color rgb="FF000000"/>
        <rFont val="Calibri"/>
        <family val="2"/>
      </rPr>
      <t xml:space="preserve"> as I have today</t>
    </r>
  </si>
  <si>
    <t>Buying price</t>
  </si>
  <si>
    <t>Duty Costs</t>
  </si>
  <si>
    <t>Currency</t>
  </si>
  <si>
    <t>Remarks</t>
  </si>
  <si>
    <t>Price (€/kg)</t>
  </si>
  <si>
    <t>CHANGE LOG</t>
  </si>
  <si>
    <t>Structure Changes Made:</t>
  </si>
  <si>
    <t>1. HELPER: Moved Serial Number column to position C</t>
  </si>
  <si>
    <t>2. BOM: Added Serial Number column E</t>
  </si>
  <si>
    <t>3. BOM: Added XLOOKUP formulas for Serial Number and Resin</t>
  </si>
  <si>
    <t>4. BOM: Fixed second table headers</t>
  </si>
  <si>
    <t>5. BOM: Price Calculated uses Serial Number</t>
  </si>
  <si>
    <t>Price Verification - NO CHANGES in values</t>
  </si>
  <si>
    <t>All Film prices match original values</t>
  </si>
  <si>
    <t>Weight (Kg)</t>
  </si>
  <si>
    <t>Film Pricing</t>
  </si>
  <si>
    <t>the way you built option there is no impact from density and thickness and need to be. fix</t>
  </si>
  <si>
    <t>Bom</t>
  </si>
  <si>
    <t xml:space="preserve">if there are additional lines in the BOM SHEET in Column A - new Film, please add it also to column L and Q and proceed with relevant calculation, </t>
  </si>
  <si>
    <t>the data that already there in columns L &amp; Q make linked to A in case of addition or change.</t>
  </si>
  <si>
    <t>Wicketed bag</t>
  </si>
  <si>
    <t>µ</t>
  </si>
  <si>
    <t>Bag Type</t>
  </si>
  <si>
    <t>Bags amount</t>
  </si>
  <si>
    <t>Height (mm)</t>
  </si>
  <si>
    <t>Repeat = Width (mm)</t>
  </si>
  <si>
    <t>Flap</t>
  </si>
  <si>
    <t>Bottom Gusset</t>
  </si>
  <si>
    <t>Cast/ Blown</t>
  </si>
  <si>
    <t>PR/ Non PR</t>
  </si>
  <si>
    <t>Number of colors</t>
  </si>
  <si>
    <t>Bag's Weight (kg)</t>
  </si>
  <si>
    <t>Bag's Weight + Fall out (kg)</t>
  </si>
  <si>
    <t>Raw material cost (per kg)</t>
  </si>
  <si>
    <t>Shipment costs</t>
  </si>
  <si>
    <t>Raw material cost per bag</t>
  </si>
  <si>
    <t>Converting cost</t>
  </si>
  <si>
    <t>Zipper</t>
  </si>
  <si>
    <t>Total cost</t>
  </si>
  <si>
    <t>Profit</t>
  </si>
  <si>
    <t>Price for customer</t>
  </si>
  <si>
    <r>
      <t>Thickness (</t>
    </r>
    <r>
      <rPr>
        <b/>
        <sz val="11"/>
        <rFont val="Calibri"/>
        <family val="2"/>
      </rPr>
      <t>µ</t>
    </r>
    <r>
      <rPr>
        <b/>
        <sz val="11"/>
        <rFont val="Arial"/>
        <family val="2"/>
      </rPr>
      <t>)</t>
    </r>
  </si>
  <si>
    <t>Zipper bag</t>
  </si>
  <si>
    <t>Open Bag</t>
  </si>
  <si>
    <t>Resealable bag</t>
  </si>
  <si>
    <t>Garment Bag</t>
  </si>
  <si>
    <t>Cast</t>
  </si>
  <si>
    <t>Blown</t>
  </si>
  <si>
    <t>Dropdown List</t>
  </si>
  <si>
    <t>3-4</t>
  </si>
  <si>
    <t>Printed</t>
  </si>
  <si>
    <t>Not Printed</t>
  </si>
  <si>
    <t>Total film Width (mm)</t>
  </si>
  <si>
    <t>Calculation</t>
  </si>
  <si>
    <t>Total waste</t>
  </si>
  <si>
    <t>Set up (part of waste)</t>
  </si>
  <si>
    <t>Print waste</t>
  </si>
  <si>
    <t>Length (m)</t>
  </si>
  <si>
    <t>Zipper waste</t>
  </si>
  <si>
    <t>Set up waste</t>
  </si>
  <si>
    <t>Shipment Destination</t>
  </si>
  <si>
    <t>Shipping Expenses</t>
  </si>
  <si>
    <t>STEP 1</t>
  </si>
  <si>
    <t>STEP 2</t>
  </si>
  <si>
    <t>STEP 3</t>
  </si>
  <si>
    <t>STEP 4</t>
  </si>
  <si>
    <t>Step</t>
  </si>
  <si>
    <t>Action</t>
  </si>
  <si>
    <t>1️⃣</t>
  </si>
  <si>
    <t>2️⃣</t>
  </si>
  <si>
    <t>3️⃣</t>
  </si>
  <si>
    <t>4️⃣</t>
  </si>
  <si>
    <t>5️⃣</t>
  </si>
  <si>
    <t>6️⃣</t>
  </si>
  <si>
    <t>7️⃣</t>
  </si>
  <si>
    <t>3.6.2026</t>
  </si>
  <si>
    <t>pricing model continue: 1. BOM sheet: a. connect between column A , column L &amp; column Q. if there willbe new Film in column A, need to be updated in column L &amp; column Q as well accordingly. all the calculations need to be updated also, need to be dynamic. 2. Film Pricing sheet: Film type in the tables line 3 to 17 &amp; line 23 to 37 need to be linked to BOM SHEET - table column Q to R: a. lines 1-17 : films that need to go there are those that starts with TIPA. all the prices need to be part of the table in a calculation on column L - RM cost in 1 Kg, according to column A. at this point not all lines are filled , leave them empty with working formulas for future. need to be dynamic. a. lines 23-37 : films that need to go there are those that not starts with TIPA. all the prices need to be part of the table in a calculation on column L - RM cost in 1 Kg, according to column A. at this point not all lines are filled , leave them empty with working formulas for future.need to be dynamic. all need to be with formulas and not values. diagram and steps. in additional sheet named Diagram and steps- create diagram and step by step process how to use the data in all sheets - make very looking friendly. add an example in the below table in the sheet Diagram and steps please add a improvement suggestions like comparisons between films, with benefits and less good things. add an example. go</t>
  </si>
  <si>
    <t>USD</t>
  </si>
  <si>
    <t>Exchange rate</t>
  </si>
  <si>
    <t>EURO</t>
  </si>
  <si>
    <t>Price ($/kg)</t>
  </si>
  <si>
    <t>Dropdown list</t>
  </si>
  <si>
    <t>4.6.2026</t>
  </si>
  <si>
    <t>continuing pricing model: Film Pricing sheet: in the depreciation column (column N in both tables- from row 3 to 17 and from row 23 to 37 create a formula as following : take the weight from column I, and check what is the Total Kg Produced calculated there. then go to the HELPER sheet- in the HELPER sheet , there is a table- column AL- AM. write the depreciation according to this. example: if the Total Kg Produced is 500KG or less - depreciation is 25%, if more than 500 but equal or less than 1000kg- depreciation is, 20%, and so goes on. second thing: go to BOM sheet column H. under each extruder listed in column B there is a quantity written manually in column H. do a conditional formatting there: if total percentage is more then 0% but less 100%, mark the cell bright red. if equal to 100%- mark bright green. if nothing filled in- equal to 0 - leave without any formatting.</t>
  </si>
  <si>
    <t>Order Quantity</t>
  </si>
  <si>
    <t>Multiplier</t>
  </si>
  <si>
    <t>Column</t>
  </si>
  <si>
    <t>W</t>
  </si>
  <si>
    <t>Y</t>
  </si>
  <si>
    <t>Volume Discount Tiers</t>
  </si>
  <si>
    <t>Converting cost - Manual alternative</t>
  </si>
  <si>
    <t>Price for customer-USD</t>
  </si>
  <si>
    <t>Laminate</t>
  </si>
  <si>
    <t>Laminate structure</t>
  </si>
  <si>
    <t>Width Used</t>
  </si>
  <si>
    <t>Laminate length (m) width asked</t>
  </si>
  <si>
    <t>PR/ NonPR</t>
  </si>
  <si>
    <t>Lemination Width (mm)</t>
  </si>
  <si>
    <r>
      <t>Thickness (</t>
    </r>
    <r>
      <rPr>
        <b/>
        <sz val="12"/>
        <color theme="1"/>
        <rFont val="Calibri"/>
        <family val="2"/>
      </rPr>
      <t>µ</t>
    </r>
    <r>
      <rPr>
        <b/>
        <sz val="12"/>
        <color theme="1"/>
        <rFont val="Arial"/>
        <family val="2"/>
      </rPr>
      <t>)</t>
    </r>
  </si>
  <si>
    <t>Weight (kg)</t>
  </si>
  <si>
    <t>Raw material Cost</t>
  </si>
  <si>
    <t>Cost (€)</t>
  </si>
  <si>
    <t>NK</t>
  </si>
  <si>
    <t>Resin 2N</t>
  </si>
  <si>
    <t>RM Mbi-EX52A0</t>
  </si>
  <si>
    <t>EX52A0</t>
  </si>
  <si>
    <t>Epotal 3702</t>
  </si>
  <si>
    <t>RM G Epotal Eco 3702</t>
  </si>
  <si>
    <t>RM G Basonat HW 2270</t>
  </si>
  <si>
    <t>Basonat</t>
  </si>
  <si>
    <t>Epotal 3675</t>
  </si>
  <si>
    <t>RM G Epotal ECO 3675</t>
  </si>
  <si>
    <t>Adhesive</t>
  </si>
  <si>
    <t>TIPA 312 MFG</t>
  </si>
  <si>
    <t>TIPA 312 MET</t>
  </si>
  <si>
    <t>Billerud Kraft White Paper</t>
  </si>
  <si>
    <t>Paper</t>
  </si>
  <si>
    <t>under check</t>
  </si>
  <si>
    <t xml:space="preserve">Pricing mdel continue: </t>
  </si>
  <si>
    <t xml:space="preserve">Laminates sheet: </t>
  </si>
  <si>
    <t xml:space="preserve">1.column G need to be dependent on column F. If I choose not printed in column F from dropdown list, result in column G- number of paints - need to be 0. If I choose printed in column F from dropdown list, result in column G- can be chosen manualy. </t>
  </si>
  <si>
    <t xml:space="preserve">2. Column L- row material cost- need to be linked to fim pricing sheet relevant data &amp; helper sheet as well , eventualy the cost for row material based on films that appear in the Film Pricing &amp; materials that appear in the HELPER sheet price. </t>
  </si>
  <si>
    <t>3.HELPER sheet- I added additional column AP , so all columns moved, checked please that everting is works properly and accordingly.</t>
  </si>
  <si>
    <t>4. Laminates sheet column J- please fill according to the name of the appearing in the laminate structure in column B , while tthe density measure in the HELPER sheet column AO &amp; AP. the missing ones measure will appear later, but names need to be linked as well.</t>
  </si>
  <si>
    <t>5. check all the formaulas that work fine.</t>
  </si>
  <si>
    <t xml:space="preserve">6. Laminates sheet- Lemination Width (mm) column H need to be added 50mm to the appear in the column C but only for Laminates- the name of films that appear in column B. the list of the films can be seen in the HELPER sheet in column AO. </t>
  </si>
  <si>
    <t>7. Laminates sheet column B- as you can see there is a dropdown list of films/ adhesives that depends on name of laminate that appear in column A. in each one there are blank lines - in case that the ingredients of laminate will change. please built a conditional formating for the rows that at this pont remain blank. for example: for 918 laminatethere are 4 ingredients in column B - appear in rows 3-6 . and to blanks- 7-8, so please do a conditional formating- collored bright grey. if I will change to another laminate, another lines will be blank, and need to be changed accordingly. if there is no filled name of the laminate , in column A- the conditional formating in B need to remain blank untill Laminate will be filled.</t>
  </si>
  <si>
    <t>check all the formulas, add the steps that missing from the diagram and steps sheet including exapmpes and explanations as before.</t>
  </si>
  <si>
    <t>A</t>
  </si>
  <si>
    <t>B</t>
  </si>
  <si>
    <t>Enter Width</t>
  </si>
  <si>
    <t>C</t>
  </si>
  <si>
    <t>F</t>
  </si>
  <si>
    <t>8️⃣</t>
  </si>
  <si>
    <t>Formula Logic</t>
  </si>
  <si>
    <t>Notes</t>
  </si>
  <si>
    <t>Width of reel</t>
  </si>
  <si>
    <t>Kg</t>
  </si>
  <si>
    <t>Width</t>
  </si>
  <si>
    <t>Amount</t>
  </si>
  <si>
    <t>Laminates sheet-</t>
  </si>
  <si>
    <t>1. looks like conditional formating in column B doesnt work- there is a name of the laminate in column A, laminate structure is filled by films rows 3-7, but the blanc line number 8 isnt bright rey as needed. please check for all lines tha need to work according to this logic in previous prompt.</t>
  </si>
  <si>
    <t xml:space="preserve">2. in this laminate please move the table two columns Right so Laminate column need to be in column c instead of A and so on. </t>
  </si>
  <si>
    <t xml:space="preserve">in column A add a dropdown list that you can see in helper sheet column BC. for each laminate I need to choose from dropdown list which measure to use, in column A add the column with header amount where manually I will write the ammount needed. </t>
  </si>
  <si>
    <t xml:space="preserve">check that all formiulas werent messed up during to those columns movements. </t>
  </si>
  <si>
    <t>see the logic of calculation for in sheet Laminate for reels - Sales for Laminate length (m) width asked. use same logic for calculation for Laminate length (m) width asked in sheet Laminates. dont use any data from sheet Laminate for reels - Sales, only understand the strategy.</t>
  </si>
  <si>
    <t>the number that filled in H1 CELL IN THE SHEET Laminate for reels - Sales is the number that will be filled in sheet Laminates- column B with header amount.</t>
  </si>
  <si>
    <t>go</t>
  </si>
  <si>
    <t>7.60.2026-1</t>
  </si>
  <si>
    <t>7.60.2026-2</t>
  </si>
  <si>
    <t>Measurement</t>
  </si>
  <si>
    <t>Length of impression</t>
  </si>
  <si>
    <t>Shipment costs -EU</t>
  </si>
  <si>
    <t>Margin</t>
  </si>
  <si>
    <t>Not relevant</t>
  </si>
  <si>
    <t>0</t>
  </si>
  <si>
    <t>Supplier</t>
  </si>
  <si>
    <t>Per film cost costs:</t>
  </si>
  <si>
    <t>up to 3k Meters (*) ( **)</t>
  </si>
  <si>
    <t>3-10k</t>
  </si>
  <si>
    <t>10-25k</t>
  </si>
  <si>
    <t>25k-50k</t>
  </si>
  <si>
    <t>50-100k</t>
  </si>
  <si>
    <t>100-250k</t>
  </si>
  <si>
    <t>250-500k</t>
  </si>
  <si>
    <t>500k+</t>
  </si>
  <si>
    <t>Important notes</t>
  </si>
  <si>
    <t>Bastin prices are 30% higher than Marma for lamination</t>
  </si>
  <si>
    <t>Lamination First pass (120 m/m)</t>
  </si>
  <si>
    <t>Bastin prices are 50% higher than Marma for printing</t>
  </si>
  <si>
    <t>Printing (1-2 colors)***</t>
  </si>
  <si>
    <t>Printing (3-4 colors)***</t>
  </si>
  <si>
    <t>Printing (5-8 colors)***</t>
  </si>
  <si>
    <t xml:space="preserve">Slitting </t>
  </si>
  <si>
    <t>Bastin</t>
  </si>
  <si>
    <t>Converting costs</t>
  </si>
  <si>
    <t>25K pouches</t>
  </si>
  <si>
    <t>25-50K</t>
  </si>
  <si>
    <t>50-100K</t>
  </si>
  <si>
    <t>100-250K</t>
  </si>
  <si>
    <t>250-500K</t>
  </si>
  <si>
    <t>500-1,000K</t>
  </si>
  <si>
    <t>1,000K+</t>
  </si>
  <si>
    <t>Converting costs include the packing costs  -  pallets , carton boxes , and does not include the zipper.</t>
  </si>
  <si>
    <t>Marma</t>
  </si>
  <si>
    <t>SUP with zipper</t>
  </si>
  <si>
    <t>100 MM width</t>
  </si>
  <si>
    <t>*Price per 1000 pouch - EUR *</t>
  </si>
  <si>
    <t>150 MM width</t>
  </si>
  <si>
    <t>600 &amp; 700 mm width- too wide, can't be done</t>
  </si>
  <si>
    <t>200 MM width</t>
  </si>
  <si>
    <t>Bastin is highger than Marma by 30%- Shay's directive</t>
  </si>
  <si>
    <t>300 MM width</t>
  </si>
  <si>
    <t>400 MM width</t>
  </si>
  <si>
    <t>500 MM width</t>
  </si>
  <si>
    <t>Zipper pouch</t>
  </si>
  <si>
    <t>Open pouch</t>
  </si>
  <si>
    <t xml:space="preserve">MET LUX </t>
  </si>
  <si>
    <t>need to be added to TIPA 312 MFG, check the pricelist</t>
  </si>
  <si>
    <t>Grand Total</t>
  </si>
  <si>
    <t>Sum of Price Calculated(€) Thickness &amp; QTY related</t>
  </si>
  <si>
    <t>FILM</t>
  </si>
  <si>
    <t>% from Total</t>
  </si>
  <si>
    <t>Lamination</t>
  </si>
  <si>
    <t>$</t>
  </si>
  <si>
    <t>Printing</t>
  </si>
  <si>
    <t>Waste</t>
  </si>
  <si>
    <t>if Laminate length (m) width asked in Laminate sheet is between the numbers that appear in the Lmntn &amp; Prntng- Marma &amp; Bastin sheet table in header line, you choose accordingly. for example if 6590, you take from column E:3K-10K, and so on.</t>
  </si>
  <si>
    <t>affocarse pay attention to all parameters I wrote before rgarding rows.</t>
  </si>
  <si>
    <t>linear meters (760 width)- EUR/m</t>
  </si>
  <si>
    <t>linear meters (1220 width)- EUR/m</t>
  </si>
  <si>
    <t>Products structures</t>
  </si>
  <si>
    <t>B4P name/structure</t>
  </si>
  <si>
    <t>TIPA name |Final Structure</t>
  </si>
  <si>
    <t>Glue</t>
  </si>
  <si>
    <t>Industrial Certificate</t>
  </si>
  <si>
    <t>Home Certificate</t>
  </si>
  <si>
    <t>BTI - PLA|NK</t>
  </si>
  <si>
    <t>B.LAM 902 ( PLA | NK )</t>
  </si>
  <si>
    <t>Morchem - Solvent based adhesive</t>
  </si>
  <si>
    <t>7P0466</t>
  </si>
  <si>
    <t>BUI - PLA- MET|NK</t>
  </si>
  <si>
    <t>B.LAM 903 ( PLA-MET | NK)</t>
  </si>
  <si>
    <t>BMI - PLA-PVOH|NK</t>
  </si>
  <si>
    <t>B.LAM 904 ( PLA-PVOH|NK)</t>
  </si>
  <si>
    <t>B.LAM 905 ( BIOPE | NK )</t>
  </si>
  <si>
    <t>B.LAM 906 ( BIOPE | OPE )</t>
  </si>
  <si>
    <t>BIP - NK|Paper (Paperwise)</t>
  </si>
  <si>
    <t>B.LAM 907 (NK or NK White| Paperwise)</t>
  </si>
  <si>
    <t>BFwF - NK white |NK</t>
  </si>
  <si>
    <t>B.LAM 908 (NK white|NK)</t>
  </si>
  <si>
    <t>BTpALXFFmt - Foil (biofilm) | glue (S base) | Foil (Cellulose) | glue (S base) | Foil (Cellulose) matt</t>
  </si>
  <si>
    <t>B.LAM 909 Foil (biofilm) | glue (S base) | Foil (Cellulose) | glue (S base) | Foil (Cellulose) matt</t>
  </si>
  <si>
    <t>NA</t>
  </si>
  <si>
    <t>Coffee capsule lid laminate - IC (Tea bag paper - NK |high heat PLA + PVOH)</t>
  </si>
  <si>
    <t>B.LAM 910 Coffee capsule lid laminate - IC (Tea bag paper - NK |high heat PLA + PVOH)</t>
  </si>
  <si>
    <t xml:space="preserve">BTIN-43 - Natureflex DNE- NATIVIA NTSS </t>
  </si>
  <si>
    <t xml:space="preserve">B.LAM 911 Natureflex DNE- NATIVIA NTSS </t>
  </si>
  <si>
    <t>B.LAM 912 ( NK | Paper Kraft white 32gr )</t>
  </si>
  <si>
    <t>B.LAM 913 ( BIOPE  30mic | NK  23mic | NK 23mic )</t>
  </si>
  <si>
    <t>?</t>
  </si>
  <si>
    <t>B.LAM 914 ( PLA | Paper Kraft White [50gr / 60µm] )</t>
  </si>
  <si>
    <t xml:space="preserve">Epotal 3675- water based adhesive </t>
  </si>
  <si>
    <t>BPP</t>
  </si>
  <si>
    <t xml:space="preserve">EcoBarrier Jass@heat </t>
  </si>
  <si>
    <t>Walki Plastiroll Oy</t>
  </si>
  <si>
    <t xml:space="preserve">BTpFmF – TIPA 302|NKME|NK </t>
  </si>
  <si>
    <t>T.LAM 106 ( TIPA 302|NKME|NK )</t>
  </si>
  <si>
    <t xml:space="preserve">7P0466 \ TA8011601644 </t>
  </si>
  <si>
    <t>T.LAM 228 ( TIPA 302 | TIPA 312 MET | Paperwise )</t>
  </si>
  <si>
    <t xml:space="preserve">Ex Lam </t>
  </si>
  <si>
    <t>BTpP - TIPA 302|Paper</t>
  </si>
  <si>
    <t>T.LAM 230 ( TIPA 302 | Paperwise )</t>
  </si>
  <si>
    <t>7P0466 \  TA8012105761</t>
  </si>
  <si>
    <t>T.LAM 231 ( TIPA 302 | Paper [Billerud/Sapi] )</t>
  </si>
  <si>
    <t>T.LAM 408 ( NK | TIPA 312 MET )</t>
  </si>
  <si>
    <t>T.LAM 418 ( NK 19 | TIPA 312 MET )</t>
  </si>
  <si>
    <t>T.LAM 428 ( NK | TIPA 312 MET |TIPA 312 MET )</t>
  </si>
  <si>
    <t>T.LAM 458 ( NK 30 |TIPA 312 MET )</t>
  </si>
  <si>
    <r>
      <t>T.LAM</t>
    </r>
    <r>
      <rPr>
        <b/>
        <sz val="11"/>
        <color rgb="FFFF0000"/>
        <rFont val="Aptos Narrow"/>
        <family val="2"/>
        <scheme val="minor"/>
      </rPr>
      <t xml:space="preserve"> </t>
    </r>
    <r>
      <rPr>
        <b/>
        <sz val="11"/>
        <rFont val="Aptos Narrow"/>
        <family val="2"/>
        <scheme val="minor"/>
      </rPr>
      <t xml:space="preserve">468 </t>
    </r>
    <r>
      <rPr>
        <b/>
        <sz val="11"/>
        <color theme="1"/>
        <rFont val="Aptos Narrow"/>
        <family val="2"/>
        <scheme val="minor"/>
      </rPr>
      <t>( NK | TIPA 312 MET | TIPA 312 MET )</t>
    </r>
  </si>
  <si>
    <t>BTpI – TIPA 302|NK</t>
  </si>
  <si>
    <t>T.LAM 607 ( NK | TIPA 302 )</t>
  </si>
  <si>
    <t>7P0466 \ TA8011601646</t>
  </si>
  <si>
    <t>T.LAM 608 ( NK | TIPA 302 )</t>
  </si>
  <si>
    <t>7P1587</t>
  </si>
  <si>
    <t>9P0152 \ TA8022105619</t>
  </si>
  <si>
    <t xml:space="preserve">Finish products </t>
  </si>
  <si>
    <t>T.LAM 618 ( NK | TIPA 302 )</t>
  </si>
  <si>
    <t>T.LAM 618 W ( NK | TIPA 302 W )</t>
  </si>
  <si>
    <t>BTpFmTp -(TIPA 302|NKME|TIPA 302)</t>
  </si>
  <si>
    <t>T.LAM 802 ( TIPA 302 | NKME | TIPA 302 )</t>
  </si>
  <si>
    <t>BTpTpF -TIPA 302|TIPA 302|NK</t>
  </si>
  <si>
    <t>T.LAM 803 ( TIPA 302 | TIPA 302 | NK )</t>
  </si>
  <si>
    <t>BTpMF -TIPA 302|PLA-PVOH|NK</t>
  </si>
  <si>
    <t>T.LAM 804 ( TIPA 302| PLA-PVOH | NK )</t>
  </si>
  <si>
    <t>BTpFmP – TIPA 302|NM|Paper (Paperwise)</t>
  </si>
  <si>
    <t>T.LAM 805  (TIPA 302 | NM | Paperwise )</t>
  </si>
  <si>
    <t xml:space="preserve">regulatory similar to T.LAM 200 </t>
  </si>
  <si>
    <r>
      <t xml:space="preserve">BTpFFmt - TIPA </t>
    </r>
    <r>
      <rPr>
        <b/>
        <sz val="11"/>
        <color theme="1"/>
        <rFont val="Aptos Narrow"/>
        <family val="2"/>
        <scheme val="minor"/>
      </rPr>
      <t>312</t>
    </r>
    <r>
      <rPr>
        <sz val="11"/>
        <color theme="1"/>
        <rFont val="Aptos Narrow"/>
        <family val="2"/>
        <scheme val="minor"/>
      </rPr>
      <t>|NK|NK matt</t>
    </r>
  </si>
  <si>
    <t>T.LAM 807M ( TIPA 312 | NK | NK matt )</t>
  </si>
  <si>
    <t>BTpwFmPkw - TIPA TIPA 302 white|NM |paper kraft white</t>
  </si>
  <si>
    <r>
      <t xml:space="preserve">T.LAM 808 ( TIPA 302 </t>
    </r>
    <r>
      <rPr>
        <b/>
        <sz val="11"/>
        <color theme="0"/>
        <rFont val="Aptos Narrow"/>
        <family val="2"/>
        <scheme val="minor"/>
      </rPr>
      <t xml:space="preserve">White </t>
    </r>
    <r>
      <rPr>
        <b/>
        <sz val="11"/>
        <color rgb="FF000000"/>
        <rFont val="Aptos Narrow"/>
        <family val="2"/>
        <scheme val="minor"/>
      </rPr>
      <t>| NM | Paperwise )</t>
    </r>
  </si>
  <si>
    <r>
      <t xml:space="preserve">BTpwmF - TIPA </t>
    </r>
    <r>
      <rPr>
        <b/>
        <sz val="11"/>
        <color theme="1"/>
        <rFont val="Aptos Narrow"/>
        <family val="2"/>
        <scheme val="minor"/>
      </rPr>
      <t>312</t>
    </r>
    <r>
      <rPr>
        <sz val="11"/>
        <color theme="1"/>
        <rFont val="Aptos Narrow"/>
        <family val="2"/>
        <scheme val="minor"/>
      </rPr>
      <t xml:space="preserve"> metalized white |NK</t>
    </r>
  </si>
  <si>
    <r>
      <t xml:space="preserve">T.LAM 809 ( TIPA 312 MET </t>
    </r>
    <r>
      <rPr>
        <b/>
        <sz val="11"/>
        <color theme="0"/>
        <rFont val="Aptos Narrow"/>
        <family val="2"/>
        <scheme val="minor"/>
      </rPr>
      <t xml:space="preserve">White  </t>
    </r>
    <r>
      <rPr>
        <b/>
        <sz val="11"/>
        <color rgb="FF000000"/>
        <rFont val="Aptos Narrow"/>
        <family val="2"/>
        <scheme val="minor"/>
      </rPr>
      <t>| NK )</t>
    </r>
  </si>
  <si>
    <r>
      <t xml:space="preserve">BTpwmPkw- TIPA </t>
    </r>
    <r>
      <rPr>
        <b/>
        <sz val="11"/>
        <color theme="1"/>
        <rFont val="Aptos Narrow"/>
        <family val="2"/>
        <scheme val="minor"/>
      </rPr>
      <t>312</t>
    </r>
    <r>
      <rPr>
        <sz val="11"/>
        <color theme="1"/>
        <rFont val="Aptos Narrow"/>
        <family val="2"/>
        <scheme val="minor"/>
      </rPr>
      <t xml:space="preserve"> metalized white with paper kraft white</t>
    </r>
  </si>
  <si>
    <r>
      <t xml:space="preserve">T.LAM 810 ( TIPA 312 MET </t>
    </r>
    <r>
      <rPr>
        <b/>
        <sz val="11"/>
        <color theme="0"/>
        <rFont val="Aptos Narrow"/>
        <family val="2"/>
        <scheme val="minor"/>
      </rPr>
      <t>White</t>
    </r>
    <r>
      <rPr>
        <b/>
        <sz val="11"/>
        <color rgb="FF000000"/>
        <rFont val="Aptos Narrow"/>
        <family val="2"/>
        <scheme val="minor"/>
      </rPr>
      <t xml:space="preserve">  |  Paperwise )</t>
    </r>
  </si>
  <si>
    <t xml:space="preserve">BTpFmF – TIPA 302|NM|NK </t>
  </si>
  <si>
    <t>T.LAM 811 ( TIPA 302 | NM | NK )</t>
  </si>
  <si>
    <t>regulatory similar to T.LAM 106</t>
  </si>
  <si>
    <t xml:space="preserve">BTpFmFmt - TIPA 302|NKME|NK matt </t>
  </si>
  <si>
    <t>T.LAM 811M ( TIPA 302 | NM | NK matt )</t>
  </si>
  <si>
    <t>regulatory similar to T.LAM 106M</t>
  </si>
  <si>
    <t>BTpFP – TIPA 302|NK|Paper</t>
  </si>
  <si>
    <t>T.LAM 812 ( TIPA 302 | NK | Paperwise )</t>
  </si>
  <si>
    <t xml:space="preserve">regulatory similar to T.LAM 202 </t>
  </si>
  <si>
    <t>BTpFF – TIPA 302|NK|NK</t>
  </si>
  <si>
    <t xml:space="preserve">T.LAM 813 ( TIPA 302 | NK | NK ) </t>
  </si>
  <si>
    <t xml:space="preserve"> regulatory similar to T.LAM 604 </t>
  </si>
  <si>
    <t>BTpFFmt- TIPA TIPA 302|NK|NK matt</t>
  </si>
  <si>
    <t xml:space="preserve">T.LAM 813M ( TIPA 302 | NK | NK matt ) </t>
  </si>
  <si>
    <t>regulatory similar to T.LAM 604M</t>
  </si>
  <si>
    <t>BTpFmFm -TIPA 302|NM|NM / TIPA 302|NKME|NKME</t>
  </si>
  <si>
    <t>T.LAM 814 ( TIPA 302 | NM | NM )</t>
  </si>
  <si>
    <t>regulatory similar to T.LAM 506</t>
  </si>
  <si>
    <t>Coffee capsule lid laminate - HC (paper |NK | 312 ALX)</t>
  </si>
  <si>
    <t>T.LAM 815 - Coffee capsule lid laminate - HC (paper |NK | 312 ALX)</t>
  </si>
  <si>
    <t>BTpFmt - TIPA 302|NK matt</t>
  </si>
  <si>
    <t>T.LAM 816M ( TIPA 302 | NK matt )</t>
  </si>
  <si>
    <t>regulatory similar to T.LAM 607M - not a TIPA product anymore</t>
  </si>
  <si>
    <t>BTpFmPk 115 - TIPA TIPA 302|NM|Kraft Brown Paper  </t>
  </si>
  <si>
    <r>
      <t xml:space="preserve">T.LAM 817 ( TIPA 302 | NM | Billerud Kraft </t>
    </r>
    <r>
      <rPr>
        <b/>
        <sz val="11"/>
        <color theme="5" tint="-0.499984740745262"/>
        <rFont val="Aptos Narrow"/>
        <family val="2"/>
        <scheme val="minor"/>
      </rPr>
      <t>Brown</t>
    </r>
    <r>
      <rPr>
        <b/>
        <sz val="11"/>
        <color rgb="FF000000"/>
        <rFont val="Aptos Narrow"/>
        <family val="2"/>
        <scheme val="minor"/>
      </rPr>
      <t xml:space="preserve"> Paper )</t>
    </r>
  </si>
  <si>
    <t>Metalized Laminate</t>
  </si>
  <si>
    <t xml:space="preserve">BTpFmPkw 98 -  TIPA TIPA 302|NM|Kraft White Paper </t>
  </si>
  <si>
    <r>
      <t xml:space="preserve">T.LAM 818  ( TIPA 302 | NM | Billerud Kraft </t>
    </r>
    <r>
      <rPr>
        <b/>
        <sz val="11"/>
        <color theme="0"/>
        <rFont val="Aptos Narrow"/>
        <family val="2"/>
        <scheme val="minor"/>
      </rPr>
      <t xml:space="preserve">White </t>
    </r>
    <r>
      <rPr>
        <b/>
        <sz val="11"/>
        <color rgb="FF000000"/>
        <rFont val="Aptos Narrow"/>
        <family val="2"/>
        <scheme val="minor"/>
      </rPr>
      <t>Paper )</t>
    </r>
  </si>
  <si>
    <r>
      <t xml:space="preserve">T.LAM 818W  (TIPA 302 White| NM |Billerud Kraft </t>
    </r>
    <r>
      <rPr>
        <b/>
        <sz val="11"/>
        <color theme="0"/>
        <rFont val="Aptos Narrow"/>
        <family val="2"/>
        <scheme val="minor"/>
      </rPr>
      <t>White</t>
    </r>
    <r>
      <rPr>
        <b/>
        <sz val="11"/>
        <color rgb="FF000000"/>
        <rFont val="Aptos Narrow"/>
        <family val="2"/>
        <scheme val="minor"/>
      </rPr>
      <t xml:space="preserve"> Paper)</t>
    </r>
  </si>
  <si>
    <t xml:space="preserve">BTpFPkw - TIPA 302|NK|Kraft White Paper </t>
  </si>
  <si>
    <r>
      <t xml:space="preserve">T.LAM 819 ( TIPA 302 | NK | Billerud Kraft </t>
    </r>
    <r>
      <rPr>
        <b/>
        <sz val="11"/>
        <color theme="0"/>
        <rFont val="Aptos Narrow"/>
        <family val="2"/>
        <scheme val="minor"/>
      </rPr>
      <t>White</t>
    </r>
    <r>
      <rPr>
        <b/>
        <sz val="11"/>
        <color rgb="FF000000"/>
        <rFont val="Aptos Narrow"/>
        <family val="2"/>
        <scheme val="minor"/>
      </rPr>
      <t xml:space="preserve"> Paper)</t>
    </r>
  </si>
  <si>
    <t>9P0044 \ TA8021601768</t>
  </si>
  <si>
    <t>BTpFPk -  TIPA TIPA 302|NK|Kraft Brown Paper</t>
  </si>
  <si>
    <r>
      <t xml:space="preserve">T.LAM 820 ( TIPA 302 | NK | Billerud Kraft </t>
    </r>
    <r>
      <rPr>
        <b/>
        <sz val="11"/>
        <color theme="5" tint="-0.499984740745262"/>
        <rFont val="Aptos Narrow"/>
        <family val="2"/>
        <scheme val="minor"/>
      </rPr>
      <t>Brown</t>
    </r>
    <r>
      <rPr>
        <b/>
        <sz val="11"/>
        <color theme="1"/>
        <rFont val="Aptos Narrow"/>
        <family val="2"/>
        <scheme val="minor"/>
      </rPr>
      <t xml:space="preserve"> Paper )</t>
    </r>
  </si>
  <si>
    <t>T.LAM 821 ( TIPA 302 | NK | NK )</t>
  </si>
  <si>
    <t xml:space="preserve">9P0044 </t>
  </si>
  <si>
    <t>T.LAM 821M ( TIPA 302 | NK | NK Matt)</t>
  </si>
  <si>
    <t>T.LAM 822 ( TIPA 312 MET | NK | NK )</t>
  </si>
  <si>
    <t>T.LAM 822M ( TIPA 312 MET | NK | NK matt)</t>
  </si>
  <si>
    <r>
      <t xml:space="preserve">T.LAM 823 ( TIPA 312 MET | NK | Billerud </t>
    </r>
    <r>
      <rPr>
        <b/>
        <sz val="11"/>
        <color theme="0"/>
        <rFont val="Aptos Narrow"/>
        <family val="2"/>
        <scheme val="minor"/>
      </rPr>
      <t>White</t>
    </r>
    <r>
      <rPr>
        <b/>
        <sz val="11"/>
        <color rgb="FF000000"/>
        <rFont val="Aptos Narrow"/>
        <family val="2"/>
        <scheme val="minor"/>
      </rPr>
      <t xml:space="preserve"> paper )</t>
    </r>
  </si>
  <si>
    <r>
      <t xml:space="preserve">T.LAM 823W ( TIPA 312 MET </t>
    </r>
    <r>
      <rPr>
        <b/>
        <sz val="11"/>
        <color theme="0"/>
        <rFont val="Aptos Narrow"/>
        <family val="2"/>
        <scheme val="minor"/>
      </rPr>
      <t xml:space="preserve">White </t>
    </r>
    <r>
      <rPr>
        <b/>
        <sz val="11"/>
        <color rgb="FF000000"/>
        <rFont val="Aptos Narrow"/>
        <family val="2"/>
        <scheme val="minor"/>
      </rPr>
      <t xml:space="preserve">| NK or NKR | Billerud </t>
    </r>
    <r>
      <rPr>
        <b/>
        <sz val="11"/>
        <color theme="0"/>
        <rFont val="Aptos Narrow"/>
        <family val="2"/>
        <scheme val="minor"/>
      </rPr>
      <t>White</t>
    </r>
    <r>
      <rPr>
        <b/>
        <sz val="11"/>
        <color rgb="FF000000"/>
        <rFont val="Aptos Narrow"/>
        <family val="2"/>
        <scheme val="minor"/>
      </rPr>
      <t xml:space="preserve"> paper)</t>
    </r>
  </si>
  <si>
    <r>
      <t xml:space="preserve">T.LAM 824 ( TIPA 312 MET | NK or NKR | Billerud </t>
    </r>
    <r>
      <rPr>
        <b/>
        <sz val="11"/>
        <color theme="5" tint="-0.499984740745262"/>
        <rFont val="Aptos Narrow"/>
        <family val="2"/>
        <scheme val="minor"/>
      </rPr>
      <t>Brown</t>
    </r>
    <r>
      <rPr>
        <b/>
        <sz val="11"/>
        <color rgb="FF000000"/>
        <rFont val="Aptos Narrow"/>
        <family val="2"/>
        <scheme val="minor"/>
      </rPr>
      <t xml:space="preserve"> paper)</t>
    </r>
  </si>
  <si>
    <t xml:space="preserve">BTpmFmF </t>
  </si>
  <si>
    <t>T.LAM 825 ( TIPA 312 MET | NM | NK )</t>
  </si>
  <si>
    <t xml:space="preserve">BTpmFmFmt </t>
  </si>
  <si>
    <t>T.LAM 825M ( TIPA 312 MET | NM | NK matt )</t>
  </si>
  <si>
    <t>T.LAM 825W ( TIPA 312 MET White | NM | NK  )</t>
  </si>
  <si>
    <r>
      <t xml:space="preserve">T.LAM 826 ( TIPA 312 MET | NM | Billerud </t>
    </r>
    <r>
      <rPr>
        <b/>
        <sz val="11"/>
        <color theme="0"/>
        <rFont val="Aptos Narrow"/>
        <family val="2"/>
        <scheme val="minor"/>
      </rPr>
      <t>White</t>
    </r>
    <r>
      <rPr>
        <b/>
        <sz val="11"/>
        <color rgb="FF000000"/>
        <rFont val="Aptos Narrow"/>
        <family val="2"/>
        <scheme val="minor"/>
      </rPr>
      <t xml:space="preserve"> paper )</t>
    </r>
  </si>
  <si>
    <r>
      <t xml:space="preserve">T.LAM 827 ( TIPA 312 MET | NM | Billerud </t>
    </r>
    <r>
      <rPr>
        <b/>
        <sz val="11"/>
        <color theme="5" tint="-0.499984740745262"/>
        <rFont val="Aptos Narrow"/>
        <family val="2"/>
        <scheme val="minor"/>
      </rPr>
      <t>Brown</t>
    </r>
    <r>
      <rPr>
        <b/>
        <sz val="11"/>
        <color rgb="FF000000"/>
        <rFont val="Aptos Narrow"/>
        <family val="2"/>
        <scheme val="minor"/>
      </rPr>
      <t xml:space="preserve"> paper )</t>
    </r>
  </si>
  <si>
    <t>T.LAM 828 ( TIPA 312 ALX | NK | NK )</t>
  </si>
  <si>
    <t>T.LAM 828M ( TIPA 312 ALX | NK | NK matt )</t>
  </si>
  <si>
    <t>T.LAM 829 ( TIPA 312 ALX  | NK | Billerud White paper )</t>
  </si>
  <si>
    <t>T.LAM 830 ( TIPA 312 ALX  | NK  | Billerud Brown paper )</t>
  </si>
  <si>
    <t>T.LAM 831 ( TIPA 312 ALX  | NM | NK )</t>
  </si>
  <si>
    <t>T.LAM 831M ( TIPA 312 ALX  | NM | NK matt )</t>
  </si>
  <si>
    <r>
      <t xml:space="preserve">T.LAM 832 ( TIPA 312 ALX  | NM | Billerud Kraft </t>
    </r>
    <r>
      <rPr>
        <b/>
        <sz val="11"/>
        <color theme="0"/>
        <rFont val="Aptos Narrow"/>
        <family val="2"/>
        <scheme val="minor"/>
      </rPr>
      <t>White</t>
    </r>
    <r>
      <rPr>
        <b/>
        <sz val="11"/>
        <color rgb="FF000000"/>
        <rFont val="Aptos Narrow"/>
        <family val="2"/>
        <scheme val="minor"/>
      </rPr>
      <t xml:space="preserve"> paper )</t>
    </r>
  </si>
  <si>
    <r>
      <t xml:space="preserve">T.LAM 833 ( TIPA 312 ALX  | NM | Billerud Kraft </t>
    </r>
    <r>
      <rPr>
        <b/>
        <sz val="11"/>
        <color theme="5" tint="-0.499984740745262"/>
        <rFont val="Aptos Narrow"/>
        <family val="2"/>
        <scheme val="minor"/>
      </rPr>
      <t>Brown</t>
    </r>
    <r>
      <rPr>
        <b/>
        <sz val="11"/>
        <color rgb="FF000000"/>
        <rFont val="Aptos Narrow"/>
        <family val="2"/>
        <scheme val="minor"/>
      </rPr>
      <t xml:space="preserve"> paper )</t>
    </r>
  </si>
  <si>
    <t>BTpmPkw</t>
  </si>
  <si>
    <r>
      <t>T.LAM 834 ( TIPA</t>
    </r>
    <r>
      <rPr>
        <b/>
        <sz val="12"/>
        <rFont val="Aptos Narrow"/>
        <family val="2"/>
        <scheme val="minor"/>
      </rPr>
      <t xml:space="preserve"> 312 MET |  Billerud Kraft </t>
    </r>
    <r>
      <rPr>
        <b/>
        <sz val="12"/>
        <color theme="0"/>
        <rFont val="Aptos Narrow"/>
        <family val="2"/>
        <scheme val="minor"/>
      </rPr>
      <t>White</t>
    </r>
    <r>
      <rPr>
        <b/>
        <sz val="12"/>
        <rFont val="Aptos Narrow"/>
        <family val="2"/>
        <scheme val="minor"/>
      </rPr>
      <t xml:space="preserve"> paper </t>
    </r>
    <r>
      <rPr>
        <b/>
        <sz val="11"/>
        <rFont val="Aptos Narrow"/>
        <family val="2"/>
        <scheme val="minor"/>
      </rPr>
      <t>)</t>
    </r>
  </si>
  <si>
    <r>
      <t>B</t>
    </r>
    <r>
      <rPr>
        <sz val="12"/>
        <rFont val="Aptos Narrow"/>
        <family val="2"/>
        <scheme val="minor"/>
      </rPr>
      <t>TpmPk75</t>
    </r>
  </si>
  <si>
    <r>
      <t>T.LAM 835 ( TIPA</t>
    </r>
    <r>
      <rPr>
        <b/>
        <sz val="12"/>
        <color rgb="FF000000"/>
        <rFont val="Aptos Narrow"/>
        <family val="2"/>
        <scheme val="minor"/>
      </rPr>
      <t xml:space="preserve"> 312 MET | Billerud Kraft </t>
    </r>
    <r>
      <rPr>
        <b/>
        <sz val="12"/>
        <color theme="5" tint="-0.499984740745262"/>
        <rFont val="Aptos Narrow"/>
        <family val="2"/>
        <scheme val="minor"/>
      </rPr>
      <t>Brown</t>
    </r>
    <r>
      <rPr>
        <b/>
        <sz val="12"/>
        <color rgb="FF000000"/>
        <rFont val="Aptos Narrow"/>
        <family val="2"/>
        <scheme val="minor"/>
      </rPr>
      <t xml:space="preserve"> paper )</t>
    </r>
  </si>
  <si>
    <t>T.LAM 836 ( TIPA 302 | NM | NK )</t>
  </si>
  <si>
    <t>T.LAM 836M ( TIPA 302 | NM | NK matt )</t>
  </si>
  <si>
    <t>T.LAM 836W ( TIPA 302 W | NM |NK )</t>
  </si>
  <si>
    <t>T.LAM 837 ( TIPA 312 | NK | NK )</t>
  </si>
  <si>
    <t>T.LAM 837M ( TIPA 312 | NK | NK matt)</t>
  </si>
  <si>
    <r>
      <t xml:space="preserve">T.LAM 838 ( TIPA 312 | NK | </t>
    </r>
    <r>
      <rPr>
        <b/>
        <sz val="11"/>
        <rFont val="Aptos Narrow"/>
        <family val="2"/>
        <scheme val="minor"/>
      </rPr>
      <t xml:space="preserve">Billerud Kraft </t>
    </r>
    <r>
      <rPr>
        <b/>
        <sz val="11"/>
        <color theme="0"/>
        <rFont val="Aptos Narrow"/>
        <family val="2"/>
        <scheme val="minor"/>
      </rPr>
      <t>White</t>
    </r>
    <r>
      <rPr>
        <b/>
        <sz val="11"/>
        <rFont val="Aptos Narrow"/>
        <family val="2"/>
        <scheme val="minor"/>
      </rPr>
      <t xml:space="preserve"> paper</t>
    </r>
    <r>
      <rPr>
        <b/>
        <sz val="11"/>
        <color theme="0"/>
        <rFont val="Aptos Narrow"/>
        <family val="2"/>
        <scheme val="minor"/>
      </rPr>
      <t xml:space="preserve"> </t>
    </r>
    <r>
      <rPr>
        <b/>
        <sz val="11"/>
        <color rgb="FF000000"/>
        <rFont val="Aptos Narrow"/>
        <family val="2"/>
        <scheme val="minor"/>
      </rPr>
      <t>)</t>
    </r>
  </si>
  <si>
    <r>
      <t xml:space="preserve">T.LAM 839 ( TIPA 312 | NK | </t>
    </r>
    <r>
      <rPr>
        <b/>
        <sz val="11"/>
        <rFont val="Aptos Narrow"/>
        <family val="2"/>
        <scheme val="minor"/>
      </rPr>
      <t>Billerud Kraft</t>
    </r>
    <r>
      <rPr>
        <b/>
        <sz val="11"/>
        <color theme="5" tint="-0.499984740745262"/>
        <rFont val="Aptos Narrow"/>
        <family val="2"/>
        <scheme val="minor"/>
      </rPr>
      <t xml:space="preserve"> Brown </t>
    </r>
    <r>
      <rPr>
        <b/>
        <sz val="11"/>
        <rFont val="Aptos Narrow"/>
        <family val="2"/>
        <scheme val="minor"/>
      </rPr>
      <t xml:space="preserve">paper </t>
    </r>
    <r>
      <rPr>
        <b/>
        <sz val="11"/>
        <color rgb="FF000000"/>
        <rFont val="Aptos Narrow"/>
        <family val="2"/>
        <scheme val="minor"/>
      </rPr>
      <t>)</t>
    </r>
  </si>
  <si>
    <t>T.LAM 840 ( TIPA 302 | NK | Paperwise )</t>
  </si>
  <si>
    <t>T.LAM 841 ( TIPA 302 | TIPA 312 MET | NK )</t>
  </si>
  <si>
    <t>T.LAM 841M ( TIPA 302 | TIPA 312 MET |NK matt )</t>
  </si>
  <si>
    <r>
      <t xml:space="preserve">T.LAM 842 ( TIPA 302 |TIPA 312 MET | Billerud Kraft </t>
    </r>
    <r>
      <rPr>
        <b/>
        <sz val="11"/>
        <color theme="0"/>
        <rFont val="Aptos Narrow"/>
        <family val="2"/>
        <scheme val="minor"/>
      </rPr>
      <t>White</t>
    </r>
    <r>
      <rPr>
        <b/>
        <sz val="11"/>
        <rFont val="Aptos Narrow"/>
        <family val="2"/>
        <scheme val="minor"/>
      </rPr>
      <t xml:space="preserve"> paper )</t>
    </r>
  </si>
  <si>
    <r>
      <t xml:space="preserve">T.LAM 843 ( TIPA 302 | TIPA 312 MET | Billerud Kraft </t>
    </r>
    <r>
      <rPr>
        <b/>
        <sz val="11"/>
        <color theme="5" tint="-0.499984740745262"/>
        <rFont val="Aptos Narrow"/>
        <family val="2"/>
        <scheme val="minor"/>
      </rPr>
      <t>Brown</t>
    </r>
    <r>
      <rPr>
        <b/>
        <sz val="11"/>
        <rFont val="Aptos Narrow"/>
        <family val="2"/>
        <scheme val="minor"/>
      </rPr>
      <t xml:space="preserve"> paper )</t>
    </r>
  </si>
  <si>
    <t>T.LAM 844 (TIPA 302 | TIPA 312 MET | Paperwise )</t>
  </si>
  <si>
    <t>T.LAM 845 ( TIPA 302 | NM | Paperwise)</t>
  </si>
  <si>
    <t>T.LAM 846 ( TIPA 312 | NK | Paperwise )</t>
  </si>
  <si>
    <t>T.LAM 847 ( TIPA 312 | TIPA 312 met | NK )</t>
  </si>
  <si>
    <t>T.LAM 847M ( TIPA 312 | TIPA 312 MET | NK matt )</t>
  </si>
  <si>
    <r>
      <t xml:space="preserve">T.LAM 848 ( TIPA 312 | TIPA 312 MET | Billerud Kraft </t>
    </r>
    <r>
      <rPr>
        <b/>
        <sz val="11"/>
        <color theme="0"/>
        <rFont val="Aptos Narrow"/>
        <family val="2"/>
        <scheme val="minor"/>
      </rPr>
      <t>White</t>
    </r>
    <r>
      <rPr>
        <b/>
        <sz val="11"/>
        <rFont val="Aptos Narrow"/>
        <family val="2"/>
        <scheme val="minor"/>
      </rPr>
      <t xml:space="preserve"> paper )</t>
    </r>
  </si>
  <si>
    <r>
      <t xml:space="preserve">T.LAM 849 ( TIPA 312 | TIPA 312 MET | Billerud Kraft </t>
    </r>
    <r>
      <rPr>
        <b/>
        <sz val="11"/>
        <color theme="5" tint="-0.499984740745262"/>
        <rFont val="Aptos Narrow"/>
        <family val="2"/>
        <scheme val="minor"/>
      </rPr>
      <t>Brown</t>
    </r>
    <r>
      <rPr>
        <b/>
        <sz val="11"/>
        <rFont val="Aptos Narrow"/>
        <family val="2"/>
        <scheme val="minor"/>
      </rPr>
      <t xml:space="preserve"> paper )</t>
    </r>
  </si>
  <si>
    <t>T.LAM 850 ( TIPA 312 | TIPA 312 MET | Paperwise )</t>
  </si>
  <si>
    <t>T.LAM 851 ( TIPA 312 | NM | NK )</t>
  </si>
  <si>
    <t>T.LAM 851M ( TIPA 312 | NM | NK matt )</t>
  </si>
  <si>
    <r>
      <t xml:space="preserve">T.LAM 852 ( TIPA 312 | NM | Billerud Kraft </t>
    </r>
    <r>
      <rPr>
        <b/>
        <sz val="11"/>
        <color theme="0"/>
        <rFont val="Aptos Narrow"/>
        <family val="2"/>
        <scheme val="minor"/>
      </rPr>
      <t>White</t>
    </r>
    <r>
      <rPr>
        <b/>
        <sz val="11"/>
        <rFont val="Aptos Narrow"/>
        <family val="2"/>
        <scheme val="minor"/>
      </rPr>
      <t xml:space="preserve"> paper )</t>
    </r>
  </si>
  <si>
    <r>
      <t xml:space="preserve">T.LAM 853 ( TIPA 312 | NM | Billerud Kraft </t>
    </r>
    <r>
      <rPr>
        <b/>
        <sz val="11"/>
        <color theme="5" tint="-0.499984740745262"/>
        <rFont val="Aptos Narrow"/>
        <family val="2"/>
        <scheme val="minor"/>
      </rPr>
      <t>Brown</t>
    </r>
    <r>
      <rPr>
        <b/>
        <sz val="11"/>
        <rFont val="Aptos Narrow"/>
        <family val="2"/>
        <scheme val="minor"/>
      </rPr>
      <t xml:space="preserve"> paper )</t>
    </r>
  </si>
  <si>
    <t>T.LAM 854 ( TIPA 312 | NM | Paperwise )</t>
  </si>
  <si>
    <t>T.LAM 855 ( TIPA 312 MET | NK | Paperwise )</t>
  </si>
  <si>
    <t>T.LAM 856 ( TIPA 312 MET | TIPA 312 MET | NK matt )</t>
  </si>
  <si>
    <r>
      <t xml:space="preserve">T.LAM 857 ( TIPA 312 MET | TIPA 312 MET | Billerud Kraft </t>
    </r>
    <r>
      <rPr>
        <b/>
        <sz val="11"/>
        <color theme="0"/>
        <rFont val="Aptos Narrow"/>
        <family val="2"/>
        <scheme val="minor"/>
      </rPr>
      <t>White</t>
    </r>
    <r>
      <rPr>
        <b/>
        <sz val="11"/>
        <rFont val="Aptos Narrow"/>
        <family val="2"/>
        <scheme val="minor"/>
      </rPr>
      <t xml:space="preserve"> paper )</t>
    </r>
  </si>
  <si>
    <r>
      <t xml:space="preserve">T.LAM 858 ( TIPA 312 MET | TIPA 312 MET | Billerud Kraft </t>
    </r>
    <r>
      <rPr>
        <b/>
        <sz val="11"/>
        <color theme="5" tint="-0.499984740745262"/>
        <rFont val="Aptos Narrow"/>
        <family val="2"/>
        <scheme val="minor"/>
      </rPr>
      <t>Brown</t>
    </r>
    <r>
      <rPr>
        <b/>
        <sz val="11"/>
        <rFont val="Aptos Narrow"/>
        <family val="2"/>
        <scheme val="minor"/>
      </rPr>
      <t xml:space="preserve"> paper )</t>
    </r>
  </si>
  <si>
    <t>T.LAM 859 ( TIPA 312 MET | TIPA 312 MET | Paperwise )</t>
  </si>
  <si>
    <t>T.LAM 860 ( TIPA 312 MET |NM | Paperwise )</t>
  </si>
  <si>
    <t>T.LAM 861 ( TIPA 312ALX | NK | Paperwise )</t>
  </si>
  <si>
    <t>T.LAM 862 ( TIPA 312ALX | TIPA 312 MET |NK)</t>
  </si>
  <si>
    <t>T.LAM 862M ( TIPA 312ALX | TIPA 312 MET |NK matt )</t>
  </si>
  <si>
    <r>
      <t xml:space="preserve">T.LAM 863 ( TIPA 312ALX | TIPA 312 MET | Billerud Kraft </t>
    </r>
    <r>
      <rPr>
        <b/>
        <sz val="11"/>
        <color theme="0"/>
        <rFont val="Aptos Narrow"/>
        <family val="2"/>
        <scheme val="minor"/>
      </rPr>
      <t>White</t>
    </r>
    <r>
      <rPr>
        <b/>
        <sz val="11"/>
        <rFont val="Aptos Narrow"/>
        <family val="2"/>
        <scheme val="minor"/>
      </rPr>
      <t xml:space="preserve"> paper )</t>
    </r>
  </si>
  <si>
    <r>
      <t xml:space="preserve">T.LAM 864 ( TIPA 312ALX | TIPA 312 MET | Billerud Kraft </t>
    </r>
    <r>
      <rPr>
        <b/>
        <sz val="11"/>
        <color theme="5" tint="-0.499984740745262"/>
        <rFont val="Aptos Narrow"/>
        <family val="2"/>
        <scheme val="minor"/>
      </rPr>
      <t>Brown</t>
    </r>
    <r>
      <rPr>
        <b/>
        <sz val="11"/>
        <rFont val="Aptos Narrow"/>
        <family val="2"/>
        <scheme val="minor"/>
      </rPr>
      <t xml:space="preserve"> paper )</t>
    </r>
  </si>
  <si>
    <t>T.LAM 865 ( TIPA 312ALX | TIPA 312 MET | Paperwise )</t>
  </si>
  <si>
    <t>T.LAM 866 ( TIPA 312ALX | NM | Paperwise )</t>
  </si>
  <si>
    <r>
      <t xml:space="preserve">T.LAM 867 ( TIPA 312 MET | NM | NK </t>
    </r>
    <r>
      <rPr>
        <b/>
        <sz val="12"/>
        <rFont val="Aptos Narrow"/>
        <family val="2"/>
        <scheme val="minor"/>
      </rPr>
      <t>White</t>
    </r>
    <r>
      <rPr>
        <b/>
        <sz val="11"/>
        <rFont val="Aptos Narrow"/>
        <family val="2"/>
        <scheme val="minor"/>
      </rPr>
      <t xml:space="preserve"> )</t>
    </r>
  </si>
  <si>
    <t>T.LAM 868 L (KANZAN KP 460 | Paptic Sterna LUX 150 | NK 23)</t>
  </si>
  <si>
    <t>T.LAM 869 L (KANZAN KP 460 | Paptic Sterna LUX 150 )</t>
  </si>
  <si>
    <t>T.LAM 870 L (Paptic Sterna LUX 150|Paptic Sterna LUX 150 )</t>
  </si>
  <si>
    <t>T.LAM 648 ( NK | TIPA 302 )</t>
  </si>
  <si>
    <r>
      <t xml:space="preserve">Epotal </t>
    </r>
    <r>
      <rPr>
        <b/>
        <sz val="11"/>
        <color theme="1"/>
        <rFont val="Aptos Narrow"/>
        <family val="2"/>
        <scheme val="minor"/>
      </rPr>
      <t>3702+B</t>
    </r>
    <r>
      <rPr>
        <sz val="11"/>
        <color theme="1"/>
        <rFont val="Aptos Narrow"/>
        <family val="2"/>
        <scheme val="minor"/>
      </rPr>
      <t xml:space="preserve"> - water based adhesive </t>
    </r>
  </si>
  <si>
    <r>
      <t xml:space="preserve">T.LAM 919 ( TIPA 302 | NK | Billerud Kraft </t>
    </r>
    <r>
      <rPr>
        <b/>
        <sz val="11"/>
        <color theme="0"/>
        <rFont val="Aptos Narrow"/>
        <family val="2"/>
        <scheme val="minor"/>
      </rPr>
      <t>White</t>
    </r>
    <r>
      <rPr>
        <b/>
        <sz val="11"/>
        <color rgb="FF000000"/>
        <rFont val="Aptos Narrow"/>
        <family val="2"/>
        <scheme val="minor"/>
      </rPr>
      <t xml:space="preserve"> Paper)</t>
    </r>
  </si>
  <si>
    <r>
      <t xml:space="preserve">T.LAM 923 ( TIPA 312 MET | NK | Billerud </t>
    </r>
    <r>
      <rPr>
        <b/>
        <sz val="11"/>
        <color theme="0"/>
        <rFont val="Aptos Narrow"/>
        <family val="2"/>
        <scheme val="minor"/>
      </rPr>
      <t>White</t>
    </r>
    <r>
      <rPr>
        <b/>
        <sz val="11"/>
        <color rgb="FF000000"/>
        <rFont val="Aptos Narrow"/>
        <family val="2"/>
        <scheme val="minor"/>
      </rPr>
      <t xml:space="preserve"> paper )</t>
    </r>
  </si>
  <si>
    <t>T.LAM 918 ( NK 19 | TIPA 312 MET )</t>
  </si>
  <si>
    <t>T.LAM 928 ( NK | TIPA 312 MET |TIPA 312 MET )</t>
  </si>
  <si>
    <r>
      <t xml:space="preserve">T.LAM 929 ( TIPA 302 | NK | Billerud Kraft </t>
    </r>
    <r>
      <rPr>
        <b/>
        <sz val="11"/>
        <color theme="0"/>
        <rFont val="Aptos Narrow"/>
        <family val="2"/>
        <scheme val="minor"/>
      </rPr>
      <t>White</t>
    </r>
    <r>
      <rPr>
        <b/>
        <sz val="11"/>
        <color rgb="FF000000"/>
        <rFont val="Aptos Narrow"/>
        <family val="2"/>
        <scheme val="minor"/>
      </rPr>
      <t xml:space="preserve"> Paper)</t>
    </r>
  </si>
  <si>
    <r>
      <t xml:space="preserve">1 pass = heat lam , 2 pass = Epotal </t>
    </r>
    <r>
      <rPr>
        <b/>
        <sz val="11"/>
        <color theme="1"/>
        <rFont val="Aptos Narrow"/>
        <family val="2"/>
        <scheme val="minor"/>
      </rPr>
      <t>3702+B</t>
    </r>
    <r>
      <rPr>
        <sz val="11"/>
        <color theme="1"/>
        <rFont val="Aptos Narrow"/>
        <family val="2"/>
        <scheme val="minor"/>
      </rPr>
      <t xml:space="preserve"> </t>
    </r>
  </si>
  <si>
    <t>T.LAM 668 ( NK | TIPA 302 )</t>
  </si>
  <si>
    <t xml:space="preserve"> heat lam</t>
  </si>
  <si>
    <t>Shiping Destination</t>
  </si>
  <si>
    <t>Shiping cost</t>
  </si>
  <si>
    <t>Sell Price</t>
  </si>
  <si>
    <t>14.06.2026</t>
  </si>
  <si>
    <t xml:space="preserve">create calculator: in the film pricing sheet, if it possible, make it look like real calculator ( 3d and all). </t>
  </si>
  <si>
    <t>crerate 5 calculators - one next to another, when each one is linked to the table starting column A to V</t>
  </si>
  <si>
    <t>the relevant fields THAT NEED TO BE THERE ARE ALL FIELDS THAT NOT BEING CALCULATED AND INSERTED MANUALY.</t>
  </si>
  <si>
    <t>1. Film Type</t>
  </si>
  <si>
    <t>2.Width</t>
  </si>
  <si>
    <t>3.thickness.</t>
  </si>
  <si>
    <t>4. Density</t>
  </si>
  <si>
    <t>5. weight ( or overweight- uuse same logic like in the table).</t>
  </si>
  <si>
    <t>6.length- same logic connection like in the table.</t>
  </si>
  <si>
    <t>7. hourly rate.</t>
  </si>
  <si>
    <t>8. shipping destination</t>
  </si>
  <si>
    <t>9. margin ( need to be on the top of each calculator)</t>
  </si>
  <si>
    <t>Sell Price ( is the final result)</t>
  </si>
  <si>
    <t>it need to work that every thing that being choosed in the calculators from the dropdown list- check the drpodown that work properly and show numbers and not formulas)- will appear in relevant to each calculator raw in the table row 3- 7.</t>
  </si>
  <si>
    <t>but, the total number supposed to come from the table itself and to go to the relevant calculator from each relevan line in the table</t>
  </si>
  <si>
    <t>all margin connect to T1 at this point</t>
  </si>
  <si>
    <t>​‌</t>
  </si>
  <si>
    <t>📊 MARGIN</t>
  </si>
  <si>
    <t>🎬 Film Type</t>
  </si>
  <si>
    <t>📐 Width</t>
  </si>
  <si>
    <t>mm</t>
  </si>
  <si>
    <t>📏 Thickness</t>
  </si>
  <si>
    <t>⚖️ Density</t>
  </si>
  <si>
    <t>g/cm³</t>
  </si>
  <si>
    <t>📦 Weight</t>
  </si>
  <si>
    <t>📏 Length</t>
  </si>
  <si>
    <t>Mr</t>
  </si>
  <si>
    <t>€</t>
  </si>
  <si>
    <t>🚚 Shipping</t>
  </si>
  <si>
    <t>💰 Total Cost/Kg</t>
  </si>
  <si>
    <t>💵 SELL PRICE</t>
  </si>
  <si>
    <t>looks ok, just one problem. it need to take from the calculator and put the data in the table, you did oposit way. the only data that is coming from the table to the calculator is total cost additional point- reagarding margin . disconnect it from the table. for each calculator it need to be separately like you did, but the sell price need to include the margin as percentage from the total cost + total cost (that comes from table) will bring sell price please fix</t>
  </si>
  <si>
    <t>Production Speed (m/h)</t>
  </si>
  <si>
    <t>Thickness waste</t>
  </si>
  <si>
    <t>📋 FILM PRICING LIST - STEP BY STEP GUIDE</t>
  </si>
  <si>
    <t>How to use the Film Pricing calculator</t>
  </si>
  <si>
    <t>🔄 PRICING WORKFLOW</t>
  </si>
  <si>
    <t>→</t>
  </si>
  <si>
    <t>STEP 5</t>
  </si>
  <si>
    <t>📝 INPUT</t>
  </si>
  <si>
    <t xml:space="preserve"> </t>
  </si>
  <si>
    <t>⚙️ SPECS</t>
  </si>
  <si>
    <t>💰 COSTS</t>
  </si>
  <si>
    <t>📦 SHIP</t>
  </si>
  <si>
    <t>💵 PRICE</t>
  </si>
  <si>
    <t>📝 DETAILED STEPS</t>
  </si>
  <si>
    <t>Example</t>
  </si>
  <si>
    <t>Select Film Type</t>
  </si>
  <si>
    <t>406 mm</t>
  </si>
  <si>
    <t>Width in mm</t>
  </si>
  <si>
    <t>Enter Thickness</t>
  </si>
  <si>
    <t>20 µ</t>
  </si>
  <si>
    <t>Enter Weight</t>
  </si>
  <si>
    <t>E</t>
  </si>
  <si>
    <t>500 Kg</t>
  </si>
  <si>
    <t>Order qty (Kg)</t>
  </si>
  <si>
    <t>Optional</t>
  </si>
  <si>
    <t>Shipping Dest.</t>
  </si>
  <si>
    <t>S</t>
  </si>
  <si>
    <t>EU/USA</t>
  </si>
  <si>
    <t>Review Price</t>
  </si>
  <si>
    <t>Auto</t>
  </si>
  <si>
    <t>Final price/Kg</t>
  </si>
  <si>
    <t>Compare Margins</t>
  </si>
  <si>
    <t>X+</t>
  </si>
  <si>
    <t>25%, 30%</t>
  </si>
  <si>
    <t>Multiple options</t>
  </si>
  <si>
    <t>⚡ AUTO-CALCULATIONS</t>
  </si>
  <si>
    <t>Weight ÷ (Width × Thickness × Density)</t>
  </si>
  <si>
    <t>Production Cost</t>
  </si>
  <si>
    <t>Hourly Rate × Production Time</t>
  </si>
  <si>
    <t>RM + Production + Depreciation + Waste + Ship</t>
  </si>
  <si>
    <t>Total Cost × (1 + Margin %)</t>
  </si>
  <si>
    <t>💡 QUICK TIPS</t>
  </si>
  <si>
    <t>✓ Use dropdowns to avoid typos</t>
  </si>
  <si>
    <t>✓ Higher weight = lower cost/Kg (economies of scale)</t>
  </si>
  <si>
    <t>✓ Compare margin columns for pricing options</t>
  </si>
  <si>
    <t>✓ Density auto-fills based on Film Type</t>
  </si>
  <si>
    <t>💵 SELL PRICE (USD)</t>
  </si>
  <si>
    <t>Shipping route</t>
  </si>
  <si>
    <t>Europe to Canada</t>
  </si>
  <si>
    <t>Europe to Europe</t>
  </si>
  <si>
    <t>Europe to US</t>
  </si>
  <si>
    <t xml:space="preserve">Please assist with the following: </t>
  </si>
  <si>
    <t xml:space="preserve">in the sheet Laminates: </t>
  </si>
  <si>
    <t xml:space="preserve">thickness of the films (column K) that appear under Laminate structure (column D) needs to be like this: </t>
  </si>
  <si>
    <t>1. NK- always 23 mic</t>
  </si>
  <si>
    <t>16.06.2026</t>
  </si>
  <si>
    <t>2. TIPA 312 MET- 25 mic</t>
  </si>
  <si>
    <t>no dependency</t>
  </si>
  <si>
    <t>Order Quantity (KG)</t>
  </si>
  <si>
    <t>BASF price</t>
  </si>
  <si>
    <t>Input Mode</t>
  </si>
  <si>
    <t>By Weight</t>
  </si>
  <si>
    <t>By Length</t>
  </si>
  <si>
    <t>Width Threshold (mm)</t>
  </si>
  <si>
    <t>Alert Message</t>
  </si>
  <si>
    <t>📏 Length Input</t>
  </si>
  <si>
    <t>⚙️ Input Mode</t>
  </si>
  <si>
    <t>Laminate Structure</t>
  </si>
  <si>
    <t>618 W</t>
  </si>
  <si>
    <t>608 W</t>
  </si>
  <si>
    <t>Laminate (Filled)</t>
  </si>
  <si>
    <t>🏷️ Laminate</t>
  </si>
  <si>
    <t>📏 Total Thickness</t>
  </si>
  <si>
    <t>📐 Width of Reel</t>
  </si>
  <si>
    <t>⚖️ Amount (Kg)</t>
  </si>
  <si>
    <t>🖨️ PR/NonPR</t>
  </si>
  <si>
    <t>🚚 Shipment</t>
  </si>
  <si>
    <t>💼 Supplier</t>
  </si>
  <si>
    <t>📈 RESULTS</t>
  </si>
  <si>
    <t>📏 Laminate Length</t>
  </si>
  <si>
    <t>💶 Total Cost (€)</t>
  </si>
  <si>
    <t>💵 Total Cost ($)</t>
  </si>
  <si>
    <t>💶 Cost/Kg (€)</t>
  </si>
  <si>
    <t>💵 Cost/Kg ($)</t>
  </si>
  <si>
    <t>m</t>
  </si>
  <si>
    <t>(Raw Material €/kg)</t>
  </si>
  <si>
    <t>(Shipment €/kg)</t>
  </si>
  <si>
    <t>(Lamination €/kg)</t>
  </si>
  <si>
    <t>Laminate List (Unique)</t>
  </si>
  <si>
    <t>No of colors</t>
  </si>
  <si>
    <t>Total Thickness (Filled)</t>
  </si>
  <si>
    <t>(RM €/kg)</t>
  </si>
  <si>
    <t>(Ship €/kg)</t>
  </si>
  <si>
    <t>(Lam €/kg)</t>
  </si>
  <si>
    <t>Dependent</t>
  </si>
  <si>
    <t>1-2</t>
  </si>
  <si>
    <t>5-8</t>
  </si>
  <si>
    <t/>
  </si>
  <si>
    <t xml:space="preserve">Waste </t>
  </si>
  <si>
    <t xml:space="preserve">Printing waste </t>
  </si>
  <si>
    <t>for each of the calculators add margin option on the top- like you did in the calculator in Film Pricing sheet. the claculation also need to be same as there - added as a percentage of total cost- an added to this as a sell price</t>
  </si>
  <si>
    <t>under that need to be sell price in USD- based on exchange rate in helper sheet columns AJ- AK.</t>
  </si>
  <si>
    <t xml:space="preserve">FOR THE CALCULATION OF TOTAL COST- NEED TO COME FROM THE TABLE IN Laminates SHEET . TOTAL COST IS </t>
  </si>
  <si>
    <t>18.06.2026</t>
  </si>
  <si>
    <t>📋 LAMINATE PRICING - STEP BY STEP GUIDE</t>
  </si>
  <si>
    <t>How to use the Laminate Pricing Calculator</t>
  </si>
  <si>
    <t>📝 SELECT</t>
  </si>
  <si>
    <t>📊 CALCULATE</t>
  </si>
  <si>
    <t>Location</t>
  </si>
  <si>
    <t>Select Laminate Type</t>
  </si>
  <si>
    <t>Calculator → Laminate</t>
  </si>
  <si>
    <t>Choose from dropdown (e.g., 823, 428, 608)</t>
  </si>
  <si>
    <t>Enter Width of Reel</t>
  </si>
  <si>
    <t>Calculator → Width</t>
  </si>
  <si>
    <t>760 mm</t>
  </si>
  <si>
    <t>Width in millimeters</t>
  </si>
  <si>
    <t>Enter Amount (Kg)</t>
  </si>
  <si>
    <t>Calculator → Amount</t>
  </si>
  <si>
    <t>5,000 Kg</t>
  </si>
  <si>
    <t>Order quantity in kilograms</t>
  </si>
  <si>
    <t>Select PR/NonPR</t>
  </si>
  <si>
    <t>Calculator → PR/NonPR</t>
  </si>
  <si>
    <t>Printed / Not Printed</t>
  </si>
  <si>
    <t>Printed or Not Printed</t>
  </si>
  <si>
    <t>Select No. of Colors</t>
  </si>
  <si>
    <t>Calculator → No of Paints</t>
  </si>
  <si>
    <t>Options: 0, 1-2, 3-4, 5-8</t>
  </si>
  <si>
    <t>Select Shipment</t>
  </si>
  <si>
    <t>Calculator → Shipment</t>
  </si>
  <si>
    <t>Destination for shipping cost</t>
  </si>
  <si>
    <t>Select Supplier</t>
  </si>
  <si>
    <t>Calculator → Supplier</t>
  </si>
  <si>
    <t>Bastin / Marma</t>
  </si>
  <si>
    <t>Supplier affects processing costs</t>
  </si>
  <si>
    <t>Set Margin %</t>
  </si>
  <si>
    <t>Margin Cell (Row 1)</t>
  </si>
  <si>
    <t>Adjustable margin for sell price</t>
  </si>
  <si>
    <t>9️⃣</t>
  </si>
  <si>
    <t>Review Results</t>
  </si>
  <si>
    <t>Results Section</t>
  </si>
  <si>
    <t>Total Cost, Cost/Kg, Sell Price</t>
  </si>
  <si>
    <t>Laminate Length (m)</t>
  </si>
  <si>
    <t>Amount (Kg) × 1000 ÷ (Width × Thickness × Density)</t>
  </si>
  <si>
    <t>Weight per Layer (Kg)</t>
  </si>
  <si>
    <t>Width (mm) × Thickness (µ) × Density ÷ 1,000,000</t>
  </si>
  <si>
    <t>Raw Material Cost/Kg</t>
  </si>
  <si>
    <t>Sum of (Weight × Raw Material Cost) for each layer</t>
  </si>
  <si>
    <t>Shipment Cost/Kg</t>
  </si>
  <si>
    <t>Based on destination (EU→EU: €0.20, EU→US: €4.25, etc.)</t>
  </si>
  <si>
    <t>Lamination Cost/Kg</t>
  </si>
  <si>
    <t>Rate × Laminate Length ÷ Amount (varies by supplier)</t>
  </si>
  <si>
    <t>Printing Cost/Kg</t>
  </si>
  <si>
    <t>Only added if "Printed" - based on colors selected</t>
  </si>
  <si>
    <t>Slitting Cost/Kg</t>
  </si>
  <si>
    <t>Rate × Laminate Length ÷ Amount</t>
  </si>
  <si>
    <t>Waste %</t>
  </si>
  <si>
    <t>6% base + 2.8% additional if Printed</t>
  </si>
  <si>
    <t>Total Cost/Kg</t>
  </si>
  <si>
    <t>(RM + Shipment + Services) × (1 + Waste%)</t>
  </si>
  <si>
    <t>💰 SELL PRICE CALCULATION</t>
  </si>
  <si>
    <t>Component</t>
  </si>
  <si>
    <t>Margin %</t>
  </si>
  <si>
    <t>Set in cell above calculator (default 25%)</t>
  </si>
  <si>
    <t>Cost/Kg (€)</t>
  </si>
  <si>
    <t>Raw Materials + Shipment + Lamination + Printing + Slitting + Waste</t>
  </si>
  <si>
    <t>Sell Price (€)</t>
  </si>
  <si>
    <t>Cost/Kg × (1 + Margin%)</t>
  </si>
  <si>
    <t>Sell Price ($)</t>
  </si>
  <si>
    <t>Sell Price (€) × Exchange Rate (1.16)</t>
  </si>
  <si>
    <t>Total Cost (€)</t>
  </si>
  <si>
    <t>Cost/Kg × Amount (Kg)</t>
  </si>
  <si>
    <t>🧱 LAMINATE STRUCTURE</t>
  </si>
  <si>
    <t>Each laminate code represents a multi-layer structure. The layers are shown in Column D:</t>
  </si>
  <si>
    <t>Layer Type</t>
  </si>
  <si>
    <t>Typical Thickness</t>
  </si>
  <si>
    <t>Purpose</t>
  </si>
  <si>
    <t>NK / NKR</t>
  </si>
  <si>
    <t>Kraft Paper</t>
  </si>
  <si>
    <t>23 µ</t>
  </si>
  <si>
    <t>Base layer - biodegradable</t>
  </si>
  <si>
    <t>TIPA Films</t>
  </si>
  <si>
    <t>312 MET, 302FG</t>
  </si>
  <si>
    <t>25-60 µ</t>
  </si>
  <si>
    <t>Barrier &amp; structure layers</t>
  </si>
  <si>
    <t>Billerud Kraft</t>
  </si>
  <si>
    <t>67 µ</t>
  </si>
  <si>
    <t>Additional barrier (optional)</t>
  </si>
  <si>
    <t>Epotal ECO 3675</t>
  </si>
  <si>
    <t>12 µ</t>
  </si>
  <si>
    <t>Bonds layers together</t>
  </si>
  <si>
    <t>PBAT Layer</t>
  </si>
  <si>
    <t>17 µ</t>
  </si>
  <si>
    <t>Flexibility &amp; sealing</t>
  </si>
  <si>
    <t>🏭 SUPPLIERS &amp; RATES</t>
  </si>
  <si>
    <t>Lamination Rate</t>
  </si>
  <si>
    <t>Printing Rate</t>
  </si>
  <si>
    <t>Slitting Rate</t>
  </si>
  <si>
    <t>€0.110 / m</t>
  </si>
  <si>
    <t>€0.150-0.173 / m</t>
  </si>
  <si>
    <t>€0.031 / m</t>
  </si>
  <si>
    <t>€0.085-0.086 / m</t>
  </si>
  <si>
    <t>N/A</t>
  </si>
  <si>
    <t>€0.024 / m</t>
  </si>
  <si>
    <t>🚚 SHIPMENT COSTS</t>
  </si>
  <si>
    <t>Destination</t>
  </si>
  <si>
    <t>Cost (€/Kg)</t>
  </si>
  <si>
    <t>Europe to Israel</t>
  </si>
  <si>
    <t>✓ Use the 3 CALCULATOR sections to compare different laminate options side by side</t>
  </si>
  <si>
    <t>✓ Higher amounts = lower cost/Kg due to fixed costs spreading (economies of scale)</t>
  </si>
  <si>
    <t>✓ Printed laminates add extra cost: printing rate + 2.8% waste</t>
  </si>
  <si>
    <t>✓ Shipment destination significantly impacts final cost (EU→EU is cheapest)</t>
  </si>
  <si>
    <t>✓ Bastin has higher lamination rates but can do printing; Marma is cheaper but no printing</t>
  </si>
  <si>
    <t>✓ Total Thickness is sum of all layers - check K column for individual thicknesses</t>
  </si>
  <si>
    <t>✓ Column Y shows Total Cost/Kg including waste calculations</t>
  </si>
  <si>
    <t>✓ Adjust margin % in row 1 above each calculator to change sell price</t>
  </si>
  <si>
    <t>📊 MAIN TABLE COLUMNS (A-Y)</t>
  </si>
  <si>
    <t>Name</t>
  </si>
  <si>
    <t>Type</t>
  </si>
  <si>
    <t>Description</t>
  </si>
  <si>
    <t>Units - Kg or Meters</t>
  </si>
  <si>
    <t>Order quantity</t>
  </si>
  <si>
    <t>Laminate code (e.g., 823, 428, 608)</t>
  </si>
  <si>
    <t>D</t>
  </si>
  <si>
    <t>Shows layers from HELPER sheet</t>
  </si>
  <si>
    <t>Impression length (optional)</t>
  </si>
  <si>
    <t>G</t>
  </si>
  <si>
    <t>Laminate length (m)</t>
  </si>
  <si>
    <t>Calculated</t>
  </si>
  <si>
    <t>Length in meters based on inputs</t>
  </si>
  <si>
    <t>H</t>
  </si>
  <si>
    <t>PR/NonPR</t>
  </si>
  <si>
    <t>Linked</t>
  </si>
  <si>
    <t>Printed status from calculator</t>
  </si>
  <si>
    <t>I</t>
  </si>
  <si>
    <t>Number of print colors from calculator</t>
  </si>
  <si>
    <t>J</t>
  </si>
  <si>
    <t>Lamination Width</t>
  </si>
  <si>
    <t>Width adjusted for lamination</t>
  </si>
  <si>
    <t>K</t>
  </si>
  <si>
    <t>Thickness per layer in microns</t>
  </si>
  <si>
    <t>L</t>
  </si>
  <si>
    <t>Material density</t>
  </si>
  <si>
    <t>M</t>
  </si>
  <si>
    <t>Weight per meter per layer</t>
  </si>
  <si>
    <t>N</t>
  </si>
  <si>
    <t>Lookup</t>
  </si>
  <si>
    <t>Cost €/kg from BOM</t>
  </si>
  <si>
    <t>O</t>
  </si>
  <si>
    <t>Where shipping to</t>
  </si>
  <si>
    <t>P</t>
  </si>
  <si>
    <t>€/kg shipping cost</t>
  </si>
  <si>
    <t>Q</t>
  </si>
  <si>
    <t>Per-layer cost</t>
  </si>
  <si>
    <t>R</t>
  </si>
  <si>
    <t>Cost Per KG (€)</t>
  </si>
  <si>
    <t>Per-layer cost/kg</t>
  </si>
  <si>
    <t>Bastin or Marma</t>
  </si>
  <si>
    <t>T-V</t>
  </si>
  <si>
    <t>Processing rates</t>
  </si>
  <si>
    <t>Lamination, Printing, Slitting rates</t>
  </si>
  <si>
    <t>6% of RM cost</t>
  </si>
  <si>
    <t>X</t>
  </si>
  <si>
    <t>Printing waste</t>
  </si>
  <si>
    <t>2.8% if Printed, else 0</t>
  </si>
  <si>
    <t>Full cost/kg including waste</t>
  </si>
  <si>
    <t>📈 CALCULATOR OUTPUT ROWS</t>
  </si>
  <si>
    <t>Row</t>
  </si>
  <si>
    <t>Label</t>
  </si>
  <si>
    <t>Input Parameters</t>
  </si>
  <si>
    <t>Laminate, Width, Amount, PR/NonPR, Colors, Shipment, Supplier</t>
  </si>
  <si>
    <t>Section header</t>
  </si>
  <si>
    <t>Total meters of laminate produced</t>
  </si>
  <si>
    <t>Total order cost in Euros</t>
  </si>
  <si>
    <t>Total order cost in USD</t>
  </si>
  <si>
    <t>Cost per kilogram in Euros</t>
  </si>
  <si>
    <t>Cost per kilogram in USD</t>
  </si>
  <si>
    <t>24-27</t>
  </si>
  <si>
    <t>Final sell price with margin applied</t>
  </si>
  <si>
    <t>📝 EXAMPLE CALCULATION</t>
  </si>
  <si>
    <t>Scenario: 5,000 Kg of Laminate 823, 760mm width, Printed 5-8 colors, Europe to US, Bastin supplier</t>
  </si>
  <si>
    <t>1. Raw Material Cost</t>
  </si>
  <si>
    <t>Sum of layer weights × raw material prices ≈ €2.96/kg</t>
  </si>
  <si>
    <t>2. Shipment Cost</t>
  </si>
  <si>
    <t>Europe to US = €4.25/kg</t>
  </si>
  <si>
    <t>3. Lamination</t>
  </si>
  <si>
    <t>Bastin rate × length ÷ amount ≈ €0.11/kg</t>
  </si>
  <si>
    <t>4. Printing</t>
  </si>
  <si>
    <t>5-8 colors rate × length ÷ amount ≈ €0.17/kg</t>
  </si>
  <si>
    <t>5. Slitting</t>
  </si>
  <si>
    <t>Bastin slitting rate × length ÷ amount ≈ €0.03/kg</t>
  </si>
  <si>
    <t>6. Subtotal Services</t>
  </si>
  <si>
    <t>Lamination + Printing + Slitting ≈ €0.31/kg</t>
  </si>
  <si>
    <t>7. Waste (6%)</t>
  </si>
  <si>
    <t>€2.96 × 6% ≈ €0.18/kg</t>
  </si>
  <si>
    <t>8. Printing Waste (2.8%)</t>
  </si>
  <si>
    <t>€2.96 × 2.8% ≈ €0.08/kg</t>
  </si>
  <si>
    <t>9. Total Cost/Kg</t>
  </si>
  <si>
    <t>€2.96 + €4.25 + €0.31 + €0.18 + €0.08 ≈ €7.78/kg</t>
  </si>
  <si>
    <t>10. Sell Price (25% margin)</t>
  </si>
  <si>
    <t>€7.78 × 1.25 ≈ €9.73/kg</t>
  </si>
  <si>
    <t>11. Total Order Cost</t>
  </si>
  <si>
    <t>€7.78 × 5,000 = €38,900</t>
  </si>
  <si>
    <t>🎨 No of colors</t>
  </si>
  <si>
    <t>Printing Waste</t>
  </si>
  <si>
    <t>Slitting</t>
  </si>
  <si>
    <t>📊 SALES METHOD CALCULATION - COST PER KG</t>
  </si>
  <si>
    <t>Laminate for reels - Sales' sheet (cell L14).</t>
  </si>
  <si>
    <t>STEP 1: Calculate COST PER METER (€/m)</t>
  </si>
  <si>
    <t>════════════════════════════════════════</t>
  </si>
  <si>
    <t>STEP 2: Calculate METERS PER KG (m/kg)</t>
  </si>
  <si>
    <t>═══════════════════════════════════════════════════════════════</t>
  </si>
  <si>
    <t>This method calculates Cost/Kg using the same logic as</t>
  </si>
  <si>
    <t>OVERVIEW:</t>
  </si>
  <si>
    <t>Cost/Kg = CostPerMeter × MetersPerKg × WidthFactor</t>
  </si>
  <si>
    <t>───────────────────────────────────────────────────────────────</t>
  </si>
  <si>
    <t>For each layer, calculate: Weight × (Cost + Shipping)</t>
  </si>
  <si>
    <t>• Layer 1 (NK):       M3 × (N3 + P3)</t>
  </si>
  <si>
    <t>• Layer 2 (TIPA):     M4 × (N4 + P4)</t>
  </si>
  <si>
    <t xml:space="preserve">  Note: Paper uses fixed 42 g/m² formula</t>
  </si>
  <si>
    <t>• Layer 4 (Adhesive): M6 × (N6 + P6)</t>
  </si>
  <si>
    <t>Then apply waste and additional costs:</t>
  </si>
  <si>
    <t>CostPerMeter = (Sum of Layers) × (1 + 6.15%) + €0.2155</t>
  </si>
  <si>
    <t>MetersPerKg = 1 / (Total Weight per meter)</t>
  </si>
  <si>
    <t>Total Weight = M3 + M4 + (42/1000 × J5/1000) + M6</t>
  </si>
  <si>
    <t>STEP 3: Calculate WIDTH FACTOR</t>
  </si>
  <si>
    <t>WidthFactor = Lamination Width (J3) / Reel Width (E3)</t>
  </si>
  <si>
    <t>Adjusts for material used vs customer specification</t>
  </si>
  <si>
    <t>STEP 4: FINAL CALCULATION</t>
  </si>
  <si>
    <t>COMPLETE FORMULA (Cell AD16):</t>
  </si>
  <si>
    <t>Formula structure:</t>
  </si>
  <si>
    <t xml:space="preserve">  * (1+0.0615) + 0.2155)</t>
  </si>
  <si>
    <t xml:space="preserve">  * (J3/E3)</t>
  </si>
  <si>
    <t>DERIVED VALUES:</t>
  </si>
  <si>
    <t>Total Cost (EUR): Amount (Kg) * Cost/Kg  -&gt;  AD14</t>
  </si>
  <si>
    <t>Total Cost (USD): Total Cost (EUR) * 1.16  -&gt;  AD15</t>
  </si>
  <si>
    <t>Cost/Kg (USD): Cost/Kg (EUR) * 1.16  -&gt;  AD17</t>
  </si>
  <si>
    <t>Sell Price: Cost/Kg * (1 + Margin%)  -&gt;  AC25</t>
  </si>
  <si>
    <t>* Layer 3 (Paper):    M5 * (N5 + P5)</t>
  </si>
  <si>
    <t>((M3*(N3+P3)+M4*(N4+P4)+M5*(N5+P5)+M6*(N6+P6))</t>
  </si>
  <si>
    <t xml:space="preserve">  * (1/(M3+M4+M5+M6))</t>
  </si>
  <si>
    <t>✓ Cost/Kg (verify)</t>
  </si>
  <si>
    <t>€/kg</t>
  </si>
  <si>
    <t>checking purposes</t>
  </si>
  <si>
    <t>Total Cost per KG</t>
  </si>
  <si>
    <t>(Lam + Slit + Print €/kg)</t>
  </si>
  <si>
    <t>(Lam + Slit + Print)</t>
  </si>
  <si>
    <t>Setup for colored Films</t>
  </si>
  <si>
    <t>Tunhe price</t>
  </si>
  <si>
    <t>📏 Meter MOQ</t>
  </si>
  <si>
    <t>⚖️ KG MOQ</t>
  </si>
  <si>
    <t>⚖️ Total KG</t>
  </si>
  <si>
    <t>Printing per KG</t>
  </si>
  <si>
    <t>From Calculator</t>
  </si>
  <si>
    <t>Dependent on Laminate</t>
  </si>
  <si>
    <t>Dependent on Length</t>
  </si>
  <si>
    <t>📊 GROSS PROFIT</t>
  </si>
  <si>
    <t>Laminate608 W</t>
  </si>
  <si>
    <t>Tipa302WFG</t>
  </si>
  <si>
    <t>Quote in</t>
  </si>
  <si>
    <t>Layer</t>
  </si>
  <si>
    <t>Width of reel asked</t>
  </si>
  <si>
    <t>length of impression</t>
  </si>
  <si>
    <t>FG/NF</t>
  </si>
  <si>
    <t>No of paints</t>
  </si>
  <si>
    <t>TRANSPORTATION</t>
  </si>
  <si>
    <t>Cost ($)</t>
  </si>
  <si>
    <t>Cost Per KG</t>
  </si>
  <si>
    <t>מחיר הדפסה למ"א</t>
  </si>
  <si>
    <t>מ"א מודפס</t>
  </si>
  <si>
    <t>SDR Price</t>
  </si>
  <si>
    <t>הדפסה לק"ג</t>
  </si>
  <si>
    <t>כמות שכבות</t>
  </si>
  <si>
    <t>מחיר לק"ג</t>
  </si>
  <si>
    <t>למינציה לק"ג</t>
  </si>
  <si>
    <t>חיתוך לק"ג</t>
  </si>
  <si>
    <t>ADHISIVE</t>
  </si>
  <si>
    <t>HARDENER</t>
  </si>
  <si>
    <t>מחיר הדפסה 1-4</t>
  </si>
  <si>
    <t>Lemingth length width used</t>
  </si>
  <si>
    <t>Total materials cost</t>
  </si>
  <si>
    <t>מחיר הדפסה 5-8</t>
  </si>
  <si>
    <t>מקדם מתחת ל300 ק"ג</t>
  </si>
  <si>
    <t>מחיר הדפסה DP</t>
  </si>
  <si>
    <t>DP Price</t>
  </si>
  <si>
    <t>Total</t>
  </si>
  <si>
    <t>למינציה DP</t>
  </si>
  <si>
    <t>Impression details</t>
  </si>
  <si>
    <t>Gross profit</t>
  </si>
  <si>
    <t>COST</t>
  </si>
  <si>
    <t>Cost per ml</t>
  </si>
  <si>
    <t>Total + 10%</t>
  </si>
  <si>
    <t>This is the height of the bag</t>
  </si>
  <si>
    <t>Cost per kg</t>
  </si>
  <si>
    <t>Length</t>
  </si>
  <si>
    <t>This is the width of the bag</t>
  </si>
  <si>
    <t>SELL</t>
  </si>
  <si>
    <t>Price per ml</t>
  </si>
  <si>
    <t>Total Weight</t>
  </si>
  <si>
    <t>Price per kg</t>
  </si>
  <si>
    <t>"680,900,1100"</t>
  </si>
  <si>
    <t>Reel details</t>
  </si>
  <si>
    <t>Waste assumption Printed</t>
  </si>
  <si>
    <t>This is the height of the bag*2</t>
  </si>
  <si>
    <t>Printed KG</t>
  </si>
  <si>
    <t>Waste assumption Non Printed</t>
  </si>
  <si>
    <t>to check if there is any length limitation - Must be filled!!!</t>
  </si>
  <si>
    <t>Total KG</t>
  </si>
  <si>
    <t>Net KG</t>
  </si>
  <si>
    <t>Waste assumptions</t>
  </si>
  <si>
    <t>Number of works</t>
  </si>
  <si>
    <t>Waste per work</t>
  </si>
  <si>
    <t>Ml  &amp; Lem used width of reel  in kg</t>
  </si>
  <si>
    <t>1st laminate</t>
  </si>
  <si>
    <t>Ml  &amp; Lem Asked width of reel  in kg</t>
  </si>
  <si>
    <t>Number of impression</t>
  </si>
  <si>
    <t>Waste of width</t>
  </si>
  <si>
    <t>2nd laminate</t>
  </si>
  <si>
    <t>Printed Waste Assumption</t>
  </si>
  <si>
    <t>Cost per impressiom</t>
  </si>
  <si>
    <t>SDR</t>
  </si>
  <si>
    <t>Prining</t>
  </si>
  <si>
    <t>Eur</t>
  </si>
  <si>
    <t>Price Per impression</t>
  </si>
  <si>
    <t>Reel change</t>
  </si>
  <si>
    <t>evrey 3K Meter</t>
  </si>
  <si>
    <t>Cost</t>
  </si>
  <si>
    <t>Sale price</t>
  </si>
  <si>
    <t>Converting</t>
  </si>
  <si>
    <t>Set up</t>
  </si>
  <si>
    <t>ML</t>
  </si>
  <si>
    <t>Meter MOQ</t>
  </si>
  <si>
    <t>Total Price</t>
  </si>
  <si>
    <t>Converting process</t>
  </si>
  <si>
    <t>Based on the run length</t>
  </si>
  <si>
    <t>KG</t>
  </si>
  <si>
    <t>Euro to dollar rate</t>
  </si>
  <si>
    <t>Non Printed waste Assumption</t>
  </si>
  <si>
    <t>Laminat Reel 607, 106</t>
  </si>
  <si>
    <t>MOQ = 500KG</t>
  </si>
  <si>
    <t>Shipment addition</t>
  </si>
  <si>
    <t>Laminat Reel  608</t>
  </si>
  <si>
    <t>MOQ = 750KG</t>
  </si>
  <si>
    <t>Laminat Reel  608W</t>
  </si>
  <si>
    <t>MOQ = 2000KG</t>
  </si>
  <si>
    <t>Laminate type</t>
  </si>
  <si>
    <t>Food grade</t>
  </si>
  <si>
    <t>FG</t>
  </si>
  <si>
    <t>Quote by</t>
  </si>
  <si>
    <t>KG MOQ</t>
  </si>
  <si>
    <t>Price</t>
  </si>
  <si>
    <t>Z10771.00023-000</t>
  </si>
  <si>
    <t>Length limitation &lt;50Kg (Y/N)</t>
  </si>
  <si>
    <t>(*)  Min is 500 Meter</t>
  </si>
  <si>
    <t>Length Limit</t>
  </si>
  <si>
    <t>(*)  Up to 1,150 width</t>
  </si>
  <si>
    <t>Non PR</t>
  </si>
  <si>
    <t>Number of Colurs</t>
  </si>
  <si>
    <t>Imp</t>
  </si>
  <si>
    <t>Meters</t>
  </si>
  <si>
    <t>Deal amount</t>
  </si>
  <si>
    <t>Check amount</t>
  </si>
  <si>
    <r>
      <t xml:space="preserve">Price per unit EXW </t>
    </r>
    <r>
      <rPr>
        <b/>
        <u/>
        <sz val="12"/>
        <color theme="1"/>
        <rFont val="Aptos Narrow"/>
        <family val="2"/>
        <scheme val="minor"/>
      </rPr>
      <t>Italy</t>
    </r>
  </si>
  <si>
    <t>MOQ</t>
  </si>
  <si>
    <t>Price per unit</t>
  </si>
  <si>
    <t>Total order price</t>
  </si>
  <si>
    <t>Lam Cost</t>
  </si>
  <si>
    <t>Per day</t>
  </si>
  <si>
    <t>per month</t>
  </si>
  <si>
    <t>per hour</t>
  </si>
  <si>
    <t>Set up time</t>
  </si>
  <si>
    <t>Price per unit $</t>
  </si>
  <si>
    <t>Laminate production</t>
  </si>
  <si>
    <t>3 hours</t>
  </si>
  <si>
    <t>Flexo</t>
  </si>
  <si>
    <t>Pouch production</t>
  </si>
  <si>
    <t>Minute</t>
  </si>
  <si>
    <t>2 hours</t>
  </si>
  <si>
    <t>Printing per minute</t>
  </si>
  <si>
    <t>1.5 hours</t>
  </si>
  <si>
    <t>EXW Italy or Poland</t>
  </si>
  <si>
    <t>1000, 3000, 5000</t>
  </si>
  <si>
    <t>סוג תהליך</t>
  </si>
  <si>
    <t>ארה"ב (USD)</t>
  </si>
  <si>
    <t>אירופה (EUR)</t>
  </si>
  <si>
    <t>מרכיבי עלות מרכזיים</t>
  </si>
  <si>
    <t>1500ת 3000ת 5000</t>
  </si>
  <si>
    <t>הדפסה דיגיטלית (Indigo 25K)</t>
  </si>
  <si>
    <t>$450 - $600</t>
  </si>
  <si>
    <t>€400 - €550</t>
  </si>
  <si>
    <t>פחת גבוה ($1.5M+ מכונה), חוזי שירות יקרים, מפעיל מומחה.</t>
  </si>
  <si>
    <t>הדפסת פלקסו (Wide Web)</t>
  </si>
  <si>
    <t>$650 - $950</t>
  </si>
  <si>
    <t>€600 - €850</t>
  </si>
  <si>
    <t>השקעה הונית אדירה, 2 מפעילים, צריכת אנרגיה גבוהה לייבוש.</t>
  </si>
  <si>
    <t>למינציה / ורניש</t>
  </si>
  <si>
    <t>$280 - $420</t>
  </si>
  <si>
    <t>€250 - €380</t>
  </si>
  <si>
    <t>עלויות דבק/לקה, אנרגיה (חימום), פחת מכונה בינוני.</t>
  </si>
  <si>
    <t>קונברטינג (Totani)</t>
  </si>
  <si>
    <t>$200 - $320</t>
  </si>
  <si>
    <t>€180 - €290</t>
  </si>
  <si>
    <t>עבודה אינטנסיבית (בדיקות איכות), פחת מכונה נמוך יותר.</t>
  </si>
  <si>
    <t>💵 SELL PRICE PER KG</t>
  </si>
  <si>
    <t>€/m</t>
  </si>
  <si>
    <t>Additive</t>
  </si>
  <si>
    <t>Additive Price</t>
  </si>
  <si>
    <t>Calculation Process</t>
  </si>
  <si>
    <t>FILM Price</t>
  </si>
  <si>
    <t>MET LUX</t>
  </si>
  <si>
    <t>🧮 CALCULATOR 2 - TIPA 302FG W</t>
  </si>
  <si>
    <t>🧮 CALCULATOR 3 - TIPA 306M</t>
  </si>
  <si>
    <t>🧮 CALCULATOR 4 - TIPA 306W</t>
  </si>
  <si>
    <t>🧮 CALCULATOR 5 - TIPA 312 MFG</t>
  </si>
  <si>
    <t>🧮 CALCULATOR 6 - TIPA 312MFGW</t>
  </si>
  <si>
    <t>Calculated behind the scenes in Film Pricing calculator; Film Price is stored here as a fixed value. Total Price = Film Price + Additive Price.</t>
  </si>
  <si>
    <t>Composite material: uses TIPA 312 MFG current calculated film price + MET LUX additive from HELPER A:E.</t>
  </si>
  <si>
    <t>יש עוד משהו שצריך לקחת בחשבון: יש שתי מידות רוחב: 760 1220 כשנרשם רוחב מסוים, התהליך צריך להיות ככה: 1. בדיקה כמה פעמים הרוחב הזה נכנס כשלם ב-1220 וב760. - למשל אם מדובר ברוחב 300 - נכנס פעמיים ב760 ו-4 פעמים ב1220. 2. השוואה של השארית שנשארת אחרי שהרוחב נכנס ב760 לבין זה שנשארת כשהוא נכנס ב-1220. למשל , עם הדוגמא שלקחנו- כשניקח 300, אז החישוב יהיה ככה: 760-)300*2(= 160 1220-)300*4(=20 לכן , הרוחב שנשתמש בו הוא בדוגמא הזו 1220. 3. בתא D1 יירשם הרוחב שנבחר כתוצאה מהחישוב ( בדוגמא שכאן יירשם: Width choosed due to calculation: 1220 בכתב מודגש. הרוחב מעל 1220 אסור- נשאר כפי שהיה עם ההודעה שמקבלת עכשיו קדימה</t>
  </si>
  <si>
    <t>Width of reel used</t>
  </si>
  <si>
    <t>Lamination Width (mm)</t>
  </si>
  <si>
    <t>REGARDING COLUMN e: Width of reel used : do as following: 1. take the number you see in the Width of reel asked ( column D) 2. checking how many times it fully נכנס into Lamination Width (mm) (column J). 3. ם אפשר להכניס 2, 3, 4, 5 או 6 פעמים — היא מכפילה את הרוחב המבוקש בהתאם. 4. אם לא — משאירה את הרוחב המקורי. please do as following and check all the formulas in the calculators</t>
  </si>
  <si>
    <t>Main drivers:</t>
  </si>
  <si>
    <t>Fixed per-meter costs are spread over fewer kg, so €/kg increases.</t>
  </si>
  <si>
    <t>So the trend: smaller widths that are multiplied into a wider reel can be cheaper per kg; 600mm has less spreading efficiency, so price/kg rises.</t>
  </si>
  <si>
    <r>
      <t>1. Actual reel width </t>
    </r>
    <r>
      <rPr>
        <sz val="10"/>
        <color rgb="FF424242"/>
        <rFont val="Courier New"/>
        <family val="3"/>
      </rPr>
      <t>E</t>
    </r>
  </si>
  <si>
    <r>
      <t>&lt;300</t>
    </r>
    <r>
      <rPr>
        <sz val="10"/>
        <color rgb="FF424242"/>
        <rFont val="Aptos"/>
        <family val="2"/>
      </rPr>
      <t> → ×4</t>
    </r>
  </si>
  <si>
    <r>
      <t>&lt;400</t>
    </r>
    <r>
      <rPr>
        <sz val="10"/>
        <color rgb="FF424242"/>
        <rFont val="Aptos"/>
        <family val="2"/>
      </rPr>
      <t> → ×3</t>
    </r>
  </si>
  <si>
    <r>
      <t>&lt;600</t>
    </r>
    <r>
      <rPr>
        <sz val="10"/>
        <color rgb="FF424242"/>
        <rFont val="Aptos"/>
        <family val="2"/>
      </rPr>
      <t> → ×2</t>
    </r>
  </si>
  <si>
    <r>
      <t>≥600</t>
    </r>
    <r>
      <rPr>
        <sz val="10"/>
        <color rgb="FF424242"/>
        <rFont val="Aptos"/>
        <family val="2"/>
      </rPr>
      <t> → unchanged</t>
    </r>
  </si>
  <si>
    <r>
      <t>2. Lamination width </t>
    </r>
    <r>
      <rPr>
        <sz val="10"/>
        <color rgb="FF424242"/>
        <rFont val="Courier New"/>
        <family val="3"/>
      </rPr>
      <t>J = E + 50</t>
    </r>
  </si>
  <si>
    <r>
      <t>Wider </t>
    </r>
    <r>
      <rPr>
        <sz val="10"/>
        <color rgb="FF424242"/>
        <rFont val="Courier New"/>
        <family val="3"/>
      </rPr>
      <t>J/E</t>
    </r>
    <r>
      <rPr>
        <sz val="10"/>
        <color rgb="FF424242"/>
        <rFont val="Aptos"/>
        <family val="2"/>
      </rPr>
      <t> ratio = more excess lamination cost.</t>
    </r>
  </si>
  <si>
    <r>
      <t>200mm: </t>
    </r>
    <r>
      <rPr>
        <sz val="10"/>
        <color rgb="FF424242"/>
        <rFont val="Courier New"/>
        <family val="3"/>
      </rPr>
      <t>E=800</t>
    </r>
    <r>
      <rPr>
        <sz val="10"/>
        <color rgb="FF424242"/>
        <rFont val="Aptos"/>
        <family val="2"/>
      </rPr>
      <t>, </t>
    </r>
    <r>
      <rPr>
        <sz val="10"/>
        <color rgb="FF424242"/>
        <rFont val="Courier New"/>
        <family val="3"/>
      </rPr>
      <t>J=850</t>
    </r>
    <r>
      <rPr>
        <sz val="10"/>
        <color rgb="FF424242"/>
        <rFont val="Aptos"/>
        <family val="2"/>
      </rPr>
      <t> → 6.25% excess</t>
    </r>
  </si>
  <si>
    <r>
      <t>600mm: </t>
    </r>
    <r>
      <rPr>
        <sz val="10"/>
        <color rgb="FF424242"/>
        <rFont val="Courier New"/>
        <family val="3"/>
      </rPr>
      <t>E=600</t>
    </r>
    <r>
      <rPr>
        <sz val="10"/>
        <color rgb="FF424242"/>
        <rFont val="Aptos"/>
        <family val="2"/>
      </rPr>
      <t>, </t>
    </r>
    <r>
      <rPr>
        <sz val="10"/>
        <color rgb="FF424242"/>
        <rFont val="Courier New"/>
        <family val="3"/>
      </rPr>
      <t>J=650</t>
    </r>
    <r>
      <rPr>
        <sz val="10"/>
        <color rgb="FF424242"/>
        <rFont val="Aptos"/>
        <family val="2"/>
      </rPr>
      <t> → 8.33% excess</t>
    </r>
  </si>
  <si>
    <r>
      <t>3. Kg per meter </t>
    </r>
    <r>
      <rPr>
        <sz val="10"/>
        <color rgb="FF424242"/>
        <rFont val="Courier New"/>
        <family val="3"/>
      </rPr>
      <t>M</t>
    </r>
  </si>
  <si>
    <r>
      <t>At 600mm, kg/m is lower than the 200mm case using </t>
    </r>
    <r>
      <rPr>
        <sz val="10"/>
        <color rgb="FF424242"/>
        <rFont val="Courier New"/>
        <family val="3"/>
      </rPr>
      <t>E=800</t>
    </r>
    <r>
      <rPr>
        <sz val="10"/>
        <color rgb="FF424242"/>
        <rFont val="Aptos"/>
        <family val="2"/>
      </rPr>
      <t>.</t>
    </r>
  </si>
  <si>
    <t>Laminate819</t>
  </si>
  <si>
    <t>Ml</t>
  </si>
  <si>
    <t>IMP</t>
  </si>
  <si>
    <t>Rule / source</t>
  </si>
  <si>
    <t>Meters = IMP ÷ (1000 ÷ impression length); Kg = current laminate structure yield</t>
  </si>
  <si>
    <t>Same rule</t>
  </si>
  <si>
    <t>MOQ row in source table</t>
  </si>
  <si>
    <t>🔢 Input Quantity</t>
  </si>
  <si>
    <t>📏 Converted Meters</t>
  </si>
  <si>
    <t>$/IMP</t>
  </si>
  <si>
    <t>$/kg</t>
  </si>
  <si>
    <t>🧾 IMP / Length Conversion</t>
  </si>
  <si>
    <t>⚖️ Converted KG</t>
  </si>
  <si>
    <t>By Imp</t>
  </si>
  <si>
    <t>💵 Sell Price / Meter</t>
  </si>
  <si>
    <t>💵 Sell Price / KG</t>
  </si>
  <si>
    <t>💵 Sell Price / IMP</t>
  </si>
  <si>
    <t>€/IMP</t>
  </si>
  <si>
    <t>💵 USD Price / Meter</t>
  </si>
  <si>
    <t>$/m</t>
  </si>
  <si>
    <t>💵 USD Price / KG</t>
  </si>
  <si>
    <t>💵 USD Price / IMP</t>
  </si>
  <si>
    <t>💰 Total Sell Price (€)</t>
  </si>
  <si>
    <t>€ total</t>
  </si>
  <si>
    <t>💰 Total Sell Price ($)</t>
  </si>
  <si>
    <t>$ total</t>
  </si>
  <si>
    <t>821M</t>
  </si>
  <si>
    <t>Total Thickness (µ)</t>
  </si>
  <si>
    <t>Material / Layer</t>
  </si>
  <si>
    <t>Layer Thickness (µ)</t>
  </si>
  <si>
    <t>Structure Check</t>
  </si>
  <si>
    <t>Layer Type / Info</t>
  </si>
  <si>
    <t>Status</t>
  </si>
  <si>
    <t>Active</t>
  </si>
  <si>
    <t>Laminate Group</t>
  </si>
  <si>
    <t>Group Total Thickness</t>
  </si>
  <si>
    <t>Layer Thickness</t>
  </si>
  <si>
    <t>Spacer</t>
  </si>
  <si>
    <t>Setup related to MET</t>
  </si>
  <si>
    <t>MET setup factor</t>
  </si>
  <si>
    <t>הנחיה: להזנת למינייט חדש — מלא שורות ריקות בתוך tblLaminateStructures בעמודות AV:AY. עמודה AZ תחושב לבד כסכום עוביי השכבות לפי למינייט + עובי כולל.</t>
  </si>
  <si>
    <t>BIO4PACK</t>
  </si>
  <si>
    <t>NK White</t>
  </si>
  <si>
    <t>According to the email from Oren</t>
  </si>
  <si>
    <t>Calc1 Thickness Options</t>
  </si>
  <si>
    <t>Calc2 Thickness Options</t>
  </si>
  <si>
    <t>Calc3 Thickness Options</t>
  </si>
  <si>
    <t>Laminating, Converting &amp; Printing Supplier</t>
  </si>
  <si>
    <t>ALU</t>
  </si>
  <si>
    <t>bags</t>
  </si>
  <si>
    <t>ה NF יותר יקר מה FG בגלל אחוזי הרווחיות השונים בין הסיגמנטים</t>
  </si>
  <si>
    <t>Dimenssions</t>
  </si>
  <si>
    <t>Width(mm)</t>
  </si>
  <si>
    <t>Base (mm)</t>
  </si>
  <si>
    <t>Flap (mm)</t>
  </si>
  <si>
    <t>Web Width (mm)</t>
  </si>
  <si>
    <t>מ"א נפולת ל - SET UP</t>
  </si>
  <si>
    <t>Euro</t>
  </si>
  <si>
    <t>Laminate cost</t>
  </si>
  <si>
    <t>Zipper cost</t>
  </si>
  <si>
    <t>Adhisive Tape</t>
  </si>
  <si>
    <t>Pouch production cost</t>
  </si>
  <si>
    <t>Product</t>
  </si>
  <si>
    <r>
      <t>Thickness (</t>
    </r>
    <r>
      <rPr>
        <b/>
        <sz val="11"/>
        <color theme="1"/>
        <rFont val="Calibri"/>
        <family val="2"/>
      </rPr>
      <t>µ</t>
    </r>
    <r>
      <rPr>
        <b/>
        <sz val="9.4499999999999993"/>
        <color theme="1"/>
        <rFont val="Arial"/>
        <family val="2"/>
      </rPr>
      <t>)</t>
    </r>
  </si>
  <si>
    <t>Cost for ml</t>
  </si>
  <si>
    <t>Total laminate cost</t>
  </si>
  <si>
    <t>Total zipper cost</t>
  </si>
  <si>
    <t>Tape cost</t>
  </si>
  <si>
    <t>Total tape cost</t>
  </si>
  <si>
    <t>Quantity</t>
  </si>
  <si>
    <t>Set up fall out</t>
  </si>
  <si>
    <t>Set up cost per pouch</t>
  </si>
  <si>
    <t>Total cost per pouch</t>
  </si>
  <si>
    <t>SDR Cost per bag</t>
  </si>
  <si>
    <t xml:space="preserve">Laminate Pouch  </t>
  </si>
  <si>
    <t>Laminate608W</t>
  </si>
  <si>
    <t>For Side gusset pouch</t>
  </si>
  <si>
    <t>Height of bag</t>
  </si>
  <si>
    <t>Width of bag</t>
  </si>
  <si>
    <t>Height</t>
  </si>
  <si>
    <t>Base Gusset/2</t>
  </si>
  <si>
    <t>Side gusset*2</t>
  </si>
  <si>
    <t>PR</t>
  </si>
  <si>
    <t>5 to 8</t>
  </si>
  <si>
    <t>Price per bag EXW Italy</t>
  </si>
  <si>
    <r>
      <t xml:space="preserve">Price per bag </t>
    </r>
    <r>
      <rPr>
        <b/>
        <sz val="12"/>
        <color theme="1"/>
        <rFont val="Calibri"/>
        <family val="2"/>
      </rPr>
      <t>€</t>
    </r>
  </si>
  <si>
    <t>Cost per bag</t>
  </si>
  <si>
    <t>Price per bag $</t>
  </si>
  <si>
    <t>MOQ - KG</t>
  </si>
  <si>
    <t>Laminate106</t>
  </si>
  <si>
    <t>Laminate607</t>
  </si>
  <si>
    <t>Laminate608</t>
  </si>
  <si>
    <r>
      <t>Laminate608</t>
    </r>
    <r>
      <rPr>
        <b/>
        <sz val="11"/>
        <color theme="1"/>
        <rFont val="Aptos Narrow"/>
        <family val="2"/>
        <scheme val="minor"/>
      </rPr>
      <t>W</t>
    </r>
  </si>
  <si>
    <t>Open Pouch</t>
  </si>
  <si>
    <t>Open SUP</t>
  </si>
  <si>
    <t>SUP</t>
  </si>
  <si>
    <t>Open bag with Flap</t>
  </si>
  <si>
    <t>Resealable Pouch</t>
  </si>
  <si>
    <t>If the closure is with Zipper</t>
  </si>
  <si>
    <t>Gusset bag</t>
  </si>
  <si>
    <t>Side gusset pouch</t>
  </si>
  <si>
    <t>Open bag with Zipper</t>
  </si>
  <si>
    <t>1switch between line 50 to 51</t>
  </si>
  <si>
    <t>2.pouch calculator 1 ( line 49 ) need to be need to be filled in according to 2 parameters: line 50 and 51 for example: Open Bag - 428</t>
  </si>
  <si>
    <t xml:space="preserve">3, </t>
  </si>
  <si>
    <t>Yes</t>
  </si>
  <si>
    <t>🏷️ Laminate type</t>
  </si>
  <si>
    <t>↕️ Height of bag</t>
  </si>
  <si>
    <t>↔️ Width of bag</t>
  </si>
  <si>
    <t>📐 Base Gusset / 2</t>
  </si>
  <si>
    <t>🚩 Flap</t>
  </si>
  <si>
    <t>🔢 Amount</t>
  </si>
  <si>
    <t>🎨 Number of Colours</t>
  </si>
  <si>
    <t>🔒 Zipper</t>
  </si>
  <si>
    <t>✅ Check amount</t>
  </si>
  <si>
    <t>💶 Price per bag €</t>
  </si>
  <si>
    <t>Pouch Calc1 Thickness Options</t>
  </si>
  <si>
    <t>Pouch Calc2 Thickness Options</t>
  </si>
  <si>
    <t>Pouch Calc3 Thickness Options</t>
  </si>
  <si>
    <t>calculations</t>
  </si>
  <si>
    <t>Production</t>
  </si>
  <si>
    <t>Pouch Type</t>
  </si>
  <si>
    <t>Set up fall out (base)</t>
  </si>
  <si>
    <t>Setup fallout (Zipper)</t>
  </si>
  <si>
    <t>Units</t>
  </si>
  <si>
    <t>Laminate length</t>
  </si>
  <si>
    <t>Film weight per bag</t>
  </si>
  <si>
    <t>Weight of bag</t>
  </si>
  <si>
    <t>€/pouch</t>
  </si>
  <si>
    <t>BOM Resin Weighted QTY %</t>
  </si>
  <si>
    <t>חישוב אחוז משוקלל לכל Resin בכל Film: סכום(QTY × Thickness) חלקי סך Thickness של אותו Film.</t>
  </si>
  <si>
    <t>Weighted QTY %</t>
  </si>
  <si>
    <t>Film Total Check</t>
  </si>
  <si>
    <t xml:space="preserve">Pouches sheet: </t>
  </si>
  <si>
    <t xml:space="preserve">the goal is to finish the calculator for the pouches in the pouches sheet. </t>
  </si>
  <si>
    <t xml:space="preserve">process: </t>
  </si>
  <si>
    <t xml:space="preserve">1. go to Laminated bags - Sales and to Laminate for Bags - Sales and understand the process of calculating there. </t>
  </si>
  <si>
    <t xml:space="preserve">2. add the relevant lines to the pouches calculator in the Pouches sheet. </t>
  </si>
  <si>
    <t>3. in addition - add the total lines of the full amount of pouches in Euro and USD.</t>
  </si>
  <si>
    <t xml:space="preserve">4. When you build the pouches calculator ( adding the relevant lines) use the logic in the laminates I mentioned before but not link to those sheets. </t>
  </si>
  <si>
    <t>5. if there is a missing data or data that you dont understand- please tell.</t>
  </si>
  <si>
    <t xml:space="preserve">6. in the pouches sheet- build all calculator there, there are 3 of them. </t>
  </si>
  <si>
    <t xml:space="preserve">7. check the formulas and the data you add need to be accurate . </t>
  </si>
  <si>
    <t>8 under the calculators starting line 84 in the pouches sheet - please write all process that you did including the logic, formulas and verbal summary.</t>
  </si>
  <si>
    <t>💰 Total order price €</t>
  </si>
  <si>
    <t>💰 Total order price $</t>
  </si>
  <si>
    <t>Process &amp; logic used</t>
  </si>
  <si>
    <t>Summary / formula logic</t>
  </si>
  <si>
    <t>1. Source review</t>
  </si>
  <si>
    <t>Reviewed the Laminated bags - Sales pouch calculator and the Laminate for Bags - Sales laminate build-up. The relevant logic was recreated inside Pouches and no formulas were linked back to those two sheets.</t>
  </si>
  <si>
    <t>2. Pouch inputs</t>
  </si>
  <si>
    <t>Each pouch calculator uses its own pouch type, laminate type, total thickness, height, width, base gusset/2, flap, amount, print flag, number of colours, supplier, zipper flag, and shipment.</t>
  </si>
  <si>
    <t>3. Web width</t>
  </si>
  <si>
    <t>Width of reel = 2 × height of bag + 2 × base gusset/2 + flap. This follows the side-gusset pouch web-width logic.</t>
  </si>
  <si>
    <t>4. Laminate length</t>
  </si>
  <si>
    <t>Laminate length = pouch amount × pouch width / 1000. The linked laminate calculator section above each pouch calculator is now driven in By Length mode from the pouch amount and width.</t>
  </si>
  <si>
    <t>5. MOQ check</t>
  </si>
  <si>
    <t>Pouch weight for MOQ = laminate kg/m × width asked / width used × ((width used + 30) / lamination width) × pouch width / 1000. Check amount = 1 when amount ≥ KG MOQ / pouch weight; otherwise it shows X.</t>
  </si>
  <si>
    <t>6. Cost per pouch</t>
  </si>
  <si>
    <t>Cost per pouch = production + setup fallout + zipper + laminate €/m × pouch width / 1000. Production comes from the converting table in this workbook; zipper and setup fallout use the helper inputs in this workbook.</t>
  </si>
  <si>
    <t>7. Sell price and totals</t>
  </si>
  <si>
    <t>Price per bag € = total cost per pouch / (1 - gross profit). Total order € = price per bag € × amount. Total order $ = total order € × 1.16, matching the USD conversion already used in the Pouches laminate calculator.</t>
  </si>
  <si>
    <t>8. Current status</t>
  </si>
  <si>
    <t>All three pouch calculators return numeric prices and totals with the current inputs. No missing-data message is shown for the current three calculators.</t>
  </si>
  <si>
    <t xml:space="preserve">please proceed as following: </t>
  </si>
  <si>
    <t xml:space="preserve">if the input mode in the calculator is weight: for the laminate length calculation in the calculator, need to take the width of the reel as pasted in the calculator ( for example now is 330). for the lamination you need to take as one that appear in the table - in the example in calculator one if width of the reel is 330, the one you take for the lamination, printing and sliting is 1040. same for the input mode is weight. </t>
  </si>
  <si>
    <t>648W</t>
  </si>
  <si>
    <t> NK MATT</t>
  </si>
  <si>
    <t>Laminates sheet:</t>
  </si>
  <si>
    <t xml:space="preserve">need to add additional calculation related to the designs . going like that : </t>
  </si>
  <si>
    <t xml:space="preserve">there is an option of printing with several designs, different ones. each designs can be with several colors, same as printing. for example- if there are 8 designs with 4 colors, meaning you have 32 options. </t>
  </si>
  <si>
    <t xml:space="preserve">the calculation need to go like this: </t>
  </si>
  <si>
    <t>n pouches- calculator sheet: 648W need to be added for all calculations as well and also 648 63 mic no looks like there is only 648 &amp; 648 w only with 106 thickness. Go</t>
  </si>
  <si>
    <t>so to the calculator need to add number of the designs ( dropdown list-1,2,3,4,5,6,7,8). from the calculator need to go to the table as other parameters for the calculation as well</t>
  </si>
  <si>
    <t xml:space="preserve">to take the quantity - most of the time will be input mode by imp and to split it by the number of the designs . for example: if the quantity is 1,600,000- will be 200,000 imp each design. </t>
  </si>
  <si>
    <t xml:space="preserve">this will impact the printing waste and setup cost because for each design need to be new setup run. </t>
  </si>
  <si>
    <t>width</t>
  </si>
  <si>
    <t>repeat</t>
  </si>
  <si>
    <t>setup per collor</t>
  </si>
  <si>
    <t>300 meter</t>
  </si>
  <si>
    <t>NK setup only</t>
  </si>
  <si>
    <t>8 designs</t>
  </si>
  <si>
    <t>חלק יחסי של NK</t>
  </si>
  <si>
    <t>Setup per color is always 300 Euro ( add to the Helper sheet for future changes).</t>
  </si>
  <si>
    <t xml:space="preserve">the calculation needs to be as following: </t>
  </si>
  <si>
    <t>(setup per color*number of colors*number of designs+5%)*(total number of impressions/(width of the reel/IMP width)*(IMP length/1000))</t>
  </si>
  <si>
    <t>important note : this part of the calculation :(total number of impressions/(width of the reel/IMP width)*(IMP length/1000)) needs to be only for the NK film.</t>
  </si>
  <si>
    <t xml:space="preserve">please approve that you understand the logic there before proceeding with the add , if not tell what verifications are needed. </t>
  </si>
  <si>
    <t>A option is the correct one, but the total impressions / (reel width / IMP width) * (IMP length / 1000) isnt the NK multiplier this part of the formula shows the waste calculation .</t>
  </si>
  <si>
    <t>NK multiplier needs to be calculated as part based on the יחס NK as part of the calculation film in the table.</t>
  </si>
  <si>
    <t>for example- in the laminate 428 there are 3 films- NK, tipa312MET ,TIPA312MET. so the part of NK is aprox 1/3.</t>
  </si>
  <si>
    <t xml:space="preserve">please advise that the calculation logic is understood before you proceed. </t>
  </si>
  <si>
    <t>Setup per color (€)</t>
  </si>
  <si>
    <t>No of designs</t>
  </si>
  <si>
    <t>IMP / design</t>
  </si>
  <si>
    <t>NK ratio</t>
  </si>
  <si>
    <t>🎨 No. of designs</t>
  </si>
  <si>
    <t>designs</t>
  </si>
  <si>
    <t>↳ IMP per design</t>
  </si>
  <si>
    <t>↳ NK ratio</t>
  </si>
  <si>
    <t>%</t>
  </si>
  <si>
    <t>↳ Design setup €/kg</t>
  </si>
  <si>
    <t>↳ NK Waste length basis</t>
  </si>
  <si>
    <t>Legend</t>
  </si>
  <si>
    <t>Yellow highlight in D:K</t>
  </si>
  <si>
    <t>Green highlight in D:K</t>
  </si>
  <si>
    <t>Lam calc 1 print D</t>
  </si>
  <si>
    <t>Lam calc 1 print E</t>
  </si>
  <si>
    <t>Lam calc 1 print F</t>
  </si>
  <si>
    <t>Lam calc 1 print G</t>
  </si>
  <si>
    <t>Lam calc 1 print H</t>
  </si>
  <si>
    <t>Lam calc 1 print I</t>
  </si>
  <si>
    <t>Lam calc 1 print J</t>
  </si>
  <si>
    <t>Lam calc 1 print K</t>
  </si>
  <si>
    <t>Lam calc 1 slit D</t>
  </si>
  <si>
    <t>Lam calc 1 slit E</t>
  </si>
  <si>
    <t>Lam calc 1 slit F</t>
  </si>
  <si>
    <t>Lam calc 1 slit G</t>
  </si>
  <si>
    <t>Lam calc 1 slit H</t>
  </si>
  <si>
    <t>Lam calc 1 slit I</t>
  </si>
  <si>
    <t>Lam calc 1 slit J</t>
  </si>
  <si>
    <t>Lam calc 1 slit K</t>
  </si>
  <si>
    <t>Laminates calc 1 printing</t>
  </si>
  <si>
    <t>Laminates calc 1 slitting</t>
  </si>
  <si>
    <t xml:space="preserve">please change the dropdowns and the calculations for the laminate 618: </t>
  </si>
  <si>
    <t>51,56,61,66,78,86,106,</t>
  </si>
  <si>
    <t xml:space="preserve">nk thickness- always 23, epotal always 3. the change only for TIPA 302FG. </t>
  </si>
  <si>
    <t xml:space="preserve">do same also for 618 W- same total thickneses, the only change is for TIPA 302FG W. </t>
  </si>
  <si>
    <t xml:space="preserve">proceed with the change for rhe laminate sheet and the pouches sheet </t>
  </si>
  <si>
    <t>check all calculations and adjudt them to new dimensions. Go</t>
  </si>
  <si>
    <t>For Laminates calculation purposes</t>
  </si>
  <si>
    <t>understand the logic in the AY-BA cells.</t>
  </si>
  <si>
    <t xml:space="preserve">the calculation there is from imp to meter. </t>
  </si>
  <si>
    <t>after understanding the logic please do same logic to the calculators in this sheet.</t>
  </si>
  <si>
    <t xml:space="preserve">dont use the data from the cells AY-BA, only from calculator. </t>
  </si>
  <si>
    <t xml:space="preserve">בבקשה תוסיף חישוב נוסף: </t>
  </si>
  <si>
    <t>line 48: Header</t>
  </si>
  <si>
    <t>calculation per 1000 meter for B4P</t>
  </si>
  <si>
    <t xml:space="preserve">the calculation itself. </t>
  </si>
  <si>
    <t xml:space="preserve">need to check how many times impression length is going to be inside 1m- </t>
  </si>
  <si>
    <t>in the example above there is imp length is 140mm' so :</t>
  </si>
  <si>
    <t>.1000mm/140mm= 7.14</t>
  </si>
  <si>
    <t>after this you take this number and multiply by sell price /imp in euro and after that you mltiply it by 1000 to get for 1000m</t>
  </si>
  <si>
    <t>proceed</t>
  </si>
  <si>
    <t>Calculation per 1000 meter for B4P</t>
  </si>
  <si>
    <t>€/1000m</t>
  </si>
  <si>
    <t>📦 MOQ</t>
  </si>
  <si>
    <t>films copilot</t>
  </si>
  <si>
    <t xml:space="preserve">add additional line to the table. called TIPA 312 MET. SAME Data as it appear in the TIPA 312 MFG but to RM cost in 1 Kg </t>
  </si>
  <si>
    <t xml:space="preserve">add also from HELPER sheet the cost of MET LUX </t>
  </si>
  <si>
    <t>add it to the dropdown in the films calculator. choose that work properly calculated&gt;go</t>
  </si>
  <si>
    <t>🧮 CALCULATOR 1 - TIPA 312 MET</t>
  </si>
  <si>
    <t xml:space="preserve">Film Pricing sheet: </t>
  </si>
  <si>
    <t>under the films calculator check if the weight is under or above MOQ- if under in line 24 add comment : red bold :under MOQ</t>
  </si>
  <si>
    <t>above: fine from MOQ perspective in bold green</t>
  </si>
  <si>
    <t>do for all calculators</t>
  </si>
  <si>
    <t>also add line for MOQ BY LENGTH ( DO A CONVERSE)</t>
  </si>
  <si>
    <t>CHECK ALL FORMULAS</t>
  </si>
  <si>
    <t>GO</t>
  </si>
  <si>
    <t>🚦 MOQ Status</t>
  </si>
  <si>
    <t>📏 MOQ by Length</t>
  </si>
  <si>
    <t>🏭 Machine length (supplier tier)</t>
  </si>
  <si>
    <t>📐 IMP Height / Width</t>
  </si>
  <si>
    <t>1</t>
  </si>
  <si>
    <t>Calc4 Thickness Options</t>
  </si>
  <si>
    <t>Calc5 Thickness Options</t>
  </si>
  <si>
    <t>Calc6 Thickness 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</si>
</sst>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8">
    <numFmt numFmtId="43" formatCode="_(* #,##0.00_);_(* \(#,##0.00\);_(* &quot;-&quot;??_);_(@_)"/>
    <numFmt numFmtId="164" formatCode="0.0%"/>
    <numFmt numFmtId="165" formatCode="_(* #,##0.0_);_(* \(#,##0.0\);_(* &quot;-&quot;??_);_(@_)"/>
    <numFmt numFmtId="166" formatCode="_(* #,##0_);_(* \(#,##0\);_(* &quot;-&quot;??_);_(@_)"/>
    <numFmt numFmtId="167" formatCode="_([$€-2]\ * #,##0.00_);_([$€-2]\ * \(#,##0.00\);_([$€-2]\ * &quot;-&quot;??_);_(@_)"/>
    <numFmt numFmtId="168" formatCode="\€#,##0.00"/>
    <numFmt numFmtId="169" formatCode="#,##0&quot; Kg&quot;"/>
    <numFmt numFmtId="170" formatCode="#,##0&quot; mm&quot;"/>
    <numFmt numFmtId="171" formatCode="_(* #,##0.000_);_(* \(#,##0.000\);_(* &quot;-&quot;??_);_(@_)"/>
    <numFmt numFmtId="172" formatCode="_([$€-2]\ * #,##0.000_);_([$€-2]\ * \(#,##0.000\);_([$€-2]\ * &quot;-&quot;??_);_(@_)"/>
    <numFmt numFmtId="173" formatCode="_([$$-409]* #,##0.00_);_([$$-409]* \(#,##0.00\);_([$$-409]* &quot;-&quot;??_);_(@_)"/>
    <numFmt numFmtId="174" formatCode="0.0000"/>
    <numFmt numFmtId="175" formatCode="_-[$£-809]* #,##0.00_-;\-[$£-809]* #,##0.00_-;_-[$£-809]* &quot;-&quot;??_-;_-@_-"/>
    <numFmt numFmtId="176" formatCode="0.000"/>
    <numFmt numFmtId="177" formatCode="_-* #,##0.00_-;\-* #,##0.00_-;_-* &quot;-&quot;??_-;_-@_-"/>
    <numFmt numFmtId="178" formatCode="_-&quot;₪&quot;* #,##0.00_-;\-&quot;₪&quot;* #,##0.00_-;_-&quot;₪&quot;* &quot;-&quot;??_-;_-@_-"/>
    <numFmt numFmtId="179" formatCode="_(* #,##0.0000_);_(* \(#,##0.0000\);_(* &quot;-&quot;??_);_(@_)"/>
    <numFmt numFmtId="180" formatCode="&quot;$&quot;#,##0.00"/>
    <numFmt numFmtId="181" formatCode="_([$€-2]\ * #,##0.0_);_([$€-2]\ * \(#,##0.0\);_([$€-2]\ * &quot;-&quot;??_);_(@_)"/>
    <numFmt numFmtId="182" formatCode="\€\ #,##0.00\ "/>
    <numFmt numFmtId="183" formatCode="&quot;$&quot;\ #,##0.00"/>
    <numFmt numFmtId="184" formatCode="\€\ #,##0.00"/>
    <numFmt numFmtId="185" formatCode="\€\ 0.00"/>
    <numFmt numFmtId="186" formatCode="\€\ 0.000"/>
    <numFmt numFmtId="187" formatCode="0.0"/>
    <numFmt numFmtId="188" formatCode="\€\ #,##0.000"/>
    <numFmt numFmtId="189" formatCode="\€\ #,##0.0000"/>
    <numFmt numFmtId="190" formatCode="#,##0.0000&quot; Kg&quot;"/>
    <numFmt numFmtId="191" formatCode="\€\ #,##0.00000"/>
    <numFmt numFmtId="192" formatCode="\€\ 0.0000"/>
    <numFmt numFmtId="193" formatCode="_-* #,##0_-;\-* #,##0_-;_-* &quot;-&quot;??_-;_-@_-"/>
    <numFmt numFmtId="194" formatCode="_(&quot;$&quot;* #,##0.000_);_(&quot;$&quot;* \(#,##0.000\);_(&quot;$&quot;* &quot;-&quot;??_);_(@_)"/>
    <numFmt numFmtId="195" formatCode="_(* #,##0.0000_);_(* \(#,##0.0000\);_(* &quot;-&quot;????_);_(@_)"/>
    <numFmt numFmtId="196" formatCode="_-[$€-2]\ * #,##0.000_-;\-[$€-2]\ * #,##0.000_-;_-[$€-2]\ * &quot;-&quot;??_-;_-@_-"/>
    <numFmt numFmtId="197" formatCode="_-[$€-2]\ * #,##0.00_-;\-[$€-2]\ * #,##0.00_-;_-[$€-2]\ * &quot;-&quot;??_-;_-@_-"/>
    <numFmt numFmtId="198" formatCode="_-[$€-2]\ * #,##0.0000_-;\-[$€-2]\ * #,##0.0000_-;_-[$€-2]\ * &quot;-&quot;??_-;_-@_-"/>
    <numFmt numFmtId="199" formatCode="_-[$$-409]* #,##0.0000_ ;_-[$$-409]* \-#,##0.0000\ ;_-[$$-409]* &quot;-&quot;??_ ;_-@_ "/>
    <numFmt numFmtId="200" formatCode="[$$-409]#,##0.00_ ;\-[$$-409]#,##0.00\ "/>
    <numFmt numFmtId="201" formatCode="_-* #,##0_-;\-* #,##0_-;_-* &quot;-&quot;_-;_-@_-"/>
    <numFmt numFmtId="202" formatCode="_-[$$-409]* #,##0_ ;_-[$$-409]* \-#,##0\ ;_-[$$-409]* &quot;-&quot;??_ ;_-@_ "/>
    <numFmt numFmtId="203" formatCode="_-[$$-409]* #,##0.00_ ;_-[$$-409]* \-#,##0.00\ ;_-[$$-409]* &quot;-&quot;??_ ;_-@_ "/>
    <numFmt numFmtId="204" formatCode="[$€-2]\ #,##0.000"/>
    <numFmt numFmtId="205" formatCode="[$€-2]\ #,##0"/>
    <numFmt numFmtId="206" formatCode="[$€-2]\ #,##0.0000"/>
    <numFmt numFmtId="207" formatCode="[$$-409]#,##0.000"/>
    <numFmt numFmtId="208" formatCode="_ * #,##0_ ;_ * \-#,##0_ ;_ * &quot;-&quot;??_ ;_ @_ "/>
    <numFmt numFmtId="209" formatCode="[$$-409]#,##0_ ;[Red]\-[$$-409]#,##0\ "/>
    <numFmt numFmtId="210" formatCode="0.00000"/>
    <numFmt numFmtId="211" formatCode="\€0.00"/>
    <numFmt numFmtId="212" formatCode="&quot;$&quot;\ #,##0.000"/>
    <numFmt numFmtId="213" formatCode="0.000000000"/>
    <numFmt numFmtId="214" formatCode="0\ &quot;mm width&quot;"/>
    <numFmt numFmtId="215" formatCode="_([$€-2]\ * #,##0.00000_);_([$€-2]\ * \(#,##0.00000\);_([$€-2]\ * &quot;-&quot;??_);_(@_)"/>
    <numFmt numFmtId="216" formatCode="_-[$€-2]\ * #,##0.00000_-;\-[$€-2]\ * #,##0.00000_-;_-[$€-2]\ * &quot;-&quot;??_-;_-@_-"/>
    <numFmt numFmtId="217" formatCode="#,##0_ ;\-#,##0\ "/>
    <numFmt numFmtId="218" formatCode="#,##0.0"/>
    <numFmt numFmtId="219" formatCode="_-* #,##0.0000_-;\-* #,##0.0000_-;_-* &quot;-&quot;??_-;_-@_-"/>
    <numFmt numFmtId="220" formatCode="0\ &quot;mm height&quot;"/>
  </numFmts>
  <fonts count="138">
    <font>
      <sz val="11"/>
      <color theme="1"/>
      <name val="Aptos Narrow"/>
      <family val="2"/>
      <scheme val="minor"/>
    </font>
    <font>
      <sz val="11"/>
      <color theme="1"/>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David"/>
      <family val="2"/>
      <charset val="177"/>
    </font>
    <font>
      <b/>
      <sz val="11"/>
      <color rgb="FF000000"/>
      <name val="Calibri"/>
      <family val="2"/>
    </font>
    <font>
      <sz val="11"/>
      <color theme="1"/>
      <name val="Calibri"/>
      <family val="2"/>
    </font>
    <font>
      <sz val="11"/>
      <color theme="1"/>
      <name val="Arial"/>
      <family val="2"/>
    </font>
    <font>
      <b/>
      <sz val="11"/>
      <color rgb="FFFFFFFF"/>
      <name val="Aptos Narrow"/>
      <family val="2"/>
      <scheme val="minor"/>
    </font>
    <font>
      <b/>
      <sz val="11"/>
      <color rgb="FFFFFFFF"/>
      <name val="Calibri"/>
      <family val="2"/>
    </font>
    <font>
      <sz val="11"/>
      <name val="Aptos Narrow"/>
      <family val="2"/>
      <scheme val="minor"/>
    </font>
    <font>
      <b/>
      <sz val="11"/>
      <name val="Aptos Narrow"/>
      <family val="2"/>
      <scheme val="minor"/>
    </font>
    <font>
      <b/>
      <sz val="11"/>
      <name val="Calibri"/>
      <family val="2"/>
    </font>
    <font>
      <b/>
      <sz val="11"/>
      <name val="Arial"/>
      <family val="2"/>
    </font>
    <font>
      <sz val="11"/>
      <color theme="1"/>
      <name val="Aptos Narrow"/>
      <family val="2"/>
      <charset val="177"/>
      <scheme val="minor"/>
    </font>
    <font>
      <b/>
      <sz val="18"/>
      <color rgb="FF1F4E79"/>
      <name val="Aptos Narrow"/>
      <family val="2"/>
      <scheme val="minor"/>
    </font>
    <font>
      <b/>
      <sz val="14"/>
      <color theme="1"/>
      <name val="Aptos Narrow"/>
      <family val="2"/>
      <scheme val="minor"/>
    </font>
    <font>
      <b/>
      <i/>
      <sz val="9"/>
      <color theme="0"/>
      <name val="Aptos Narrow"/>
      <family val="2"/>
      <scheme val="minor"/>
    </font>
    <font>
      <sz val="11"/>
      <color rgb="FF006100"/>
      <name val="Aptos Narrow"/>
      <family val="2"/>
      <scheme val="minor"/>
    </font>
    <font>
      <sz val="11"/>
      <color rgb="FF9C0006"/>
      <name val="Aptos Narrow"/>
      <family val="2"/>
      <scheme val="minor"/>
    </font>
    <font>
      <b/>
      <sz val="11"/>
      <color theme="0"/>
      <name val="Aptos Narrow"/>
      <family val="2"/>
      <scheme val="minor"/>
    </font>
    <font>
      <sz val="11"/>
      <color rgb="FF242424"/>
      <name val="Segoe UI"/>
      <family val="2"/>
    </font>
    <font>
      <b/>
      <sz val="12"/>
      <color theme="1"/>
      <name val="Calibri"/>
      <family val="2"/>
    </font>
    <font>
      <b/>
      <sz val="12"/>
      <color theme="1"/>
      <name val="Arial"/>
      <family val="2"/>
    </font>
    <font>
      <b/>
      <sz val="11"/>
      <color rgb="FF000000"/>
      <name val="Arial"/>
      <family val="2"/>
    </font>
    <font>
      <b/>
      <i/>
      <sz val="11"/>
      <color rgb="FF7F7F7F"/>
      <name val="Aptos Narrow"/>
      <family val="2"/>
      <scheme val="minor"/>
    </font>
    <font>
      <b/>
      <sz val="12"/>
      <color theme="1"/>
      <name val="Aptos Narrow"/>
      <family val="2"/>
      <scheme val="minor"/>
    </font>
    <font>
      <sz val="12"/>
      <name val="Aptos Narrow"/>
      <family val="2"/>
      <scheme val="minor"/>
    </font>
    <font>
      <b/>
      <sz val="12"/>
      <color theme="0"/>
      <name val="Aptos Narrow"/>
      <family val="2"/>
      <scheme val="minor"/>
    </font>
    <font>
      <b/>
      <sz val="11"/>
      <color rgb="FFFF0000"/>
      <name val="Aptos Narrow"/>
      <family val="2"/>
      <scheme val="minor"/>
    </font>
    <font>
      <b/>
      <sz val="14"/>
      <color rgb="FF000000"/>
      <name val="Aptos Narrow"/>
      <family val="2"/>
      <scheme val="minor"/>
    </font>
    <font>
      <b/>
      <sz val="11"/>
      <color rgb="FF000000"/>
      <name val="Aptos Narrow"/>
      <family val="2"/>
      <scheme val="minor"/>
    </font>
    <font>
      <sz val="9"/>
      <color theme="1"/>
      <name val="Aptos Narrow"/>
      <family val="2"/>
      <scheme val="minor"/>
    </font>
    <font>
      <b/>
      <sz val="11"/>
      <color theme="5" tint="-0.499984740745262"/>
      <name val="Aptos Narrow"/>
      <family val="2"/>
      <scheme val="minor"/>
    </font>
    <font>
      <b/>
      <sz val="12"/>
      <name val="Aptos Narrow"/>
      <family val="2"/>
      <scheme val="minor"/>
    </font>
    <font>
      <b/>
      <sz val="12"/>
      <color rgb="FF000000"/>
      <name val="Aptos Narrow"/>
      <family val="2"/>
      <scheme val="minor"/>
    </font>
    <font>
      <b/>
      <sz val="12"/>
      <color theme="5" tint="-0.499984740745262"/>
      <name val="Aptos Narrow"/>
      <family val="2"/>
      <scheme val="minor"/>
    </font>
    <font>
      <b/>
      <sz val="10"/>
      <color rgb="FFFFFFFF"/>
      <name val="Aptos Narrow"/>
      <family val="2"/>
      <scheme val="minor"/>
    </font>
    <font>
      <i/>
      <sz val="11"/>
      <color rgb="FF666666"/>
      <name val="Aptos Narrow"/>
      <family val="2"/>
      <scheme val="minor"/>
    </font>
    <font>
      <b/>
      <sz val="12"/>
      <color rgb="FF1F4E79"/>
      <name val="Aptos Narrow"/>
      <family val="2"/>
      <scheme val="minor"/>
    </font>
    <font>
      <b/>
      <sz val="14"/>
      <color rgb="FF666666"/>
      <name val="Aptos Narrow"/>
      <family val="2"/>
      <scheme val="minor"/>
    </font>
    <font>
      <sz val="11"/>
      <color rgb="FF2E7D32"/>
      <name val="Aptos Narrow"/>
      <family val="2"/>
      <scheme val="minor"/>
    </font>
    <font>
      <i/>
      <sz val="9"/>
      <color rgb="FFCC0000"/>
      <name val="Aptos Narrow"/>
      <family val="2"/>
      <scheme val="minor"/>
    </font>
    <font>
      <b/>
      <sz val="11"/>
      <color rgb="FF0070FF"/>
      <name val="Aptos Narrow"/>
      <family val="2"/>
      <scheme val="minor"/>
    </font>
    <font>
      <b/>
      <sz val="14"/>
      <color rgb="FFFFFFFF"/>
      <name val="Aptos Narrow"/>
      <family val="2"/>
      <scheme val="minor"/>
    </font>
    <font>
      <sz val="10"/>
      <color theme="1"/>
      <name val="Aptos Narrow"/>
      <family val="2"/>
      <scheme val="minor"/>
    </font>
    <font>
      <b/>
      <sz val="12"/>
      <color rgb="FFE0F2F1"/>
      <name val="Aptos Narrow"/>
      <family val="2"/>
      <scheme val="minor"/>
    </font>
    <font>
      <b/>
      <sz val="16"/>
      <color theme="1"/>
      <name val="Aptos Narrow"/>
      <family val="2"/>
      <scheme val="minor"/>
    </font>
    <font>
      <b/>
      <sz val="18"/>
      <color rgb="FF1F4E79"/>
      <name val="Calibri"/>
      <family val="2"/>
    </font>
    <font>
      <i/>
      <sz val="12"/>
      <color rgb="FF5B9BD5"/>
      <name val="Calibri"/>
      <family val="2"/>
    </font>
    <font>
      <b/>
      <sz val="14"/>
      <color theme="1"/>
      <name val="Calibri"/>
      <family val="2"/>
    </font>
    <font>
      <sz val="14"/>
      <color theme="1"/>
      <name val="Calibri"/>
      <family val="2"/>
    </font>
    <font>
      <sz val="10"/>
      <color theme="1"/>
      <name val="Calibri"/>
      <family val="2"/>
    </font>
    <font>
      <b/>
      <sz val="14"/>
      <color rgb="FFFFFFFF"/>
      <name val="Calibri"/>
      <family val="2"/>
    </font>
    <font>
      <b/>
      <sz val="11"/>
      <color theme="1"/>
      <name val="Calibri"/>
      <family val="2"/>
    </font>
    <font>
      <i/>
      <sz val="11"/>
      <color theme="1"/>
      <name val="Calibri"/>
      <family val="2"/>
    </font>
    <font>
      <b/>
      <sz val="14"/>
      <color rgb="FF000000"/>
      <name val="Calibri"/>
      <family val="2"/>
    </font>
    <font>
      <i/>
      <sz val="11"/>
      <color rgb="FF808080"/>
      <name val="Calibri"/>
      <family val="2"/>
    </font>
    <font>
      <sz val="8"/>
      <name val="Aptos Narrow"/>
      <family val="2"/>
      <scheme val="minor"/>
    </font>
    <font>
      <sz val="11"/>
      <color rgb="FF1F4E1F"/>
      <name val="Aptos Narrow"/>
      <family val="2"/>
      <scheme val="minor"/>
    </font>
    <font>
      <sz val="10"/>
      <color rgb="FF1F4E1F"/>
      <name val="Aptos Narrow"/>
      <family val="2"/>
      <scheme val="minor"/>
    </font>
    <font>
      <b/>
      <sz val="11"/>
      <color rgb="FF1F4E1F"/>
      <name val="Aptos Narrow"/>
      <family val="2"/>
      <scheme val="minor"/>
    </font>
    <font>
      <b/>
      <sz val="12"/>
      <color rgb="FF1F4E1F"/>
      <name val="Aptos Narrow"/>
      <family val="2"/>
      <scheme val="minor"/>
    </font>
    <font>
      <b/>
      <i/>
      <sz val="9"/>
      <color rgb="FFFF0000"/>
      <name val="Aptos Narrow"/>
      <family val="2"/>
      <scheme val="minor"/>
    </font>
    <font>
      <b/>
      <sz val="10"/>
      <color rgb="FF1F1F1F"/>
      <name val="Aptos"/>
      <family val="2"/>
    </font>
    <font>
      <sz val="11"/>
      <color rgb="FF1F1F1F"/>
      <name val="Aptos"/>
      <family val="2"/>
    </font>
    <font>
      <sz val="10"/>
      <color rgb="FF1F1F1F"/>
      <name val="Aptos"/>
      <family val="2"/>
    </font>
    <font>
      <b/>
      <sz val="10"/>
      <color rgb="FFFFFFFF"/>
      <name val="Aptos"/>
      <family val="2"/>
    </font>
    <font>
      <b/>
      <sz val="14"/>
      <color rgb="FF1F4E78"/>
      <name val="Aptos"/>
      <family val="2"/>
    </font>
    <font>
      <b/>
      <sz val="11"/>
      <color rgb="FF1F4E78"/>
      <name val="Aptos"/>
      <family val="2"/>
    </font>
    <font>
      <b/>
      <sz val="13"/>
      <color rgb="FFFFFFFF"/>
      <name val="Aptos"/>
      <family val="2"/>
    </font>
    <font>
      <b/>
      <sz val="11"/>
      <color rgb="FFFFFFFF"/>
      <name val="Aptos"/>
      <family val="2"/>
    </font>
    <font>
      <sz val="9"/>
      <color rgb="FF666666"/>
      <name val="Aptos"/>
      <family val="2"/>
    </font>
    <font>
      <b/>
      <sz val="12"/>
      <color rgb="FF1F4E78"/>
      <name val="Aptos"/>
      <family val="2"/>
    </font>
    <font>
      <b/>
      <sz val="14"/>
      <color rgb="FFC00000"/>
      <name val="Aptos"/>
      <family val="2"/>
    </font>
    <font>
      <b/>
      <sz val="11"/>
      <color rgb="FF7030A0"/>
      <name val="Aptos"/>
      <family val="2"/>
    </font>
    <font>
      <b/>
      <sz val="10"/>
      <color rgb="FF833C0C"/>
      <name val="Aptos"/>
      <family val="2"/>
    </font>
    <font>
      <b/>
      <sz val="11"/>
      <color rgb="FF1F4E79"/>
      <name val="Aptos Narrow"/>
      <family val="2"/>
      <scheme val="minor"/>
    </font>
    <font>
      <b/>
      <sz val="11"/>
      <color rgb="FF7F6000"/>
      <name val="Aptos Narrow"/>
      <family val="2"/>
      <scheme val="minor"/>
    </font>
    <font>
      <b/>
      <i/>
      <sz val="9"/>
      <color rgb="FF7F6000"/>
      <name val="Aptos Narrow"/>
      <family val="2"/>
      <scheme val="minor"/>
    </font>
    <font>
      <b/>
      <sz val="12"/>
      <color rgb="FF7F6000"/>
      <name val="Aptos Narrow"/>
      <family val="2"/>
      <scheme val="minor"/>
    </font>
    <font>
      <sz val="11"/>
      <color rgb="FF666666"/>
      <name val="Aptos Narrow"/>
      <family val="2"/>
      <scheme val="minor"/>
    </font>
    <font>
      <sz val="9"/>
      <color rgb="FF666666"/>
      <name val="Aptos"/>
      <family val="2"/>
    </font>
    <font>
      <b/>
      <i/>
      <sz val="9"/>
      <color rgb="FF000000"/>
      <name val="Aptos Narrow"/>
      <family val="2"/>
      <scheme val="minor"/>
    </font>
    <font>
      <b/>
      <sz val="10"/>
      <color rgb="FFFFFFFF"/>
      <name val="Aptos"/>
      <family val="2"/>
    </font>
    <font>
      <sz val="12"/>
      <color theme="1"/>
      <name val="Aptos Narrow"/>
      <family val="2"/>
      <scheme val="minor"/>
    </font>
    <font>
      <sz val="12"/>
      <color rgb="FFFF0000"/>
      <name val="Aptos Narrow"/>
      <family val="2"/>
      <scheme val="minor"/>
    </font>
    <font>
      <b/>
      <u/>
      <sz val="11"/>
      <color theme="1"/>
      <name val="Aptos Narrow"/>
      <family val="2"/>
      <scheme val="minor"/>
    </font>
    <font>
      <sz val="11"/>
      <color theme="0" tint="-0.499984740745262"/>
      <name val="Aptos Narrow"/>
      <family val="2"/>
      <scheme val="minor"/>
    </font>
    <font>
      <sz val="11"/>
      <color rgb="FF000000"/>
      <name val="Aptos Narrow"/>
      <family val="2"/>
      <scheme val="minor"/>
    </font>
    <font>
      <b/>
      <sz val="16"/>
      <color theme="0"/>
      <name val="Aptos Narrow"/>
      <family val="2"/>
      <scheme val="minor"/>
    </font>
    <font>
      <b/>
      <sz val="14"/>
      <color rgb="FFFF0000"/>
      <name val="Aptos Narrow"/>
      <family val="2"/>
      <scheme val="minor"/>
    </font>
    <font>
      <sz val="11"/>
      <color rgb="FF313949"/>
      <name val="Arial"/>
      <family val="2"/>
    </font>
    <font>
      <b/>
      <sz val="12"/>
      <color rgb="FFFF0000"/>
      <name val="Aptos Narrow"/>
      <family val="2"/>
      <scheme val="minor"/>
    </font>
    <font>
      <sz val="11"/>
      <color rgb="FF313949"/>
      <name val="Var(--crm-font-regular)"/>
    </font>
    <font>
      <b/>
      <u/>
      <sz val="12"/>
      <color theme="1"/>
      <name val="Aptos Narrow"/>
      <family val="2"/>
      <scheme val="minor"/>
    </font>
    <font>
      <sz val="10"/>
      <color theme="1"/>
      <name val="Arial"/>
      <family val="2"/>
    </font>
    <font>
      <b/>
      <sz val="9"/>
      <color indexed="81"/>
      <name val="Tahoma"/>
      <family val="2"/>
    </font>
    <font>
      <sz val="9"/>
      <color indexed="81"/>
      <name val="Tahoma"/>
      <family val="2"/>
    </font>
    <font>
      <b/>
      <i/>
      <sz val="9"/>
      <color rgb="FF1F4E78"/>
      <name val="Aptos Narrow"/>
      <family val="2"/>
      <scheme val="minor"/>
    </font>
    <font>
      <b/>
      <sz val="11"/>
      <color rgb="FF1F4E78"/>
      <name val="Aptos Narrow"/>
      <family val="2"/>
      <scheme val="minor"/>
    </font>
    <font>
      <i/>
      <sz val="9"/>
      <color rgb="FF000000"/>
      <name val="Aptos Narrow"/>
      <family val="2"/>
      <scheme val="minor"/>
    </font>
    <font>
      <sz val="10"/>
      <color rgb="FF424242"/>
      <name val="Aptos"/>
      <family val="2"/>
    </font>
    <font>
      <sz val="10"/>
      <color rgb="FF424242"/>
      <name val="Aptos"/>
      <family val="2"/>
    </font>
    <font>
      <sz val="10"/>
      <color rgb="FF424242"/>
      <name val="Courier New"/>
      <family val="3"/>
    </font>
    <font>
      <sz val="10"/>
      <color rgb="FF424242"/>
      <name val="Courier New"/>
      <family val="3"/>
    </font>
    <font>
      <b/>
      <i/>
      <sz val="12"/>
      <color theme="1"/>
      <name val="Aptos Narrow"/>
      <family val="2"/>
      <scheme val="minor"/>
    </font>
    <font>
      <b/>
      <i/>
      <sz val="11"/>
      <color rgb="FF666666"/>
      <name val="Aptos Narrow"/>
      <family val="2"/>
      <scheme val="minor"/>
    </font>
    <font>
      <b/>
      <sz val="11"/>
      <color rgb="FF666666"/>
      <name val="Aptos Narrow"/>
      <family val="2"/>
      <scheme val="minor"/>
    </font>
    <font>
      <sz val="11"/>
      <color theme="1"/>
      <name val="Aptos"/>
      <family val="2"/>
    </font>
    <font>
      <b/>
      <sz val="11"/>
      <color rgb="FFFFFFFF"/>
      <name val="Aptos"/>
      <family val="2"/>
    </font>
    <font>
      <b/>
      <sz val="11"/>
      <color rgb="FF000000"/>
      <name val="Aptos"/>
      <family val="2"/>
    </font>
    <font>
      <sz val="11"/>
      <color rgb="FF000000"/>
      <name val="Aptos"/>
      <family val="2"/>
    </font>
    <font>
      <sz val="11"/>
      <color theme="1"/>
      <name val="Aptos"/>
      <family val="2"/>
    </font>
    <font>
      <b/>
      <sz val="10"/>
      <color rgb="FFFFFFFF"/>
      <name val="Aptos"/>
      <family val="2"/>
    </font>
    <font>
      <sz val="10"/>
      <color theme="1"/>
      <name val="Aptos"/>
      <family val="2"/>
    </font>
    <font>
      <b/>
      <i/>
      <sz val="10"/>
      <color rgb="FF5F4B00"/>
      <name val="Aptos"/>
      <family val="2"/>
    </font>
    <font>
      <sz val="12"/>
      <name val="Aptos Narrow"/>
      <family val="2"/>
      <charset val="177"/>
      <scheme val="minor"/>
    </font>
    <font>
      <sz val="11"/>
      <color rgb="FF00B0F0"/>
      <name val="Aptos Narrow"/>
      <family val="2"/>
      <scheme val="minor"/>
    </font>
    <font>
      <b/>
      <sz val="9.4499999999999993"/>
      <color theme="1"/>
      <name val="Arial"/>
      <family val="2"/>
    </font>
    <font>
      <sz val="11"/>
      <color rgb="FF00B050"/>
      <name val="Aptos Narrow"/>
      <family val="2"/>
      <scheme val="minor"/>
    </font>
    <font>
      <sz val="11"/>
      <color theme="0" tint="-4.9989318521683403E-2"/>
      <name val="Aptos Narrow"/>
      <family val="2"/>
      <scheme val="minor"/>
    </font>
    <font>
      <b/>
      <sz val="11"/>
      <color theme="0" tint="-4.9989318521683403E-2"/>
      <name val="Aptos Narrow"/>
      <family val="2"/>
      <scheme val="minor"/>
    </font>
    <font>
      <sz val="11"/>
      <color theme="0" tint="-0.34998626667073579"/>
      <name val="Aptos Narrow"/>
      <family val="2"/>
      <scheme val="minor"/>
    </font>
    <font>
      <u/>
      <sz val="11"/>
      <color theme="1"/>
      <name val="Aptos Narrow"/>
      <family val="2"/>
      <scheme val="minor"/>
    </font>
    <font>
      <b/>
      <sz val="12"/>
      <color rgb="FFFFFFFF"/>
      <name val="Aptos Narrow"/>
      <family val="2"/>
      <scheme val="minor"/>
    </font>
    <font>
      <sz val="10"/>
      <color rgb="FF000000"/>
      <name val="Aptos Narrow"/>
      <family val="2"/>
      <scheme val="minor"/>
    </font>
    <font>
      <b/>
      <sz val="10"/>
      <color rgb="FF000000"/>
      <name val="Aptos Narrow"/>
      <family val="2"/>
      <scheme val="minor"/>
    </font>
    <font>
      <i/>
      <sz val="10"/>
      <color rgb="FF000000"/>
      <name val="Aptos Narrow"/>
      <family val="2"/>
      <scheme val="minor"/>
    </font>
    <font>
      <b/>
      <i/>
      <sz val="10"/>
      <color rgb="FF000000"/>
      <name val="Aptos Narrow"/>
      <family val="2"/>
      <scheme val="minor"/>
    </font>
    <font>
      <b/>
      <sz val="10"/>
      <color theme="1"/>
      <name val="Aptos Narrow"/>
      <family val="2"/>
      <scheme val="minor"/>
    </font>
    <font>
      <i/>
      <sz val="10"/>
      <color theme="1"/>
      <name val="Aptos Narrow"/>
      <family val="2"/>
      <scheme val="minor"/>
    </font>
    <font>
      <b/>
      <sz val="18"/>
      <color rgb="FFFFFFFF"/>
      <name val="Aptos Narrow"/>
      <family val="2"/>
      <scheme val="minor"/>
    </font>
    <font>
      <sz val="11"/>
      <color theme="1"/>
      <name val="Aptos"/>
      <family val="2"/>
    </font>
    <font>
      <b/>
      <sz val="11"/>
      <color rgb="FF274E13"/>
      <name val="Aptos Narrow"/>
      <family val="2"/>
      <scheme val="minor"/>
    </font>
    <font>
      <b/>
      <sz val="12"/>
      <color rgb="FF7F6000"/>
      <name val="Aptos Narrow"/>
      <family val="2"/>
    </font>
  </fonts>
  <fills count="90">
    <fill>
      <patternFill patternType="none"/>
    </fill>
    <fill>
      <patternFill patternType="gray125"/>
    </fill>
    <fill>
      <patternFill patternType="solid">
        <fgColor theme="2"/>
        <bgColor indexed="64"/>
      </patternFill>
    </fill>
    <fill>
      <patternFill patternType="solid">
        <fgColor theme="1" tint="4.9989318521683403E-2"/>
        <bgColor indexed="64"/>
      </patternFill>
    </fill>
    <fill>
      <patternFill patternType="solid">
        <fgColor rgb="FF1F4E79"/>
        <bgColor indexed="64"/>
      </patternFill>
    </fill>
    <fill>
      <patternFill patternType="solid">
        <fgColor rgb="FF2E75B6"/>
        <bgColor indexed="64"/>
      </patternFill>
    </fill>
    <fill>
      <patternFill patternType="solid">
        <fgColor rgb="FF4472C4"/>
        <bgColor indexed="64"/>
      </patternFill>
    </fill>
    <fill>
      <patternFill patternType="solid">
        <fgColor rgb="FFD6DCE5"/>
        <bgColor indexed="64"/>
      </patternFill>
    </fill>
    <fill>
      <patternFill patternType="solid">
        <fgColor rgb="FFE9EEF4"/>
        <bgColor indexed="64"/>
      </patternFill>
    </fill>
    <fill>
      <patternFill patternType="solid">
        <fgColor rgb="FF92D050"/>
        <bgColor indexed="64"/>
      </patternFill>
    </fill>
    <fill>
      <patternFill patternType="solid">
        <fgColor rgb="FF5B9BD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patternFill>
    </fill>
    <fill>
      <patternFill patternType="solid">
        <fgColor rgb="FFC6EFCE"/>
      </patternFill>
    </fill>
    <fill>
      <patternFill patternType="solid">
        <fgColor rgb="FFFFC7CE"/>
      </patternFill>
    </fill>
    <fill>
      <patternFill patternType="solid">
        <fgColor theme="4" tint="0.39997558519241921"/>
        <bgColor indexed="65"/>
      </patternFill>
    </fill>
    <fill>
      <patternFill patternType="solid">
        <fgColor rgb="FF70AD47"/>
        <bgColor indexed="64"/>
      </patternFill>
    </fill>
    <fill>
      <patternFill patternType="solid">
        <fgColor rgb="FFFFC000"/>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00B0F0"/>
        <bgColor indexed="6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3" tint="0.749992370372631"/>
        <bgColor indexed="64"/>
      </patternFill>
    </fill>
    <fill>
      <patternFill patternType="solid">
        <fgColor rgb="FFFFFFFF"/>
        <bgColor indexed="64"/>
      </patternFill>
    </fill>
    <fill>
      <patternFill patternType="solid">
        <fgColor theme="8" tint="0.79998168889431442"/>
        <bgColor indexed="64"/>
      </patternFill>
    </fill>
    <fill>
      <patternFill patternType="solid">
        <fgColor theme="6" tint="0.39997558519241921"/>
        <bgColor rgb="FF000000"/>
      </patternFill>
    </fill>
    <fill>
      <patternFill patternType="solid">
        <fgColor theme="4" tint="0.39997558519241921"/>
        <bgColor rgb="FF000000"/>
      </patternFill>
    </fill>
    <fill>
      <patternFill patternType="solid">
        <fgColor rgb="FFFFC000"/>
        <bgColor rgb="FF000000"/>
      </patternFill>
    </fill>
    <fill>
      <patternFill patternType="solid">
        <fgColor theme="9" tint="0.79998168889431442"/>
        <bgColor indexed="64"/>
      </patternFill>
    </fill>
    <fill>
      <patternFill patternType="solid">
        <fgColor theme="5" tint="0.79998168889431442"/>
        <bgColor rgb="FF000000"/>
      </patternFill>
    </fill>
    <fill>
      <patternFill patternType="solid">
        <fgColor rgb="FFFFFFCC"/>
        <bgColor indexed="64"/>
      </patternFill>
    </fill>
    <fill>
      <patternFill patternType="solid">
        <fgColor theme="4" tint="0.59999389629810485"/>
        <bgColor rgb="FF000000"/>
      </patternFill>
    </fill>
    <fill>
      <patternFill patternType="solid">
        <fgColor theme="6"/>
        <bgColor rgb="FF000000"/>
      </patternFill>
    </fill>
    <fill>
      <patternFill patternType="solid">
        <fgColor rgb="FFFFFF00"/>
        <bgColor rgb="FF000000"/>
      </patternFill>
    </fill>
    <fill>
      <patternFill patternType="solid">
        <fgColor theme="5"/>
        <bgColor rgb="FF000000"/>
      </patternFill>
    </fill>
    <fill>
      <patternFill patternType="solid">
        <fgColor theme="7" tint="0.59999389629810485"/>
        <bgColor rgb="FF000000"/>
      </patternFill>
    </fill>
    <fill>
      <patternFill patternType="solid">
        <fgColor rgb="FFE8E8E8"/>
        <bgColor indexed="64"/>
      </patternFill>
    </fill>
    <fill>
      <patternFill patternType="solid">
        <fgColor theme="1"/>
        <bgColor indexed="64"/>
      </patternFill>
    </fill>
    <fill>
      <patternFill patternType="solid">
        <fgColor rgb="FFC00000"/>
        <bgColor indexed="64"/>
      </patternFill>
    </fill>
    <fill>
      <patternFill patternType="solid">
        <fgColor rgb="FFE8F4FD"/>
        <bgColor indexed="64"/>
      </patternFill>
    </fill>
    <fill>
      <patternFill patternType="solid">
        <fgColor rgb="FFC6EFCE"/>
        <bgColor indexed="64"/>
      </patternFill>
    </fill>
    <fill>
      <patternFill patternType="solid">
        <fgColor rgb="FFD6DCE4"/>
        <bgColor indexed="64"/>
      </patternFill>
    </fill>
    <fill>
      <patternFill patternType="solid">
        <fgColor rgb="FFE2EFDA"/>
        <bgColor indexed="64"/>
      </patternFill>
    </fill>
    <fill>
      <patternFill patternType="solid">
        <fgColor rgb="FFF2F2F2"/>
        <bgColor indexed="64"/>
      </patternFill>
    </fill>
    <fill>
      <patternFill patternType="solid">
        <fgColor rgb="FFBDD7EE"/>
        <bgColor indexed="64"/>
      </patternFill>
    </fill>
    <fill>
      <patternFill patternType="solid">
        <fgColor rgb="FFDDEBF7"/>
        <bgColor indexed="64"/>
      </patternFill>
    </fill>
    <fill>
      <patternFill patternType="solid">
        <fgColor rgb="FF375623"/>
        <bgColor indexed="64"/>
      </patternFill>
    </fill>
    <fill>
      <patternFill patternType="solid">
        <fgColor rgb="FFD8E4BC"/>
        <bgColor indexed="64"/>
      </patternFill>
    </fill>
    <fill>
      <patternFill patternType="solid">
        <fgColor rgb="FFFFF2CC"/>
        <bgColor indexed="64"/>
      </patternFill>
    </fill>
    <fill>
      <patternFill patternType="solid">
        <fgColor rgb="FFC6E0B4"/>
        <bgColor indexed="64"/>
      </patternFill>
    </fill>
    <fill>
      <patternFill patternType="solid">
        <fgColor rgb="FF7030A0"/>
        <bgColor indexed="64"/>
      </patternFill>
    </fill>
    <fill>
      <patternFill patternType="solid">
        <fgColor rgb="FFE4DFEC"/>
        <bgColor indexed="64"/>
      </patternFill>
    </fill>
    <fill>
      <patternFill patternType="solid">
        <fgColor rgb="FFFCE4D6"/>
        <bgColor indexed="64"/>
      </patternFill>
    </fill>
    <fill>
      <patternFill patternType="solid">
        <fgColor rgb="FF9370DB"/>
        <bgColor indexed="64"/>
      </patternFill>
    </fill>
    <fill>
      <patternFill patternType="solid">
        <fgColor rgb="FFD9C4EC"/>
        <bgColor indexed="64"/>
      </patternFill>
    </fill>
    <fill>
      <patternFill patternType="solid">
        <fgColor rgb="FFEAE0F1"/>
        <bgColor indexed="64"/>
      </patternFill>
    </fill>
    <fill>
      <patternFill patternType="solid">
        <fgColor rgb="FFFFD966"/>
        <bgColor indexed="64"/>
      </patternFill>
    </fill>
    <fill>
      <patternFill patternType="solid">
        <fgColor rgb="FFED7D31"/>
        <bgColor indexed="64"/>
      </patternFill>
    </fill>
    <fill>
      <patternFill patternType="solid">
        <fgColor rgb="FFE2D0F0"/>
        <bgColor indexed="64"/>
      </patternFill>
    </fill>
    <fill>
      <patternFill patternType="solid">
        <fgColor rgb="FFDAEEF3"/>
        <bgColor indexed="64"/>
      </patternFill>
    </fill>
    <fill>
      <patternFill patternType="solid">
        <fgColor rgb="FFA9D08E"/>
        <bgColor indexed="64"/>
      </patternFill>
    </fill>
    <fill>
      <patternFill patternType="solid">
        <fgColor rgb="FF8FAADC"/>
        <bgColor indexed="64"/>
      </patternFill>
    </fill>
    <fill>
      <patternFill patternType="solid">
        <fgColor rgb="FFFF6B6B"/>
        <bgColor indexed="64"/>
      </patternFill>
    </fill>
    <fill>
      <patternFill patternType="solid">
        <fgColor rgb="FFFFCCCC"/>
        <bgColor indexed="64"/>
      </patternFill>
    </fill>
    <fill>
      <patternFill patternType="solid">
        <fgColor rgb="FFEAF4EA"/>
        <bgColor indexed="64"/>
      </patternFill>
    </fill>
    <fill>
      <patternFill patternType="solid">
        <fgColor rgb="FF1F4E78"/>
        <bgColor indexed="64"/>
      </patternFill>
    </fill>
    <fill>
      <patternFill patternType="solid">
        <fgColor rgb="FFE2F0D9"/>
        <bgColor indexed="64"/>
      </patternFill>
    </fill>
    <fill>
      <patternFill patternType="solid">
        <fgColor rgb="FFD9EAF7"/>
        <bgColor indexed="64"/>
      </patternFill>
    </fill>
    <fill>
      <patternFill patternType="solid">
        <fgColor rgb="FFF4CCCC"/>
        <bgColor indexed="64"/>
      </patternFill>
    </fill>
    <fill>
      <patternFill patternType="solid">
        <fgColor rgb="FFEADCF8"/>
        <bgColor indexed="64"/>
      </patternFill>
    </fill>
    <fill>
      <patternFill patternType="solid">
        <fgColor rgb="FFEAF2F8"/>
        <bgColor indexed="64"/>
      </patternFill>
    </fill>
    <fill>
      <patternFill patternType="solid">
        <fgColor theme="0"/>
        <bgColor indexed="64"/>
      </patternFill>
    </fill>
    <fill>
      <patternFill patternType="solid">
        <fgColor theme="5" tint="0.59999389629810485"/>
        <bgColor indexed="64"/>
      </patternFill>
    </fill>
    <fill>
      <patternFill patternType="solid">
        <fgColor rgb="FF35CAE3"/>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rgb="FF548235"/>
        <bgColor indexed="64"/>
      </patternFill>
    </fill>
    <fill>
      <patternFill patternType="solid">
        <fgColor rgb="FF44546A"/>
        <bgColor indexed="64"/>
      </patternFill>
    </fill>
    <fill>
      <patternFill patternType="solid">
        <fgColor theme="0" tint="-0.14999847407452621"/>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rgb="FFF7FBFF"/>
        <bgColor indexed="64"/>
      </patternFill>
    </fill>
    <fill>
      <patternFill patternType="solid">
        <fgColor rgb="FFF4F8FB"/>
        <bgColor indexed="64"/>
      </patternFill>
    </fill>
    <fill>
      <patternFill patternType="solid">
        <fgColor rgb="FFD9EAD3"/>
        <bgColor indexed="64"/>
      </patternFill>
    </fill>
  </fills>
  <borders count="177">
    <border>
      <left/>
      <right/>
      <top/>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left style="thin">
        <color auto="1"/>
      </left>
      <right style="thin">
        <color rgb="FFB4C6E7"/>
      </right>
      <top/>
      <bottom/>
      <diagonal/>
    </border>
    <border>
      <left style="thin">
        <color rgb="FFB4C6E7"/>
      </left>
      <right style="thin">
        <color rgb="FFB4C6E7"/>
      </right>
      <top/>
      <bottom/>
      <diagonal/>
    </border>
    <border>
      <left style="thin">
        <color rgb="FFB4C6E7"/>
      </left>
      <right style="thin">
        <color auto="1"/>
      </right>
      <top/>
      <bottom/>
      <diagonal/>
    </border>
    <border>
      <left style="thin">
        <color auto="1"/>
      </left>
      <right style="thin">
        <color rgb="FFB4C6E7"/>
      </right>
      <top/>
      <bottom style="double">
        <color indexed="64"/>
      </bottom>
      <diagonal/>
    </border>
    <border>
      <left style="thin">
        <color rgb="FFB4C6E7"/>
      </left>
      <right style="thin">
        <color rgb="FFB4C6E7"/>
      </right>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B4C6E7"/>
      </right>
      <top/>
      <bottom/>
      <diagonal/>
    </border>
    <border>
      <left style="thin">
        <color rgb="FFB4C6E7"/>
      </left>
      <right/>
      <top/>
      <bottom/>
      <diagonal/>
    </border>
    <border>
      <left style="thin">
        <color auto="1"/>
      </left>
      <right/>
      <top/>
      <bottom/>
      <diagonal/>
    </border>
    <border>
      <left/>
      <right style="thin">
        <color theme="4"/>
      </right>
      <top/>
      <bottom style="medium">
        <color theme="4"/>
      </bottom>
      <diagonal/>
    </border>
    <border>
      <left style="thin">
        <color theme="4"/>
      </left>
      <right style="thin">
        <color theme="4"/>
      </right>
      <top/>
      <bottom style="medium">
        <color theme="4"/>
      </bottom>
      <diagonal/>
    </border>
    <border>
      <left style="thin">
        <color theme="4"/>
      </left>
      <right style="thin">
        <color theme="4"/>
      </right>
      <top/>
      <bottom/>
      <diagonal/>
    </border>
    <border>
      <left style="thin">
        <color theme="4"/>
      </left>
      <right/>
      <top/>
      <bottom style="medium">
        <color theme="4"/>
      </bottom>
      <diagonal/>
    </border>
    <border>
      <left style="thin">
        <color theme="0"/>
      </left>
      <right/>
      <top/>
      <bottom style="double">
        <color indexed="64"/>
      </bottom>
      <diagonal/>
    </border>
    <border>
      <left style="thin">
        <color indexed="64"/>
      </left>
      <right style="thin">
        <color theme="4"/>
      </right>
      <top style="thin">
        <color indexed="64"/>
      </top>
      <bottom style="medium">
        <color theme="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theme="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theme="4"/>
      </right>
      <top style="thin">
        <color indexed="64"/>
      </top>
      <bottom/>
      <diagonal/>
    </border>
    <border>
      <left style="medium">
        <color indexed="64"/>
      </left>
      <right/>
      <top/>
      <bottom/>
      <diagonal/>
    </border>
    <border>
      <left/>
      <right style="thin">
        <color theme="0"/>
      </right>
      <top/>
      <bottom style="double">
        <color indexed="64"/>
      </bottom>
      <diagonal/>
    </border>
    <border>
      <left style="thin">
        <color theme="0"/>
      </left>
      <right style="thin">
        <color theme="0"/>
      </right>
      <top/>
      <bottom style="double">
        <color indexed="64"/>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ck">
        <color rgb="FF3D3D3D"/>
      </right>
      <top/>
      <bottom/>
      <diagonal/>
    </border>
    <border>
      <left/>
      <right/>
      <top style="thin">
        <color rgb="FF9E9E9E"/>
      </top>
      <bottom style="thin">
        <color rgb="FF9E9E9E"/>
      </bottom>
      <diagonal/>
    </border>
    <border>
      <left/>
      <right/>
      <top style="thin">
        <color rgb="FF9E9E9E"/>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ck">
        <color rgb="FF3D3D3D"/>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rgb="FF9E9E9E"/>
      </right>
      <top/>
      <bottom/>
      <diagonal/>
    </border>
    <border>
      <left style="thin">
        <color rgb="FF9E9E9E"/>
      </left>
      <right style="medium">
        <color indexed="64"/>
      </right>
      <top/>
      <bottom/>
      <diagonal/>
    </border>
    <border>
      <left style="medium">
        <color indexed="64"/>
      </left>
      <right style="thin">
        <color rgb="FF9E9E9E"/>
      </right>
      <top style="thin">
        <color rgb="FFBDBDBD"/>
      </top>
      <bottom/>
      <diagonal/>
    </border>
    <border>
      <left style="thin">
        <color rgb="FF9E9E9E"/>
      </left>
      <right style="medium">
        <color indexed="64"/>
      </right>
      <top style="thin">
        <color rgb="FFBDBDBD"/>
      </top>
      <bottom/>
      <diagonal/>
    </border>
    <border>
      <left style="medium">
        <color indexed="64"/>
      </left>
      <right style="thin">
        <color rgb="FF9E9E9E"/>
      </right>
      <top style="thin">
        <color rgb="FFBDBDBD"/>
      </top>
      <bottom style="thin">
        <color rgb="FFBDBDBD"/>
      </bottom>
      <diagonal/>
    </border>
    <border>
      <left style="thin">
        <color rgb="FF9E9E9E"/>
      </left>
      <right style="medium">
        <color indexed="64"/>
      </right>
      <top style="thin">
        <color rgb="FFBDBDBD"/>
      </top>
      <bottom style="thin">
        <color rgb="FFBDBDBD"/>
      </bottom>
      <diagonal/>
    </border>
    <border>
      <left/>
      <right style="thin">
        <color theme="4"/>
      </right>
      <top style="thin">
        <color theme="4"/>
      </top>
      <bottom/>
      <diagonal/>
    </border>
    <border>
      <left/>
      <right/>
      <top/>
      <bottom style="thin">
        <color rgb="FF5A5A5A"/>
      </bottom>
      <diagonal/>
    </border>
    <border>
      <left style="thin">
        <color rgb="FF5A5A5A"/>
      </left>
      <right/>
      <top/>
      <bottom/>
      <diagonal/>
    </border>
    <border>
      <left style="thin">
        <color rgb="FF5A5A5A"/>
      </left>
      <right/>
      <top/>
      <bottom style="thin">
        <color rgb="FF5A5A5A"/>
      </bottom>
      <diagonal/>
    </border>
    <border>
      <left/>
      <right style="thin">
        <color rgb="FF5A5A5A"/>
      </right>
      <top/>
      <bottom/>
      <diagonal/>
    </border>
    <border>
      <left/>
      <right style="thin">
        <color rgb="FF5A5A5A"/>
      </right>
      <top/>
      <bottom style="thin">
        <color rgb="FF5A5A5A"/>
      </bottom>
      <diagonal/>
    </border>
    <border>
      <left/>
      <right/>
      <top style="thin">
        <color rgb="FFCCCCCC"/>
      </top>
      <bottom style="thin">
        <color rgb="FFCCCCCC"/>
      </bottom>
      <diagonal/>
    </border>
    <border>
      <left style="thin">
        <color rgb="FF5A5A5A"/>
      </left>
      <right/>
      <top style="thin">
        <color rgb="FFCCCCCC"/>
      </top>
      <bottom style="thin">
        <color rgb="FFCCCCCC"/>
      </bottom>
      <diagonal/>
    </border>
    <border>
      <left/>
      <right style="thin">
        <color rgb="FF5A5A5A"/>
      </right>
      <top style="thin">
        <color rgb="FFCCCCCC"/>
      </top>
      <bottom style="thin">
        <color rgb="FFCCCCCC"/>
      </bottom>
      <diagonal/>
    </border>
    <border>
      <left style="thin">
        <color rgb="FF9DC3E6"/>
      </left>
      <right style="thin">
        <color rgb="FF9DC3E6"/>
      </right>
      <top style="thin">
        <color rgb="FF9DC3E6"/>
      </top>
      <bottom style="thin">
        <color rgb="FF9DC3E6"/>
      </bottom>
      <diagonal/>
    </border>
    <border>
      <left style="thin">
        <color rgb="FFA9D08E"/>
      </left>
      <right style="thin">
        <color rgb="FFA9D08E"/>
      </right>
      <top style="thin">
        <color rgb="FFA9D08E"/>
      </top>
      <bottom style="thin">
        <color rgb="FFA9D08E"/>
      </bottom>
      <diagonal/>
    </border>
    <border>
      <left style="thin">
        <color rgb="FFC9A0DC"/>
      </left>
      <right style="thin">
        <color rgb="FFC9A0DC"/>
      </right>
      <top style="thin">
        <color rgb="FFC9A0DC"/>
      </top>
      <bottom style="thin">
        <color rgb="FFC9A0DC"/>
      </bottom>
      <diagonal/>
    </border>
    <border>
      <left style="thin">
        <color rgb="FFA9D08E"/>
      </left>
      <right style="thin">
        <color rgb="FFA9D08E"/>
      </right>
      <top style="thin">
        <color rgb="FFA9D08E"/>
      </top>
      <bottom/>
      <diagonal/>
    </border>
    <border>
      <left style="thin">
        <color rgb="FF9DC3E6"/>
      </left>
      <right style="thin">
        <color rgb="FF9DC3E6"/>
      </right>
      <top style="thin">
        <color rgb="FF9DC3E6"/>
      </top>
      <bottom/>
      <diagonal/>
    </border>
    <border>
      <left style="thin">
        <color rgb="FFC9A0DC"/>
      </left>
      <right style="thin">
        <color rgb="FFC9A0DC"/>
      </right>
      <top style="thin">
        <color rgb="FFC9A0DC"/>
      </top>
      <bottom/>
      <diagonal/>
    </border>
    <border>
      <left/>
      <right/>
      <top style="thin">
        <color theme="1"/>
      </top>
      <bottom style="thin">
        <color theme="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rgb="FFCCCCCC"/>
      </left>
      <right style="medium">
        <color rgb="FFCCCCCC"/>
      </right>
      <top style="medium">
        <color rgb="FFCCCCCC"/>
      </top>
      <bottom style="medium">
        <color rgb="FFCCCCCC"/>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rgb="FF9DC3E6"/>
      </left>
      <right style="thin">
        <color rgb="FF9DC3E6"/>
      </right>
      <top/>
      <bottom style="thin">
        <color rgb="FF9DC3E6"/>
      </bottom>
      <diagonal/>
    </border>
    <border>
      <left style="thin">
        <color rgb="FFA9D08E"/>
      </left>
      <right style="thin">
        <color rgb="FFA9D08E"/>
      </right>
      <top/>
      <bottom style="thin">
        <color rgb="FFA9D08E"/>
      </bottom>
      <diagonal/>
    </border>
    <border>
      <left style="thin">
        <color rgb="FFC9A0DC"/>
      </left>
      <right style="thin">
        <color rgb="FFC9A0DC"/>
      </right>
      <top/>
      <bottom style="thin">
        <color rgb="FFC9A0DC"/>
      </bottom>
      <diagonal/>
    </border>
    <border>
      <left style="medium">
        <color indexed="64"/>
      </left>
      <right style="thin">
        <color rgb="FF9DC3E6"/>
      </right>
      <top style="medium">
        <color indexed="64"/>
      </top>
      <bottom style="thin">
        <color rgb="FF9DC3E6"/>
      </bottom>
      <diagonal/>
    </border>
    <border>
      <left style="thin">
        <color rgb="FF9DC3E6"/>
      </left>
      <right style="thin">
        <color rgb="FF9DC3E6"/>
      </right>
      <top style="medium">
        <color indexed="64"/>
      </top>
      <bottom style="thin">
        <color rgb="FF9DC3E6"/>
      </bottom>
      <diagonal/>
    </border>
    <border>
      <left style="thin">
        <color rgb="FF9DC3E6"/>
      </left>
      <right style="medium">
        <color indexed="64"/>
      </right>
      <top style="medium">
        <color indexed="64"/>
      </top>
      <bottom style="thin">
        <color rgb="FF9DC3E6"/>
      </bottom>
      <diagonal/>
    </border>
    <border>
      <left style="medium">
        <color indexed="64"/>
      </left>
      <right style="thin">
        <color rgb="FF9DC3E6"/>
      </right>
      <top style="thin">
        <color rgb="FF9DC3E6"/>
      </top>
      <bottom style="thin">
        <color rgb="FF9DC3E6"/>
      </bottom>
      <diagonal/>
    </border>
    <border>
      <left style="thin">
        <color rgb="FF9DC3E6"/>
      </left>
      <right style="medium">
        <color indexed="64"/>
      </right>
      <top style="thin">
        <color rgb="FF9DC3E6"/>
      </top>
      <bottom style="thin">
        <color rgb="FF9DC3E6"/>
      </bottom>
      <diagonal/>
    </border>
    <border>
      <left style="medium">
        <color indexed="64"/>
      </left>
      <right style="thin">
        <color rgb="FF9DC3E6"/>
      </right>
      <top style="thin">
        <color rgb="FF9DC3E6"/>
      </top>
      <bottom/>
      <diagonal/>
    </border>
    <border>
      <left style="thin">
        <color rgb="FF9DC3E6"/>
      </left>
      <right style="medium">
        <color indexed="64"/>
      </right>
      <top style="thin">
        <color rgb="FF9DC3E6"/>
      </top>
      <bottom/>
      <diagonal/>
    </border>
    <border>
      <left style="medium">
        <color indexed="64"/>
      </left>
      <right style="thin">
        <color rgb="FF9DC3E6"/>
      </right>
      <top/>
      <bottom style="thin">
        <color rgb="FF9DC3E6"/>
      </bottom>
      <diagonal/>
    </border>
    <border>
      <left style="thin">
        <color rgb="FF9DC3E6"/>
      </left>
      <right style="medium">
        <color indexed="64"/>
      </right>
      <top/>
      <bottom style="thin">
        <color rgb="FF9DC3E6"/>
      </bottom>
      <diagonal/>
    </border>
    <border>
      <left style="medium">
        <color indexed="64"/>
      </left>
      <right style="thin">
        <color rgb="FF9DC3E6"/>
      </right>
      <top style="thin">
        <color rgb="FF9DC3E6"/>
      </top>
      <bottom style="medium">
        <color indexed="64"/>
      </bottom>
      <diagonal/>
    </border>
    <border>
      <left style="thin">
        <color rgb="FF9DC3E6"/>
      </left>
      <right style="thin">
        <color rgb="FF9DC3E6"/>
      </right>
      <top style="thin">
        <color rgb="FF9DC3E6"/>
      </top>
      <bottom style="medium">
        <color indexed="64"/>
      </bottom>
      <diagonal/>
    </border>
    <border>
      <left style="thin">
        <color rgb="FF9DC3E6"/>
      </left>
      <right style="medium">
        <color indexed="64"/>
      </right>
      <top style="thin">
        <color rgb="FF9DC3E6"/>
      </top>
      <bottom style="medium">
        <color indexed="64"/>
      </bottom>
      <diagonal/>
    </border>
    <border>
      <left style="medium">
        <color indexed="64"/>
      </left>
      <right style="thin">
        <color rgb="FFA9D08E"/>
      </right>
      <top style="medium">
        <color indexed="64"/>
      </top>
      <bottom style="thin">
        <color rgb="FFA9D08E"/>
      </bottom>
      <diagonal/>
    </border>
    <border>
      <left style="thin">
        <color rgb="FFA9D08E"/>
      </left>
      <right style="thin">
        <color rgb="FFA9D08E"/>
      </right>
      <top style="medium">
        <color indexed="64"/>
      </top>
      <bottom style="thin">
        <color rgb="FFA9D08E"/>
      </bottom>
      <diagonal/>
    </border>
    <border>
      <left style="thin">
        <color rgb="FFA9D08E"/>
      </left>
      <right style="medium">
        <color indexed="64"/>
      </right>
      <top style="medium">
        <color indexed="64"/>
      </top>
      <bottom style="thin">
        <color rgb="FFA9D08E"/>
      </bottom>
      <diagonal/>
    </border>
    <border>
      <left style="medium">
        <color indexed="64"/>
      </left>
      <right style="thin">
        <color rgb="FFA9D08E"/>
      </right>
      <top style="thin">
        <color rgb="FFA9D08E"/>
      </top>
      <bottom style="thin">
        <color rgb="FFA9D08E"/>
      </bottom>
      <diagonal/>
    </border>
    <border>
      <left style="thin">
        <color rgb="FFA9D08E"/>
      </left>
      <right style="medium">
        <color indexed="64"/>
      </right>
      <top style="thin">
        <color rgb="FFA9D08E"/>
      </top>
      <bottom style="thin">
        <color rgb="FFA9D08E"/>
      </bottom>
      <diagonal/>
    </border>
    <border>
      <left style="medium">
        <color indexed="64"/>
      </left>
      <right style="thin">
        <color rgb="FFA9D08E"/>
      </right>
      <top style="thin">
        <color rgb="FFA9D08E"/>
      </top>
      <bottom/>
      <diagonal/>
    </border>
    <border>
      <left style="thin">
        <color rgb="FFA9D08E"/>
      </left>
      <right style="medium">
        <color indexed="64"/>
      </right>
      <top style="thin">
        <color rgb="FFA9D08E"/>
      </top>
      <bottom/>
      <diagonal/>
    </border>
    <border>
      <left style="medium">
        <color indexed="64"/>
      </left>
      <right style="thin">
        <color rgb="FFA9D08E"/>
      </right>
      <top/>
      <bottom style="thin">
        <color rgb="FFA9D08E"/>
      </bottom>
      <diagonal/>
    </border>
    <border>
      <left style="thin">
        <color rgb="FFA9D08E"/>
      </left>
      <right style="medium">
        <color indexed="64"/>
      </right>
      <top/>
      <bottom style="thin">
        <color rgb="FFA9D08E"/>
      </bottom>
      <diagonal/>
    </border>
    <border>
      <left style="medium">
        <color indexed="64"/>
      </left>
      <right style="thin">
        <color rgb="FFA9D08E"/>
      </right>
      <top style="thin">
        <color rgb="FFA9D08E"/>
      </top>
      <bottom style="medium">
        <color indexed="64"/>
      </bottom>
      <diagonal/>
    </border>
    <border>
      <left style="thin">
        <color rgb="FFA9D08E"/>
      </left>
      <right style="thin">
        <color rgb="FFA9D08E"/>
      </right>
      <top style="thin">
        <color rgb="FFA9D08E"/>
      </top>
      <bottom style="medium">
        <color indexed="64"/>
      </bottom>
      <diagonal/>
    </border>
    <border>
      <left style="thin">
        <color rgb="FFA9D08E"/>
      </left>
      <right style="medium">
        <color indexed="64"/>
      </right>
      <top style="thin">
        <color rgb="FFA9D08E"/>
      </top>
      <bottom style="medium">
        <color indexed="64"/>
      </bottom>
      <diagonal/>
    </border>
    <border>
      <left style="medium">
        <color indexed="64"/>
      </left>
      <right style="thin">
        <color rgb="FFC9A0DC"/>
      </right>
      <top style="medium">
        <color indexed="64"/>
      </top>
      <bottom style="thin">
        <color rgb="FFC9A0DC"/>
      </bottom>
      <diagonal/>
    </border>
    <border>
      <left style="thin">
        <color rgb="FFC9A0DC"/>
      </left>
      <right style="thin">
        <color rgb="FFC9A0DC"/>
      </right>
      <top style="medium">
        <color indexed="64"/>
      </top>
      <bottom style="thin">
        <color rgb="FFC9A0DC"/>
      </bottom>
      <diagonal/>
    </border>
    <border>
      <left style="thin">
        <color rgb="FFC9A0DC"/>
      </left>
      <right style="medium">
        <color indexed="64"/>
      </right>
      <top style="medium">
        <color indexed="64"/>
      </top>
      <bottom style="thin">
        <color rgb="FFC9A0DC"/>
      </bottom>
      <diagonal/>
    </border>
    <border>
      <left style="medium">
        <color indexed="64"/>
      </left>
      <right style="thin">
        <color rgb="FFC9A0DC"/>
      </right>
      <top style="thin">
        <color rgb="FFC9A0DC"/>
      </top>
      <bottom style="thin">
        <color rgb="FFC9A0DC"/>
      </bottom>
      <diagonal/>
    </border>
    <border>
      <left style="thin">
        <color rgb="FFC9A0DC"/>
      </left>
      <right style="medium">
        <color indexed="64"/>
      </right>
      <top style="thin">
        <color rgb="FFC9A0DC"/>
      </top>
      <bottom style="thin">
        <color rgb="FFC9A0DC"/>
      </bottom>
      <diagonal/>
    </border>
    <border>
      <left style="medium">
        <color indexed="64"/>
      </left>
      <right style="thin">
        <color rgb="FFC9A0DC"/>
      </right>
      <top style="thin">
        <color rgb="FFC9A0DC"/>
      </top>
      <bottom/>
      <diagonal/>
    </border>
    <border>
      <left style="thin">
        <color rgb="FFC9A0DC"/>
      </left>
      <right style="medium">
        <color indexed="64"/>
      </right>
      <top style="thin">
        <color rgb="FFC9A0DC"/>
      </top>
      <bottom/>
      <diagonal/>
    </border>
    <border>
      <left style="medium">
        <color indexed="64"/>
      </left>
      <right style="thin">
        <color rgb="FFC9A0DC"/>
      </right>
      <top/>
      <bottom style="thin">
        <color rgb="FFC9A0DC"/>
      </bottom>
      <diagonal/>
    </border>
    <border>
      <left style="thin">
        <color rgb="FFC9A0DC"/>
      </left>
      <right style="medium">
        <color indexed="64"/>
      </right>
      <top/>
      <bottom style="thin">
        <color rgb="FFC9A0DC"/>
      </bottom>
      <diagonal/>
    </border>
    <border>
      <left style="medium">
        <color indexed="64"/>
      </left>
      <right style="thin">
        <color rgb="FFC9A0DC"/>
      </right>
      <top style="thin">
        <color rgb="FFC9A0DC"/>
      </top>
      <bottom style="medium">
        <color indexed="64"/>
      </bottom>
      <diagonal/>
    </border>
    <border>
      <left style="thin">
        <color rgb="FFC9A0DC"/>
      </left>
      <right style="thin">
        <color rgb="FFC9A0DC"/>
      </right>
      <top style="thin">
        <color rgb="FFC9A0DC"/>
      </top>
      <bottom style="medium">
        <color indexed="64"/>
      </bottom>
      <diagonal/>
    </border>
    <border>
      <left style="thin">
        <color rgb="FFC9A0DC"/>
      </left>
      <right style="medium">
        <color indexed="64"/>
      </right>
      <top style="thin">
        <color rgb="FFC9A0DC"/>
      </top>
      <bottom style="medium">
        <color indexed="64"/>
      </bottom>
      <diagonal/>
    </border>
    <border>
      <left/>
      <right style="thin">
        <color rgb="FFD9E2F3"/>
      </right>
      <top/>
      <bottom style="thin">
        <color rgb="FFD9E2F3"/>
      </bottom>
      <diagonal/>
    </border>
    <border>
      <left style="thin">
        <color rgb="FFD9E2F3"/>
      </left>
      <right style="thin">
        <color rgb="FFD9E2F3"/>
      </right>
      <top/>
      <bottom style="thin">
        <color rgb="FFD9E2F3"/>
      </bottom>
      <diagonal/>
    </border>
    <border>
      <left style="thin">
        <color rgb="FFD9E2F3"/>
      </left>
      <right/>
      <top/>
      <bottom style="thin">
        <color rgb="FFD9E2F3"/>
      </bottom>
      <diagonal/>
    </border>
    <border>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style="thin">
        <color rgb="FFA6A6A6"/>
      </bottom>
      <diagonal/>
    </border>
    <border>
      <left style="thin">
        <color rgb="FFD9E2F3"/>
      </left>
      <right style="thin">
        <color rgb="FFD9E2F3"/>
      </right>
      <top style="thin">
        <color rgb="FFD9E2F3"/>
      </top>
      <bottom style="thin">
        <color rgb="FFA6A6A6"/>
      </bottom>
      <diagonal/>
    </border>
    <border>
      <left style="thin">
        <color rgb="FFD9E2F3"/>
      </left>
      <right/>
      <top style="thin">
        <color rgb="FFD9E2F3"/>
      </top>
      <bottom style="thin">
        <color rgb="FFA6A6A6"/>
      </bottom>
      <diagonal/>
    </border>
    <border>
      <left/>
      <right style="thin">
        <color rgb="FFDDEBF7"/>
      </right>
      <top style="thin">
        <color auto="1"/>
      </top>
      <bottom style="thin">
        <color rgb="FFDDEBF7"/>
      </bottom>
      <diagonal/>
    </border>
    <border>
      <left style="thin">
        <color rgb="FFDDEBF7"/>
      </left>
      <right/>
      <top style="thin">
        <color auto="1"/>
      </top>
      <bottom style="thin">
        <color rgb="FFDDEBF7"/>
      </bottom>
      <diagonal/>
    </border>
    <border>
      <left/>
      <right style="thin">
        <color rgb="FFDDEBF7"/>
      </right>
      <top style="thin">
        <color rgb="FFDDEBF7"/>
      </top>
      <bottom style="thin">
        <color rgb="FFDDEBF7"/>
      </bottom>
      <diagonal/>
    </border>
    <border>
      <left style="thin">
        <color rgb="FFDDEBF7"/>
      </left>
      <right/>
      <top style="thin">
        <color rgb="FFDDEBF7"/>
      </top>
      <bottom style="thin">
        <color rgb="FFDDEBF7"/>
      </bottom>
      <diagonal/>
    </border>
    <border>
      <left/>
      <right style="thin">
        <color rgb="FFDDEBF7"/>
      </right>
      <top style="thin">
        <color rgb="FFDDEBF7"/>
      </top>
      <bottom/>
      <diagonal/>
    </border>
    <border>
      <left style="thin">
        <color rgb="FFDDEBF7"/>
      </left>
      <right/>
      <top style="thin">
        <color rgb="FFDDEBF7"/>
      </top>
      <bottom/>
      <diagonal/>
    </border>
    <border>
      <left/>
      <right style="thin">
        <color rgb="FFE2F0D9"/>
      </right>
      <top/>
      <bottom style="thin">
        <color rgb="FFE2F0D9"/>
      </bottom>
      <diagonal/>
    </border>
    <border>
      <left style="thin">
        <color rgb="FFE2F0D9"/>
      </left>
      <right style="thin">
        <color rgb="FFE2F0D9"/>
      </right>
      <top/>
      <bottom style="thin">
        <color rgb="FFE2F0D9"/>
      </bottom>
      <diagonal/>
    </border>
    <border>
      <left style="thin">
        <color rgb="FFE2F0D9"/>
      </left>
      <right/>
      <top/>
      <bottom style="thin">
        <color rgb="FFE2F0D9"/>
      </bottom>
      <diagonal/>
    </border>
    <border>
      <left/>
      <right style="thin">
        <color rgb="FFE2F0D9"/>
      </right>
      <top style="thin">
        <color rgb="FFE2F0D9"/>
      </top>
      <bottom style="thin">
        <color rgb="FFE2F0D9"/>
      </bottom>
      <diagonal/>
    </border>
    <border>
      <left style="thin">
        <color rgb="FFE2F0D9"/>
      </left>
      <right style="thin">
        <color rgb="FFE2F0D9"/>
      </right>
      <top style="thin">
        <color rgb="FFE2F0D9"/>
      </top>
      <bottom style="thin">
        <color rgb="FFE2F0D9"/>
      </bottom>
      <diagonal/>
    </border>
    <border>
      <left style="thin">
        <color rgb="FFE2F0D9"/>
      </left>
      <right/>
      <top style="thin">
        <color rgb="FFE2F0D9"/>
      </top>
      <bottom style="thin">
        <color rgb="FFE2F0D9"/>
      </bottom>
      <diagonal/>
    </border>
    <border>
      <left/>
      <right style="thin">
        <color rgb="FFE2F0D9"/>
      </right>
      <top style="thin">
        <color rgb="FFE2F0D9"/>
      </top>
      <bottom/>
      <diagonal/>
    </border>
    <border>
      <left style="thin">
        <color rgb="FFE2F0D9"/>
      </left>
      <right style="thin">
        <color rgb="FFE2F0D9"/>
      </right>
      <top style="thin">
        <color rgb="FFE2F0D9"/>
      </top>
      <bottom/>
      <diagonal/>
    </border>
    <border>
      <left style="thin">
        <color rgb="FFE2F0D9"/>
      </left>
      <right/>
      <top style="thin">
        <color rgb="FFE2F0D9"/>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thin">
        <color indexed="64"/>
      </bottom>
      <diagonal/>
    </border>
    <border>
      <left/>
      <right/>
      <top style="thin">
        <color theme="4" tint="0.39997558519241921"/>
      </top>
      <bottom style="thin">
        <color theme="4" tint="0.39997558519241921"/>
      </bottom>
      <diagonal/>
    </border>
    <border>
      <left style="medium">
        <color indexed="64"/>
      </left>
      <right style="medium">
        <color indexed="64"/>
      </right>
      <top style="thin">
        <color indexed="64"/>
      </top>
      <bottom/>
      <diagonal/>
    </border>
    <border>
      <left/>
      <right/>
      <top/>
      <bottom style="thin">
        <color rgb="FFD9EAF7"/>
      </bottom>
      <diagonal/>
    </border>
    <border>
      <left/>
      <right/>
      <top style="thin">
        <color rgb="FFD9EAF7"/>
      </top>
      <bottom style="thin">
        <color rgb="FFD9EAF7"/>
      </bottom>
      <diagonal/>
    </border>
    <border>
      <left/>
      <right/>
      <top style="thin">
        <color rgb="FFD9EAF7"/>
      </top>
      <bottom style="thin">
        <color rgb="FF5B9BD5"/>
      </bottom>
      <diagonal/>
    </border>
    <border>
      <left/>
      <right/>
      <top style="thin">
        <color rgb="FF5A5A5A"/>
      </top>
      <bottom/>
      <diagonal/>
    </border>
    <border>
      <left/>
      <right style="thin">
        <color rgb="FF5A5A5A"/>
      </right>
      <top style="thin">
        <color rgb="FF5A5A5A"/>
      </top>
      <bottom/>
      <diagonal/>
    </border>
  </borders>
  <cellStyleXfs count="19">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applyNumberFormat="0" applyFill="0" applyBorder="0" applyAlignment="0" applyProtection="0"/>
    <xf numFmtId="0" fontId="6" fillId="0" borderId="0"/>
    <xf numFmtId="0" fontId="16" fillId="0" borderId="0"/>
    <xf numFmtId="0" fontId="5" fillId="13" borderId="0" applyNumberFormat="0" applyBorder="0" applyAlignment="0" applyProtection="0"/>
    <xf numFmtId="0" fontId="20" fillId="14" borderId="0" applyNumberFormat="0" applyBorder="0" applyAlignment="0" applyProtection="0"/>
    <xf numFmtId="0" fontId="21" fillId="15" borderId="0" applyNumberFormat="0" applyBorder="0" applyAlignment="0" applyProtection="0"/>
    <xf numFmtId="0" fontId="1" fillId="16" borderId="0" applyNumberFormat="0" applyBorder="0" applyAlignment="0" applyProtection="0"/>
    <xf numFmtId="43" fontId="1" fillId="0" borderId="0" applyFont="0" applyFill="0" applyBorder="0" applyAlignment="0" applyProtection="0"/>
    <xf numFmtId="0" fontId="1" fillId="0" borderId="0"/>
    <xf numFmtId="177" fontId="1" fillId="0" borderId="0" applyFont="0" applyFill="0" applyBorder="0" applyAlignment="0" applyProtection="0"/>
    <xf numFmtId="178" fontId="1" fillId="0" borderId="0" applyFont="0" applyFill="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cellStyleXfs>
  <cellXfs count="1010">
    <xf numFmtId="0" fontId="0" fillId="0" borderId="0" xfId="0"/>
    <xf numFmtId="0" fontId="7" fillId="2" borderId="2" xfId="4" applyFont="1" applyFill="1" applyBorder="1" applyAlignment="1">
      <alignment horizontal="center" vertical="center" readingOrder="1"/>
    </xf>
    <xf numFmtId="0" fontId="0" fillId="0" borderId="0" xfId="0" applyAlignment="1">
      <alignment horizontal="left"/>
    </xf>
    <xf numFmtId="43" fontId="0" fillId="0" borderId="0" xfId="1" applyFont="1"/>
    <xf numFmtId="165" fontId="0" fillId="0" borderId="0" xfId="1" applyNumberFormat="1" applyFont="1"/>
    <xf numFmtId="9" fontId="0" fillId="0" borderId="0" xfId="2" applyFont="1"/>
    <xf numFmtId="0" fontId="0" fillId="3" borderId="0" xfId="0" applyFill="1"/>
    <xf numFmtId="43" fontId="0" fillId="3" borderId="0" xfId="0" applyNumberFormat="1" applyFill="1"/>
    <xf numFmtId="43" fontId="0" fillId="0" borderId="0" xfId="1" applyFont="1" applyFill="1"/>
    <xf numFmtId="167" fontId="0" fillId="0" borderId="0" xfId="0" applyNumberFormat="1"/>
    <xf numFmtId="0" fontId="3" fillId="0" borderId="0" xfId="3"/>
    <xf numFmtId="0" fontId="10" fillId="5" borderId="1" xfId="0" applyFont="1" applyFill="1" applyBorder="1" applyAlignment="1">
      <alignment vertical="center"/>
    </xf>
    <xf numFmtId="43" fontId="10" fillId="5" borderId="1" xfId="1" applyFont="1" applyFill="1" applyBorder="1" applyAlignment="1">
      <alignment vertical="center"/>
    </xf>
    <xf numFmtId="43" fontId="10" fillId="5" borderId="1" xfId="1" applyFont="1" applyFill="1" applyBorder="1" applyAlignment="1">
      <alignment wrapText="1"/>
    </xf>
    <xf numFmtId="0" fontId="0" fillId="7" borderId="0" xfId="0" applyFill="1"/>
    <xf numFmtId="43" fontId="0" fillId="7" borderId="0" xfId="1" applyFont="1" applyFill="1"/>
    <xf numFmtId="0" fontId="0" fillId="8" borderId="0" xfId="0" applyFill="1"/>
    <xf numFmtId="43" fontId="0" fillId="8" borderId="0" xfId="1" applyFont="1" applyFill="1"/>
    <xf numFmtId="0" fontId="11" fillId="6" borderId="2" xfId="4" applyFont="1" applyFill="1" applyBorder="1" applyAlignment="1">
      <alignment horizontal="center" vertical="center" readingOrder="1"/>
    </xf>
    <xf numFmtId="0" fontId="12" fillId="7" borderId="0" xfId="0" applyFont="1" applyFill="1"/>
    <xf numFmtId="0" fontId="12" fillId="8" borderId="0" xfId="0" applyFont="1" applyFill="1"/>
    <xf numFmtId="43" fontId="0" fillId="0" borderId="4" xfId="1" applyFont="1" applyFill="1" applyBorder="1"/>
    <xf numFmtId="0" fontId="13" fillId="0" borderId="6" xfId="0" applyFont="1" applyBorder="1" applyAlignment="1">
      <alignment horizontal="center" vertical="center"/>
    </xf>
    <xf numFmtId="0" fontId="13" fillId="0" borderId="7" xfId="0" applyFont="1" applyBorder="1" applyAlignment="1">
      <alignment horizontal="center" vertical="center"/>
    </xf>
    <xf numFmtId="166" fontId="13" fillId="0" borderId="7" xfId="1" applyNumberFormat="1" applyFont="1" applyFill="1" applyBorder="1" applyAlignment="1">
      <alignment horizontal="center" vertical="center"/>
    </xf>
    <xf numFmtId="0" fontId="12" fillId="0" borderId="3" xfId="0" applyFont="1" applyBorder="1" applyAlignment="1">
      <alignment horizontal="center"/>
    </xf>
    <xf numFmtId="0" fontId="12" fillId="0" borderId="4" xfId="0" applyFont="1" applyBorder="1" applyAlignment="1">
      <alignment horizontal="center"/>
    </xf>
    <xf numFmtId="166" fontId="12" fillId="0" borderId="4" xfId="1" applyNumberFormat="1" applyFont="1" applyFill="1" applyBorder="1" applyAlignment="1">
      <alignment horizontal="center"/>
    </xf>
    <xf numFmtId="43" fontId="12" fillId="0" borderId="4" xfId="1" applyFont="1" applyFill="1" applyBorder="1" applyAlignment="1">
      <alignment horizontal="center"/>
    </xf>
    <xf numFmtId="0" fontId="12" fillId="0" borderId="0" xfId="0" applyFont="1" applyAlignment="1">
      <alignment horizontal="center"/>
    </xf>
    <xf numFmtId="166" fontId="12" fillId="0" borderId="4" xfId="1" applyNumberFormat="1" applyFont="1" applyFill="1" applyBorder="1" applyAlignment="1">
      <alignment horizontal="center" vertical="center"/>
    </xf>
    <xf numFmtId="164" fontId="0" fillId="0" borderId="4" xfId="2" applyNumberFormat="1" applyFont="1" applyFill="1" applyBorder="1"/>
    <xf numFmtId="164" fontId="0" fillId="0" borderId="0" xfId="2" applyNumberFormat="1" applyFont="1" applyFill="1"/>
    <xf numFmtId="0" fontId="4" fillId="0" borderId="0" xfId="0" applyFont="1" applyAlignment="1">
      <alignment horizontal="center"/>
    </xf>
    <xf numFmtId="0" fontId="0" fillId="0" borderId="0" xfId="0" applyAlignment="1">
      <alignment horizontal="center"/>
    </xf>
    <xf numFmtId="166" fontId="0" fillId="0" borderId="0" xfId="1" applyNumberFormat="1" applyFont="1" applyFill="1" applyAlignment="1">
      <alignment horizontal="center"/>
    </xf>
    <xf numFmtId="0" fontId="11" fillId="5" borderId="8" xfId="4" applyFont="1" applyFill="1" applyBorder="1" applyAlignment="1">
      <alignment horizontal="center" vertical="center" readingOrder="1"/>
    </xf>
    <xf numFmtId="0" fontId="11" fillId="5" borderId="8" xfId="4" applyFont="1" applyFill="1" applyBorder="1" applyAlignment="1">
      <alignment horizontal="left" vertical="center" readingOrder="1"/>
    </xf>
    <xf numFmtId="0" fontId="4" fillId="0" borderId="0" xfId="0" applyFont="1"/>
    <xf numFmtId="0" fontId="0" fillId="0" borderId="0" xfId="0" applyAlignment="1">
      <alignment horizontal="center" vertical="center"/>
    </xf>
    <xf numFmtId="0" fontId="8" fillId="0" borderId="0" xfId="0" applyFont="1"/>
    <xf numFmtId="9" fontId="0" fillId="11" borderId="9" xfId="2" applyFont="1" applyFill="1" applyBorder="1" applyAlignment="1">
      <alignment horizontal="center"/>
    </xf>
    <xf numFmtId="172" fontId="0" fillId="0" borderId="0" xfId="0" applyNumberFormat="1"/>
    <xf numFmtId="43" fontId="12" fillId="0" borderId="10" xfId="1" applyFont="1" applyFill="1" applyBorder="1" applyAlignment="1">
      <alignment horizontal="center"/>
    </xf>
    <xf numFmtId="166" fontId="12" fillId="0" borderId="11" xfId="1" applyNumberFormat="1" applyFont="1" applyFill="1" applyBorder="1" applyAlignment="1">
      <alignment horizontal="center"/>
    </xf>
    <xf numFmtId="164" fontId="0" fillId="0" borderId="0" xfId="2" applyNumberFormat="1" applyFont="1" applyFill="1" applyBorder="1"/>
    <xf numFmtId="43" fontId="0" fillId="0" borderId="0" xfId="1" applyFont="1" applyFill="1" applyBorder="1"/>
    <xf numFmtId="164" fontId="12" fillId="0" borderId="0" xfId="2" applyNumberFormat="1" applyFont="1" applyFill="1"/>
    <xf numFmtId="43" fontId="12" fillId="0" borderId="0" xfId="1" applyFont="1" applyFill="1"/>
    <xf numFmtId="166" fontId="12" fillId="12" borderId="4" xfId="1" applyNumberFormat="1" applyFont="1" applyFill="1" applyBorder="1" applyAlignment="1">
      <alignment horizontal="center"/>
    </xf>
    <xf numFmtId="0" fontId="0" fillId="0" borderId="2" xfId="0" applyBorder="1"/>
    <xf numFmtId="0" fontId="0" fillId="0" borderId="0" xfId="0" applyAlignment="1">
      <alignment wrapText="1"/>
    </xf>
    <xf numFmtId="4" fontId="0" fillId="7" borderId="0" xfId="1" applyNumberFormat="1" applyFont="1" applyFill="1"/>
    <xf numFmtId="4" fontId="0" fillId="8" borderId="0" xfId="1" applyNumberFormat="1" applyFont="1" applyFill="1"/>
    <xf numFmtId="43" fontId="12" fillId="0" borderId="5" xfId="1" applyFont="1" applyFill="1" applyBorder="1"/>
    <xf numFmtId="43" fontId="12" fillId="0" borderId="0" xfId="1" applyFont="1" applyFill="1" applyBorder="1"/>
    <xf numFmtId="0" fontId="12" fillId="0" borderId="0" xfId="0" applyFont="1" applyAlignment="1">
      <alignment horizontal="center" vertical="center"/>
    </xf>
    <xf numFmtId="167" fontId="12" fillId="7" borderId="0" xfId="1" applyNumberFormat="1" applyFont="1" applyFill="1"/>
    <xf numFmtId="167" fontId="12" fillId="8" borderId="0" xfId="1" applyNumberFormat="1" applyFont="1" applyFill="1"/>
    <xf numFmtId="173" fontId="12" fillId="7" borderId="0" xfId="1" applyNumberFormat="1" applyFont="1" applyFill="1"/>
    <xf numFmtId="173" fontId="12" fillId="8" borderId="0" xfId="1" applyNumberFormat="1" applyFont="1" applyFill="1"/>
    <xf numFmtId="0" fontId="10" fillId="9" borderId="1" xfId="0" applyFont="1" applyFill="1" applyBorder="1" applyAlignment="1">
      <alignment vertical="center"/>
    </xf>
    <xf numFmtId="43" fontId="10" fillId="9" borderId="1" xfId="1" applyFont="1" applyFill="1" applyBorder="1" applyAlignment="1">
      <alignment vertical="center"/>
    </xf>
    <xf numFmtId="43" fontId="5" fillId="9" borderId="1" xfId="6" applyNumberFormat="1" applyFill="1" applyBorder="1" applyAlignment="1">
      <alignment vertical="center"/>
    </xf>
    <xf numFmtId="170" fontId="0" fillId="0" borderId="0" xfId="0" applyNumberFormat="1"/>
    <xf numFmtId="43" fontId="0" fillId="0" borderId="0" xfId="0" applyNumberFormat="1" applyAlignment="1">
      <alignment vertical="center"/>
    </xf>
    <xf numFmtId="43" fontId="0" fillId="0" borderId="0" xfId="0" applyNumberFormat="1"/>
    <xf numFmtId="10" fontId="0" fillId="0" borderId="0" xfId="2" applyNumberFormat="1" applyFont="1" applyBorder="1"/>
    <xf numFmtId="171" fontId="0" fillId="0" borderId="0" xfId="1" applyNumberFormat="1" applyFont="1" applyBorder="1"/>
    <xf numFmtId="166" fontId="0" fillId="0" borderId="0" xfId="1" applyNumberFormat="1" applyFont="1" applyBorder="1"/>
    <xf numFmtId="166" fontId="0" fillId="0" borderId="0" xfId="0" applyNumberFormat="1"/>
    <xf numFmtId="43" fontId="10" fillId="4" borderId="13" xfId="1" applyFont="1" applyFill="1" applyBorder="1" applyAlignment="1">
      <alignment horizontal="left"/>
    </xf>
    <xf numFmtId="43" fontId="10" fillId="4" borderId="14" xfId="1" applyFont="1" applyFill="1" applyBorder="1" applyAlignment="1">
      <alignment horizontal="left"/>
    </xf>
    <xf numFmtId="43" fontId="10" fillId="4" borderId="15" xfId="1" applyFont="1" applyFill="1" applyBorder="1" applyAlignment="1">
      <alignment horizontal="left"/>
    </xf>
    <xf numFmtId="43" fontId="10" fillId="4" borderId="16" xfId="1" applyFont="1" applyFill="1" applyBorder="1" applyAlignment="1">
      <alignment horizontal="left"/>
    </xf>
    <xf numFmtId="0" fontId="19" fillId="10" borderId="0" xfId="3" applyFont="1" applyFill="1" applyAlignment="1">
      <alignment horizontal="left"/>
    </xf>
    <xf numFmtId="0" fontId="19" fillId="10" borderId="0" xfId="3" applyFont="1" applyFill="1"/>
    <xf numFmtId="9" fontId="0" fillId="0" borderId="0" xfId="0" applyNumberFormat="1" applyAlignment="1">
      <alignment horizontal="center"/>
    </xf>
    <xf numFmtId="164" fontId="0" fillId="0" borderId="0" xfId="0" applyNumberFormat="1" applyAlignment="1">
      <alignment horizontal="center"/>
    </xf>
    <xf numFmtId="166" fontId="21" fillId="15" borderId="0" xfId="8" applyNumberFormat="1" applyAlignment="1">
      <alignment horizontal="center"/>
    </xf>
    <xf numFmtId="166" fontId="20" fillId="14" borderId="0" xfId="7" applyNumberFormat="1" applyAlignment="1">
      <alignment horizontal="center"/>
    </xf>
    <xf numFmtId="174" fontId="0" fillId="0" borderId="0" xfId="0" applyNumberFormat="1"/>
    <xf numFmtId="0" fontId="19" fillId="10" borderId="19" xfId="3" applyFont="1" applyFill="1" applyBorder="1"/>
    <xf numFmtId="43" fontId="10" fillId="4" borderId="20" xfId="1" applyFont="1" applyFill="1" applyBorder="1" applyAlignment="1">
      <alignment horizontal="left" wrapText="1"/>
    </xf>
    <xf numFmtId="174" fontId="0" fillId="0" borderId="21" xfId="0" applyNumberFormat="1" applyBorder="1"/>
    <xf numFmtId="174" fontId="0" fillId="0" borderId="22" xfId="0" applyNumberFormat="1" applyBorder="1"/>
    <xf numFmtId="43" fontId="22" fillId="9" borderId="17" xfId="6" applyNumberFormat="1" applyFont="1" applyFill="1" applyBorder="1" applyAlignment="1">
      <alignment vertical="center"/>
    </xf>
    <xf numFmtId="167" fontId="10" fillId="4" borderId="15" xfId="1" applyNumberFormat="1" applyFont="1" applyFill="1" applyBorder="1" applyAlignment="1">
      <alignment horizontal="left"/>
    </xf>
    <xf numFmtId="167" fontId="1" fillId="16" borderId="2" xfId="9" applyNumberFormat="1" applyBorder="1"/>
    <xf numFmtId="175" fontId="0" fillId="0" borderId="0" xfId="0" applyNumberFormat="1"/>
    <xf numFmtId="173" fontId="0" fillId="16" borderId="2" xfId="9" applyNumberFormat="1" applyFont="1" applyBorder="1"/>
    <xf numFmtId="176" fontId="0" fillId="0" borderId="0" xfId="0" applyNumberFormat="1"/>
    <xf numFmtId="43" fontId="10" fillId="4" borderId="18" xfId="1" applyFont="1" applyFill="1" applyBorder="1" applyAlignment="1">
      <alignment horizontal="left"/>
    </xf>
    <xf numFmtId="0" fontId="0" fillId="0" borderId="1" xfId="0" applyBorder="1"/>
    <xf numFmtId="43" fontId="10" fillId="4" borderId="23" xfId="1" applyFont="1" applyFill="1" applyBorder="1" applyAlignment="1">
      <alignment horizontal="left"/>
    </xf>
    <xf numFmtId="0" fontId="0" fillId="0" borderId="0" xfId="0" applyAlignment="1">
      <alignment vertical="center"/>
    </xf>
    <xf numFmtId="166" fontId="0" fillId="0" borderId="0" xfId="1" applyNumberFormat="1" applyFont="1"/>
    <xf numFmtId="0" fontId="26" fillId="20" borderId="0" xfId="0" applyFont="1" applyFill="1" applyAlignment="1">
      <alignment horizontal="left" vertical="center" readingOrder="1"/>
    </xf>
    <xf numFmtId="0" fontId="26" fillId="20" borderId="0" xfId="0" applyFont="1" applyFill="1" applyAlignment="1">
      <alignment horizontal="center" vertical="center" readingOrder="1"/>
    </xf>
    <xf numFmtId="9" fontId="4" fillId="0" borderId="0" xfId="2" applyFont="1" applyBorder="1" applyAlignment="1">
      <alignment horizontal="left"/>
    </xf>
    <xf numFmtId="0" fontId="4" fillId="19" borderId="2" xfId="0" applyFont="1" applyFill="1" applyBorder="1" applyAlignment="1">
      <alignment horizontal="left"/>
    </xf>
    <xf numFmtId="0" fontId="4" fillId="19" borderId="2" xfId="0" applyFont="1" applyFill="1" applyBorder="1" applyAlignment="1">
      <alignment horizontal="center"/>
    </xf>
    <xf numFmtId="0" fontId="3" fillId="0" borderId="0" xfId="3" applyAlignment="1">
      <alignment vertical="center"/>
    </xf>
    <xf numFmtId="9" fontId="27" fillId="0" borderId="0" xfId="2" applyFont="1" applyAlignment="1">
      <alignment horizontal="left" vertical="center"/>
    </xf>
    <xf numFmtId="0" fontId="0" fillId="0" borderId="0" xfId="0" pivotButton="1"/>
    <xf numFmtId="171" fontId="0" fillId="0" borderId="0" xfId="0" applyNumberFormat="1"/>
    <xf numFmtId="0" fontId="10" fillId="9" borderId="25" xfId="0" applyFont="1" applyFill="1" applyBorder="1" applyAlignment="1">
      <alignment vertical="center"/>
    </xf>
    <xf numFmtId="43" fontId="10" fillId="9" borderId="26" xfId="1" applyFont="1" applyFill="1" applyBorder="1" applyAlignment="1">
      <alignment vertical="center"/>
    </xf>
    <xf numFmtId="0" fontId="12" fillId="7" borderId="27" xfId="0" applyFont="1" applyFill="1" applyBorder="1"/>
    <xf numFmtId="167" fontId="12" fillId="7" borderId="28" xfId="1" applyNumberFormat="1" applyFont="1" applyFill="1" applyBorder="1"/>
    <xf numFmtId="173" fontId="12" fillId="7" borderId="29" xfId="1" applyNumberFormat="1" applyFont="1" applyFill="1" applyBorder="1"/>
    <xf numFmtId="0" fontId="12" fillId="8" borderId="27" xfId="0" applyFont="1" applyFill="1" applyBorder="1"/>
    <xf numFmtId="167" fontId="12" fillId="8" borderId="28" xfId="1" applyNumberFormat="1" applyFont="1" applyFill="1" applyBorder="1"/>
    <xf numFmtId="173" fontId="12" fillId="8" borderId="29" xfId="1" applyNumberFormat="1" applyFont="1" applyFill="1" applyBorder="1"/>
    <xf numFmtId="164" fontId="0" fillId="0" borderId="0" xfId="2" applyNumberFormat="1" applyFont="1" applyBorder="1"/>
    <xf numFmtId="164" fontId="0" fillId="0" borderId="1" xfId="2" applyNumberFormat="1" applyFont="1" applyBorder="1"/>
    <xf numFmtId="0" fontId="4" fillId="21" borderId="1" xfId="0" applyFont="1" applyFill="1" applyBorder="1"/>
    <xf numFmtId="3" fontId="0" fillId="0" borderId="0" xfId="0" applyNumberFormat="1"/>
    <xf numFmtId="43" fontId="10" fillId="4" borderId="12" xfId="1" applyFont="1" applyFill="1" applyBorder="1" applyAlignment="1">
      <alignment horizontal="left"/>
    </xf>
    <xf numFmtId="2" fontId="0" fillId="0" borderId="0" xfId="0" applyNumberFormat="1" applyAlignment="1">
      <alignment horizontal="center"/>
    </xf>
    <xf numFmtId="0" fontId="0" fillId="20" borderId="2" xfId="0" applyFill="1" applyBorder="1" applyAlignment="1">
      <alignment horizontal="left"/>
    </xf>
    <xf numFmtId="0" fontId="0" fillId="28" borderId="2" xfId="0" applyFill="1" applyBorder="1" applyAlignment="1">
      <alignment horizontal="left"/>
    </xf>
    <xf numFmtId="172" fontId="0" fillId="20" borderId="2" xfId="0" applyNumberFormat="1" applyFill="1" applyBorder="1" applyAlignment="1">
      <alignment horizontal="center"/>
    </xf>
    <xf numFmtId="172" fontId="0" fillId="28" borderId="2" xfId="0" applyNumberFormat="1" applyFill="1" applyBorder="1" applyAlignment="1">
      <alignment horizontal="center"/>
    </xf>
    <xf numFmtId="172" fontId="12" fillId="28" borderId="2" xfId="0" applyNumberFormat="1" applyFont="1" applyFill="1" applyBorder="1" applyAlignment="1">
      <alignment horizontal="center"/>
    </xf>
    <xf numFmtId="0" fontId="1" fillId="23" borderId="2" xfId="14" applyBorder="1"/>
    <xf numFmtId="0" fontId="1" fillId="23" borderId="2" xfId="14" applyBorder="1" applyAlignment="1">
      <alignment horizontal="left" vertical="center" readingOrder="1"/>
    </xf>
    <xf numFmtId="172" fontId="1" fillId="23" borderId="2" xfId="14" applyNumberFormat="1" applyBorder="1" applyAlignment="1">
      <alignment horizontal="left" vertical="center" readingOrder="1"/>
    </xf>
    <xf numFmtId="0" fontId="1" fillId="24" borderId="2" xfId="15" applyBorder="1"/>
    <xf numFmtId="0" fontId="1" fillId="24" borderId="2" xfId="15" applyBorder="1" applyAlignment="1">
      <alignment horizontal="left" vertical="center" readingOrder="1"/>
    </xf>
    <xf numFmtId="172" fontId="1" fillId="24" borderId="2" xfId="15" applyNumberFormat="1" applyBorder="1" applyAlignment="1">
      <alignment horizontal="left" vertical="center" readingOrder="1"/>
    </xf>
    <xf numFmtId="0" fontId="1" fillId="25" borderId="2" xfId="16" applyBorder="1"/>
    <xf numFmtId="0" fontId="1" fillId="25" borderId="2" xfId="16" applyBorder="1" applyAlignment="1">
      <alignment horizontal="left" vertical="center" readingOrder="1"/>
    </xf>
    <xf numFmtId="172" fontId="1" fillId="25" borderId="2" xfId="16" applyNumberFormat="1" applyBorder="1"/>
    <xf numFmtId="172" fontId="1" fillId="25" borderId="2" xfId="16" applyNumberFormat="1" applyBorder="1" applyAlignment="1">
      <alignment horizontal="left" vertical="center" readingOrder="1"/>
    </xf>
    <xf numFmtId="0" fontId="1" fillId="26" borderId="2" xfId="17" applyBorder="1"/>
    <xf numFmtId="0" fontId="1" fillId="26" borderId="2" xfId="17" applyBorder="1" applyAlignment="1">
      <alignment horizontal="left" vertical="center" readingOrder="1"/>
    </xf>
    <xf numFmtId="172" fontId="1" fillId="26" borderId="2" xfId="17" applyNumberFormat="1" applyBorder="1"/>
    <xf numFmtId="172" fontId="1" fillId="26" borderId="2" xfId="17" applyNumberFormat="1" applyBorder="1" applyAlignment="1">
      <alignment horizontal="left" vertical="center" readingOrder="1"/>
    </xf>
    <xf numFmtId="171" fontId="10" fillId="4" borderId="23" xfId="1" applyNumberFormat="1" applyFont="1" applyFill="1" applyBorder="1" applyAlignment="1">
      <alignment horizontal="left"/>
    </xf>
    <xf numFmtId="171" fontId="10" fillId="4" borderId="12" xfId="1" applyNumberFormat="1" applyFont="1" applyFill="1" applyBorder="1" applyAlignment="1">
      <alignment horizontal="left"/>
    </xf>
    <xf numFmtId="171" fontId="0" fillId="0" borderId="0" xfId="1" applyNumberFormat="1" applyFont="1"/>
    <xf numFmtId="0" fontId="0" fillId="0" borderId="0" xfId="0" applyAlignment="1">
      <alignment horizontal="left" vertical="center"/>
    </xf>
    <xf numFmtId="0" fontId="32" fillId="31" borderId="2" xfId="0" applyFont="1" applyFill="1" applyBorder="1" applyAlignment="1">
      <alignment horizontal="left" vertical="center"/>
    </xf>
    <xf numFmtId="0" fontId="32" fillId="32" borderId="2" xfId="0" applyFont="1" applyFill="1" applyBorder="1" applyAlignment="1">
      <alignment horizontal="left" vertical="center" wrapText="1"/>
    </xf>
    <xf numFmtId="0" fontId="32" fillId="33" borderId="2" xfId="0" applyFont="1" applyFill="1" applyBorder="1" applyAlignment="1">
      <alignment horizontal="left" vertical="center" wrapText="1"/>
    </xf>
    <xf numFmtId="0" fontId="0" fillId="34" borderId="2" xfId="0" applyFill="1" applyBorder="1" applyAlignment="1">
      <alignment horizontal="left" vertical="center" wrapText="1"/>
    </xf>
    <xf numFmtId="0" fontId="33" fillId="35" borderId="2" xfId="0" applyFont="1" applyFill="1" applyBorder="1" applyAlignment="1">
      <alignment horizontal="left" vertical="center" wrapText="1"/>
    </xf>
    <xf numFmtId="0" fontId="0" fillId="36" borderId="2" xfId="0" applyFill="1" applyBorder="1" applyAlignment="1">
      <alignment horizontal="left" vertical="center"/>
    </xf>
    <xf numFmtId="0" fontId="31" fillId="36" borderId="2" xfId="0" applyFont="1" applyFill="1" applyBorder="1" applyAlignment="1">
      <alignment horizontal="left" vertical="center"/>
    </xf>
    <xf numFmtId="0" fontId="33" fillId="37" borderId="2" xfId="0" applyFont="1" applyFill="1" applyBorder="1" applyAlignment="1">
      <alignment horizontal="left" vertical="center" wrapText="1"/>
    </xf>
    <xf numFmtId="0" fontId="34" fillId="34" borderId="2" xfId="0" applyFont="1" applyFill="1" applyBorder="1" applyAlignment="1">
      <alignment horizontal="left" vertical="center" wrapText="1"/>
    </xf>
    <xf numFmtId="0" fontId="0" fillId="36" borderId="2" xfId="0" applyFill="1" applyBorder="1" applyAlignment="1">
      <alignment vertical="center"/>
    </xf>
    <xf numFmtId="0" fontId="0" fillId="36" borderId="9" xfId="0" applyFill="1" applyBorder="1" applyAlignment="1">
      <alignment horizontal="left" vertical="center"/>
    </xf>
    <xf numFmtId="0" fontId="13" fillId="38" borderId="2" xfId="0" applyFont="1" applyFill="1" applyBorder="1" applyAlignment="1">
      <alignment horizontal="left" vertical="center" wrapText="1"/>
    </xf>
    <xf numFmtId="0" fontId="4" fillId="36" borderId="2" xfId="0" applyFont="1" applyFill="1" applyBorder="1" applyAlignment="1">
      <alignment horizontal="left" vertical="center"/>
    </xf>
    <xf numFmtId="0" fontId="33" fillId="38" borderId="2" xfId="0" applyFont="1" applyFill="1" applyBorder="1" applyAlignment="1">
      <alignment horizontal="left" vertical="center" wrapText="1"/>
    </xf>
    <xf numFmtId="0" fontId="4" fillId="37" borderId="2" xfId="0" applyFont="1" applyFill="1" applyBorder="1" applyAlignment="1">
      <alignment horizontal="left" vertical="center" wrapText="1"/>
    </xf>
    <xf numFmtId="0" fontId="4" fillId="39" borderId="2" xfId="0" applyFont="1" applyFill="1" applyBorder="1" applyAlignment="1">
      <alignment horizontal="left" vertical="center" wrapText="1"/>
    </xf>
    <xf numFmtId="0" fontId="4" fillId="38" borderId="2" xfId="0" applyFont="1" applyFill="1" applyBorder="1" applyAlignment="1">
      <alignment horizontal="left" vertical="center" wrapText="1"/>
    </xf>
    <xf numFmtId="0" fontId="4" fillId="36" borderId="30" xfId="0" applyFont="1" applyFill="1" applyBorder="1" applyAlignment="1">
      <alignment horizontal="left" vertical="center"/>
    </xf>
    <xf numFmtId="0" fontId="0" fillId="36" borderId="30" xfId="0" applyFill="1" applyBorder="1" applyAlignment="1">
      <alignment horizontal="left" vertical="center"/>
    </xf>
    <xf numFmtId="0" fontId="13" fillId="37" borderId="2" xfId="0" applyFont="1" applyFill="1" applyBorder="1" applyAlignment="1">
      <alignment horizontal="left" vertical="center" wrapText="1"/>
    </xf>
    <xf numFmtId="0" fontId="13" fillId="40" borderId="2" xfId="0" applyFont="1" applyFill="1" applyBorder="1" applyAlignment="1">
      <alignment horizontal="left" vertical="center" wrapText="1"/>
    </xf>
    <xf numFmtId="0" fontId="4" fillId="41" borderId="2" xfId="0" applyFont="1" applyFill="1" applyBorder="1" applyAlignment="1">
      <alignment horizontal="left" vertical="center" wrapText="1"/>
    </xf>
    <xf numFmtId="0" fontId="33" fillId="41" borderId="2" xfId="0" applyFont="1" applyFill="1" applyBorder="1" applyAlignment="1">
      <alignment horizontal="left" vertical="center" wrapText="1"/>
    </xf>
    <xf numFmtId="0" fontId="17" fillId="0" borderId="0" xfId="0" applyFont="1"/>
    <xf numFmtId="0" fontId="0" fillId="43" borderId="38" xfId="0" applyFill="1" applyBorder="1"/>
    <xf numFmtId="0" fontId="0" fillId="43" borderId="39" xfId="0" applyFill="1" applyBorder="1"/>
    <xf numFmtId="0" fontId="0" fillId="43" borderId="40" xfId="0" applyFill="1" applyBorder="1"/>
    <xf numFmtId="0" fontId="40" fillId="0" borderId="0" xfId="0" applyFont="1"/>
    <xf numFmtId="0" fontId="41" fillId="0" borderId="0" xfId="0" applyFont="1"/>
    <xf numFmtId="0" fontId="39" fillId="6" borderId="9" xfId="0" applyFont="1" applyFill="1" applyBorder="1" applyAlignment="1">
      <alignment horizontal="center"/>
    </xf>
    <xf numFmtId="0" fontId="39" fillId="6" borderId="8" xfId="0" applyFont="1" applyFill="1" applyBorder="1" applyAlignment="1">
      <alignment horizontal="center"/>
    </xf>
    <xf numFmtId="0" fontId="39" fillId="10" borderId="9" xfId="0" applyFont="1" applyFill="1" applyBorder="1" applyAlignment="1">
      <alignment horizontal="center"/>
    </xf>
    <xf numFmtId="0" fontId="39" fillId="10" borderId="8" xfId="0" applyFont="1" applyFill="1" applyBorder="1" applyAlignment="1">
      <alignment horizontal="center"/>
    </xf>
    <xf numFmtId="0" fontId="39" fillId="17" borderId="9" xfId="0" applyFont="1" applyFill="1" applyBorder="1" applyAlignment="1">
      <alignment horizontal="center"/>
    </xf>
    <xf numFmtId="0" fontId="39" fillId="17" borderId="8" xfId="0" applyFont="1" applyFill="1" applyBorder="1" applyAlignment="1">
      <alignment horizontal="center"/>
    </xf>
    <xf numFmtId="0" fontId="39" fillId="18" borderId="9" xfId="0" applyFont="1" applyFill="1" applyBorder="1" applyAlignment="1">
      <alignment horizontal="center"/>
    </xf>
    <xf numFmtId="0" fontId="39" fillId="18" borderId="8" xfId="0" applyFont="1" applyFill="1" applyBorder="1" applyAlignment="1">
      <alignment horizontal="center"/>
    </xf>
    <xf numFmtId="0" fontId="39" fillId="44" borderId="9" xfId="0" applyFont="1" applyFill="1" applyBorder="1" applyAlignment="1">
      <alignment horizontal="center"/>
    </xf>
    <xf numFmtId="0" fontId="39" fillId="44" borderId="8" xfId="0" applyFont="1" applyFill="1" applyBorder="1" applyAlignment="1">
      <alignment horizontal="center"/>
    </xf>
    <xf numFmtId="0" fontId="42" fillId="0" borderId="0" xfId="0" applyFont="1" applyAlignment="1">
      <alignment horizontal="center"/>
    </xf>
    <xf numFmtId="0" fontId="10" fillId="4" borderId="0" xfId="0" applyFont="1" applyFill="1" applyAlignment="1">
      <alignment horizontal="center"/>
    </xf>
    <xf numFmtId="0" fontId="0" fillId="45" borderId="2" xfId="0" applyFill="1" applyBorder="1"/>
    <xf numFmtId="0" fontId="10" fillId="17" borderId="2" xfId="0" applyFont="1" applyFill="1" applyBorder="1"/>
    <xf numFmtId="0" fontId="43" fillId="0" borderId="0" xfId="0" applyFont="1"/>
    <xf numFmtId="181" fontId="0" fillId="0" borderId="0" xfId="0" applyNumberFormat="1"/>
    <xf numFmtId="169" fontId="0" fillId="0" borderId="0" xfId="1" applyNumberFormat="1" applyFont="1" applyFill="1" applyBorder="1" applyAlignment="1">
      <alignment horizontal="left"/>
    </xf>
    <xf numFmtId="169" fontId="0" fillId="0" borderId="0" xfId="1" applyNumberFormat="1" applyFont="1" applyFill="1"/>
    <xf numFmtId="0" fontId="12" fillId="8" borderId="52" xfId="0" applyFont="1" applyFill="1" applyBorder="1"/>
    <xf numFmtId="1" fontId="4" fillId="0" borderId="0" xfId="0" applyNumberFormat="1" applyFont="1"/>
    <xf numFmtId="1" fontId="45" fillId="0" borderId="0" xfId="0" applyNumberFormat="1" applyFont="1"/>
    <xf numFmtId="49" fontId="0" fillId="0" borderId="0" xfId="0" quotePrefix="1" applyNumberFormat="1" applyAlignment="1">
      <alignment horizontal="right"/>
    </xf>
    <xf numFmtId="49" fontId="0" fillId="0" borderId="0" xfId="0" applyNumberFormat="1" applyAlignment="1">
      <alignment horizontal="right"/>
    </xf>
    <xf numFmtId="49" fontId="0" fillId="0" borderId="0" xfId="0" applyNumberFormat="1"/>
    <xf numFmtId="0" fontId="28" fillId="48" borderId="61" xfId="0" applyFont="1" applyFill="1" applyBorder="1" applyAlignment="1">
      <alignment horizontal="center"/>
    </xf>
    <xf numFmtId="49" fontId="28" fillId="48" borderId="61" xfId="0" applyNumberFormat="1" applyFont="1" applyFill="1" applyBorder="1" applyAlignment="1">
      <alignment horizontal="center"/>
    </xf>
    <xf numFmtId="0" fontId="28" fillId="54" borderId="62" xfId="0" applyFont="1" applyFill="1" applyBorder="1" applyAlignment="1">
      <alignment horizontal="center"/>
    </xf>
    <xf numFmtId="0" fontId="28" fillId="58" borderId="63" xfId="0" applyFont="1" applyFill="1" applyBorder="1" applyAlignment="1">
      <alignment horizontal="center"/>
    </xf>
    <xf numFmtId="9" fontId="4" fillId="48" borderId="0" xfId="0" applyNumberFormat="1" applyFont="1" applyFill="1"/>
    <xf numFmtId="0" fontId="11" fillId="6" borderId="0" xfId="0" applyFont="1" applyFill="1" applyAlignment="1">
      <alignment horizontal="center"/>
    </xf>
    <xf numFmtId="0" fontId="53" fillId="0" borderId="0" xfId="0" applyFont="1" applyAlignment="1">
      <alignment horizontal="center"/>
    </xf>
    <xf numFmtId="0" fontId="11" fillId="17" borderId="0" xfId="0" applyFont="1" applyFill="1" applyAlignment="1">
      <alignment horizontal="center"/>
    </xf>
    <xf numFmtId="0" fontId="11" fillId="63" borderId="0" xfId="0" applyFont="1" applyFill="1" applyAlignment="1">
      <alignment horizontal="center"/>
    </xf>
    <xf numFmtId="0" fontId="54" fillId="0" borderId="0" xfId="0" applyFont="1" applyAlignment="1">
      <alignment horizontal="center"/>
    </xf>
    <xf numFmtId="0" fontId="56" fillId="50" borderId="0" xfId="0" applyFont="1" applyFill="1" applyAlignment="1">
      <alignment horizontal="center"/>
    </xf>
    <xf numFmtId="0" fontId="8" fillId="0" borderId="0" xfId="0" applyFont="1" applyAlignment="1">
      <alignment horizontal="center"/>
    </xf>
    <xf numFmtId="16" fontId="8" fillId="0" borderId="0" xfId="0" applyNumberFormat="1" applyFont="1"/>
    <xf numFmtId="9" fontId="8" fillId="0" borderId="0" xfId="0" applyNumberFormat="1" applyFont="1"/>
    <xf numFmtId="0" fontId="56" fillId="46" borderId="0" xfId="0" applyFont="1" applyFill="1"/>
    <xf numFmtId="0" fontId="56" fillId="58" borderId="0" xfId="0" applyFont="1" applyFill="1"/>
    <xf numFmtId="0" fontId="56" fillId="64" borderId="0" xfId="0" applyFont="1" applyFill="1"/>
    <xf numFmtId="0" fontId="56" fillId="50" borderId="0" xfId="0" applyFont="1" applyFill="1"/>
    <xf numFmtId="0" fontId="56" fillId="65" borderId="0" xfId="0" applyFont="1" applyFill="1"/>
    <xf numFmtId="0" fontId="56" fillId="48" borderId="0" xfId="0" applyFont="1" applyFill="1"/>
    <xf numFmtId="0" fontId="56" fillId="7" borderId="0" xfId="0" applyFont="1" applyFill="1"/>
    <xf numFmtId="0" fontId="56" fillId="69" borderId="0" xfId="0" applyFont="1" applyFill="1"/>
    <xf numFmtId="0" fontId="44" fillId="42" borderId="55" xfId="0" applyFont="1" applyFill="1" applyBorder="1" applyAlignment="1">
      <alignment horizontal="center" vertical="center"/>
    </xf>
    <xf numFmtId="0" fontId="0" fillId="0" borderId="53" xfId="0" applyBorder="1"/>
    <xf numFmtId="0" fontId="0" fillId="0" borderId="57" xfId="0" applyBorder="1"/>
    <xf numFmtId="184" fontId="28" fillId="51" borderId="61" xfId="0" applyNumberFormat="1" applyFont="1" applyFill="1" applyBorder="1" applyAlignment="1">
      <alignment horizontal="right"/>
    </xf>
    <xf numFmtId="183" fontId="28" fillId="51" borderId="61" xfId="0" applyNumberFormat="1" applyFont="1" applyFill="1" applyBorder="1" applyAlignment="1">
      <alignment horizontal="right"/>
    </xf>
    <xf numFmtId="184" fontId="28" fillId="48" borderId="62" xfId="0" applyNumberFormat="1" applyFont="1" applyFill="1" applyBorder="1" applyAlignment="1">
      <alignment horizontal="right"/>
    </xf>
    <xf numFmtId="183" fontId="28" fillId="48" borderId="62" xfId="0" applyNumberFormat="1" applyFont="1" applyFill="1" applyBorder="1" applyAlignment="1">
      <alignment horizontal="right"/>
    </xf>
    <xf numFmtId="184" fontId="28" fillId="61" borderId="63" xfId="0" applyNumberFormat="1" applyFont="1" applyFill="1" applyBorder="1" applyAlignment="1">
      <alignment horizontal="right"/>
    </xf>
    <xf numFmtId="0" fontId="0" fillId="0" borderId="0" xfId="0" quotePrefix="1"/>
    <xf numFmtId="0" fontId="18" fillId="0" borderId="0" xfId="0" applyFont="1"/>
    <xf numFmtId="183" fontId="28" fillId="48" borderId="64" xfId="0" applyNumberFormat="1" applyFont="1" applyFill="1" applyBorder="1" applyAlignment="1">
      <alignment horizontal="right"/>
    </xf>
    <xf numFmtId="0" fontId="61" fillId="70" borderId="0" xfId="0" applyFont="1" applyFill="1"/>
    <xf numFmtId="184" fontId="28" fillId="51" borderId="65" xfId="0" applyNumberFormat="1" applyFont="1" applyFill="1" applyBorder="1" applyAlignment="1">
      <alignment horizontal="right"/>
    </xf>
    <xf numFmtId="184" fontId="28" fillId="61" borderId="66" xfId="0" applyNumberFormat="1" applyFont="1" applyFill="1" applyBorder="1" applyAlignment="1">
      <alignment horizontal="right"/>
    </xf>
    <xf numFmtId="183" fontId="28" fillId="61" borderId="66" xfId="0" applyNumberFormat="1" applyFont="1" applyFill="1" applyBorder="1" applyAlignment="1">
      <alignment horizontal="right"/>
    </xf>
    <xf numFmtId="184" fontId="0" fillId="0" borderId="0" xfId="0" applyNumberFormat="1" applyAlignment="1">
      <alignment horizontal="center" vertical="center"/>
    </xf>
    <xf numFmtId="185" fontId="0" fillId="0" borderId="0" xfId="1" applyNumberFormat="1" applyFont="1" applyAlignment="1">
      <alignment vertical="center"/>
    </xf>
    <xf numFmtId="168" fontId="0" fillId="0" borderId="0" xfId="0" applyNumberFormat="1"/>
    <xf numFmtId="168" fontId="0" fillId="0" borderId="0" xfId="8" applyNumberFormat="1" applyFont="1" applyFill="1"/>
    <xf numFmtId="186" fontId="0" fillId="0" borderId="0" xfId="1" applyNumberFormat="1" applyFont="1" applyAlignment="1">
      <alignment vertical="center"/>
    </xf>
    <xf numFmtId="171" fontId="65" fillId="12" borderId="0" xfId="1" applyNumberFormat="1" applyFont="1" applyFill="1" applyAlignment="1">
      <alignment horizontal="left"/>
    </xf>
    <xf numFmtId="43" fontId="10" fillId="71" borderId="12" xfId="1" applyFont="1" applyFill="1" applyBorder="1" applyAlignment="1">
      <alignment horizontal="center" wrapText="1"/>
    </xf>
    <xf numFmtId="0" fontId="69" fillId="71" borderId="24" xfId="0" applyFont="1" applyFill="1" applyBorder="1" applyAlignment="1">
      <alignment horizontal="center" vertical="center"/>
    </xf>
    <xf numFmtId="0" fontId="66" fillId="72" borderId="46" xfId="0" applyFont="1" applyFill="1" applyBorder="1" applyAlignment="1">
      <alignment horizontal="center" vertical="center"/>
    </xf>
    <xf numFmtId="0" fontId="66" fillId="72" borderId="48" xfId="0" applyFont="1" applyFill="1" applyBorder="1" applyAlignment="1">
      <alignment horizontal="center" vertical="center"/>
    </xf>
    <xf numFmtId="0" fontId="66" fillId="72" borderId="50" xfId="0" applyFont="1" applyFill="1" applyBorder="1" applyAlignment="1">
      <alignment horizontal="center" vertical="center"/>
    </xf>
    <xf numFmtId="0" fontId="66" fillId="72" borderId="24" xfId="0" applyFont="1" applyFill="1" applyBorder="1" applyAlignment="1">
      <alignment horizontal="center" vertical="center"/>
    </xf>
    <xf numFmtId="0" fontId="67" fillId="54" borderId="0" xfId="0" applyFont="1" applyFill="1" applyAlignment="1" applyProtection="1">
      <alignment horizontal="center" vertical="center"/>
      <protection locked="0"/>
    </xf>
    <xf numFmtId="0" fontId="67" fillId="54" borderId="37" xfId="0" applyFont="1" applyFill="1" applyBorder="1" applyAlignment="1" applyProtection="1">
      <alignment horizontal="center" vertical="center"/>
      <protection locked="0"/>
    </xf>
    <xf numFmtId="166" fontId="67" fillId="54" borderId="37" xfId="1" applyNumberFormat="1" applyFont="1" applyFill="1" applyBorder="1" applyAlignment="1" applyProtection="1">
      <alignment horizontal="center" vertical="center"/>
      <protection locked="0"/>
    </xf>
    <xf numFmtId="0" fontId="67" fillId="54" borderId="36" xfId="0" applyFont="1" applyFill="1" applyBorder="1" applyAlignment="1" applyProtection="1">
      <alignment horizontal="center" vertical="center"/>
      <protection locked="0"/>
    </xf>
    <xf numFmtId="49" fontId="67" fillId="54" borderId="0" xfId="0" applyNumberFormat="1" applyFont="1" applyFill="1" applyAlignment="1">
      <alignment horizontal="center" vertical="center"/>
    </xf>
    <xf numFmtId="0" fontId="74" fillId="49" borderId="47" xfId="0" applyFont="1" applyFill="1" applyBorder="1" applyAlignment="1">
      <alignment horizontal="center" vertical="center"/>
    </xf>
    <xf numFmtId="0" fontId="74" fillId="49" borderId="49" xfId="0" applyFont="1" applyFill="1" applyBorder="1" applyAlignment="1">
      <alignment horizontal="center" vertical="center"/>
    </xf>
    <xf numFmtId="0" fontId="74" fillId="49" borderId="51" xfId="0" applyFont="1" applyFill="1" applyBorder="1" applyAlignment="1">
      <alignment horizontal="center" vertical="center"/>
    </xf>
    <xf numFmtId="0" fontId="74" fillId="49" borderId="42" xfId="0" applyFont="1" applyFill="1" applyBorder="1" applyAlignment="1">
      <alignment horizontal="center" vertical="center"/>
    </xf>
    <xf numFmtId="0" fontId="69" fillId="10" borderId="24" xfId="0" applyFont="1" applyFill="1" applyBorder="1" applyAlignment="1">
      <alignment horizontal="center" vertical="center"/>
    </xf>
    <xf numFmtId="0" fontId="73" fillId="56" borderId="0" xfId="0" applyFont="1" applyFill="1" applyAlignment="1">
      <alignment horizontal="center" vertical="center"/>
    </xf>
    <xf numFmtId="180" fontId="77" fillId="75" borderId="0" xfId="0" applyNumberFormat="1" applyFont="1" applyFill="1" applyAlignment="1">
      <alignment horizontal="center" vertical="center"/>
    </xf>
    <xf numFmtId="0" fontId="77" fillId="75" borderId="0" xfId="0" applyFont="1" applyFill="1" applyAlignment="1">
      <alignment horizontal="center" vertical="center"/>
    </xf>
    <xf numFmtId="0" fontId="78" fillId="58" borderId="54" xfId="0" applyFont="1" applyFill="1" applyBorder="1" applyAlignment="1">
      <alignment horizontal="center" vertical="center"/>
    </xf>
    <xf numFmtId="0" fontId="78" fillId="58" borderId="59" xfId="0" applyFont="1" applyFill="1" applyBorder="1" applyAlignment="1">
      <alignment horizontal="center" vertical="center"/>
    </xf>
    <xf numFmtId="0" fontId="66" fillId="54" borderId="0" xfId="0" applyFont="1" applyFill="1" applyAlignment="1">
      <alignment horizontal="center" vertical="center"/>
    </xf>
    <xf numFmtId="0" fontId="67" fillId="54" borderId="56" xfId="0" applyFont="1" applyFill="1" applyBorder="1" applyAlignment="1">
      <alignment horizontal="center" vertical="center"/>
    </xf>
    <xf numFmtId="0" fontId="68" fillId="54" borderId="58" xfId="0" applyFont="1" applyFill="1" applyBorder="1" applyAlignment="1">
      <alignment horizontal="center" vertical="center"/>
    </xf>
    <xf numFmtId="0" fontId="68" fillId="54" borderId="60" xfId="0" applyFont="1" applyFill="1" applyBorder="1" applyAlignment="1">
      <alignment horizontal="center" vertical="center"/>
    </xf>
    <xf numFmtId="49" fontId="67" fillId="54" borderId="0" xfId="0" applyNumberFormat="1" applyFont="1" applyFill="1" applyAlignment="1" applyProtection="1">
      <alignment horizontal="center" vertical="center"/>
      <protection locked="0"/>
    </xf>
    <xf numFmtId="187" fontId="0" fillId="0" borderId="0" xfId="0" applyNumberFormat="1"/>
    <xf numFmtId="49" fontId="67" fillId="54" borderId="37" xfId="0" applyNumberFormat="1" applyFont="1" applyFill="1" applyBorder="1" applyAlignment="1" applyProtection="1">
      <alignment horizontal="center" vertical="center"/>
      <protection locked="0"/>
    </xf>
    <xf numFmtId="0" fontId="81" fillId="54" borderId="61" xfId="0" applyFont="1" applyFill="1" applyBorder="1" applyAlignment="1">
      <alignment horizontal="center"/>
    </xf>
    <xf numFmtId="0" fontId="81" fillId="54" borderId="62" xfId="0" applyFont="1" applyFill="1" applyBorder="1" applyAlignment="1">
      <alignment horizontal="center"/>
    </xf>
    <xf numFmtId="0" fontId="81" fillId="54" borderId="63" xfId="0" applyFont="1" applyFill="1" applyBorder="1" applyAlignment="1">
      <alignment horizontal="center"/>
    </xf>
    <xf numFmtId="3" fontId="80" fillId="0" borderId="0" xfId="0" applyNumberFormat="1" applyFont="1" applyAlignment="1">
      <alignment horizontal="center"/>
    </xf>
    <xf numFmtId="0" fontId="61" fillId="0" borderId="0" xfId="0" applyFont="1"/>
    <xf numFmtId="0" fontId="83" fillId="0" borderId="0" xfId="0" applyFont="1"/>
    <xf numFmtId="0" fontId="2" fillId="8" borderId="0" xfId="0" applyFont="1" applyFill="1"/>
    <xf numFmtId="0" fontId="84" fillId="49" borderId="49" xfId="0" applyFont="1" applyFill="1" applyBorder="1" applyAlignment="1">
      <alignment horizontal="center" vertical="center"/>
    </xf>
    <xf numFmtId="171" fontId="85" fillId="72" borderId="0" xfId="1" applyNumberFormat="1" applyFont="1" applyFill="1" applyAlignment="1">
      <alignment horizontal="center" vertical="center"/>
    </xf>
    <xf numFmtId="0" fontId="85" fillId="72" borderId="0" xfId="3" applyFont="1" applyFill="1" applyAlignment="1">
      <alignment horizontal="center"/>
    </xf>
    <xf numFmtId="0" fontId="33" fillId="72" borderId="0" xfId="8" applyFont="1" applyFill="1" applyAlignment="1">
      <alignment horizontal="center"/>
    </xf>
    <xf numFmtId="171" fontId="85" fillId="72" borderId="0" xfId="1" applyNumberFormat="1" applyFont="1" applyFill="1" applyAlignment="1">
      <alignment horizontal="center"/>
    </xf>
    <xf numFmtId="179" fontId="0" fillId="0" borderId="0" xfId="1" applyNumberFormat="1" applyFont="1"/>
    <xf numFmtId="188" fontId="0" fillId="0" borderId="0" xfId="0" applyNumberFormat="1" applyAlignment="1">
      <alignment horizontal="center" vertical="center"/>
    </xf>
    <xf numFmtId="189" fontId="0" fillId="0" borderId="0" xfId="0" applyNumberFormat="1" applyAlignment="1">
      <alignment horizontal="center" vertical="center"/>
    </xf>
    <xf numFmtId="191" fontId="0" fillId="0" borderId="0" xfId="0" applyNumberFormat="1" applyAlignment="1">
      <alignment horizontal="center" vertical="center"/>
    </xf>
    <xf numFmtId="190" fontId="0" fillId="0" borderId="0" xfId="1" applyNumberFormat="1" applyFont="1" applyFill="1" applyBorder="1"/>
    <xf numFmtId="190" fontId="10" fillId="59" borderId="0" xfId="1" applyNumberFormat="1" applyFont="1" applyFill="1" applyBorder="1"/>
    <xf numFmtId="190" fontId="0" fillId="0" borderId="0" xfId="0" applyNumberFormat="1"/>
    <xf numFmtId="190" fontId="10" fillId="59" borderId="0" xfId="0" applyNumberFormat="1" applyFont="1" applyFill="1"/>
    <xf numFmtId="0" fontId="86" fillId="71" borderId="24" xfId="0" applyFont="1" applyFill="1" applyBorder="1" applyAlignment="1">
      <alignment horizontal="center" vertical="center"/>
    </xf>
    <xf numFmtId="184" fontId="0" fillId="0" borderId="0" xfId="0" applyNumberFormat="1"/>
    <xf numFmtId="192" fontId="0" fillId="0" borderId="0" xfId="1" applyNumberFormat="1" applyFont="1" applyAlignment="1">
      <alignment vertical="center"/>
    </xf>
    <xf numFmtId="0" fontId="1" fillId="0" borderId="0" xfId="11"/>
    <xf numFmtId="0" fontId="4" fillId="0" borderId="67" xfId="0" applyFont="1" applyBorder="1" applyAlignment="1">
      <alignment horizontal="left"/>
    </xf>
    <xf numFmtId="0" fontId="0" fillId="0" borderId="24" xfId="0" applyBorder="1" applyAlignment="1">
      <alignment horizontal="left"/>
    </xf>
    <xf numFmtId="0" fontId="28" fillId="0" borderId="0" xfId="0" applyFont="1" applyAlignment="1">
      <alignment horizontal="center" vertical="center"/>
    </xf>
    <xf numFmtId="0" fontId="1" fillId="12" borderId="0" xfId="11" applyFill="1"/>
    <xf numFmtId="3" fontId="1" fillId="12" borderId="0" xfId="11" applyNumberFormat="1" applyFill="1" applyAlignment="1">
      <alignment horizontal="center" vertical="center"/>
    </xf>
    <xf numFmtId="0" fontId="28" fillId="0" borderId="68" xfId="0" applyFont="1" applyBorder="1" applyAlignment="1">
      <alignment horizontal="center" vertical="center"/>
    </xf>
    <xf numFmtId="0" fontId="28" fillId="0" borderId="68" xfId="0" applyFont="1" applyBorder="1" applyAlignment="1">
      <alignment horizontal="center" vertical="center" wrapText="1"/>
    </xf>
    <xf numFmtId="0" fontId="28" fillId="0" borderId="68" xfId="11" applyFont="1" applyBorder="1" applyAlignment="1">
      <alignment horizontal="center" vertical="center" wrapText="1"/>
    </xf>
    <xf numFmtId="0" fontId="28" fillId="0" borderId="69" xfId="0" applyFont="1" applyBorder="1" applyAlignment="1">
      <alignment horizontal="center" vertical="center"/>
    </xf>
    <xf numFmtId="0" fontId="87" fillId="77" borderId="69" xfId="0" applyFont="1" applyFill="1" applyBorder="1" applyAlignment="1">
      <alignment horizontal="left" vertical="center"/>
    </xf>
    <xf numFmtId="0" fontId="88" fillId="18" borderId="19" xfId="11" applyFont="1" applyFill="1" applyBorder="1" applyAlignment="1" applyProtection="1">
      <alignment vertical="center"/>
      <protection locked="0"/>
    </xf>
    <xf numFmtId="0" fontId="87" fillId="12" borderId="70" xfId="0" applyFont="1" applyFill="1" applyBorder="1" applyAlignment="1" applyProtection="1">
      <alignment horizontal="center" vertical="center"/>
      <protection locked="0"/>
    </xf>
    <xf numFmtId="43" fontId="87" fillId="0" borderId="70" xfId="0" applyNumberFormat="1" applyFont="1" applyBorder="1" applyAlignment="1">
      <alignment horizontal="center" vertical="center"/>
    </xf>
    <xf numFmtId="179" fontId="87" fillId="0" borderId="70" xfId="0" applyNumberFormat="1" applyFont="1" applyBorder="1" applyAlignment="1">
      <alignment horizontal="left" vertical="center"/>
    </xf>
    <xf numFmtId="172" fontId="88" fillId="12" borderId="19" xfId="0" applyNumberFormat="1" applyFont="1" applyFill="1" applyBorder="1" applyAlignment="1">
      <alignment horizontal="center" vertical="center"/>
    </xf>
    <xf numFmtId="172" fontId="87" fillId="0" borderId="71" xfId="0" applyNumberFormat="1" applyFont="1" applyBorder="1" applyAlignment="1">
      <alignment horizontal="center" vertical="center"/>
    </xf>
    <xf numFmtId="172" fontId="87" fillId="0" borderId="69" xfId="13" applyNumberFormat="1" applyFont="1" applyBorder="1" applyAlignment="1">
      <alignment horizontal="center" vertical="center"/>
    </xf>
    <xf numFmtId="194" fontId="87" fillId="0" borderId="69" xfId="13" applyNumberFormat="1" applyFont="1" applyBorder="1" applyAlignment="1">
      <alignment horizontal="center" vertical="center"/>
    </xf>
    <xf numFmtId="43" fontId="1" fillId="0" borderId="0" xfId="11" applyNumberFormat="1"/>
    <xf numFmtId="195" fontId="1" fillId="12" borderId="0" xfId="11" applyNumberFormat="1" applyFill="1"/>
    <xf numFmtId="0" fontId="1" fillId="18" borderId="0" xfId="11" applyFill="1"/>
    <xf numFmtId="0" fontId="28" fillId="0" borderId="72" xfId="0" applyFont="1" applyBorder="1" applyAlignment="1">
      <alignment horizontal="center" vertical="center"/>
    </xf>
    <xf numFmtId="0" fontId="87" fillId="77" borderId="72" xfId="0" applyFont="1" applyFill="1" applyBorder="1" applyAlignment="1">
      <alignment horizontal="left" vertical="center"/>
    </xf>
    <xf numFmtId="1" fontId="87" fillId="12" borderId="72" xfId="0" applyNumberFormat="1" applyFont="1" applyFill="1" applyBorder="1" applyAlignment="1" applyProtection="1">
      <alignment horizontal="center" vertical="center"/>
      <protection locked="0"/>
    </xf>
    <xf numFmtId="179" fontId="87" fillId="0" borderId="72" xfId="0" applyNumberFormat="1" applyFont="1" applyBorder="1" applyAlignment="1">
      <alignment horizontal="left" vertical="center"/>
    </xf>
    <xf numFmtId="172" fontId="29" fillId="77" borderId="72" xfId="0" applyNumberFormat="1" applyFont="1" applyFill="1" applyBorder="1" applyAlignment="1">
      <alignment horizontal="center" vertical="center"/>
    </xf>
    <xf numFmtId="172" fontId="87" fillId="0" borderId="72" xfId="13" applyNumberFormat="1" applyFont="1" applyBorder="1" applyAlignment="1">
      <alignment horizontal="center" vertical="center"/>
    </xf>
    <xf numFmtId="194" fontId="87" fillId="0" borderId="72" xfId="13" applyNumberFormat="1" applyFont="1" applyBorder="1" applyAlignment="1">
      <alignment horizontal="center" vertical="center"/>
    </xf>
    <xf numFmtId="195" fontId="1" fillId="0" borderId="0" xfId="11" applyNumberFormat="1"/>
    <xf numFmtId="43" fontId="2" fillId="18" borderId="0" xfId="11" applyNumberFormat="1" applyFont="1" applyFill="1"/>
    <xf numFmtId="0" fontId="2" fillId="18" borderId="0" xfId="0" applyFont="1" applyFill="1"/>
    <xf numFmtId="0" fontId="88" fillId="18" borderId="72" xfId="0" applyFont="1" applyFill="1" applyBorder="1" applyAlignment="1">
      <alignment horizontal="left" vertical="center"/>
    </xf>
    <xf numFmtId="0" fontId="88" fillId="18" borderId="69" xfId="11" applyFont="1" applyFill="1" applyBorder="1" applyAlignment="1" applyProtection="1">
      <alignment vertical="center"/>
      <protection locked="0"/>
    </xf>
    <xf numFmtId="0" fontId="88" fillId="18" borderId="72" xfId="0" applyFont="1" applyFill="1" applyBorder="1" applyAlignment="1" applyProtection="1">
      <alignment horizontal="center" vertical="center"/>
      <protection locked="0"/>
    </xf>
    <xf numFmtId="43" fontId="87" fillId="0" borderId="72" xfId="0" applyNumberFormat="1" applyFont="1" applyBorder="1" applyAlignment="1">
      <alignment horizontal="center" vertical="center"/>
    </xf>
    <xf numFmtId="179" fontId="87" fillId="0" borderId="69" xfId="0" applyNumberFormat="1" applyFont="1" applyBorder="1" applyAlignment="1">
      <alignment horizontal="left" vertical="center"/>
    </xf>
    <xf numFmtId="0" fontId="28" fillId="0" borderId="72" xfId="11" applyFont="1" applyBorder="1" applyAlignment="1">
      <alignment horizontal="center" vertical="center"/>
    </xf>
    <xf numFmtId="0" fontId="87" fillId="0" borderId="72" xfId="11" applyFont="1" applyBorder="1" applyAlignment="1">
      <alignment horizontal="left" vertical="center"/>
    </xf>
    <xf numFmtId="0" fontId="87" fillId="0" borderId="72" xfId="11" applyFont="1" applyBorder="1" applyAlignment="1">
      <alignment horizontal="center" vertical="center"/>
    </xf>
    <xf numFmtId="179" fontId="87" fillId="0" borderId="72" xfId="11" applyNumberFormat="1" applyFont="1" applyBorder="1" applyAlignment="1">
      <alignment horizontal="center" vertical="center"/>
    </xf>
    <xf numFmtId="179" fontId="88" fillId="18" borderId="72" xfId="11" applyNumberFormat="1" applyFont="1" applyFill="1" applyBorder="1" applyAlignment="1">
      <alignment horizontal="left" vertical="center"/>
    </xf>
    <xf numFmtId="167" fontId="1" fillId="0" borderId="0" xfId="11" applyNumberFormat="1"/>
    <xf numFmtId="0" fontId="28" fillId="0" borderId="73" xfId="11" applyFont="1" applyBorder="1" applyAlignment="1">
      <alignment horizontal="center" vertical="center"/>
    </xf>
    <xf numFmtId="0" fontId="87" fillId="0" borderId="73" xfId="11" applyFont="1" applyBorder="1" applyAlignment="1">
      <alignment horizontal="left" vertical="center"/>
    </xf>
    <xf numFmtId="0" fontId="87" fillId="0" borderId="73" xfId="11" applyFont="1" applyBorder="1" applyAlignment="1">
      <alignment horizontal="center" vertical="center"/>
    </xf>
    <xf numFmtId="179" fontId="87" fillId="0" borderId="73" xfId="11" applyNumberFormat="1" applyFont="1" applyBorder="1" applyAlignment="1">
      <alignment horizontal="center" vertical="center"/>
    </xf>
    <xf numFmtId="179" fontId="88" fillId="18" borderId="73" xfId="11" applyNumberFormat="1" applyFont="1" applyFill="1" applyBorder="1" applyAlignment="1">
      <alignment horizontal="left" vertical="center"/>
    </xf>
    <xf numFmtId="172" fontId="87" fillId="0" borderId="73" xfId="13" applyNumberFormat="1" applyFont="1" applyBorder="1" applyAlignment="1">
      <alignment horizontal="center" vertical="center"/>
    </xf>
    <xf numFmtId="194" fontId="87" fillId="0" borderId="73" xfId="13" applyNumberFormat="1" applyFont="1" applyBorder="1" applyAlignment="1">
      <alignment horizontal="center" vertical="center"/>
    </xf>
    <xf numFmtId="0" fontId="1" fillId="0" borderId="0" xfId="11" applyAlignment="1">
      <alignment horizontal="center" vertical="center"/>
    </xf>
    <xf numFmtId="1" fontId="1" fillId="12" borderId="0" xfId="11" applyNumberFormat="1" applyFill="1" applyAlignment="1">
      <alignment horizontal="center" vertical="center"/>
    </xf>
    <xf numFmtId="43" fontId="18" fillId="0" borderId="19" xfId="0" applyNumberFormat="1" applyFont="1" applyBorder="1" applyAlignment="1">
      <alignment horizontal="center" vertical="center"/>
    </xf>
    <xf numFmtId="179" fontId="18" fillId="0" borderId="68" xfId="0" applyNumberFormat="1" applyFont="1" applyBorder="1" applyAlignment="1">
      <alignment horizontal="left" vertical="center"/>
    </xf>
    <xf numFmtId="172" fontId="28" fillId="0" borderId="21" xfId="0" applyNumberFormat="1" applyFont="1" applyBorder="1" applyAlignment="1">
      <alignment horizontal="left" vertical="center" wrapText="1"/>
    </xf>
    <xf numFmtId="172" fontId="28" fillId="0" borderId="21" xfId="13" applyNumberFormat="1" applyFont="1" applyBorder="1" applyAlignment="1">
      <alignment horizontal="center" vertical="center"/>
    </xf>
    <xf numFmtId="194" fontId="28" fillId="0" borderId="21" xfId="13" applyNumberFormat="1" applyFont="1" applyBorder="1" applyAlignment="1">
      <alignment horizontal="center" vertical="center"/>
    </xf>
    <xf numFmtId="167" fontId="87" fillId="0" borderId="68" xfId="0" applyNumberFormat="1" applyFont="1" applyBorder="1" applyAlignment="1">
      <alignment horizontal="left" vertical="center"/>
    </xf>
    <xf numFmtId="172" fontId="88" fillId="18" borderId="68" xfId="13" applyNumberFormat="1" applyFont="1" applyFill="1" applyBorder="1" applyAlignment="1">
      <alignment horizontal="center" vertical="center"/>
    </xf>
    <xf numFmtId="194" fontId="87" fillId="0" borderId="68" xfId="13" applyNumberFormat="1" applyFont="1" applyBorder="1" applyAlignment="1">
      <alignment horizontal="center" vertical="center"/>
    </xf>
    <xf numFmtId="194" fontId="87" fillId="0" borderId="74" xfId="13" applyNumberFormat="1" applyFont="1" applyBorder="1" applyAlignment="1">
      <alignment horizontal="center" vertical="center"/>
    </xf>
    <xf numFmtId="172" fontId="88" fillId="0" borderId="75" xfId="13" applyNumberFormat="1" applyFont="1" applyFill="1" applyBorder="1" applyAlignment="1">
      <alignment horizontal="center" vertical="center"/>
    </xf>
    <xf numFmtId="0" fontId="1" fillId="12" borderId="2" xfId="11" applyFill="1" applyBorder="1" applyAlignment="1">
      <alignment horizontal="center" vertical="center"/>
    </xf>
    <xf numFmtId="0" fontId="1" fillId="0" borderId="2" xfId="11" applyBorder="1" applyAlignment="1">
      <alignment horizontal="center" vertical="center"/>
    </xf>
    <xf numFmtId="0" fontId="2" fillId="0" borderId="0" xfId="11" applyFont="1" applyAlignment="1">
      <alignment horizontal="center" vertical="center"/>
    </xf>
    <xf numFmtId="177" fontId="0" fillId="0" borderId="0" xfId="0" applyNumberFormat="1"/>
    <xf numFmtId="172" fontId="87" fillId="0" borderId="68" xfId="13" applyNumberFormat="1" applyFont="1" applyBorder="1" applyAlignment="1">
      <alignment horizontal="center" vertical="center"/>
    </xf>
    <xf numFmtId="172" fontId="87" fillId="0" borderId="75" xfId="13" applyNumberFormat="1" applyFont="1" applyFill="1" applyBorder="1" applyAlignment="1">
      <alignment horizontal="center" vertical="center"/>
    </xf>
    <xf numFmtId="43" fontId="1" fillId="0" borderId="0" xfId="11" applyNumberFormat="1" applyAlignment="1">
      <alignment horizontal="center" vertical="center"/>
    </xf>
    <xf numFmtId="172" fontId="87" fillId="12" borderId="68" xfId="13" applyNumberFormat="1" applyFont="1" applyFill="1" applyBorder="1" applyAlignment="1">
      <alignment horizontal="center" vertical="center"/>
    </xf>
    <xf numFmtId="0" fontId="0" fillId="18" borderId="0" xfId="0" applyFill="1"/>
    <xf numFmtId="0" fontId="0" fillId="18" borderId="0" xfId="0" applyFill="1" applyAlignment="1">
      <alignment horizontal="center"/>
    </xf>
    <xf numFmtId="9" fontId="1" fillId="0" borderId="0" xfId="2" applyAlignment="1">
      <alignment horizontal="center" vertical="center"/>
    </xf>
    <xf numFmtId="0" fontId="28" fillId="0" borderId="22" xfId="11" applyFont="1" applyBorder="1" applyAlignment="1">
      <alignment horizontal="left" vertical="center"/>
    </xf>
    <xf numFmtId="196" fontId="28" fillId="0" borderId="22" xfId="13" applyNumberFormat="1" applyFont="1" applyBorder="1" applyAlignment="1">
      <alignment horizontal="center" vertical="center"/>
    </xf>
    <xf numFmtId="194" fontId="28" fillId="0" borderId="22" xfId="13" applyNumberFormat="1" applyFont="1" applyBorder="1" applyAlignment="1">
      <alignment horizontal="center" vertical="center"/>
    </xf>
    <xf numFmtId="0" fontId="1" fillId="0" borderId="0" xfId="11" applyAlignment="1">
      <alignment horizontal="left" vertical="center"/>
    </xf>
    <xf numFmtId="0" fontId="1" fillId="0" borderId="0" xfId="11" applyAlignment="1">
      <alignment vertical="center"/>
    </xf>
    <xf numFmtId="167" fontId="0" fillId="0" borderId="0" xfId="0" applyNumberFormat="1" applyAlignment="1">
      <alignment horizontal="center" vertical="center"/>
    </xf>
    <xf numFmtId="167" fontId="1" fillId="0" borderId="0" xfId="11" applyNumberFormat="1" applyAlignment="1">
      <alignment horizontal="center" vertical="center"/>
    </xf>
    <xf numFmtId="0" fontId="18" fillId="0" borderId="77" xfId="11" applyFont="1" applyBorder="1" applyAlignment="1">
      <alignment horizontal="center" vertical="center"/>
    </xf>
    <xf numFmtId="0" fontId="28" fillId="22" borderId="78" xfId="11" applyFont="1" applyFill="1" applyBorder="1" applyAlignment="1">
      <alignment horizontal="left" vertical="center"/>
    </xf>
    <xf numFmtId="172" fontId="28" fillId="22" borderId="79" xfId="11" applyNumberFormat="1" applyFont="1" applyFill="1" applyBorder="1" applyAlignment="1">
      <alignment horizontal="left" vertical="center"/>
    </xf>
    <xf numFmtId="194" fontId="28" fillId="22" borderId="80" xfId="13" applyNumberFormat="1" applyFont="1" applyFill="1" applyBorder="1" applyAlignment="1">
      <alignment horizontal="center" vertical="center"/>
    </xf>
    <xf numFmtId="172" fontId="18" fillId="0" borderId="68" xfId="11" applyNumberFormat="1" applyFont="1" applyBorder="1" applyAlignment="1">
      <alignment horizontal="center" vertical="center"/>
    </xf>
    <xf numFmtId="196" fontId="18" fillId="0" borderId="68" xfId="13" applyNumberFormat="1" applyFont="1" applyBorder="1" applyAlignment="1">
      <alignment horizontal="center" vertical="center"/>
    </xf>
    <xf numFmtId="194" fontId="28" fillId="0" borderId="68" xfId="13" applyNumberFormat="1" applyFont="1" applyBorder="1" applyAlignment="1">
      <alignment horizontal="center" vertical="center"/>
    </xf>
    <xf numFmtId="194" fontId="18" fillId="0" borderId="68" xfId="13" applyNumberFormat="1" applyFont="1" applyBorder="1" applyAlignment="1">
      <alignment horizontal="center" vertical="center"/>
    </xf>
    <xf numFmtId="0" fontId="1" fillId="12" borderId="0" xfId="11" applyFill="1" applyAlignment="1">
      <alignment horizontal="center" vertical="center"/>
    </xf>
    <xf numFmtId="9" fontId="1" fillId="12" borderId="0" xfId="2" applyFill="1" applyAlignment="1">
      <alignment horizontal="center" vertical="center"/>
    </xf>
    <xf numFmtId="0" fontId="18" fillId="0" borderId="82" xfId="11" applyFont="1" applyBorder="1" applyAlignment="1">
      <alignment horizontal="center" vertical="center"/>
    </xf>
    <xf numFmtId="0" fontId="28" fillId="22" borderId="83" xfId="11" applyFont="1" applyFill="1" applyBorder="1" applyAlignment="1">
      <alignment horizontal="left" vertical="center"/>
    </xf>
    <xf numFmtId="172" fontId="28" fillId="22" borderId="83" xfId="11" applyNumberFormat="1" applyFont="1" applyFill="1" applyBorder="1" applyAlignment="1">
      <alignment horizontal="left" vertical="center"/>
    </xf>
    <xf numFmtId="197" fontId="1" fillId="0" borderId="0" xfId="11" applyNumberFormat="1" applyAlignment="1">
      <alignment horizontal="center" vertical="center"/>
    </xf>
    <xf numFmtId="0" fontId="28" fillId="9" borderId="78" xfId="11" applyFont="1" applyFill="1" applyBorder="1" applyAlignment="1">
      <alignment horizontal="left" vertical="center"/>
    </xf>
    <xf numFmtId="172" fontId="28" fillId="9" borderId="79" xfId="11" applyNumberFormat="1" applyFont="1" applyFill="1" applyBorder="1" applyAlignment="1">
      <alignment horizontal="left" vertical="center"/>
    </xf>
    <xf numFmtId="197" fontId="0" fillId="0" borderId="0" xfId="0" applyNumberFormat="1"/>
    <xf numFmtId="0" fontId="28" fillId="9" borderId="83" xfId="11" applyFont="1" applyFill="1" applyBorder="1" applyAlignment="1">
      <alignment horizontal="left" vertical="center"/>
    </xf>
    <xf numFmtId="172" fontId="28" fillId="9" borderId="2" xfId="11" applyNumberFormat="1" applyFont="1" applyFill="1" applyBorder="1" applyAlignment="1">
      <alignment horizontal="left" vertical="center"/>
    </xf>
    <xf numFmtId="197" fontId="1" fillId="0" borderId="0" xfId="11" applyNumberFormat="1"/>
    <xf numFmtId="4" fontId="1" fillId="0" borderId="0" xfId="11" applyNumberFormat="1" applyAlignment="1">
      <alignment horizontal="center"/>
    </xf>
    <xf numFmtId="4" fontId="0" fillId="0" borderId="0" xfId="0" applyNumberFormat="1" applyAlignment="1">
      <alignment horizontal="center"/>
    </xf>
    <xf numFmtId="3" fontId="1" fillId="0" borderId="0" xfId="11" applyNumberFormat="1"/>
    <xf numFmtId="0" fontId="0" fillId="12" borderId="0" xfId="0" applyFill="1"/>
    <xf numFmtId="10" fontId="1" fillId="18" borderId="0" xfId="11" applyNumberFormat="1" applyFill="1"/>
    <xf numFmtId="177" fontId="1" fillId="0" borderId="0" xfId="11" applyNumberFormat="1" applyAlignment="1">
      <alignment horizontal="center" vertical="center"/>
    </xf>
    <xf numFmtId="9" fontId="1" fillId="0" borderId="0" xfId="11" applyNumberFormat="1"/>
    <xf numFmtId="177" fontId="1" fillId="12" borderId="0" xfId="11" applyNumberFormat="1" applyFill="1" applyAlignment="1">
      <alignment horizontal="center" vertical="center"/>
    </xf>
    <xf numFmtId="0" fontId="4" fillId="11" borderId="84" xfId="11" applyFont="1" applyFill="1" applyBorder="1" applyAlignment="1">
      <alignment horizontal="center" vertical="center"/>
    </xf>
    <xf numFmtId="3" fontId="4" fillId="11" borderId="85" xfId="11" applyNumberFormat="1" applyFont="1" applyFill="1" applyBorder="1" applyAlignment="1">
      <alignment horizontal="center" vertical="center"/>
    </xf>
    <xf numFmtId="3" fontId="2" fillId="18" borderId="0" xfId="11" applyNumberFormat="1" applyFont="1" applyFill="1" applyAlignment="1">
      <alignment horizontal="center" vertical="center"/>
    </xf>
    <xf numFmtId="0" fontId="4" fillId="78" borderId="84" xfId="11" applyFont="1" applyFill="1" applyBorder="1" applyAlignment="1">
      <alignment horizontal="center" vertical="center"/>
    </xf>
    <xf numFmtId="3" fontId="4" fillId="78" borderId="85" xfId="11" applyNumberFormat="1" applyFont="1" applyFill="1" applyBorder="1" applyAlignment="1">
      <alignment horizontal="center" vertical="center"/>
    </xf>
    <xf numFmtId="4" fontId="1" fillId="0" borderId="32" xfId="11" applyNumberFormat="1" applyBorder="1" applyAlignment="1">
      <alignment horizontal="center"/>
    </xf>
    <xf numFmtId="4" fontId="0" fillId="0" borderId="32" xfId="0" applyNumberFormat="1" applyBorder="1" applyAlignment="1">
      <alignment horizontal="center"/>
    </xf>
    <xf numFmtId="0" fontId="89" fillId="0" borderId="0" xfId="11" applyFont="1"/>
    <xf numFmtId="0" fontId="0" fillId="0" borderId="2" xfId="11" applyFont="1" applyBorder="1" applyAlignment="1">
      <alignment horizontal="center" vertical="center"/>
    </xf>
    <xf numFmtId="3" fontId="1" fillId="0" borderId="2" xfId="11" applyNumberFormat="1" applyBorder="1" applyAlignment="1">
      <alignment horizontal="center" vertical="center"/>
    </xf>
    <xf numFmtId="0" fontId="1" fillId="0" borderId="0" xfId="11" applyAlignment="1">
      <alignment horizontal="center"/>
    </xf>
    <xf numFmtId="3" fontId="0" fillId="0" borderId="85" xfId="11" applyNumberFormat="1" applyFont="1" applyBorder="1" applyAlignment="1">
      <alignment horizontal="center" vertical="center"/>
    </xf>
    <xf numFmtId="198" fontId="1" fillId="0" borderId="0" xfId="11" applyNumberFormat="1" applyAlignment="1">
      <alignment horizontal="center"/>
    </xf>
    <xf numFmtId="0" fontId="0" fillId="19" borderId="2" xfId="0" applyFill="1" applyBorder="1"/>
    <xf numFmtId="0" fontId="0" fillId="19" borderId="2" xfId="0" applyFill="1" applyBorder="1" applyAlignment="1">
      <alignment horizontal="center"/>
    </xf>
    <xf numFmtId="198" fontId="1" fillId="0" borderId="0" xfId="11" applyNumberFormat="1"/>
    <xf numFmtId="199" fontId="1" fillId="0" borderId="0" xfId="11" applyNumberFormat="1"/>
    <xf numFmtId="0" fontId="1" fillId="19" borderId="2" xfId="11" applyFill="1" applyBorder="1" applyAlignment="1">
      <alignment horizontal="center" vertical="center"/>
    </xf>
    <xf numFmtId="172" fontId="1" fillId="19" borderId="2" xfId="11" applyNumberFormat="1" applyFill="1" applyBorder="1" applyAlignment="1">
      <alignment horizontal="center" vertical="center"/>
    </xf>
    <xf numFmtId="172" fontId="0" fillId="19" borderId="2" xfId="0" applyNumberFormat="1" applyFill="1" applyBorder="1"/>
    <xf numFmtId="200" fontId="0" fillId="19" borderId="2" xfId="0" applyNumberFormat="1" applyFill="1" applyBorder="1"/>
    <xf numFmtId="0" fontId="90" fillId="0" borderId="0" xfId="0" applyFont="1" applyAlignment="1">
      <alignment horizontal="center"/>
    </xf>
    <xf numFmtId="0" fontId="91" fillId="0" borderId="0" xfId="0" applyFont="1" applyAlignment="1">
      <alignment horizontal="center" vertical="center"/>
    </xf>
    <xf numFmtId="201" fontId="91" fillId="0" borderId="0" xfId="0" applyNumberFormat="1" applyFont="1" applyAlignment="1">
      <alignment horizontal="center" vertical="center"/>
    </xf>
    <xf numFmtId="9" fontId="1" fillId="0" borderId="0" xfId="11" applyNumberFormat="1" applyAlignment="1">
      <alignment horizontal="center" vertical="center"/>
    </xf>
    <xf numFmtId="0" fontId="0" fillId="19" borderId="30" xfId="0" applyFill="1" applyBorder="1"/>
    <xf numFmtId="4" fontId="0" fillId="19" borderId="33" xfId="0" applyNumberFormat="1" applyFill="1" applyBorder="1" applyAlignment="1">
      <alignment horizontal="center"/>
    </xf>
    <xf numFmtId="0" fontId="0" fillId="19" borderId="31" xfId="0" applyFill="1" applyBorder="1"/>
    <xf numFmtId="164" fontId="0" fillId="19" borderId="34" xfId="2" applyNumberFormat="1" applyFont="1" applyFill="1" applyBorder="1" applyAlignment="1">
      <alignment horizontal="center"/>
    </xf>
    <xf numFmtId="0" fontId="0" fillId="77" borderId="0" xfId="0" applyFill="1"/>
    <xf numFmtId="176" fontId="0" fillId="78" borderId="0" xfId="0" applyNumberFormat="1" applyFill="1"/>
    <xf numFmtId="0" fontId="92" fillId="79" borderId="0" xfId="0" applyFont="1" applyFill="1" applyAlignment="1">
      <alignment horizontal="left" vertical="center"/>
    </xf>
    <xf numFmtId="0" fontId="30" fillId="79" borderId="0" xfId="0" applyFont="1" applyFill="1" applyAlignment="1">
      <alignment horizontal="center" vertical="center"/>
    </xf>
    <xf numFmtId="9" fontId="0" fillId="77" borderId="0" xfId="0" applyNumberFormat="1" applyFill="1"/>
    <xf numFmtId="0" fontId="93" fillId="21" borderId="86" xfId="0" applyFont="1" applyFill="1" applyBorder="1" applyAlignment="1">
      <alignment vertical="center"/>
    </xf>
    <xf numFmtId="0" fontId="93" fillId="21" borderId="80" xfId="0" applyFont="1" applyFill="1" applyBorder="1" applyAlignment="1">
      <alignment horizontal="center" vertical="center"/>
    </xf>
    <xf numFmtId="0" fontId="87" fillId="21" borderId="87" xfId="0" applyFont="1" applyFill="1" applyBorder="1"/>
    <xf numFmtId="0" fontId="87" fillId="21" borderId="88" xfId="0" applyFont="1" applyFill="1" applyBorder="1" applyAlignment="1">
      <alignment horizontal="center"/>
    </xf>
    <xf numFmtId="0" fontId="87" fillId="77" borderId="0" xfId="0" applyFont="1" applyFill="1"/>
    <xf numFmtId="0" fontId="87" fillId="21" borderId="88" xfId="11" applyFont="1" applyFill="1" applyBorder="1" applyAlignment="1">
      <alignment horizontal="center"/>
    </xf>
    <xf numFmtId="0" fontId="91" fillId="11" borderId="0" xfId="0" applyFont="1" applyFill="1" applyAlignment="1">
      <alignment horizontal="center" vertical="center"/>
    </xf>
    <xf numFmtId="201" fontId="91" fillId="11" borderId="0" xfId="0" applyNumberFormat="1" applyFont="1" applyFill="1" applyAlignment="1">
      <alignment horizontal="center" vertical="center"/>
    </xf>
    <xf numFmtId="3" fontId="87" fillId="21" borderId="88" xfId="0" applyNumberFormat="1" applyFont="1" applyFill="1" applyBorder="1" applyAlignment="1">
      <alignment horizontal="center"/>
    </xf>
    <xf numFmtId="0" fontId="87" fillId="80" borderId="0" xfId="0" applyFont="1" applyFill="1" applyAlignment="1">
      <alignment horizontal="center"/>
    </xf>
    <xf numFmtId="0" fontId="0" fillId="80" borderId="0" xfId="0" applyFill="1" applyAlignment="1">
      <alignment horizontal="center"/>
    </xf>
    <xf numFmtId="0" fontId="31" fillId="11" borderId="0" xfId="0" applyFont="1" applyFill="1" applyAlignment="1">
      <alignment horizontal="center"/>
    </xf>
    <xf numFmtId="3" fontId="31" fillId="11" borderId="0" xfId="0" applyNumberFormat="1" applyFont="1" applyFill="1" applyAlignment="1">
      <alignment horizontal="center"/>
    </xf>
    <xf numFmtId="0" fontId="94" fillId="0" borderId="0" xfId="0" applyFont="1"/>
    <xf numFmtId="193" fontId="0" fillId="0" borderId="0" xfId="12" applyNumberFormat="1" applyFont="1"/>
    <xf numFmtId="0" fontId="28" fillId="77" borderId="0" xfId="0" applyFont="1" applyFill="1"/>
    <xf numFmtId="164" fontId="0" fillId="0" borderId="0" xfId="2" applyNumberFormat="1" applyFont="1"/>
    <xf numFmtId="193" fontId="0" fillId="0" borderId="0" xfId="0" applyNumberFormat="1"/>
    <xf numFmtId="0" fontId="95" fillId="77" borderId="0" xfId="0" applyFont="1" applyFill="1"/>
    <xf numFmtId="0" fontId="96" fillId="0" borderId="0" xfId="0" applyFont="1" applyAlignment="1">
      <alignment vertical="center" wrapText="1"/>
    </xf>
    <xf numFmtId="201" fontId="0" fillId="0" borderId="0" xfId="12" applyNumberFormat="1" applyFont="1"/>
    <xf numFmtId="201" fontId="0" fillId="0" borderId="0" xfId="0" applyNumberFormat="1"/>
    <xf numFmtId="199" fontId="0" fillId="0" borderId="0" xfId="0" applyNumberFormat="1"/>
    <xf numFmtId="202" fontId="0" fillId="0" borderId="0" xfId="12" applyNumberFormat="1" applyFont="1"/>
    <xf numFmtId="0" fontId="87" fillId="77" borderId="24" xfId="0" applyFont="1" applyFill="1" applyBorder="1"/>
    <xf numFmtId="0" fontId="87" fillId="77" borderId="0" xfId="0" applyFont="1" applyFill="1" applyAlignment="1">
      <alignment horizontal="center"/>
    </xf>
    <xf numFmtId="203" fontId="0" fillId="0" borderId="0" xfId="0" applyNumberFormat="1"/>
    <xf numFmtId="0" fontId="28" fillId="21" borderId="87" xfId="0" applyFont="1" applyFill="1" applyBorder="1" applyAlignment="1">
      <alignment wrapText="1"/>
    </xf>
    <xf numFmtId="204" fontId="87" fillId="21" borderId="88" xfId="0" applyNumberFormat="1" applyFont="1" applyFill="1" applyBorder="1" applyAlignment="1">
      <alignment horizontal="center"/>
    </xf>
    <xf numFmtId="0" fontId="1" fillId="19" borderId="0" xfId="11" applyFill="1" applyAlignment="1">
      <alignment horizontal="center" vertical="center"/>
    </xf>
    <xf numFmtId="0" fontId="28" fillId="11" borderId="87" xfId="0" applyFont="1" applyFill="1" applyBorder="1" applyAlignment="1">
      <alignment wrapText="1"/>
    </xf>
    <xf numFmtId="204" fontId="28" fillId="11" borderId="88" xfId="0" applyNumberFormat="1" applyFont="1" applyFill="1" applyBorder="1" applyAlignment="1">
      <alignment horizontal="center"/>
    </xf>
    <xf numFmtId="0" fontId="28" fillId="11" borderId="89" xfId="0" applyFont="1" applyFill="1" applyBorder="1"/>
    <xf numFmtId="205" fontId="28" fillId="11" borderId="90" xfId="0" applyNumberFormat="1" applyFont="1" applyFill="1" applyBorder="1" applyAlignment="1">
      <alignment horizontal="center"/>
    </xf>
    <xf numFmtId="198" fontId="0" fillId="0" borderId="0" xfId="0" applyNumberFormat="1"/>
    <xf numFmtId="0" fontId="87" fillId="0" borderId="24" xfId="0" applyFont="1" applyBorder="1"/>
    <xf numFmtId="206" fontId="87" fillId="0" borderId="0" xfId="0" applyNumberFormat="1" applyFont="1"/>
    <xf numFmtId="0" fontId="87" fillId="21" borderId="89" xfId="0" applyFont="1" applyFill="1" applyBorder="1" applyAlignment="1">
      <alignment wrapText="1"/>
    </xf>
    <xf numFmtId="206" fontId="87" fillId="21" borderId="91" xfId="0" applyNumberFormat="1" applyFont="1" applyFill="1" applyBorder="1" applyAlignment="1">
      <alignment horizontal="center"/>
    </xf>
    <xf numFmtId="206" fontId="0" fillId="0" borderId="0" xfId="0" applyNumberFormat="1"/>
    <xf numFmtId="0" fontId="4" fillId="81" borderId="86" xfId="0" applyFont="1" applyFill="1" applyBorder="1"/>
    <xf numFmtId="207" fontId="28" fillId="81" borderId="80" xfId="0" applyNumberFormat="1" applyFont="1" applyFill="1" applyBorder="1" applyAlignment="1">
      <alignment horizontal="center"/>
    </xf>
    <xf numFmtId="208" fontId="0" fillId="0" borderId="0" xfId="12" applyNumberFormat="1" applyFont="1"/>
    <xf numFmtId="0" fontId="4" fillId="81" borderId="89" xfId="0" applyFont="1" applyFill="1" applyBorder="1"/>
    <xf numFmtId="209" fontId="28" fillId="81" borderId="90" xfId="0" applyNumberFormat="1" applyFont="1" applyFill="1" applyBorder="1" applyAlignment="1">
      <alignment horizontal="center"/>
    </xf>
    <xf numFmtId="0" fontId="95" fillId="0" borderId="0" xfId="0" applyFont="1"/>
    <xf numFmtId="0" fontId="98" fillId="0" borderId="92" xfId="0" applyFont="1" applyBorder="1" applyAlignment="1">
      <alignment horizontal="right" wrapText="1"/>
    </xf>
    <xf numFmtId="0" fontId="98" fillId="0" borderId="92" xfId="0" applyFont="1" applyBorder="1" applyAlignment="1">
      <alignment wrapText="1"/>
    </xf>
    <xf numFmtId="188" fontId="0" fillId="0" borderId="0" xfId="0" applyNumberFormat="1"/>
    <xf numFmtId="0" fontId="10" fillId="71" borderId="0" xfId="0" applyFont="1" applyFill="1"/>
    <xf numFmtId="0" fontId="101" fillId="73" borderId="0" xfId="3" applyFont="1" applyFill="1" applyAlignment="1">
      <alignment horizontal="center" wrapText="1"/>
    </xf>
    <xf numFmtId="0" fontId="101" fillId="73" borderId="0" xfId="3" applyFont="1" applyFill="1" applyAlignment="1">
      <alignment horizontal="center"/>
    </xf>
    <xf numFmtId="0" fontId="102" fillId="73" borderId="0" xfId="0" applyFont="1" applyFill="1" applyAlignment="1">
      <alignment horizontal="center"/>
    </xf>
    <xf numFmtId="43" fontId="10" fillId="71" borderId="93" xfId="1" applyFont="1" applyFill="1" applyBorder="1" applyAlignment="1">
      <alignment horizontal="center" vertical="center" wrapText="1"/>
    </xf>
    <xf numFmtId="43" fontId="10" fillId="71" borderId="94" xfId="1" applyFont="1" applyFill="1" applyBorder="1" applyAlignment="1">
      <alignment horizontal="center" vertical="center" wrapText="1"/>
    </xf>
    <xf numFmtId="165" fontId="10" fillId="71" borderId="94" xfId="1" applyNumberFormat="1" applyFont="1" applyFill="1" applyBorder="1" applyAlignment="1">
      <alignment horizontal="center" vertical="center" wrapText="1"/>
    </xf>
    <xf numFmtId="171" fontId="10" fillId="71" borderId="94" xfId="1" applyNumberFormat="1" applyFont="1" applyFill="1" applyBorder="1" applyAlignment="1">
      <alignment horizontal="center" vertical="center" wrapText="1"/>
    </xf>
    <xf numFmtId="43" fontId="10" fillId="82" borderId="94" xfId="1" applyFont="1" applyFill="1" applyBorder="1" applyAlignment="1">
      <alignment horizontal="center" vertical="center" wrapText="1"/>
    </xf>
    <xf numFmtId="43" fontId="10" fillId="82" borderId="95" xfId="1" applyFont="1" applyFill="1" applyBorder="1" applyAlignment="1">
      <alignment horizontal="center" vertical="center" wrapText="1"/>
    </xf>
    <xf numFmtId="166" fontId="91" fillId="76" borderId="96" xfId="1" applyNumberFormat="1" applyFont="1" applyFill="1" applyBorder="1" applyAlignment="1">
      <alignment horizontal="center" vertical="center"/>
    </xf>
    <xf numFmtId="164" fontId="91" fillId="54" borderId="97" xfId="2" applyNumberFormat="1" applyFont="1" applyFill="1" applyBorder="1" applyAlignment="1">
      <alignment horizontal="center" vertical="center"/>
    </xf>
    <xf numFmtId="0" fontId="91" fillId="54" borderId="97" xfId="2" applyNumberFormat="1" applyFont="1" applyFill="1" applyBorder="1" applyAlignment="1">
      <alignment horizontal="center" vertical="center"/>
    </xf>
    <xf numFmtId="166" fontId="91" fillId="51" borderId="96" xfId="1" applyNumberFormat="1" applyFont="1" applyFill="1" applyBorder="1" applyAlignment="1">
      <alignment horizontal="center" vertical="center"/>
    </xf>
    <xf numFmtId="164" fontId="91" fillId="58" borderId="97" xfId="2" applyNumberFormat="1" applyFont="1" applyFill="1" applyBorder="1" applyAlignment="1">
      <alignment horizontal="center" vertical="center"/>
    </xf>
    <xf numFmtId="0" fontId="91" fillId="58" borderId="97" xfId="2" applyNumberFormat="1" applyFont="1" applyFill="1" applyBorder="1" applyAlignment="1">
      <alignment horizontal="center" vertical="center"/>
    </xf>
    <xf numFmtId="166" fontId="91" fillId="51" borderId="99" xfId="1" applyNumberFormat="1" applyFont="1" applyFill="1" applyBorder="1" applyAlignment="1">
      <alignment horizontal="center" vertical="center"/>
    </xf>
    <xf numFmtId="0" fontId="91" fillId="58" borderId="100" xfId="2" applyNumberFormat="1" applyFont="1" applyFill="1" applyBorder="1" applyAlignment="1">
      <alignment horizontal="center" vertical="center"/>
    </xf>
    <xf numFmtId="3" fontId="91" fillId="76" borderId="97" xfId="1" applyNumberFormat="1" applyFont="1" applyFill="1" applyBorder="1" applyAlignment="1">
      <alignment horizontal="center" vertical="center"/>
    </xf>
    <xf numFmtId="3" fontId="91" fillId="51" borderId="97" xfId="1" applyNumberFormat="1" applyFont="1" applyFill="1" applyBorder="1" applyAlignment="1">
      <alignment horizontal="center" vertical="center"/>
    </xf>
    <xf numFmtId="3" fontId="91" fillId="51" borderId="100" xfId="1" applyNumberFormat="1" applyFont="1" applyFill="1" applyBorder="1" applyAlignment="1">
      <alignment horizontal="center" vertical="center"/>
    </xf>
    <xf numFmtId="2" fontId="91" fillId="76" borderId="97" xfId="1" applyNumberFormat="1" applyFont="1" applyFill="1" applyBorder="1" applyAlignment="1">
      <alignment horizontal="center" vertical="center"/>
    </xf>
    <xf numFmtId="2" fontId="91" fillId="51" borderId="97" xfId="1" applyNumberFormat="1" applyFont="1" applyFill="1" applyBorder="1" applyAlignment="1">
      <alignment horizontal="center" vertical="center"/>
    </xf>
    <xf numFmtId="2" fontId="91" fillId="51" borderId="100" xfId="1" applyNumberFormat="1" applyFont="1" applyFill="1" applyBorder="1" applyAlignment="1">
      <alignment horizontal="center" vertical="center"/>
    </xf>
    <xf numFmtId="3" fontId="91" fillId="51" borderId="97" xfId="0" applyNumberFormat="1" applyFont="1" applyFill="1" applyBorder="1" applyAlignment="1">
      <alignment horizontal="center" vertical="center"/>
    </xf>
    <xf numFmtId="3" fontId="91" fillId="76" borderId="97" xfId="0" applyNumberFormat="1" applyFont="1" applyFill="1" applyBorder="1" applyAlignment="1">
      <alignment horizontal="center" vertical="center"/>
    </xf>
    <xf numFmtId="210" fontId="91" fillId="76" borderId="97" xfId="1" applyNumberFormat="1" applyFont="1" applyFill="1" applyBorder="1" applyAlignment="1">
      <alignment horizontal="center" vertical="center"/>
    </xf>
    <xf numFmtId="210" fontId="91" fillId="51" borderId="97" xfId="1" applyNumberFormat="1" applyFont="1" applyFill="1" applyBorder="1" applyAlignment="1">
      <alignment horizontal="center" vertical="center"/>
    </xf>
    <xf numFmtId="210" fontId="91" fillId="51" borderId="100" xfId="1" applyNumberFormat="1" applyFont="1" applyFill="1" applyBorder="1" applyAlignment="1">
      <alignment horizontal="center" vertical="center"/>
    </xf>
    <xf numFmtId="3" fontId="91" fillId="51" borderId="100" xfId="0" applyNumberFormat="1" applyFont="1" applyFill="1" applyBorder="1" applyAlignment="1">
      <alignment horizontal="center" vertical="center"/>
    </xf>
    <xf numFmtId="184" fontId="91" fillId="54" borderId="97" xfId="0" applyNumberFormat="1" applyFont="1" applyFill="1" applyBorder="1" applyAlignment="1">
      <alignment horizontal="center" vertical="center"/>
    </xf>
    <xf numFmtId="184" fontId="91" fillId="54" borderId="97" xfId="1" applyNumberFormat="1" applyFont="1" applyFill="1" applyBorder="1" applyAlignment="1">
      <alignment horizontal="center" vertical="center"/>
    </xf>
    <xf numFmtId="184" fontId="91" fillId="58" borderId="97" xfId="0" applyNumberFormat="1" applyFont="1" applyFill="1" applyBorder="1" applyAlignment="1">
      <alignment horizontal="center" vertical="center"/>
    </xf>
    <xf numFmtId="184" fontId="91" fillId="58" borderId="97" xfId="1" applyNumberFormat="1" applyFont="1" applyFill="1" applyBorder="1" applyAlignment="1">
      <alignment horizontal="center" vertical="center"/>
    </xf>
    <xf numFmtId="184" fontId="91" fillId="58" borderId="100" xfId="0" applyNumberFormat="1" applyFont="1" applyFill="1" applyBorder="1" applyAlignment="1">
      <alignment horizontal="center" vertical="center"/>
    </xf>
    <xf numFmtId="184" fontId="91" fillId="58" borderId="100" xfId="1" applyNumberFormat="1" applyFont="1" applyFill="1" applyBorder="1" applyAlignment="1">
      <alignment horizontal="center" vertical="center"/>
    </xf>
    <xf numFmtId="164" fontId="91" fillId="58" borderId="100" xfId="2" applyNumberFormat="1" applyFont="1" applyFill="1" applyBorder="1" applyAlignment="1">
      <alignment horizontal="center" vertical="center"/>
    </xf>
    <xf numFmtId="184" fontId="91" fillId="54" borderId="97" xfId="2" applyNumberFormat="1" applyFont="1" applyFill="1" applyBorder="1" applyAlignment="1">
      <alignment horizontal="center" vertical="center"/>
    </xf>
    <xf numFmtId="184" fontId="91" fillId="58" borderId="97" xfId="2" applyNumberFormat="1" applyFont="1" applyFill="1" applyBorder="1" applyAlignment="1">
      <alignment horizontal="center" vertical="center"/>
    </xf>
    <xf numFmtId="184" fontId="91" fillId="58" borderId="97" xfId="2" applyNumberFormat="1" applyFont="1" applyFill="1" applyBorder="1" applyAlignment="1">
      <alignment horizontal="center" vertical="center" wrapText="1"/>
    </xf>
    <xf numFmtId="184" fontId="91" fillId="54" borderId="97" xfId="2" applyNumberFormat="1" applyFont="1" applyFill="1" applyBorder="1" applyAlignment="1">
      <alignment horizontal="center" vertical="center" wrapText="1"/>
    </xf>
    <xf numFmtId="184" fontId="91" fillId="58" borderId="100" xfId="2" applyNumberFormat="1" applyFont="1" applyFill="1" applyBorder="1" applyAlignment="1">
      <alignment horizontal="center" vertical="center"/>
    </xf>
    <xf numFmtId="184" fontId="91" fillId="58" borderId="100" xfId="2" applyNumberFormat="1" applyFont="1" applyFill="1" applyBorder="1" applyAlignment="1">
      <alignment horizontal="center" vertical="center" wrapText="1"/>
    </xf>
    <xf numFmtId="184" fontId="33" fillId="72" borderId="97" xfId="9" applyNumberFormat="1" applyFont="1" applyFill="1" applyBorder="1" applyAlignment="1">
      <alignment horizontal="center" vertical="center"/>
    </xf>
    <xf numFmtId="184" fontId="33" fillId="72" borderId="97" xfId="2" applyNumberFormat="1" applyFont="1" applyFill="1" applyBorder="1" applyAlignment="1">
      <alignment horizontal="center" vertical="center"/>
    </xf>
    <xf numFmtId="184" fontId="33" fillId="72" borderId="98" xfId="9" applyNumberFormat="1" applyFont="1" applyFill="1" applyBorder="1" applyAlignment="1">
      <alignment horizontal="center" vertical="center"/>
    </xf>
    <xf numFmtId="184" fontId="33" fillId="55" borderId="97" xfId="9" applyNumberFormat="1" applyFont="1" applyFill="1" applyBorder="1" applyAlignment="1">
      <alignment horizontal="center" vertical="center"/>
    </xf>
    <xf numFmtId="184" fontId="33" fillId="55" borderId="97" xfId="2" applyNumberFormat="1" applyFont="1" applyFill="1" applyBorder="1" applyAlignment="1">
      <alignment horizontal="center" vertical="center"/>
    </xf>
    <xf numFmtId="184" fontId="33" fillId="55" borderId="98" xfId="9" applyNumberFormat="1" applyFont="1" applyFill="1" applyBorder="1" applyAlignment="1">
      <alignment horizontal="center" vertical="center"/>
    </xf>
    <xf numFmtId="184" fontId="33" fillId="55" borderId="100" xfId="9" applyNumberFormat="1" applyFont="1" applyFill="1" applyBorder="1" applyAlignment="1">
      <alignment horizontal="center" vertical="center"/>
    </xf>
    <xf numFmtId="184" fontId="33" fillId="55" borderId="100" xfId="2" applyNumberFormat="1" applyFont="1" applyFill="1" applyBorder="1" applyAlignment="1">
      <alignment horizontal="center" vertical="center"/>
    </xf>
    <xf numFmtId="184" fontId="33" fillId="55" borderId="101" xfId="9" applyNumberFormat="1" applyFont="1" applyFill="1" applyBorder="1" applyAlignment="1">
      <alignment horizontal="center" vertical="center"/>
    </xf>
    <xf numFmtId="211" fontId="0" fillId="0" borderId="0" xfId="8" applyNumberFormat="1" applyFont="1" applyFill="1"/>
    <xf numFmtId="0" fontId="103" fillId="72" borderId="0" xfId="3" applyFont="1" applyFill="1" applyAlignment="1">
      <alignment horizontal="left" vertical="center" wrapText="1"/>
    </xf>
    <xf numFmtId="0" fontId="85" fillId="73" borderId="0" xfId="3" applyFont="1" applyFill="1" applyAlignment="1">
      <alignment horizontal="center" vertical="center" wrapText="1"/>
    </xf>
    <xf numFmtId="43" fontId="10" fillId="71" borderId="18" xfId="1" applyFont="1" applyFill="1" applyBorder="1" applyAlignment="1">
      <alignment horizontal="left"/>
    </xf>
    <xf numFmtId="1" fontId="0" fillId="0" borderId="0" xfId="0" applyNumberFormat="1" applyAlignment="1">
      <alignment horizontal="center" wrapText="1"/>
    </xf>
    <xf numFmtId="0" fontId="104" fillId="0" borderId="19" xfId="0" applyFont="1" applyBorder="1" applyAlignment="1">
      <alignment horizontal="left" vertical="center" wrapText="1"/>
    </xf>
    <xf numFmtId="0" fontId="105" fillId="0" borderId="21" xfId="0" applyFont="1" applyBorder="1" applyAlignment="1">
      <alignment horizontal="left" vertical="center" wrapText="1"/>
    </xf>
    <xf numFmtId="0" fontId="104" fillId="0" borderId="21" xfId="0" applyFont="1" applyBorder="1" applyAlignment="1">
      <alignment horizontal="left" vertical="center" wrapText="1" indent="1"/>
    </xf>
    <xf numFmtId="0" fontId="107" fillId="0" borderId="21" xfId="0" applyFont="1" applyBorder="1" applyAlignment="1">
      <alignment horizontal="left" vertical="center" wrapText="1" indent="2"/>
    </xf>
    <xf numFmtId="0" fontId="104" fillId="0" borderId="21" xfId="0" applyFont="1" applyBorder="1" applyAlignment="1">
      <alignment horizontal="left" vertical="center" wrapText="1" indent="2"/>
    </xf>
    <xf numFmtId="0" fontId="104" fillId="0" borderId="22" xfId="0" applyFont="1" applyBorder="1" applyAlignment="1">
      <alignment horizontal="left" vertical="center" wrapText="1"/>
    </xf>
    <xf numFmtId="184" fontId="0" fillId="0" borderId="0" xfId="0" applyNumberFormat="1" applyAlignment="1">
      <alignment horizontal="right" vertical="center"/>
    </xf>
    <xf numFmtId="0" fontId="4" fillId="73" borderId="0" xfId="0" applyFont="1" applyFill="1"/>
    <xf numFmtId="0" fontId="108" fillId="48" borderId="61" xfId="0" applyFont="1" applyFill="1" applyBorder="1" applyAlignment="1">
      <alignment horizontal="center"/>
    </xf>
    <xf numFmtId="2" fontId="0" fillId="0" borderId="0" xfId="1" applyNumberFormat="1" applyFont="1"/>
    <xf numFmtId="183" fontId="4" fillId="54" borderId="0" xfId="0" applyNumberFormat="1" applyFont="1" applyFill="1"/>
    <xf numFmtId="3" fontId="82" fillId="54" borderId="65" xfId="0" applyNumberFormat="1" applyFont="1" applyFill="1" applyBorder="1" applyAlignment="1">
      <alignment horizontal="center"/>
    </xf>
    <xf numFmtId="3" fontId="28" fillId="51" borderId="102" xfId="1" applyNumberFormat="1" applyFont="1" applyFill="1" applyBorder="1" applyAlignment="1">
      <alignment horizontal="right"/>
    </xf>
    <xf numFmtId="3" fontId="82" fillId="54" borderId="64" xfId="0" applyNumberFormat="1" applyFont="1" applyFill="1" applyBorder="1" applyAlignment="1">
      <alignment horizontal="center"/>
    </xf>
    <xf numFmtId="3" fontId="28" fillId="48" borderId="103" xfId="1" applyNumberFormat="1" applyFont="1" applyFill="1" applyBorder="1" applyAlignment="1">
      <alignment horizontal="right"/>
    </xf>
    <xf numFmtId="3" fontId="82" fillId="54" borderId="66" xfId="0" applyNumberFormat="1" applyFont="1" applyFill="1" applyBorder="1" applyAlignment="1">
      <alignment horizontal="center"/>
    </xf>
    <xf numFmtId="3" fontId="28" fillId="61" borderId="104" xfId="0" applyNumberFormat="1" applyFont="1" applyFill="1" applyBorder="1" applyAlignment="1">
      <alignment horizontal="right"/>
    </xf>
    <xf numFmtId="0" fontId="110" fillId="0" borderId="0" xfId="0" applyFont="1"/>
    <xf numFmtId="0" fontId="4" fillId="47" borderId="108" xfId="0" applyFont="1" applyFill="1" applyBorder="1"/>
    <xf numFmtId="0" fontId="47" fillId="48" borderId="109" xfId="0" applyFont="1" applyFill="1" applyBorder="1" applyAlignment="1">
      <alignment horizontal="left"/>
    </xf>
    <xf numFmtId="0" fontId="81" fillId="54" borderId="108" xfId="0" applyFont="1" applyFill="1" applyBorder="1"/>
    <xf numFmtId="0" fontId="81" fillId="54" borderId="109" xfId="0" applyFont="1" applyFill="1" applyBorder="1"/>
    <xf numFmtId="0" fontId="82" fillId="54" borderId="110" xfId="0" applyFont="1" applyFill="1" applyBorder="1" applyAlignment="1">
      <alignment horizontal="center"/>
    </xf>
    <xf numFmtId="0" fontId="82" fillId="54" borderId="111" xfId="0" applyFont="1" applyFill="1" applyBorder="1" applyAlignment="1">
      <alignment horizontal="center"/>
    </xf>
    <xf numFmtId="0" fontId="4" fillId="50" borderId="112" xfId="0" applyFont="1" applyFill="1" applyBorder="1"/>
    <xf numFmtId="0" fontId="47" fillId="51" borderId="113" xfId="0" applyFont="1" applyFill="1" applyBorder="1"/>
    <xf numFmtId="0" fontId="4" fillId="50" borderId="108" xfId="0" applyFont="1" applyFill="1" applyBorder="1"/>
    <xf numFmtId="0" fontId="47" fillId="51" borderId="109" xfId="0" applyFont="1" applyFill="1" applyBorder="1"/>
    <xf numFmtId="0" fontId="4" fillId="50" borderId="110" xfId="0" applyFont="1" applyFill="1" applyBorder="1"/>
    <xf numFmtId="0" fontId="47" fillId="51" borderId="111" xfId="0" applyFont="1" applyFill="1" applyBorder="1"/>
    <xf numFmtId="0" fontId="63" fillId="70" borderId="114" xfId="0" applyFont="1" applyFill="1" applyBorder="1"/>
    <xf numFmtId="184" fontId="64" fillId="70" borderId="115" xfId="0" applyNumberFormat="1" applyFont="1" applyFill="1" applyBorder="1" applyAlignment="1">
      <alignment horizontal="right"/>
    </xf>
    <xf numFmtId="0" fontId="62" fillId="70" borderId="116" xfId="0" applyFont="1" applyFill="1" applyBorder="1"/>
    <xf numFmtId="0" fontId="4" fillId="53" borderId="120" xfId="0" applyFont="1" applyFill="1" applyBorder="1"/>
    <xf numFmtId="0" fontId="47" fillId="54" borderId="121" xfId="0" applyFont="1" applyFill="1" applyBorder="1" applyAlignment="1">
      <alignment horizontal="left"/>
    </xf>
    <xf numFmtId="0" fontId="81" fillId="54" borderId="120" xfId="0" applyFont="1" applyFill="1" applyBorder="1"/>
    <xf numFmtId="0" fontId="81" fillId="54" borderId="121" xfId="0" applyFont="1" applyFill="1" applyBorder="1"/>
    <xf numFmtId="0" fontId="82" fillId="54" borderId="123" xfId="0" applyFont="1" applyFill="1" applyBorder="1" applyAlignment="1">
      <alignment horizontal="center"/>
    </xf>
    <xf numFmtId="0" fontId="4" fillId="55" borderId="124" xfId="0" applyFont="1" applyFill="1" applyBorder="1"/>
    <xf numFmtId="0" fontId="47" fillId="48" borderId="125" xfId="0" applyFont="1" applyFill="1" applyBorder="1"/>
    <xf numFmtId="0" fontId="4" fillId="55" borderId="120" xfId="0" applyFont="1" applyFill="1" applyBorder="1"/>
    <xf numFmtId="0" fontId="47" fillId="48" borderId="121" xfId="0" applyFont="1" applyFill="1" applyBorder="1"/>
    <xf numFmtId="0" fontId="4" fillId="55" borderId="122" xfId="0" applyFont="1" applyFill="1" applyBorder="1"/>
    <xf numFmtId="0" fontId="47" fillId="48" borderId="123" xfId="0" applyFont="1" applyFill="1" applyBorder="1"/>
    <xf numFmtId="0" fontId="63" fillId="70" borderId="126" xfId="0" applyFont="1" applyFill="1" applyBorder="1"/>
    <xf numFmtId="184" fontId="64" fillId="70" borderId="127" xfId="0" applyNumberFormat="1" applyFont="1" applyFill="1" applyBorder="1" applyAlignment="1">
      <alignment horizontal="right"/>
    </xf>
    <xf numFmtId="0" fontId="62" fillId="70" borderId="128" xfId="0" applyFont="1" applyFill="1" applyBorder="1"/>
    <xf numFmtId="0" fontId="4" fillId="57" borderId="132" xfId="0" applyFont="1" applyFill="1" applyBorder="1"/>
    <xf numFmtId="0" fontId="47" fillId="58" borderId="133" xfId="0" applyFont="1" applyFill="1" applyBorder="1" applyAlignment="1">
      <alignment horizontal="left"/>
    </xf>
    <xf numFmtId="0" fontId="81" fillId="54" borderId="132" xfId="0" applyFont="1" applyFill="1" applyBorder="1"/>
    <xf numFmtId="0" fontId="81" fillId="54" borderId="133" xfId="0" applyFont="1" applyFill="1" applyBorder="1"/>
    <xf numFmtId="0" fontId="82" fillId="54" borderId="135" xfId="0" applyFont="1" applyFill="1" applyBorder="1" applyAlignment="1">
      <alignment horizontal="center"/>
    </xf>
    <xf numFmtId="0" fontId="4" fillId="60" borderId="136" xfId="0" applyFont="1" applyFill="1" applyBorder="1"/>
    <xf numFmtId="0" fontId="47" fillId="61" borderId="137" xfId="0" applyFont="1" applyFill="1" applyBorder="1"/>
    <xf numFmtId="0" fontId="4" fillId="60" borderId="132" xfId="0" applyFont="1" applyFill="1" applyBorder="1"/>
    <xf numFmtId="0" fontId="47" fillId="61" borderId="133" xfId="0" applyFont="1" applyFill="1" applyBorder="1"/>
    <xf numFmtId="0" fontId="4" fillId="60" borderId="134" xfId="0" applyFont="1" applyFill="1" applyBorder="1"/>
    <xf numFmtId="0" fontId="47" fillId="61" borderId="135" xfId="0" applyFont="1" applyFill="1" applyBorder="1"/>
    <xf numFmtId="0" fontId="4" fillId="60" borderId="138" xfId="0" applyFont="1" applyFill="1" applyBorder="1"/>
    <xf numFmtId="184" fontId="28" fillId="61" borderId="139" xfId="0" applyNumberFormat="1" applyFont="1" applyFill="1" applyBorder="1" applyAlignment="1">
      <alignment horizontal="right"/>
    </xf>
    <xf numFmtId="0" fontId="47" fillId="61" borderId="140" xfId="0" applyFont="1" applyFill="1" applyBorder="1"/>
    <xf numFmtId="0" fontId="82" fillId="54" borderId="110" xfId="0" applyFont="1" applyFill="1" applyBorder="1" applyAlignment="1">
      <alignment horizontal="left"/>
    </xf>
    <xf numFmtId="0" fontId="82" fillId="54" borderId="122" xfId="0" applyFont="1" applyFill="1" applyBorder="1" applyAlignment="1">
      <alignment horizontal="left"/>
    </xf>
    <xf numFmtId="0" fontId="82" fillId="54" borderId="134" xfId="0" applyFont="1" applyFill="1" applyBorder="1" applyAlignment="1">
      <alignment horizontal="left"/>
    </xf>
    <xf numFmtId="212" fontId="4" fillId="54" borderId="0" xfId="0" applyNumberFormat="1" applyFont="1" applyFill="1"/>
    <xf numFmtId="184" fontId="4" fillId="54" borderId="0" xfId="0" applyNumberFormat="1" applyFont="1" applyFill="1"/>
    <xf numFmtId="0" fontId="4" fillId="72" borderId="24" xfId="0" applyFont="1" applyFill="1" applyBorder="1"/>
    <xf numFmtId="0" fontId="40" fillId="0" borderId="42" xfId="0" applyFont="1" applyBorder="1"/>
    <xf numFmtId="0" fontId="4" fillId="73" borderId="24" xfId="0" applyFont="1" applyFill="1" applyBorder="1"/>
    <xf numFmtId="0" fontId="109" fillId="54" borderId="42" xfId="0" applyFont="1" applyFill="1" applyBorder="1"/>
    <xf numFmtId="0" fontId="4" fillId="54" borderId="24" xfId="0" applyFont="1" applyFill="1" applyBorder="1"/>
    <xf numFmtId="0" fontId="79" fillId="76" borderId="24" xfId="0" applyFont="1" applyFill="1" applyBorder="1"/>
    <xf numFmtId="3" fontId="79" fillId="76" borderId="0" xfId="0" applyNumberFormat="1" applyFont="1" applyFill="1" applyAlignment="1">
      <alignment horizontal="center"/>
    </xf>
    <xf numFmtId="0" fontId="79" fillId="76" borderId="42" xfId="0" applyFont="1" applyFill="1" applyBorder="1" applyAlignment="1">
      <alignment horizontal="left"/>
    </xf>
    <xf numFmtId="0" fontId="79" fillId="76" borderId="43" xfId="0" applyFont="1" applyFill="1" applyBorder="1"/>
    <xf numFmtId="3" fontId="79" fillId="76" borderId="44" xfId="0" applyNumberFormat="1" applyFont="1" applyFill="1" applyBorder="1" applyAlignment="1">
      <alignment horizontal="center"/>
    </xf>
    <xf numFmtId="0" fontId="79" fillId="76" borderId="45" xfId="0" applyFont="1" applyFill="1" applyBorder="1" applyAlignment="1">
      <alignment horizontal="left"/>
    </xf>
    <xf numFmtId="0" fontId="112" fillId="71" borderId="0" xfId="0" applyFont="1" applyFill="1" applyAlignment="1">
      <alignment horizontal="left" wrapText="1"/>
    </xf>
    <xf numFmtId="0" fontId="113" fillId="73" borderId="0" xfId="0" applyFont="1" applyFill="1" applyAlignment="1">
      <alignment horizontal="left" wrapText="1"/>
    </xf>
    <xf numFmtId="0" fontId="111" fillId="0" borderId="0" xfId="0" applyFont="1" applyAlignment="1">
      <alignment horizontal="left" wrapText="1"/>
    </xf>
    <xf numFmtId="1" fontId="111" fillId="0" borderId="0" xfId="0" applyNumberFormat="1" applyFont="1" applyAlignment="1">
      <alignment horizontal="left" wrapText="1"/>
    </xf>
    <xf numFmtId="213" fontId="114" fillId="73" borderId="0" xfId="0" applyNumberFormat="1" applyFont="1" applyFill="1" applyAlignment="1">
      <alignment horizontal="left" wrapText="1"/>
    </xf>
    <xf numFmtId="0" fontId="0" fillId="0" borderId="0" xfId="0" applyAlignment="1">
      <alignment horizontal="left" wrapText="1"/>
    </xf>
    <xf numFmtId="1" fontId="0" fillId="0" borderId="0" xfId="0" applyNumberFormat="1" applyAlignment="1">
      <alignment horizontal="left" wrapText="1"/>
    </xf>
    <xf numFmtId="0" fontId="3" fillId="0" borderId="0" xfId="3" applyAlignment="1">
      <alignment horizontal="left"/>
    </xf>
    <xf numFmtId="0" fontId="115" fillId="0" borderId="0" xfId="0" applyFont="1" applyAlignment="1">
      <alignment horizontal="left" wrapText="1"/>
    </xf>
    <xf numFmtId="1" fontId="115" fillId="0" borderId="0" xfId="0" applyNumberFormat="1" applyFont="1" applyAlignment="1">
      <alignment horizontal="left" wrapText="1"/>
    </xf>
    <xf numFmtId="214" fontId="82" fillId="54" borderId="111" xfId="0" applyNumberFormat="1" applyFont="1" applyFill="1" applyBorder="1" applyAlignment="1">
      <alignment horizontal="center"/>
    </xf>
    <xf numFmtId="214" fontId="82" fillId="54" borderId="123" xfId="0" applyNumberFormat="1" applyFont="1" applyFill="1" applyBorder="1" applyAlignment="1">
      <alignment horizontal="center"/>
    </xf>
    <xf numFmtId="214" fontId="82" fillId="54" borderId="135" xfId="0" applyNumberFormat="1" applyFont="1" applyFill="1" applyBorder="1" applyAlignment="1">
      <alignment horizontal="center"/>
    </xf>
    <xf numFmtId="0" fontId="116" fillId="83" borderId="0" xfId="4" applyFont="1" applyFill="1" applyAlignment="1">
      <alignment horizontal="center" vertical="center" wrapText="1" readingOrder="1"/>
    </xf>
    <xf numFmtId="0" fontId="116" fillId="83" borderId="0" xfId="0" applyFont="1" applyFill="1" applyAlignment="1">
      <alignment horizontal="center" vertical="center" wrapText="1"/>
    </xf>
    <xf numFmtId="0" fontId="116" fillId="83" borderId="2" xfId="4" applyFont="1" applyFill="1" applyBorder="1" applyAlignment="1">
      <alignment horizontal="center" vertical="center" wrapText="1" readingOrder="1"/>
    </xf>
    <xf numFmtId="0" fontId="117" fillId="0" borderId="0" xfId="0" applyFont="1"/>
    <xf numFmtId="0" fontId="116" fillId="10" borderId="9" xfId="4" applyFont="1" applyFill="1" applyBorder="1" applyAlignment="1">
      <alignment horizontal="center" vertical="center" wrapText="1" readingOrder="1"/>
    </xf>
    <xf numFmtId="0" fontId="116" fillId="17" borderId="0" xfId="0" applyFont="1" applyFill="1" applyAlignment="1">
      <alignment horizontal="center" vertical="center" wrapText="1"/>
    </xf>
    <xf numFmtId="0" fontId="117" fillId="0" borderId="150" xfId="0" applyFont="1" applyBorder="1" applyAlignment="1">
      <alignment horizontal="left"/>
    </xf>
    <xf numFmtId="0" fontId="117" fillId="0" borderId="151" xfId="0" applyFont="1" applyBorder="1" applyAlignment="1">
      <alignment horizontal="center"/>
    </xf>
    <xf numFmtId="0" fontId="117" fillId="0" borderId="156" xfId="0" applyFont="1" applyBorder="1"/>
    <xf numFmtId="1" fontId="117" fillId="0" borderId="157" xfId="0" applyNumberFormat="1" applyFont="1" applyBorder="1"/>
    <xf numFmtId="0" fontId="117" fillId="0" borderId="157" xfId="0" applyFont="1" applyBorder="1"/>
    <xf numFmtId="176" fontId="117" fillId="0" borderId="158" xfId="0" applyNumberFormat="1" applyFont="1" applyBorder="1"/>
    <xf numFmtId="0" fontId="117" fillId="0" borderId="144" xfId="0" applyFont="1" applyBorder="1"/>
    <xf numFmtId="0" fontId="117" fillId="0" borderId="145" xfId="0" applyFont="1" applyBorder="1"/>
    <xf numFmtId="10" fontId="117" fillId="0" borderId="145" xfId="0" applyNumberFormat="1" applyFont="1" applyBorder="1"/>
    <xf numFmtId="0" fontId="117" fillId="0" borderId="146" xfId="0" applyFont="1" applyBorder="1"/>
    <xf numFmtId="0" fontId="117" fillId="0" borderId="152" xfId="0" applyFont="1" applyBorder="1" applyAlignment="1">
      <alignment horizontal="left"/>
    </xf>
    <xf numFmtId="0" fontId="117" fillId="0" borderId="153" xfId="0" applyFont="1" applyBorder="1" applyAlignment="1">
      <alignment horizontal="center"/>
    </xf>
    <xf numFmtId="0" fontId="117" fillId="0" borderId="159" xfId="0" applyFont="1" applyBorder="1"/>
    <xf numFmtId="1" fontId="117" fillId="0" borderId="160" xfId="0" applyNumberFormat="1" applyFont="1" applyBorder="1"/>
    <xf numFmtId="0" fontId="117" fillId="0" borderId="160" xfId="0" applyFont="1" applyBorder="1"/>
    <xf numFmtId="176" fontId="117" fillId="0" borderId="161" xfId="0" applyNumberFormat="1" applyFont="1" applyBorder="1"/>
    <xf numFmtId="9" fontId="117" fillId="0" borderId="145" xfId="0" applyNumberFormat="1" applyFont="1" applyBorder="1"/>
    <xf numFmtId="0" fontId="117" fillId="0" borderId="145" xfId="0" applyFont="1" applyBorder="1" applyAlignment="1">
      <alignment horizontal="center"/>
    </xf>
    <xf numFmtId="164" fontId="117" fillId="0" borderId="145" xfId="2" applyNumberFormat="1" applyFont="1" applyBorder="1" applyAlignment="1">
      <alignment horizontal="center"/>
    </xf>
    <xf numFmtId="0" fontId="117" fillId="0" borderId="147" xfId="0" applyFont="1" applyBorder="1"/>
    <xf numFmtId="0" fontId="117" fillId="0" borderId="148" xfId="0" applyFont="1" applyBorder="1"/>
    <xf numFmtId="0" fontId="117" fillId="0" borderId="149" xfId="0" applyFont="1" applyBorder="1"/>
    <xf numFmtId="0" fontId="117" fillId="0" borderId="154" xfId="0" applyFont="1" applyBorder="1" applyAlignment="1">
      <alignment horizontal="left"/>
    </xf>
    <xf numFmtId="0" fontId="117" fillId="0" borderId="155" xfId="0" applyFont="1" applyBorder="1" applyAlignment="1">
      <alignment horizontal="center"/>
    </xf>
    <xf numFmtId="0" fontId="117" fillId="0" borderId="0" xfId="0" applyFont="1" applyAlignment="1">
      <alignment horizontal="center"/>
    </xf>
    <xf numFmtId="0" fontId="117" fillId="0" borderId="159" xfId="0" applyFont="1" applyBorder="1" applyAlignment="1">
      <alignment horizontal="left"/>
    </xf>
    <xf numFmtId="0" fontId="117" fillId="0" borderId="160" xfId="0" applyFont="1" applyBorder="1" applyAlignment="1">
      <alignment horizontal="left"/>
    </xf>
    <xf numFmtId="0" fontId="117" fillId="0" borderId="162" xfId="0" applyFont="1" applyBorder="1" applyAlignment="1">
      <alignment horizontal="left"/>
    </xf>
    <xf numFmtId="1" fontId="117" fillId="0" borderId="163" xfId="0" applyNumberFormat="1" applyFont="1" applyBorder="1"/>
    <xf numFmtId="0" fontId="117" fillId="0" borderId="163" xfId="0" applyFont="1" applyBorder="1"/>
    <xf numFmtId="0" fontId="117" fillId="0" borderId="163" xfId="0" applyFont="1" applyBorder="1" applyAlignment="1">
      <alignment horizontal="left"/>
    </xf>
    <xf numFmtId="176" fontId="117" fillId="0" borderId="164" xfId="0" applyNumberFormat="1" applyFont="1" applyBorder="1"/>
    <xf numFmtId="0" fontId="117" fillId="0" borderId="0" xfId="0" applyFont="1" applyAlignment="1">
      <alignment horizontal="left"/>
    </xf>
    <xf numFmtId="1" fontId="28" fillId="48" borderId="61" xfId="0" applyNumberFormat="1" applyFont="1" applyFill="1" applyBorder="1" applyAlignment="1">
      <alignment horizontal="center"/>
    </xf>
    <xf numFmtId="2" fontId="0" fillId="0" borderId="0" xfId="0" applyNumberFormat="1"/>
    <xf numFmtId="0" fontId="0" fillId="30" borderId="88" xfId="0" applyFill="1" applyBorder="1" applyAlignment="1">
      <alignment horizontal="center"/>
    </xf>
    <xf numFmtId="0" fontId="31" fillId="0" borderId="0" xfId="0" applyFont="1"/>
    <xf numFmtId="0" fontId="0" fillId="0" borderId="38" xfId="0" applyBorder="1"/>
    <xf numFmtId="0" fontId="0" fillId="0" borderId="39" xfId="0" applyBorder="1"/>
    <xf numFmtId="0" fontId="0" fillId="0" borderId="40" xfId="0" applyBorder="1"/>
    <xf numFmtId="0" fontId="0" fillId="0" borderId="24" xfId="0" applyBorder="1"/>
    <xf numFmtId="0" fontId="0" fillId="0" borderId="42" xfId="0" applyBorder="1"/>
    <xf numFmtId="0" fontId="0" fillId="0" borderId="68" xfId="0" applyBorder="1" applyAlignment="1">
      <alignment horizontal="center" vertical="center" wrapText="1"/>
    </xf>
    <xf numFmtId="0" fontId="0" fillId="0" borderId="0" xfId="0" applyAlignment="1">
      <alignment horizontal="center" wrapText="1"/>
    </xf>
    <xf numFmtId="0" fontId="119" fillId="12" borderId="22" xfId="0" applyFont="1" applyFill="1" applyBorder="1" applyAlignment="1">
      <alignment horizontal="center" vertical="center"/>
    </xf>
    <xf numFmtId="0" fontId="87" fillId="12" borderId="22" xfId="0" applyFont="1" applyFill="1" applyBorder="1" applyAlignment="1">
      <alignment horizontal="center" vertical="center"/>
    </xf>
    <xf numFmtId="0" fontId="87" fillId="12" borderId="45" xfId="0" applyFont="1" applyFill="1" applyBorder="1" applyAlignment="1">
      <alignment horizontal="center" vertical="center"/>
    </xf>
    <xf numFmtId="0" fontId="87" fillId="77" borderId="45" xfId="0" applyFont="1" applyFill="1" applyBorder="1" applyAlignment="1">
      <alignment horizontal="center" vertical="center"/>
    </xf>
    <xf numFmtId="0" fontId="120" fillId="0" borderId="0" xfId="0" applyFont="1" applyAlignment="1">
      <alignment horizontal="center"/>
    </xf>
    <xf numFmtId="9" fontId="0" fillId="0" borderId="68" xfId="2" applyFont="1" applyBorder="1" applyAlignment="1">
      <alignment horizontal="center" vertical="center"/>
    </xf>
    <xf numFmtId="0" fontId="4" fillId="0" borderId="167" xfId="0" applyFont="1" applyBorder="1" applyAlignment="1">
      <alignment horizontal="center" vertical="center" wrapText="1"/>
    </xf>
    <xf numFmtId="0" fontId="4" fillId="0" borderId="168" xfId="0" applyFont="1" applyBorder="1" applyAlignment="1">
      <alignment horizontal="center" vertical="center" wrapText="1"/>
    </xf>
    <xf numFmtId="0" fontId="4" fillId="0" borderId="166" xfId="0" applyFont="1" applyBorder="1" applyAlignment="1">
      <alignment horizontal="center" vertical="center" wrapText="1"/>
    </xf>
    <xf numFmtId="0" fontId="4" fillId="0" borderId="75" xfId="0" applyFont="1" applyBorder="1" applyAlignment="1">
      <alignment horizontal="center" vertical="center" wrapText="1"/>
    </xf>
    <xf numFmtId="0" fontId="13" fillId="0" borderId="168" xfId="0" applyFont="1" applyBorder="1" applyAlignment="1">
      <alignment horizontal="center" vertical="center" wrapText="1"/>
    </xf>
    <xf numFmtId="0" fontId="4" fillId="0" borderId="68"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0" xfId="0" applyFont="1" applyAlignment="1">
      <alignment horizontal="center" vertical="center" wrapText="1"/>
    </xf>
    <xf numFmtId="0" fontId="0" fillId="12" borderId="19" xfId="0" applyFill="1" applyBorder="1" applyAlignment="1">
      <alignment horizontal="left" vertical="center" wrapText="1"/>
    </xf>
    <xf numFmtId="0" fontId="0" fillId="77" borderId="87" xfId="0" applyFill="1" applyBorder="1" applyAlignment="1">
      <alignment horizontal="center" vertical="center"/>
    </xf>
    <xf numFmtId="43" fontId="0" fillId="77" borderId="2" xfId="0" applyNumberFormat="1" applyFill="1" applyBorder="1" applyAlignment="1">
      <alignment horizontal="center" vertical="center"/>
    </xf>
    <xf numFmtId="172" fontId="0" fillId="12" borderId="2" xfId="13" applyNumberFormat="1" applyFont="1" applyFill="1" applyBorder="1" applyAlignment="1">
      <alignment horizontal="center" vertical="center"/>
    </xf>
    <xf numFmtId="0" fontId="0" fillId="77" borderId="2" xfId="0" applyFill="1" applyBorder="1" applyAlignment="1">
      <alignment horizontal="center" vertical="center"/>
    </xf>
    <xf numFmtId="215" fontId="4" fillId="77" borderId="169" xfId="13" applyNumberFormat="1" applyFont="1" applyFill="1" applyBorder="1" applyAlignment="1">
      <alignment vertical="center"/>
    </xf>
    <xf numFmtId="172" fontId="0" fillId="0" borderId="87" xfId="13" applyNumberFormat="1" applyFont="1" applyFill="1" applyBorder="1" applyAlignment="1">
      <alignment horizontal="center" vertical="center"/>
    </xf>
    <xf numFmtId="172" fontId="4" fillId="77" borderId="88" xfId="0" applyNumberFormat="1" applyFont="1" applyFill="1" applyBorder="1" applyAlignment="1">
      <alignment horizontal="center" vertical="center"/>
    </xf>
    <xf numFmtId="172" fontId="0" fillId="77" borderId="87" xfId="13" applyNumberFormat="1" applyFont="1" applyFill="1" applyBorder="1" applyAlignment="1">
      <alignment horizontal="center" vertical="center"/>
    </xf>
    <xf numFmtId="167" fontId="0" fillId="77" borderId="87" xfId="13" applyNumberFormat="1" applyFont="1" applyFill="1" applyBorder="1" applyAlignment="1">
      <alignment horizontal="center" vertical="center"/>
    </xf>
    <xf numFmtId="43" fontId="12" fillId="12" borderId="2" xfId="10" applyFont="1" applyFill="1" applyBorder="1" applyAlignment="1">
      <alignment horizontal="center" vertical="center"/>
    </xf>
    <xf numFmtId="2" fontId="0" fillId="77" borderId="2" xfId="13" applyNumberFormat="1" applyFont="1" applyFill="1" applyBorder="1" applyAlignment="1">
      <alignment horizontal="center" vertical="center"/>
    </xf>
    <xf numFmtId="172" fontId="4" fillId="77" borderId="2" xfId="13" applyNumberFormat="1" applyFont="1" applyFill="1" applyBorder="1" applyAlignment="1">
      <alignment horizontal="center" vertical="center"/>
    </xf>
    <xf numFmtId="172" fontId="4" fillId="12" borderId="88" xfId="13" applyNumberFormat="1" applyFont="1" applyFill="1" applyBorder="1" applyAlignment="1">
      <alignment horizontal="center" vertical="center"/>
    </xf>
    <xf numFmtId="172" fontId="28" fillId="77" borderId="72" xfId="13" applyNumberFormat="1" applyFont="1" applyFill="1" applyBorder="1" applyAlignment="1">
      <alignment horizontal="center" vertical="center"/>
    </xf>
    <xf numFmtId="0" fontId="0" fillId="0" borderId="43" xfId="0" applyBorder="1"/>
    <xf numFmtId="0" fontId="0" fillId="0" borderId="44" xfId="0" applyBorder="1"/>
    <xf numFmtId="197" fontId="0" fillId="0" borderId="44" xfId="0" applyNumberFormat="1" applyBorder="1"/>
    <xf numFmtId="216" fontId="0" fillId="0" borderId="44" xfId="0" applyNumberFormat="1" applyBorder="1"/>
    <xf numFmtId="0" fontId="0" fillId="0" borderId="45" xfId="0" applyBorder="1"/>
    <xf numFmtId="0" fontId="122" fillId="0" borderId="0" xfId="0" applyFont="1"/>
    <xf numFmtId="197" fontId="122" fillId="0" borderId="0" xfId="0" applyNumberFormat="1" applyFont="1"/>
    <xf numFmtId="0" fontId="92" fillId="79" borderId="0" xfId="0" applyFont="1" applyFill="1" applyAlignment="1">
      <alignment horizontal="centerContinuous" vertical="center"/>
    </xf>
    <xf numFmtId="0" fontId="30" fillId="79" borderId="0" xfId="0" applyFont="1" applyFill="1" applyAlignment="1">
      <alignment horizontal="centerContinuous" vertical="center"/>
    </xf>
    <xf numFmtId="0" fontId="123" fillId="0" borderId="0" xfId="0" applyFont="1"/>
    <xf numFmtId="0" fontId="31" fillId="30" borderId="86" xfId="0" applyFont="1" applyFill="1" applyBorder="1"/>
    <xf numFmtId="0" fontId="95" fillId="30" borderId="80" xfId="0" applyFont="1" applyFill="1" applyBorder="1" applyAlignment="1">
      <alignment horizontal="center"/>
    </xf>
    <xf numFmtId="0" fontId="0" fillId="30" borderId="87" xfId="0" applyFill="1" applyBorder="1"/>
    <xf numFmtId="193" fontId="0" fillId="0" borderId="0" xfId="12" applyNumberFormat="1" applyFont="1" applyBorder="1" applyAlignment="1"/>
    <xf numFmtId="0" fontId="95" fillId="11" borderId="0" xfId="0" applyFont="1" applyFill="1"/>
    <xf numFmtId="3" fontId="95" fillId="11" borderId="0" xfId="0" applyNumberFormat="1" applyFont="1" applyFill="1"/>
    <xf numFmtId="0" fontId="95" fillId="78" borderId="0" xfId="0" applyFont="1" applyFill="1"/>
    <xf numFmtId="3" fontId="95" fillId="78" borderId="0" xfId="0" applyNumberFormat="1" applyFont="1" applyFill="1"/>
    <xf numFmtId="3" fontId="0" fillId="30" borderId="88" xfId="0" applyNumberFormat="1" applyFill="1" applyBorder="1" applyAlignment="1">
      <alignment horizontal="center"/>
    </xf>
    <xf numFmtId="217" fontId="0" fillId="0" borderId="0" xfId="12" applyNumberFormat="1" applyFont="1" applyBorder="1" applyAlignment="1"/>
    <xf numFmtId="1" fontId="0" fillId="0" borderId="0" xfId="0" applyNumberFormat="1"/>
    <xf numFmtId="0" fontId="124" fillId="0" borderId="0" xfId="0" applyFont="1"/>
    <xf numFmtId="0" fontId="123" fillId="0" borderId="0" xfId="0" applyFont="1" applyAlignment="1">
      <alignment horizontal="center"/>
    </xf>
    <xf numFmtId="0" fontId="125" fillId="30" borderId="87" xfId="0" applyFont="1" applyFill="1" applyBorder="1"/>
    <xf numFmtId="0" fontId="125" fillId="30" borderId="88" xfId="0" applyFont="1" applyFill="1" applyBorder="1" applyAlignment="1">
      <alignment horizontal="center"/>
    </xf>
    <xf numFmtId="0" fontId="0" fillId="30" borderId="87" xfId="0" applyFill="1" applyBorder="1" applyAlignment="1">
      <alignment wrapText="1"/>
    </xf>
    <xf numFmtId="206" fontId="0" fillId="30" borderId="88" xfId="0" applyNumberFormat="1" applyFill="1" applyBorder="1" applyAlignment="1">
      <alignment horizontal="center"/>
    </xf>
    <xf numFmtId="206" fontId="28" fillId="11" borderId="88" xfId="0" applyNumberFormat="1" applyFont="1" applyFill="1" applyBorder="1" applyAlignment="1">
      <alignment horizontal="center"/>
    </xf>
    <xf numFmtId="0" fontId="4" fillId="11" borderId="89" xfId="0" applyFont="1" applyFill="1" applyBorder="1"/>
    <xf numFmtId="205" fontId="0" fillId="11" borderId="90" xfId="0" applyNumberFormat="1" applyFill="1" applyBorder="1" applyAlignment="1">
      <alignment horizontal="center"/>
    </xf>
    <xf numFmtId="0" fontId="0" fillId="30" borderId="167" xfId="0" applyFill="1" applyBorder="1" applyAlignment="1">
      <alignment wrapText="1"/>
    </xf>
    <xf numFmtId="206" fontId="0" fillId="30" borderId="168" xfId="0" applyNumberFormat="1" applyFill="1" applyBorder="1" applyAlignment="1">
      <alignment horizontal="center"/>
    </xf>
    <xf numFmtId="0" fontId="4" fillId="81" borderId="2" xfId="0" applyFont="1" applyFill="1" applyBorder="1"/>
    <xf numFmtId="207" fontId="28" fillId="81" borderId="2" xfId="0" applyNumberFormat="1" applyFont="1" applyFill="1" applyBorder="1" applyAlignment="1">
      <alignment horizontal="center"/>
    </xf>
    <xf numFmtId="209" fontId="28" fillId="81" borderId="2" xfId="0" applyNumberFormat="1" applyFont="1" applyFill="1" applyBorder="1" applyAlignment="1">
      <alignment horizontal="center"/>
    </xf>
    <xf numFmtId="0" fontId="0" fillId="84" borderId="0" xfId="0" applyFill="1"/>
    <xf numFmtId="0" fontId="126" fillId="84" borderId="0" xfId="0" applyFont="1" applyFill="1" applyAlignment="1">
      <alignment horizontal="center"/>
    </xf>
    <xf numFmtId="3" fontId="0" fillId="84" borderId="0" xfId="0" applyNumberFormat="1" applyFill="1" applyAlignment="1">
      <alignment horizontal="center"/>
    </xf>
    <xf numFmtId="0" fontId="108" fillId="48" borderId="62" xfId="0" applyFont="1" applyFill="1" applyBorder="1" applyAlignment="1">
      <alignment horizontal="center"/>
    </xf>
    <xf numFmtId="0" fontId="108" fillId="48" borderId="63" xfId="0" applyFont="1" applyFill="1" applyBorder="1" applyAlignment="1">
      <alignment horizontal="center"/>
    </xf>
    <xf numFmtId="0" fontId="10" fillId="73" borderId="0" xfId="0" applyFont="1" applyFill="1"/>
    <xf numFmtId="2" fontId="108" fillId="48" borderId="61" xfId="0" applyNumberFormat="1" applyFont="1" applyFill="1" applyBorder="1" applyAlignment="1">
      <alignment horizontal="center"/>
    </xf>
    <xf numFmtId="2" fontId="108" fillId="48" borderId="62" xfId="0" applyNumberFormat="1" applyFont="1" applyFill="1" applyBorder="1" applyAlignment="1">
      <alignment horizontal="center"/>
    </xf>
    <xf numFmtId="2" fontId="108" fillId="48" borderId="63" xfId="0" applyNumberFormat="1" applyFont="1" applyFill="1" applyBorder="1" applyAlignment="1">
      <alignment horizontal="center"/>
    </xf>
    <xf numFmtId="0" fontId="87" fillId="0" borderId="19" xfId="0" applyFont="1" applyBorder="1" applyAlignment="1" applyProtection="1">
      <alignment horizontal="center" vertical="center"/>
      <protection locked="0"/>
    </xf>
    <xf numFmtId="0" fontId="87" fillId="0" borderId="21" xfId="0" applyFont="1" applyBorder="1" applyAlignment="1" applyProtection="1">
      <alignment horizontal="center" vertical="center"/>
      <protection locked="0"/>
    </xf>
    <xf numFmtId="0" fontId="87" fillId="0" borderId="69" xfId="0" applyFont="1" applyBorder="1" applyAlignment="1" applyProtection="1">
      <alignment horizontal="center" vertical="center"/>
      <protection locked="0"/>
    </xf>
    <xf numFmtId="0" fontId="22" fillId="86" borderId="170" xfId="0" applyFont="1" applyFill="1" applyBorder="1"/>
    <xf numFmtId="172" fontId="0" fillId="85" borderId="170" xfId="0" applyNumberFormat="1" applyFill="1" applyBorder="1" applyAlignment="1">
      <alignment wrapText="1"/>
    </xf>
    <xf numFmtId="0" fontId="28" fillId="72" borderId="61" xfId="0" applyFont="1" applyFill="1" applyBorder="1" applyAlignment="1">
      <alignment horizontal="center"/>
    </xf>
    <xf numFmtId="0" fontId="28" fillId="72" borderId="62" xfId="0" applyFont="1" applyFill="1" applyBorder="1" applyAlignment="1">
      <alignment horizontal="center"/>
    </xf>
    <xf numFmtId="0" fontId="28" fillId="72" borderId="63" xfId="0" applyFont="1" applyFill="1" applyBorder="1" applyAlignment="1">
      <alignment horizontal="center"/>
    </xf>
    <xf numFmtId="0" fontId="91" fillId="48" borderId="0" xfId="0" applyFont="1" applyFill="1" applyAlignment="1">
      <alignment horizontal="center" vertical="center"/>
    </xf>
    <xf numFmtId="0" fontId="91" fillId="48" borderId="0" xfId="0" applyFont="1" applyFill="1" applyAlignment="1">
      <alignment horizontal="center"/>
    </xf>
    <xf numFmtId="0" fontId="129" fillId="47" borderId="97" xfId="0" applyFont="1" applyFill="1" applyBorder="1" applyAlignment="1">
      <alignment horizontal="left" vertical="center"/>
    </xf>
    <xf numFmtId="0" fontId="128" fillId="0" borderId="97" xfId="0" applyFont="1" applyBorder="1" applyAlignment="1">
      <alignment horizontal="center" vertical="center"/>
    </xf>
    <xf numFmtId="2" fontId="128" fillId="0" borderId="97" xfId="0" applyNumberFormat="1" applyFont="1" applyBorder="1" applyAlignment="1">
      <alignment horizontal="center" vertical="center"/>
    </xf>
    <xf numFmtId="1" fontId="128" fillId="0" borderId="97" xfId="1" applyNumberFormat="1" applyFont="1" applyFill="1" applyBorder="1" applyAlignment="1">
      <alignment horizontal="center" vertical="center"/>
    </xf>
    <xf numFmtId="49" fontId="128" fillId="0" borderId="97" xfId="0" applyNumberFormat="1" applyFont="1" applyBorder="1" applyAlignment="1">
      <alignment horizontal="center" vertical="center"/>
    </xf>
    <xf numFmtId="0" fontId="130" fillId="0" borderId="97" xfId="0" applyFont="1" applyBorder="1" applyAlignment="1">
      <alignment horizontal="center" vertical="center"/>
    </xf>
    <xf numFmtId="0" fontId="131" fillId="0" borderId="97" xfId="0" applyFont="1" applyBorder="1" applyAlignment="1">
      <alignment horizontal="center" vertical="center"/>
    </xf>
    <xf numFmtId="0" fontId="129" fillId="0" borderId="97" xfId="0" applyFont="1" applyBorder="1" applyAlignment="1">
      <alignment horizontal="center" vertical="center"/>
    </xf>
    <xf numFmtId="0" fontId="0" fillId="0" borderId="97" xfId="0" applyBorder="1"/>
    <xf numFmtId="0" fontId="10" fillId="71" borderId="97" xfId="0" applyFont="1" applyFill="1" applyBorder="1" applyAlignment="1">
      <alignment horizontal="center"/>
    </xf>
    <xf numFmtId="0" fontId="129" fillId="73" borderId="97" xfId="0" applyFont="1" applyFill="1" applyBorder="1" applyAlignment="1">
      <alignment horizontal="left" vertical="center"/>
    </xf>
    <xf numFmtId="192" fontId="132" fillId="0" borderId="97" xfId="0" applyNumberFormat="1" applyFont="1" applyBorder="1" applyAlignment="1">
      <alignment horizontal="center" vertical="center"/>
    </xf>
    <xf numFmtId="0" fontId="133" fillId="0" borderId="97" xfId="0" applyFont="1" applyBorder="1" applyAlignment="1">
      <alignment horizontal="center" vertical="center"/>
    </xf>
    <xf numFmtId="0" fontId="47" fillId="0" borderId="97" xfId="0" applyFont="1" applyBorder="1" applyAlignment="1">
      <alignment horizontal="center" vertical="center"/>
    </xf>
    <xf numFmtId="192" fontId="47" fillId="0" borderId="97" xfId="0" applyNumberFormat="1" applyFont="1" applyBorder="1" applyAlignment="1">
      <alignment horizontal="center" vertical="center"/>
    </xf>
    <xf numFmtId="192" fontId="129" fillId="0" borderId="97" xfId="0" applyNumberFormat="1" applyFont="1" applyBorder="1" applyAlignment="1">
      <alignment horizontal="center" vertical="center"/>
    </xf>
    <xf numFmtId="181" fontId="0" fillId="85" borderId="170" xfId="0" applyNumberFormat="1" applyFill="1" applyBorder="1" applyAlignment="1">
      <alignment wrapText="1"/>
    </xf>
    <xf numFmtId="172" fontId="29" fillId="0" borderId="19" xfId="0" applyNumberFormat="1" applyFont="1" applyBorder="1" applyAlignment="1">
      <alignment horizontal="center" vertical="center"/>
    </xf>
    <xf numFmtId="172" fontId="87" fillId="0" borderId="69" xfId="13" applyNumberFormat="1" applyFont="1" applyFill="1" applyBorder="1" applyAlignment="1">
      <alignment horizontal="center" vertical="center"/>
    </xf>
    <xf numFmtId="0" fontId="2" fillId="0" borderId="0" xfId="11" applyFont="1"/>
    <xf numFmtId="2" fontId="1" fillId="18" borderId="0" xfId="11" applyNumberFormat="1" applyFill="1"/>
    <xf numFmtId="172" fontId="87" fillId="0" borderId="72" xfId="13" applyNumberFormat="1" applyFont="1" applyFill="1" applyBorder="1" applyAlignment="1">
      <alignment horizontal="center" vertical="center"/>
    </xf>
    <xf numFmtId="179" fontId="87" fillId="18" borderId="72" xfId="11" applyNumberFormat="1" applyFont="1" applyFill="1" applyBorder="1" applyAlignment="1">
      <alignment horizontal="left" vertical="center"/>
    </xf>
    <xf numFmtId="179" fontId="87" fillId="18" borderId="73" xfId="11" applyNumberFormat="1" applyFont="1" applyFill="1" applyBorder="1" applyAlignment="1">
      <alignment horizontal="left" vertical="center"/>
    </xf>
    <xf numFmtId="172" fontId="87" fillId="0" borderId="73" xfId="13" applyNumberFormat="1" applyFont="1" applyFill="1" applyBorder="1" applyAlignment="1">
      <alignment horizontal="center" vertical="center"/>
    </xf>
    <xf numFmtId="172" fontId="28" fillId="0" borderId="22" xfId="0" applyNumberFormat="1" applyFont="1" applyBorder="1" applyAlignment="1">
      <alignment horizontal="left" vertical="center" wrapText="1"/>
    </xf>
    <xf numFmtId="172" fontId="28" fillId="0" borderId="22" xfId="13" applyNumberFormat="1" applyFont="1" applyBorder="1" applyAlignment="1">
      <alignment horizontal="center" vertical="center"/>
    </xf>
    <xf numFmtId="172" fontId="28" fillId="0" borderId="22" xfId="13" applyNumberFormat="1" applyFont="1" applyFill="1" applyBorder="1" applyAlignment="1">
      <alignment horizontal="center" vertical="center"/>
    </xf>
    <xf numFmtId="172" fontId="87" fillId="18" borderId="19" xfId="13" applyNumberFormat="1" applyFont="1" applyFill="1" applyBorder="1" applyAlignment="1">
      <alignment horizontal="center" vertical="center"/>
    </xf>
    <xf numFmtId="194" fontId="87" fillId="0" borderId="171" xfId="13" applyNumberFormat="1" applyFont="1" applyBorder="1" applyAlignment="1">
      <alignment horizontal="center" vertical="center"/>
    </xf>
    <xf numFmtId="172" fontId="87" fillId="0" borderId="19" xfId="13" applyNumberFormat="1" applyFont="1" applyFill="1" applyBorder="1" applyAlignment="1">
      <alignment horizontal="center" vertical="center"/>
    </xf>
    <xf numFmtId="172" fontId="87" fillId="0" borderId="68" xfId="13" applyNumberFormat="1" applyFont="1" applyFill="1" applyBorder="1" applyAlignment="1">
      <alignment horizontal="center" vertical="center"/>
    </xf>
    <xf numFmtId="172" fontId="87" fillId="12" borderId="22" xfId="13" applyNumberFormat="1" applyFont="1" applyFill="1" applyBorder="1" applyAlignment="1">
      <alignment horizontal="center" vertical="center"/>
    </xf>
    <xf numFmtId="172" fontId="87" fillId="0" borderId="22" xfId="13" applyNumberFormat="1" applyFont="1" applyFill="1" applyBorder="1" applyAlignment="1">
      <alignment horizontal="center" vertical="center"/>
    </xf>
    <xf numFmtId="0" fontId="28" fillId="0" borderId="68" xfId="11" applyFont="1" applyBorder="1" applyAlignment="1">
      <alignment horizontal="left" vertical="center"/>
    </xf>
    <xf numFmtId="196" fontId="28" fillId="0" borderId="68" xfId="13" applyNumberFormat="1" applyFont="1" applyBorder="1" applyAlignment="1">
      <alignment horizontal="center" vertical="center"/>
    </xf>
    <xf numFmtId="196" fontId="28" fillId="0" borderId="68" xfId="13" applyNumberFormat="1" applyFont="1" applyFill="1" applyBorder="1" applyAlignment="1">
      <alignment horizontal="center" vertical="center"/>
    </xf>
    <xf numFmtId="196" fontId="18" fillId="0" borderId="68" xfId="13" applyNumberFormat="1" applyFont="1" applyFill="1" applyBorder="1" applyAlignment="1">
      <alignment horizontal="center" vertical="center"/>
    </xf>
    <xf numFmtId="174" fontId="1" fillId="0" borderId="0" xfId="11" applyNumberFormat="1"/>
    <xf numFmtId="0" fontId="1" fillId="0" borderId="84" xfId="11" applyBorder="1" applyAlignment="1">
      <alignment horizontal="center" vertical="center"/>
    </xf>
    <xf numFmtId="4" fontId="0" fillId="0" borderId="85" xfId="11" applyNumberFormat="1" applyFont="1" applyBorder="1" applyAlignment="1">
      <alignment horizontal="center" vertical="center"/>
    </xf>
    <xf numFmtId="3" fontId="125" fillId="0" borderId="0" xfId="11" applyNumberFormat="1" applyFont="1" applyAlignment="1">
      <alignment horizontal="center" vertical="center"/>
    </xf>
    <xf numFmtId="218" fontId="1" fillId="0" borderId="2" xfId="11" applyNumberFormat="1" applyBorder="1" applyAlignment="1">
      <alignment horizontal="center" vertical="center"/>
    </xf>
    <xf numFmtId="10" fontId="0" fillId="0" borderId="0" xfId="0" applyNumberFormat="1"/>
    <xf numFmtId="219" fontId="4" fillId="0" borderId="0" xfId="0" applyNumberFormat="1" applyFont="1"/>
    <xf numFmtId="9" fontId="0" fillId="0" borderId="0" xfId="0" applyNumberFormat="1"/>
    <xf numFmtId="0" fontId="10" fillId="10" borderId="0" xfId="0" applyFont="1" applyFill="1" applyAlignment="1">
      <alignment horizontal="center"/>
    </xf>
    <xf numFmtId="164" fontId="0" fillId="0" borderId="0" xfId="0" applyNumberFormat="1" applyAlignment="1">
      <alignment horizontal="right"/>
    </xf>
    <xf numFmtId="164" fontId="0" fillId="0" borderId="0" xfId="0" applyNumberFormat="1" applyAlignment="1">
      <alignment horizontal="left"/>
    </xf>
    <xf numFmtId="9" fontId="10" fillId="10" borderId="0" xfId="2" applyFont="1" applyFill="1" applyAlignment="1">
      <alignment horizontal="center"/>
    </xf>
    <xf numFmtId="9" fontId="0" fillId="0" borderId="0" xfId="2" applyFont="1" applyAlignment="1">
      <alignment horizontal="left"/>
    </xf>
    <xf numFmtId="0" fontId="0" fillId="0" borderId="19" xfId="0" applyBorder="1"/>
    <xf numFmtId="0" fontId="0" fillId="0" borderId="21" xfId="0" applyBorder="1"/>
    <xf numFmtId="0" fontId="0" fillId="0" borderId="22" xfId="0" applyBorder="1"/>
    <xf numFmtId="189" fontId="129" fillId="0" borderId="97" xfId="0" applyNumberFormat="1" applyFont="1" applyBorder="1" applyAlignment="1">
      <alignment horizontal="center" vertical="center"/>
    </xf>
    <xf numFmtId="184" fontId="129" fillId="0" borderId="97" xfId="0" applyNumberFormat="1" applyFont="1" applyBorder="1" applyAlignment="1">
      <alignment horizontal="center" vertical="center"/>
    </xf>
    <xf numFmtId="183" fontId="0" fillId="0" borderId="97" xfId="0" applyNumberFormat="1" applyBorder="1"/>
    <xf numFmtId="0" fontId="10" fillId="10" borderId="173" xfId="0" applyFont="1" applyFill="1" applyBorder="1" applyAlignment="1">
      <alignment wrapText="1"/>
    </xf>
    <xf numFmtId="0" fontId="0" fillId="87" borderId="173" xfId="0" applyFill="1" applyBorder="1" applyAlignment="1">
      <alignment wrapText="1"/>
    </xf>
    <xf numFmtId="0" fontId="0" fillId="87" borderId="174" xfId="0" applyFill="1" applyBorder="1" applyAlignment="1">
      <alignment wrapText="1"/>
    </xf>
    <xf numFmtId="0" fontId="135" fillId="0" borderId="0" xfId="0" applyFont="1" applyAlignment="1">
      <alignment horizontal="left" wrapText="1"/>
    </xf>
    <xf numFmtId="1" fontId="135" fillId="0" borderId="0" xfId="0" applyNumberFormat="1" applyFont="1" applyAlignment="1">
      <alignment horizontal="left" wrapText="1"/>
    </xf>
    <xf numFmtId="172" fontId="1" fillId="23" borderId="84" xfId="14" applyNumberFormat="1" applyBorder="1" applyAlignment="1">
      <alignment horizontal="left" vertical="center" readingOrder="1"/>
    </xf>
    <xf numFmtId="172" fontId="1" fillId="23" borderId="85" xfId="14" applyNumberFormat="1" applyBorder="1" applyAlignment="1">
      <alignment horizontal="left" vertical="center" readingOrder="1"/>
    </xf>
    <xf numFmtId="172" fontId="1" fillId="23" borderId="8" xfId="14" applyNumberFormat="1" applyBorder="1" applyAlignment="1">
      <alignment horizontal="left" vertical="center" readingOrder="1"/>
    </xf>
    <xf numFmtId="2" fontId="111" fillId="0" borderId="0" xfId="0" applyNumberFormat="1" applyFont="1" applyAlignment="1">
      <alignment horizontal="left" wrapText="1"/>
    </xf>
    <xf numFmtId="2" fontId="135" fillId="0" borderId="0" xfId="0" applyNumberFormat="1" applyFont="1" applyAlignment="1">
      <alignment horizontal="left" wrapText="1"/>
    </xf>
    <xf numFmtId="0" fontId="0" fillId="0" borderId="19" xfId="0" applyBorder="1" applyAlignment="1">
      <alignment wrapText="1"/>
    </xf>
    <xf numFmtId="0" fontId="0" fillId="0" borderId="21" xfId="0" applyBorder="1" applyAlignment="1">
      <alignment wrapText="1"/>
    </xf>
    <xf numFmtId="0" fontId="0" fillId="0" borderId="22" xfId="0" applyBorder="1" applyAlignment="1">
      <alignment wrapText="1"/>
    </xf>
    <xf numFmtId="0" fontId="23" fillId="0" borderId="68" xfId="0" applyFont="1" applyBorder="1" applyAlignment="1">
      <alignment wrapText="1"/>
    </xf>
    <xf numFmtId="0" fontId="4" fillId="0" borderId="19" xfId="0" applyFont="1" applyBorder="1"/>
    <xf numFmtId="0" fontId="0" fillId="0" borderId="68" xfId="0" applyBorder="1" applyAlignment="1">
      <alignment wrapText="1"/>
    </xf>
    <xf numFmtId="184" fontId="0" fillId="76" borderId="0" xfId="0" applyNumberFormat="1" applyFill="1"/>
    <xf numFmtId="1" fontId="10" fillId="71" borderId="0" xfId="0" applyNumberFormat="1" applyFont="1" applyFill="1" applyAlignment="1">
      <alignment horizontal="center"/>
    </xf>
    <xf numFmtId="3" fontId="10" fillId="71" borderId="0" xfId="0" applyNumberFormat="1" applyFont="1" applyFill="1" applyAlignment="1">
      <alignment horizontal="center"/>
    </xf>
    <xf numFmtId="164" fontId="10" fillId="71" borderId="0" xfId="0" applyNumberFormat="1" applyFont="1" applyFill="1" applyAlignment="1">
      <alignment horizontal="center"/>
    </xf>
    <xf numFmtId="164" fontId="0" fillId="0" borderId="0" xfId="0" applyNumberFormat="1"/>
    <xf numFmtId="0" fontId="47" fillId="88" borderId="0" xfId="0" applyFont="1" applyFill="1"/>
    <xf numFmtId="164" fontId="47" fillId="88" borderId="0" xfId="0" applyNumberFormat="1" applyFont="1" applyFill="1"/>
    <xf numFmtId="176" fontId="47" fillId="88" borderId="0" xfId="0" applyNumberFormat="1" applyFont="1" applyFill="1"/>
    <xf numFmtId="188" fontId="47" fillId="88" borderId="0" xfId="0" applyNumberFormat="1" applyFont="1" applyFill="1"/>
    <xf numFmtId="3" fontId="47" fillId="88" borderId="0" xfId="0" applyNumberFormat="1" applyFont="1" applyFill="1"/>
    <xf numFmtId="164" fontId="47" fillId="88" borderId="0" xfId="1" applyNumberFormat="1" applyFont="1" applyFill="1"/>
    <xf numFmtId="0" fontId="4" fillId="76" borderId="0" xfId="0" applyFont="1" applyFill="1"/>
    <xf numFmtId="0" fontId="80" fillId="54" borderId="0" xfId="0" applyFont="1" applyFill="1"/>
    <xf numFmtId="0" fontId="136" fillId="89" borderId="0" xfId="0" applyFont="1" applyFill="1"/>
    <xf numFmtId="0" fontId="137" fillId="54" borderId="61" xfId="0" applyFont="1" applyFill="1" applyBorder="1" applyAlignment="1">
      <alignment horizontal="center"/>
    </xf>
    <xf numFmtId="184" fontId="91" fillId="29" borderId="0" xfId="0" applyNumberFormat="1" applyFont="1" applyFill="1" applyAlignment="1">
      <alignment horizontal="center" vertical="center"/>
    </xf>
    <xf numFmtId="184" fontId="91" fillId="29" borderId="0" xfId="1" applyNumberFormat="1" applyFont="1" applyFill="1" applyAlignment="1">
      <alignment horizontal="center" vertical="center"/>
    </xf>
    <xf numFmtId="0" fontId="129" fillId="89" borderId="169" xfId="0" applyFont="1" applyFill="1" applyBorder="1" applyAlignment="1">
      <alignment wrapText="1"/>
    </xf>
    <xf numFmtId="184" fontId="33" fillId="72" borderId="169" xfId="0" applyNumberFormat="1" applyFont="1" applyFill="1" applyBorder="1"/>
    <xf numFmtId="0" fontId="130" fillId="72" borderId="169" xfId="0" applyFont="1" applyFill="1" applyBorder="1"/>
    <xf numFmtId="0" fontId="0" fillId="0" borderId="169" xfId="0" applyBorder="1"/>
    <xf numFmtId="43" fontId="10" fillId="71" borderId="94" xfId="1" applyFont="1" applyFill="1" applyBorder="1" applyAlignment="1">
      <alignment horizontal="center" vertical="center"/>
    </xf>
    <xf numFmtId="3" fontId="66" fillId="54" borderId="0" xfId="0" applyNumberFormat="1" applyFont="1" applyFill="1" applyAlignment="1">
      <alignment horizontal="center" vertical="center"/>
    </xf>
    <xf numFmtId="0" fontId="67" fillId="54" borderId="56" xfId="0" applyFont="1" applyFill="1" applyBorder="1" applyAlignment="1">
      <alignment horizontal="left" vertical="center"/>
    </xf>
    <xf numFmtId="49" fontId="12" fillId="8" borderId="0" xfId="0" applyNumberFormat="1" applyFont="1" applyFill="1"/>
    <xf numFmtId="188" fontId="12" fillId="8" borderId="0" xfId="1" applyNumberFormat="1" applyFont="1" applyFill="1"/>
    <xf numFmtId="207" fontId="12" fillId="8" borderId="0" xfId="1" applyNumberFormat="1" applyFont="1" applyFill="1"/>
    <xf numFmtId="0" fontId="40" fillId="0" borderId="0" xfId="0" applyFont="1" applyAlignment="1">
      <alignment wrapText="1"/>
    </xf>
    <xf numFmtId="0" fontId="78" fillId="58" borderId="54" xfId="0" applyFont="1" applyFill="1" applyBorder="1" applyAlignment="1">
      <alignment horizontal="center" vertical="center" wrapText="1"/>
    </xf>
    <xf numFmtId="165" fontId="47" fillId="0" borderId="0" xfId="1" applyNumberFormat="1" applyFont="1" applyAlignment="1">
      <alignment wrapText="1"/>
    </xf>
    <xf numFmtId="0" fontId="47" fillId="0" borderId="0" xfId="0" applyFont="1" applyAlignment="1">
      <alignment wrapText="1"/>
    </xf>
    <xf numFmtId="3" fontId="66" fillId="54" borderId="0" xfId="0" applyNumberFormat="1" applyFont="1" applyFill="1" applyAlignment="1">
      <alignment horizontal="center" vertical="center" wrapText="1"/>
    </xf>
    <xf numFmtId="0" fontId="66" fillId="54" borderId="56" xfId="0" applyFont="1" applyFill="1" applyBorder="1" applyAlignment="1">
      <alignment horizontal="left" vertical="center" wrapText="1"/>
    </xf>
    <xf numFmtId="0" fontId="2" fillId="0" borderId="0" xfId="0" applyFont="1"/>
    <xf numFmtId="166" fontId="28" fillId="51" borderId="102" xfId="1" applyNumberFormat="1" applyFont="1" applyFill="1" applyBorder="1" applyAlignment="1">
      <alignment horizontal="right"/>
    </xf>
    <xf numFmtId="0" fontId="86" fillId="71" borderId="38" xfId="0" applyFont="1" applyFill="1" applyBorder="1" applyAlignment="1">
      <alignment horizontal="center" vertical="center"/>
    </xf>
    <xf numFmtId="9" fontId="4" fillId="48" borderId="39" xfId="0" applyNumberFormat="1" applyFont="1" applyFill="1" applyBorder="1"/>
    <xf numFmtId="0" fontId="3" fillId="12" borderId="0" xfId="3" applyFill="1"/>
    <xf numFmtId="220" fontId="82" fillId="54" borderId="65" xfId="0" applyNumberFormat="1" applyFont="1" applyFill="1" applyBorder="1" applyAlignment="1">
      <alignment horizontal="center"/>
    </xf>
    <xf numFmtId="220" fontId="82" fillId="54" borderId="64" xfId="0" applyNumberFormat="1" applyFont="1" applyFill="1" applyBorder="1" applyAlignment="1">
      <alignment horizontal="center"/>
    </xf>
    <xf numFmtId="220" fontId="82" fillId="54" borderId="66" xfId="0" applyNumberFormat="1" applyFont="1" applyFill="1" applyBorder="1" applyAlignment="1">
      <alignment horizontal="center"/>
    </xf>
    <xf numFmtId="0" fontId="40" fillId="0" borderId="32" xfId="0" applyFont="1" applyBorder="1" applyAlignment="1">
      <alignment wrapText="1"/>
    </xf>
    <xf numFmtId="0" fontId="48" fillId="62" borderId="38" xfId="0" applyFont="1" applyFill="1" applyBorder="1" applyAlignment="1">
      <alignment horizontal="center"/>
    </xf>
    <xf numFmtId="0" fontId="48" fillId="62" borderId="39" xfId="0" applyFont="1" applyFill="1" applyBorder="1" applyAlignment="1">
      <alignment horizontal="center"/>
    </xf>
    <xf numFmtId="0" fontId="48" fillId="62" borderId="40" xfId="0" applyFont="1" applyFill="1" applyBorder="1" applyAlignment="1">
      <alignment horizontal="center"/>
    </xf>
    <xf numFmtId="184" fontId="49" fillId="54" borderId="24" xfId="0" applyNumberFormat="1" applyFont="1" applyFill="1" applyBorder="1" applyAlignment="1">
      <alignment horizontal="center"/>
    </xf>
    <xf numFmtId="184" fontId="49" fillId="54" borderId="0" xfId="0" applyNumberFormat="1" applyFont="1" applyFill="1" applyAlignment="1">
      <alignment horizontal="center"/>
    </xf>
    <xf numFmtId="184" fontId="49" fillId="54" borderId="42" xfId="0" applyNumberFormat="1" applyFont="1" applyFill="1" applyBorder="1" applyAlignment="1">
      <alignment horizontal="center"/>
    </xf>
    <xf numFmtId="0" fontId="10" fillId="71" borderId="74" xfId="0" applyFont="1" applyFill="1" applyBorder="1"/>
    <xf numFmtId="3" fontId="10" fillId="71" borderId="165" xfId="0" applyNumberFormat="1" applyFont="1" applyFill="1" applyBorder="1"/>
    <xf numFmtId="0" fontId="10" fillId="71" borderId="166" xfId="0" applyFont="1" applyFill="1" applyBorder="1"/>
    <xf numFmtId="188" fontId="0" fillId="0" borderId="0" xfId="0" applyNumberFormat="1" applyAlignment="1">
      <alignment horizontal="center" vertical="center"/>
    </xf>
    <xf numFmtId="184" fontId="0" fillId="0" borderId="0" xfId="1" applyNumberFormat="1" applyFont="1" applyAlignment="1">
      <alignment horizontal="center" vertical="center"/>
    </xf>
    <xf numFmtId="184" fontId="0" fillId="0" borderId="0" xfId="0" applyNumberFormat="1" applyAlignment="1">
      <alignment horizontal="right" vertical="center"/>
    </xf>
    <xf numFmtId="171" fontId="0" fillId="0" borderId="0" xfId="1" applyNumberFormat="1" applyFont="1" applyAlignment="1">
      <alignment horizontal="center" vertical="center"/>
    </xf>
    <xf numFmtId="184" fontId="0" fillId="0" borderId="0" xfId="1" applyNumberFormat="1" applyFont="1" applyAlignment="1">
      <alignment horizontal="right" vertical="center"/>
    </xf>
    <xf numFmtId="184" fontId="0" fillId="0" borderId="0" xfId="0" applyNumberFormat="1" applyAlignment="1">
      <alignment horizontal="center" vertical="center"/>
    </xf>
    <xf numFmtId="0" fontId="0" fillId="0" borderId="0" xfId="0" applyAlignment="1">
      <alignment horizontal="center" vertical="center"/>
    </xf>
    <xf numFmtId="166" fontId="0" fillId="0" borderId="0" xfId="1" applyNumberFormat="1" applyFont="1" applyBorder="1" applyAlignment="1">
      <alignment vertical="center"/>
    </xf>
    <xf numFmtId="166" fontId="0" fillId="0" borderId="0" xfId="1" applyNumberFormat="1" applyFont="1" applyAlignment="1">
      <alignment vertical="center"/>
    </xf>
    <xf numFmtId="0" fontId="0" fillId="0" borderId="0" xfId="0" quotePrefix="1" applyAlignment="1">
      <alignment horizontal="center" vertical="center"/>
    </xf>
    <xf numFmtId="1" fontId="0" fillId="0" borderId="0" xfId="0" applyNumberFormat="1" applyAlignment="1">
      <alignment horizontal="center" vertical="center"/>
    </xf>
    <xf numFmtId="43" fontId="2" fillId="0" borderId="0" xfId="1" applyFont="1" applyAlignment="1">
      <alignment horizontal="center" vertical="center" wrapText="1"/>
    </xf>
    <xf numFmtId="182" fontId="0" fillId="0" borderId="0" xfId="0" applyNumberFormat="1" applyAlignment="1">
      <alignment horizontal="center" vertical="center"/>
    </xf>
    <xf numFmtId="0" fontId="46" fillId="4" borderId="105" xfId="0" applyFont="1" applyFill="1" applyBorder="1" applyAlignment="1">
      <alignment horizontal="center" vertical="center"/>
    </xf>
    <xf numFmtId="0" fontId="46" fillId="4" borderId="106" xfId="0" applyFont="1" applyFill="1" applyBorder="1" applyAlignment="1">
      <alignment horizontal="center" vertical="center"/>
    </xf>
    <xf numFmtId="0" fontId="46" fillId="4" borderId="107" xfId="0" applyFont="1" applyFill="1" applyBorder="1" applyAlignment="1">
      <alignment horizontal="center" vertical="center"/>
    </xf>
    <xf numFmtId="171" fontId="2" fillId="0" borderId="0" xfId="1" applyNumberFormat="1" applyFont="1" applyAlignment="1">
      <alignment horizontal="center" vertical="center" wrapText="1"/>
    </xf>
    <xf numFmtId="0" fontId="4" fillId="0" borderId="0" xfId="0" applyFont="1" applyAlignment="1">
      <alignment horizontal="left" vertical="center"/>
    </xf>
    <xf numFmtId="0" fontId="4" fillId="0" borderId="1" xfId="0" applyFont="1" applyBorder="1" applyAlignment="1">
      <alignment horizontal="left" vertical="center"/>
    </xf>
    <xf numFmtId="0" fontId="18" fillId="0" borderId="74" xfId="0" applyFont="1" applyBorder="1" applyAlignment="1">
      <alignment horizontal="center" vertical="center"/>
    </xf>
    <xf numFmtId="0" fontId="18" fillId="0" borderId="165" xfId="0" applyFont="1" applyBorder="1" applyAlignment="1">
      <alignment horizontal="center" vertical="center"/>
    </xf>
    <xf numFmtId="0" fontId="18" fillId="0" borderId="166" xfId="0" applyFont="1" applyBorder="1" applyAlignment="1">
      <alignment horizontal="center" vertical="center"/>
    </xf>
    <xf numFmtId="0" fontId="28" fillId="77" borderId="74" xfId="0" applyFont="1" applyFill="1" applyBorder="1" applyAlignment="1">
      <alignment horizontal="center" vertical="center" wrapText="1"/>
    </xf>
    <xf numFmtId="0" fontId="28" fillId="77" borderId="165" xfId="0" applyFont="1" applyFill="1" applyBorder="1" applyAlignment="1">
      <alignment horizontal="center" vertical="center" wrapText="1"/>
    </xf>
    <xf numFmtId="0" fontId="28" fillId="77" borderId="166" xfId="0" applyFont="1" applyFill="1" applyBorder="1" applyAlignment="1">
      <alignment horizontal="center" vertical="center" wrapText="1"/>
    </xf>
    <xf numFmtId="0" fontId="28" fillId="0" borderId="74" xfId="0" applyFont="1" applyBorder="1" applyAlignment="1">
      <alignment horizontal="center" vertical="center"/>
    </xf>
    <xf numFmtId="0" fontId="28" fillId="0" borderId="166" xfId="0" applyFont="1" applyBorder="1" applyAlignment="1">
      <alignment horizontal="center" vertical="center"/>
    </xf>
    <xf numFmtId="0" fontId="28" fillId="0" borderId="165" xfId="0" applyFont="1" applyBorder="1" applyAlignment="1">
      <alignment horizontal="center" vertical="center"/>
    </xf>
    <xf numFmtId="0" fontId="28" fillId="22" borderId="19" xfId="0" applyFont="1" applyFill="1" applyBorder="1" applyAlignment="1">
      <alignment horizontal="center" vertical="center"/>
    </xf>
    <xf numFmtId="0" fontId="28" fillId="22" borderId="21" xfId="0" applyFont="1" applyFill="1" applyBorder="1" applyAlignment="1">
      <alignment horizontal="center" vertical="center"/>
    </xf>
    <xf numFmtId="0" fontId="28" fillId="22" borderId="22" xfId="0" applyFont="1" applyFill="1" applyBorder="1" applyAlignment="1">
      <alignment horizontal="center" vertical="center"/>
    </xf>
    <xf numFmtId="0" fontId="87" fillId="0" borderId="19" xfId="0" applyFont="1" applyBorder="1" applyAlignment="1">
      <alignment horizontal="center" vertical="center"/>
    </xf>
    <xf numFmtId="0" fontId="87" fillId="0" borderId="21" xfId="0" applyFont="1" applyBorder="1" applyAlignment="1">
      <alignment horizontal="center" vertical="center"/>
    </xf>
    <xf numFmtId="0" fontId="87" fillId="0" borderId="69" xfId="0" applyFont="1" applyBorder="1" applyAlignment="1">
      <alignment horizontal="center" vertical="center"/>
    </xf>
    <xf numFmtId="0" fontId="87" fillId="0" borderId="19" xfId="0" applyFont="1" applyBorder="1" applyAlignment="1" applyProtection="1">
      <alignment horizontal="center" vertical="center"/>
      <protection locked="0"/>
    </xf>
    <xf numFmtId="0" fontId="87" fillId="0" borderId="21" xfId="0" applyFont="1" applyBorder="1" applyAlignment="1" applyProtection="1">
      <alignment horizontal="center" vertical="center"/>
      <protection locked="0"/>
    </xf>
    <xf numFmtId="0" fontId="87" fillId="0" borderId="69" xfId="0" applyFont="1" applyBorder="1" applyAlignment="1" applyProtection="1">
      <alignment horizontal="center" vertical="center"/>
      <protection locked="0"/>
    </xf>
    <xf numFmtId="0" fontId="87" fillId="12" borderId="19" xfId="0" applyFont="1" applyFill="1" applyBorder="1" applyAlignment="1" applyProtection="1">
      <alignment horizontal="center" vertical="center"/>
      <protection locked="0"/>
    </xf>
    <xf numFmtId="0" fontId="87" fillId="12" borderId="21" xfId="0" applyFont="1" applyFill="1" applyBorder="1" applyAlignment="1" applyProtection="1">
      <alignment horizontal="center" vertical="center"/>
      <protection locked="0"/>
    </xf>
    <xf numFmtId="0" fontId="87" fillId="12" borderId="69" xfId="0" applyFont="1" applyFill="1" applyBorder="1" applyAlignment="1" applyProtection="1">
      <alignment horizontal="center" vertical="center"/>
      <protection locked="0"/>
    </xf>
    <xf numFmtId="0" fontId="0" fillId="19" borderId="2" xfId="0" applyFill="1" applyBorder="1" applyAlignment="1">
      <alignment horizontal="center"/>
    </xf>
    <xf numFmtId="0" fontId="0" fillId="18" borderId="0" xfId="0" applyFill="1" applyAlignment="1">
      <alignment horizontal="center"/>
    </xf>
    <xf numFmtId="0" fontId="18" fillId="0" borderId="76" xfId="11" applyFont="1" applyBorder="1" applyAlignment="1">
      <alignment horizontal="center" vertical="center"/>
    </xf>
    <xf numFmtId="0" fontId="18" fillId="0" borderId="81" xfId="11" applyFont="1" applyBorder="1" applyAlignment="1">
      <alignment horizontal="center" vertical="center"/>
    </xf>
    <xf numFmtId="193" fontId="87" fillId="0" borderId="19" xfId="12" applyNumberFormat="1" applyFont="1" applyBorder="1" applyAlignment="1" applyProtection="1">
      <alignment horizontal="center" vertical="center"/>
      <protection locked="0"/>
    </xf>
    <xf numFmtId="193" fontId="87" fillId="0" borderId="21" xfId="12" applyNumberFormat="1" applyFont="1" applyBorder="1" applyAlignment="1" applyProtection="1">
      <alignment horizontal="center" vertical="center"/>
      <protection locked="0"/>
    </xf>
    <xf numFmtId="193" fontId="87" fillId="0" borderId="69" xfId="12" applyNumberFormat="1" applyFont="1" applyBorder="1" applyAlignment="1" applyProtection="1">
      <alignment horizontal="center" vertical="center"/>
      <protection locked="0"/>
    </xf>
    <xf numFmtId="0" fontId="88" fillId="18" borderId="19" xfId="0" applyFont="1" applyFill="1" applyBorder="1" applyAlignment="1" applyProtection="1">
      <alignment horizontal="center" vertical="center"/>
      <protection locked="0"/>
    </xf>
    <xf numFmtId="0" fontId="88" fillId="18" borderId="21" xfId="0" applyFont="1" applyFill="1" applyBorder="1" applyAlignment="1" applyProtection="1">
      <alignment horizontal="center" vertical="center"/>
      <protection locked="0"/>
    </xf>
    <xf numFmtId="0" fontId="88" fillId="18" borderId="69" xfId="0" applyFont="1" applyFill="1" applyBorder="1" applyAlignment="1" applyProtection="1">
      <alignment horizontal="center" vertical="center"/>
      <protection locked="0"/>
    </xf>
    <xf numFmtId="0" fontId="67" fillId="29" borderId="24" xfId="0" applyFont="1" applyFill="1" applyBorder="1" applyAlignment="1">
      <alignment horizontal="center" vertical="center"/>
    </xf>
    <xf numFmtId="0" fontId="67" fillId="29" borderId="0" xfId="0" applyFont="1" applyFill="1" applyAlignment="1">
      <alignment horizontal="center" vertical="center"/>
    </xf>
    <xf numFmtId="0" fontId="67" fillId="29" borderId="42" xfId="0" applyFont="1" applyFill="1" applyBorder="1" applyAlignment="1">
      <alignment horizontal="center" vertical="center"/>
    </xf>
    <xf numFmtId="168" fontId="75" fillId="51" borderId="35" xfId="0" applyNumberFormat="1" applyFont="1" applyFill="1" applyBorder="1" applyAlignment="1">
      <alignment horizontal="center" vertical="center"/>
    </xf>
    <xf numFmtId="0" fontId="71" fillId="51" borderId="42" xfId="0" applyFont="1" applyFill="1" applyBorder="1" applyAlignment="1">
      <alignment horizontal="center" vertical="center"/>
    </xf>
    <xf numFmtId="9" fontId="70" fillId="73" borderId="35" xfId="0" applyNumberFormat="1" applyFont="1" applyFill="1" applyBorder="1" applyAlignment="1" applyProtection="1">
      <alignment horizontal="center" vertical="center"/>
      <protection locked="0"/>
    </xf>
    <xf numFmtId="0" fontId="71" fillId="73" borderId="42" xfId="0" applyFont="1" applyFill="1" applyBorder="1" applyAlignment="1">
      <alignment horizontal="center" vertical="center"/>
    </xf>
    <xf numFmtId="0" fontId="72" fillId="17" borderId="41" xfId="0" applyFont="1" applyFill="1" applyBorder="1" applyAlignment="1">
      <alignment horizontal="center" vertical="center"/>
    </xf>
    <xf numFmtId="0" fontId="73" fillId="17" borderId="0" xfId="0" applyFont="1" applyFill="1" applyAlignment="1">
      <alignment horizontal="center" vertical="center"/>
    </xf>
    <xf numFmtId="0" fontId="73" fillId="17" borderId="42" xfId="0" applyFont="1" applyFill="1" applyBorder="1" applyAlignment="1">
      <alignment horizontal="center" vertical="center"/>
    </xf>
    <xf numFmtId="0" fontId="72" fillId="17" borderId="24" xfId="0" applyFont="1" applyFill="1" applyBorder="1" applyAlignment="1">
      <alignment horizontal="center" vertical="center"/>
    </xf>
    <xf numFmtId="0" fontId="72" fillId="17" borderId="0" xfId="0" applyFont="1" applyFill="1" applyAlignment="1">
      <alignment horizontal="center" vertical="center"/>
    </xf>
    <xf numFmtId="0" fontId="72" fillId="17" borderId="42" xfId="0" applyFont="1" applyFill="1" applyBorder="1" applyAlignment="1">
      <alignment horizontal="center" vertical="center"/>
    </xf>
    <xf numFmtId="0" fontId="44" fillId="42" borderId="55" xfId="0" applyFont="1" applyFill="1" applyBorder="1" applyAlignment="1">
      <alignment horizontal="center" vertical="center"/>
    </xf>
    <xf numFmtId="0" fontId="0" fillId="0" borderId="53" xfId="0" applyBorder="1"/>
    <xf numFmtId="0" fontId="0" fillId="0" borderId="57" xfId="0" applyBorder="1"/>
    <xf numFmtId="0" fontId="73" fillId="44" borderId="41" xfId="0" applyFont="1" applyFill="1" applyBorder="1" applyAlignment="1">
      <alignment horizontal="center" vertical="center"/>
    </xf>
    <xf numFmtId="0" fontId="73" fillId="44" borderId="0" xfId="0" applyFont="1" applyFill="1" applyAlignment="1">
      <alignment horizontal="center" vertical="center"/>
    </xf>
    <xf numFmtId="0" fontId="73" fillId="44" borderId="42" xfId="0" applyFont="1" applyFill="1" applyBorder="1" applyAlignment="1">
      <alignment horizontal="center" vertical="center"/>
    </xf>
    <xf numFmtId="168" fontId="76" fillId="74" borderId="41" xfId="0" applyNumberFormat="1" applyFont="1" applyFill="1" applyBorder="1" applyAlignment="1">
      <alignment horizontal="center" vertical="center"/>
    </xf>
    <xf numFmtId="0" fontId="76" fillId="74" borderId="0" xfId="0" applyFont="1" applyFill="1" applyAlignment="1">
      <alignment horizontal="center" vertical="center"/>
    </xf>
    <xf numFmtId="0" fontId="76" fillId="74" borderId="42" xfId="0" applyFont="1" applyFill="1" applyBorder="1" applyAlignment="1">
      <alignment horizontal="center" vertical="center"/>
    </xf>
    <xf numFmtId="0" fontId="67" fillId="29" borderId="43" xfId="0" applyFont="1" applyFill="1" applyBorder="1" applyAlignment="1">
      <alignment horizontal="center" vertical="center"/>
    </xf>
    <xf numFmtId="0" fontId="67" fillId="29" borderId="44" xfId="0" applyFont="1" applyFill="1" applyBorder="1" applyAlignment="1">
      <alignment horizontal="center" vertical="center"/>
    </xf>
    <xf numFmtId="0" fontId="67" fillId="29" borderId="45" xfId="0" applyFont="1" applyFill="1" applyBorder="1" applyAlignment="1">
      <alignment horizontal="center" vertical="center"/>
    </xf>
    <xf numFmtId="0" fontId="132" fillId="0" borderId="175" xfId="0" applyFont="1" applyBorder="1" applyAlignment="1">
      <alignment horizontal="center" vertical="center" wrapText="1"/>
    </xf>
    <xf numFmtId="0" fontId="132" fillId="0" borderId="176" xfId="0" applyFont="1" applyBorder="1" applyAlignment="1">
      <alignment horizontal="center" vertical="center" wrapText="1"/>
    </xf>
    <xf numFmtId="0" fontId="0" fillId="87" borderId="173" xfId="0" applyFill="1" applyBorder="1" applyAlignment="1">
      <alignment wrapText="1"/>
    </xf>
    <xf numFmtId="0" fontId="0" fillId="87" borderId="174" xfId="0" applyFill="1" applyBorder="1" applyAlignment="1">
      <alignment wrapText="1"/>
    </xf>
    <xf numFmtId="0" fontId="10" fillId="10" borderId="173" xfId="0" applyFont="1" applyFill="1" applyBorder="1" applyAlignment="1">
      <alignment wrapText="1"/>
    </xf>
    <xf numFmtId="0" fontId="46" fillId="71" borderId="172" xfId="0" applyFont="1" applyFill="1" applyBorder="1" applyAlignment="1">
      <alignment wrapText="1"/>
    </xf>
    <xf numFmtId="0" fontId="46" fillId="52" borderId="117" xfId="0" applyFont="1" applyFill="1" applyBorder="1" applyAlignment="1">
      <alignment horizontal="center" vertical="center"/>
    </xf>
    <xf numFmtId="0" fontId="46" fillId="52" borderId="118" xfId="0" applyFont="1" applyFill="1" applyBorder="1" applyAlignment="1">
      <alignment horizontal="center" vertical="center"/>
    </xf>
    <xf numFmtId="0" fontId="46" fillId="52" borderId="119" xfId="0" applyFont="1" applyFill="1" applyBorder="1" applyAlignment="1">
      <alignment horizontal="center" vertical="center"/>
    </xf>
    <xf numFmtId="0" fontId="46" fillId="56" borderId="129" xfId="0" applyFont="1" applyFill="1" applyBorder="1" applyAlignment="1">
      <alignment horizontal="center" vertical="center"/>
    </xf>
    <xf numFmtId="0" fontId="46" fillId="56" borderId="130" xfId="0" applyFont="1" applyFill="1" applyBorder="1" applyAlignment="1">
      <alignment horizontal="center" vertical="center"/>
    </xf>
    <xf numFmtId="0" fontId="46" fillId="56" borderId="131" xfId="0" applyFont="1" applyFill="1" applyBorder="1" applyAlignment="1">
      <alignment horizontal="center" vertical="center"/>
    </xf>
    <xf numFmtId="2" fontId="0" fillId="0" borderId="0" xfId="0" applyNumberFormat="1" applyAlignment="1">
      <alignment horizontal="center" vertical="center"/>
    </xf>
    <xf numFmtId="185" fontId="0" fillId="0" borderId="0" xfId="0" applyNumberFormat="1" applyAlignment="1">
      <alignment horizontal="center" vertical="center"/>
    </xf>
    <xf numFmtId="0" fontId="10" fillId="71" borderId="0" xfId="0" applyFont="1" applyFill="1"/>
    <xf numFmtId="3" fontId="10" fillId="71" borderId="0" xfId="0" applyNumberFormat="1" applyFont="1" applyFill="1"/>
    <xf numFmtId="0" fontId="127" fillId="71" borderId="97" xfId="0" applyFont="1" applyFill="1" applyBorder="1" applyAlignment="1">
      <alignment horizontal="center" vertical="center"/>
    </xf>
    <xf numFmtId="0" fontId="0" fillId="0" borderId="0" xfId="0" applyAlignment="1">
      <alignment horizontal="left" vertical="center"/>
    </xf>
    <xf numFmtId="0" fontId="11" fillId="6" borderId="12" xfId="4" applyFont="1" applyFill="1" applyBorder="1" applyAlignment="1">
      <alignment horizontal="center" vertical="center" readingOrder="1"/>
    </xf>
    <xf numFmtId="0" fontId="11" fillId="6" borderId="0" xfId="4" applyFont="1" applyFill="1" applyAlignment="1">
      <alignment horizontal="center" vertical="center" readingOrder="1"/>
    </xf>
    <xf numFmtId="0" fontId="11" fillId="6" borderId="30" xfId="4" applyFont="1" applyFill="1" applyBorder="1" applyAlignment="1">
      <alignment horizontal="center" vertical="center" readingOrder="1"/>
    </xf>
    <xf numFmtId="0" fontId="11" fillId="6" borderId="33" xfId="4" applyFont="1" applyFill="1" applyBorder="1" applyAlignment="1">
      <alignment horizontal="center" vertical="center" readingOrder="1"/>
    </xf>
    <xf numFmtId="0" fontId="116" fillId="83" borderId="0" xfId="4" applyFont="1" applyFill="1" applyAlignment="1">
      <alignment horizontal="center" vertical="center" wrapText="1" readingOrder="1"/>
    </xf>
    <xf numFmtId="0" fontId="118" fillId="54" borderId="141" xfId="0" applyFont="1" applyFill="1" applyBorder="1" applyAlignment="1">
      <alignment horizontal="right" vertical="center" wrapText="1"/>
    </xf>
    <xf numFmtId="0" fontId="118" fillId="54" borderId="142" xfId="0" applyFont="1" applyFill="1" applyBorder="1" applyAlignment="1">
      <alignment horizontal="right" vertical="center" wrapText="1"/>
    </xf>
    <xf numFmtId="0" fontId="118" fillId="54" borderId="143" xfId="0" applyFont="1" applyFill="1" applyBorder="1" applyAlignment="1">
      <alignment horizontal="right" vertical="center" wrapText="1"/>
    </xf>
    <xf numFmtId="0" fontId="2" fillId="0" borderId="0" xfId="0" applyFont="1" applyAlignment="1">
      <alignment horizontal="center" vertical="center"/>
    </xf>
    <xf numFmtId="0" fontId="4" fillId="72" borderId="2" xfId="9" applyFont="1" applyFill="1" applyBorder="1" applyAlignment="1">
      <alignment horizontal="center" vertical="center"/>
    </xf>
    <xf numFmtId="0" fontId="1" fillId="16" borderId="2" xfId="9" applyBorder="1" applyAlignment="1">
      <alignment horizontal="center" vertical="center"/>
    </xf>
    <xf numFmtId="0" fontId="1" fillId="27" borderId="2" xfId="18" applyBorder="1" applyAlignment="1">
      <alignment horizontal="center" vertical="center"/>
    </xf>
    <xf numFmtId="0" fontId="18" fillId="30" borderId="32" xfId="0" applyFont="1" applyFill="1" applyBorder="1" applyAlignment="1">
      <alignment horizontal="center" vertical="center"/>
    </xf>
    <xf numFmtId="0" fontId="8" fillId="0" borderId="0" xfId="0" applyFont="1"/>
    <xf numFmtId="0" fontId="50" fillId="0" borderId="0" xfId="0" applyFont="1" applyAlignment="1">
      <alignment horizontal="center"/>
    </xf>
    <xf numFmtId="0" fontId="51" fillId="0" borderId="0" xfId="0" applyFont="1" applyAlignment="1">
      <alignment horizontal="center"/>
    </xf>
    <xf numFmtId="0" fontId="52" fillId="7" borderId="0" xfId="0" applyFont="1" applyFill="1"/>
    <xf numFmtId="0" fontId="55" fillId="6" borderId="0" xfId="0" applyFont="1" applyFill="1"/>
    <xf numFmtId="0" fontId="55" fillId="17" borderId="0" xfId="0" applyFont="1" applyFill="1" applyAlignment="1">
      <alignment horizontal="center"/>
    </xf>
    <xf numFmtId="0" fontId="55" fillId="63" borderId="0" xfId="0" applyFont="1" applyFill="1"/>
    <xf numFmtId="0" fontId="55" fillId="56" borderId="0" xfId="0" applyFont="1" applyFill="1"/>
    <xf numFmtId="0" fontId="57" fillId="0" borderId="0" xfId="0" applyFont="1"/>
    <xf numFmtId="0" fontId="55" fillId="10" borderId="0" xfId="0" applyFont="1" applyFill="1"/>
    <xf numFmtId="0" fontId="55" fillId="22" borderId="0" xfId="0" applyFont="1" applyFill="1"/>
    <xf numFmtId="0" fontId="58" fillId="62" borderId="0" xfId="0" applyFont="1" applyFill="1"/>
    <xf numFmtId="0" fontId="59" fillId="0" borderId="0" xfId="0" applyFont="1"/>
    <xf numFmtId="0" fontId="58" fillId="66" borderId="0" xfId="0" applyFont="1" applyFill="1"/>
    <xf numFmtId="0" fontId="55" fillId="67" borderId="0" xfId="0" applyFont="1" applyFill="1"/>
    <xf numFmtId="0" fontId="55" fillId="68" borderId="0" xfId="0" applyFont="1" applyFill="1"/>
    <xf numFmtId="0" fontId="56" fillId="0" borderId="0" xfId="0" applyFont="1"/>
    <xf numFmtId="0" fontId="134" fillId="71" borderId="0" xfId="0" applyFont="1" applyFill="1"/>
    <xf numFmtId="0" fontId="40" fillId="0" borderId="0" xfId="0" applyFont="1" applyAlignment="1">
      <alignment wrapText="1"/>
    </xf>
  </cellXfs>
  <cellStyles count="19">
    <cellStyle name="20% - Accent1" xfId="14" builtinId="30"/>
    <cellStyle name="20% - Accent3" xfId="16" builtinId="38"/>
    <cellStyle name="40% - Accent1" xfId="15" builtinId="31"/>
    <cellStyle name="40% - Accent3" xfId="17" builtinId="39"/>
    <cellStyle name="60% - Accent1" xfId="9" builtinId="32"/>
    <cellStyle name="60% - Accent3" xfId="18" builtinId="40"/>
    <cellStyle name="Accent6" xfId="6" builtinId="49"/>
    <cellStyle name="Bad" xfId="8" builtinId="27"/>
    <cellStyle name="Comma" xfId="1" builtinId="3"/>
    <cellStyle name="Comma 2" xfId="10" xr:uid="{03AF8C35-7EF7-478C-9276-086743AD314C}"/>
    <cellStyle name="Comma 3" xfId="12" xr:uid="{DFA7BDD4-9396-4C45-84FA-BBF95E4F4A5F}"/>
    <cellStyle name="Currency 2" xfId="13" xr:uid="{D9C63C98-7444-4ED1-A0DE-3DD722149160}"/>
    <cellStyle name="Explanatory Text" xfId="3" builtinId="53"/>
    <cellStyle name="Good" xfId="7" builtinId="26"/>
    <cellStyle name="Normal" xfId="0" builtinId="0"/>
    <cellStyle name="Normal 2 2" xfId="5" xr:uid="{B064525E-B53A-43D0-ACFC-17DE8B90D981}"/>
    <cellStyle name="Normal 2 3" xfId="11" xr:uid="{175CE8AE-AF7F-4D5A-86C0-22037EE17D3F}"/>
    <cellStyle name="Normal 4" xfId="4" xr:uid="{491E8847-2F35-4D92-A270-399E7ED73163}"/>
    <cellStyle name="Percent" xfId="2" builtinId="5"/>
  </cellStyles>
  <dxfs count="196">
    <dxf>
      <font>
        <b/>
        <i val="0"/>
        <color rgb="FF274E13"/>
      </font>
      <fill>
        <patternFill patternType="solid">
          <fgColor indexed="64"/>
          <bgColor rgb="FFD9EAD3"/>
        </patternFill>
      </fill>
    </dxf>
    <dxf>
      <font>
        <b/>
        <i val="0"/>
        <color rgb="FF7F6000"/>
      </font>
      <fill>
        <patternFill patternType="solid">
          <fgColor indexed="64"/>
          <bgColor rgb="FFFFF2CC"/>
        </patternFill>
      </fill>
    </dxf>
    <dxf>
      <font>
        <color rgb="FF9C0006"/>
      </font>
      <fill>
        <patternFill>
          <bgColor rgb="FFFFC7CE"/>
        </patternFill>
      </fill>
    </dxf>
    <dxf>
      <fill>
        <patternFill patternType="solid">
          <fgColor indexed="64"/>
          <bgColor rgb="FFD3D3D3"/>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ill>
        <patternFill patternType="solid">
          <fgColor indexed="64"/>
          <bgColor rgb="FFD3D3D3"/>
        </patternFill>
      </fill>
    </dxf>
    <dxf>
      <font>
        <color rgb="FF9C0006"/>
      </font>
      <fill>
        <patternFill>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ill>
        <patternFill patternType="solid">
          <fgColor indexed="64"/>
          <bgColor rgb="FFD3D3D3"/>
        </patternFill>
      </fill>
    </dxf>
    <dxf>
      <fill>
        <patternFill patternType="solid">
          <fgColor indexed="64"/>
          <bgColor rgb="FFD3D3D3"/>
        </patternFill>
      </fill>
    </dxf>
    <dxf>
      <font>
        <color rgb="FF008000"/>
      </font>
    </dxf>
    <dxf>
      <font>
        <color rgb="FFC00000"/>
      </font>
    </dxf>
    <dxf>
      <font>
        <color rgb="FF008000"/>
      </font>
    </dxf>
    <dxf>
      <font>
        <color rgb="FFC00000"/>
      </font>
    </dxf>
    <dxf>
      <font>
        <color rgb="FF008000"/>
      </font>
    </dxf>
    <dxf>
      <font>
        <color rgb="FFC00000"/>
      </font>
    </dxf>
    <dxf>
      <font>
        <color rgb="FF008000"/>
      </font>
    </dxf>
    <dxf>
      <font>
        <color rgb="FFC00000"/>
      </font>
    </dxf>
    <dxf>
      <font>
        <color rgb="FF008000"/>
      </font>
    </dxf>
    <dxf>
      <font>
        <color rgb="FFC00000"/>
      </font>
    </dxf>
    <dxf>
      <font>
        <color rgb="FF008000"/>
      </font>
    </dxf>
    <dxf>
      <font>
        <color rgb="FFC0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rgb="FFFFC7CE"/>
        </patternFill>
      </fill>
    </dxf>
    <dxf>
      <fill>
        <patternFill patternType="solid">
          <fgColor indexed="64"/>
          <bgColor rgb="FFC6EFCE"/>
        </patternFill>
      </fill>
    </dxf>
    <dxf>
      <font>
        <color rgb="FF9C0006"/>
      </font>
      <fill>
        <patternFill>
          <bgColor rgb="FFFFC7CE"/>
        </patternFill>
      </fill>
    </dxf>
    <dxf>
      <numFmt numFmtId="0" formatCode="General"/>
      <alignment horizontal="left"/>
    </dxf>
    <dxf>
      <numFmt numFmtId="164" formatCode="0.0%"/>
      <alignment horizontal="right"/>
    </dxf>
    <dxf>
      <alignment horizontal="left"/>
    </dxf>
    <dxf>
      <alignment horizontal="left"/>
    </dxf>
    <dxf>
      <alignment horizontal="left"/>
    </dxf>
    <dxf>
      <alignment horizontal="left"/>
    </dxf>
    <dxf>
      <alignment horizontal="left"/>
    </dxf>
    <dxf>
      <font>
        <b/>
        <color rgb="FFFFFFFF"/>
      </font>
      <fill>
        <patternFill patternType="solid">
          <fgColor indexed="64"/>
          <bgColor rgb="FF5B9BD5"/>
        </patternFill>
      </fill>
      <alignment horizontal="center"/>
    </dxf>
    <dxf>
      <numFmt numFmtId="167" formatCode="_([$€-2]\ * #,##0.00_);_([$€-2]\ * \(#,##0.00\);_([$€-2]\ * &quot;-&quot;??_);_(@_)"/>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numFmt numFmtId="166" formatCode="_(* #,##0_);_(* \(#,##0\);_(* &quot;-&quot;??_);_(@_)"/>
    </dxf>
    <dxf>
      <font>
        <b val="0"/>
        <i val="0"/>
        <strike val="0"/>
        <condense val="0"/>
        <extend val="0"/>
        <outline val="0"/>
        <shadow val="0"/>
        <u val="none"/>
        <vertAlign val="baseline"/>
        <sz val="11"/>
        <color theme="1"/>
        <name val="Aptos Narrow"/>
        <family val="2"/>
        <scheme val="minor"/>
      </font>
      <numFmt numFmtId="166" formatCode="_(* #,##0_);_(* \(#,##0\);_(* &quot;-&quot;??_);_(@_)"/>
    </dxf>
    <dxf>
      <numFmt numFmtId="174" formatCode="0.0000"/>
      <border diagonalUp="0" diagonalDown="0">
        <left style="medium">
          <color indexed="64"/>
        </left>
        <right style="medium">
          <color indexed="64"/>
        </right>
        <vertical/>
      </border>
    </dxf>
    <dxf>
      <numFmt numFmtId="174" formatCode="0.0000"/>
    </dxf>
    <dxf>
      <numFmt numFmtId="171" formatCode="_(* #,##0.000_);_(* \(#,##0.000\);_(* &quot;-&quot;??_);_(@_)"/>
    </dxf>
    <dxf>
      <font>
        <b val="0"/>
        <i val="0"/>
        <strike val="0"/>
        <condense val="0"/>
        <extend val="0"/>
        <outline val="0"/>
        <shadow val="0"/>
        <u val="none"/>
        <vertAlign val="baseline"/>
        <sz val="11"/>
        <color theme="1"/>
        <name val="Aptos Narrow"/>
        <family val="2"/>
        <scheme val="minor"/>
      </font>
      <numFmt numFmtId="14" formatCode="0.00%"/>
    </dxf>
    <dxf>
      <numFmt numFmtId="176" formatCode="0.000"/>
    </dxf>
    <dxf>
      <numFmt numFmtId="0" formatCode="General"/>
    </dxf>
    <dxf>
      <numFmt numFmtId="35" formatCode="_(* #,##0.00_);_(* \(#,##0.00\);_(* &quot;-&quot;??_);_(@_)"/>
    </dxf>
    <dxf>
      <numFmt numFmtId="35" formatCode="_(* #,##0.00_);_(* \(#,##0.00\);_(* &quot;-&quot;??_);_(@_)"/>
      <alignment horizontal="general" vertical="center" textRotation="0" wrapText="0" indent="0" justifyLastLine="0" shrinkToFit="0" readingOrder="0"/>
    </dxf>
    <dxf>
      <numFmt numFmtId="170" formatCode="#,##0&quot; mm&quot;"/>
    </dxf>
    <dxf>
      <font>
        <b val="0"/>
        <i val="0"/>
        <strike val="0"/>
        <condense val="0"/>
        <extend val="0"/>
        <outline val="0"/>
        <shadow val="0"/>
        <u val="none"/>
        <vertAlign val="baseline"/>
        <sz val="11"/>
        <color theme="1"/>
        <name val="Aptos Narrow"/>
        <family val="2"/>
        <scheme val="minor"/>
      </font>
      <numFmt numFmtId="166" formatCode="_(* #,##0_);_(* \(#,##0\);_(* &quot;-&quot;??_);_(@_)"/>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FFFFFF"/>
        <name val="Aptos Narrow"/>
        <family val="2"/>
        <scheme val="minor"/>
      </font>
      <fill>
        <patternFill patternType="solid">
          <fgColor indexed="64"/>
          <bgColor rgb="FF1F4E79"/>
        </patternFill>
      </fill>
      <alignment horizontal="left" vertical="bottom" textRotation="0" wrapText="0" indent="0" justifyLastLine="0" shrinkToFit="0" readingOrder="0"/>
      <border diagonalUp="0" diagonalDown="0" outline="0">
        <left style="thin">
          <color theme="4"/>
        </left>
        <right style="thin">
          <color theme="4"/>
        </right>
        <top/>
        <bottom/>
      </border>
    </dxf>
    <dxf>
      <font>
        <name val="Aptos"/>
      </font>
      <alignment horizontal="left" vertical="bottom" textRotation="0" wrapText="1" indent="0" justifyLastLine="0" shrinkToFit="0" readingOrder="0"/>
    </dxf>
    <dxf>
      <font>
        <name val="Aptos"/>
      </font>
      <alignment horizontal="left" vertical="bottom" textRotation="0" wrapText="1" indent="0" justifyLastLine="0" shrinkToFit="0" readingOrder="0"/>
    </dxf>
    <dxf>
      <font>
        <name val="Aptos"/>
      </font>
      <alignment horizontal="left" vertical="bottom" textRotation="0" wrapText="1" indent="0" justifyLastLine="0" shrinkToFit="0" readingOrder="0"/>
    </dxf>
    <dxf>
      <font>
        <name val="Aptos"/>
      </font>
      <alignment horizontal="left" vertical="bottom" textRotation="0" wrapText="1" indent="0" justifyLastLine="0" shrinkToFit="0" readingOrder="0"/>
    </dxf>
    <dxf>
      <font>
        <name val="Aptos"/>
      </font>
      <numFmt numFmtId="1" formatCode="0"/>
      <alignment horizontal="left" vertical="bottom" textRotation="0" wrapText="1" indent="0" justifyLastLine="0" shrinkToFit="0" readingOrder="0"/>
    </dxf>
    <dxf>
      <font>
        <name val="Aptos"/>
      </font>
      <numFmt numFmtId="1" formatCode="0"/>
      <alignment horizontal="left" vertical="bottom" textRotation="0" wrapText="1" indent="0" justifyLastLine="0" shrinkToFit="0" readingOrder="0"/>
    </dxf>
    <dxf>
      <font>
        <name val="Aptos"/>
      </font>
      <alignment horizontal="left" vertical="bottom" textRotation="0" wrapText="1" indent="0" justifyLastLine="0" shrinkToFit="0" readingOrder="0"/>
    </dxf>
    <dxf>
      <font>
        <name val="Aptos"/>
      </font>
      <numFmt numFmtId="1" formatCode="0"/>
      <alignment horizontal="left" vertical="bottom" textRotation="0" wrapText="1" indent="0" justifyLastLine="0" shrinkToFit="0" readingOrder="0"/>
    </dxf>
    <dxf>
      <font>
        <name val="Aptos"/>
      </font>
      <alignment horizontal="left" vertical="bottom" textRotation="0" wrapText="1" indent="0" justifyLastLine="0" shrinkToFit="0" readingOrder="0"/>
    </dxf>
    <dxf>
      <font>
        <name val="Aptos"/>
      </font>
      <alignment horizontal="left" vertical="bottom" textRotation="0" wrapText="1" indent="0" justifyLastLine="0" shrinkToFit="0" readingOrder="0"/>
    </dxf>
    <dxf>
      <font>
        <b/>
        <color rgb="FFFFFFFF"/>
        <name val="Aptos"/>
      </font>
      <fill>
        <patternFill patternType="solid">
          <fgColor indexed="64"/>
          <bgColor rgb="FF1F4E78"/>
        </patternFill>
      </fill>
      <alignment horizontal="left" vertical="bottom" textRotation="0" wrapText="1" indent="0" justifyLastLine="0" shrinkToFit="0" readingOrder="0"/>
    </dxf>
    <dxf>
      <numFmt numFmtId="0" formatCode="General"/>
    </dxf>
    <dxf>
      <numFmt numFmtId="0" formatCode="General"/>
    </dxf>
    <dxf>
      <numFmt numFmtId="0" formatCode="General"/>
    </dxf>
    <dxf>
      <alignment wrapText="1"/>
    </dxf>
    <dxf>
      <numFmt numFmtId="3" formatCode="#,##0"/>
    </dxf>
    <dxf>
      <numFmt numFmtId="3" formatCode="#,##0"/>
    </dxf>
    <dxf>
      <numFmt numFmtId="3" formatCode="#,##0"/>
    </dxf>
    <dxf>
      <alignment wrapText="1"/>
    </dxf>
    <dxf>
      <numFmt numFmtId="184" formatCode="\€\ #,##0.00"/>
    </dxf>
    <dxf>
      <numFmt numFmtId="184" formatCode="\€\ #,##0.00"/>
    </dxf>
    <dxf>
      <numFmt numFmtId="184" formatCode="\€\ #,##0.00"/>
    </dxf>
    <dxf>
      <font>
        <b/>
        <color rgb="FFFFFFFF"/>
      </font>
      <fill>
        <patternFill patternType="solid">
          <fgColor indexed="64"/>
          <bgColor rgb="FF1F4E78"/>
        </patternFill>
      </fill>
    </dxf>
    <dxf>
      <fill>
        <patternFill patternType="solid">
          <fgColor indexed="64"/>
          <bgColor rgb="FFE9EEF4"/>
        </patternFill>
      </fill>
    </dxf>
    <dxf>
      <fill>
        <patternFill patternType="solid">
          <fgColor indexed="64"/>
          <bgColor rgb="FFE9EEF4"/>
        </patternFill>
      </fill>
    </dxf>
    <dxf>
      <fill>
        <patternFill patternType="solid">
          <fgColor indexed="64"/>
          <bgColor rgb="FFE9EEF4"/>
        </patternFill>
      </fill>
    </dxf>
    <dxf>
      <fill>
        <patternFill patternType="solid">
          <fgColor indexed="64"/>
          <bgColor rgb="FFE9EEF4"/>
        </patternFill>
      </fill>
    </dxf>
    <dxf>
      <border outline="0">
        <top style="thin">
          <color indexed="64"/>
        </top>
      </border>
    </dxf>
    <dxf>
      <fill>
        <patternFill patternType="solid">
          <fgColor indexed="64"/>
          <bgColor rgb="FFE9EEF4"/>
        </patternFill>
      </fill>
    </dxf>
    <dxf>
      <border outline="0">
        <bottom style="thin">
          <color indexed="64"/>
        </bottom>
      </border>
    </dxf>
    <dxf>
      <font>
        <b/>
        <i val="0"/>
        <strike val="0"/>
        <condense val="0"/>
        <extend val="0"/>
        <outline val="0"/>
        <shadow val="0"/>
        <u val="none"/>
        <vertAlign val="baseline"/>
        <sz val="11"/>
        <color rgb="FFFFFFFF"/>
        <name val="Calibri"/>
        <family val="2"/>
        <scheme val="none"/>
      </font>
      <fill>
        <patternFill patternType="solid">
          <fgColor indexed="64"/>
          <bgColor rgb="FF2E75B6"/>
        </patternFill>
      </fill>
      <alignment horizontal="center" vertical="center" textRotation="0" wrapText="0" indent="0" justifyLastLine="0" shrinkToFit="0" readingOrder="1"/>
      <border diagonalUp="0" diagonalDown="0" outline="0">
        <left style="thin">
          <color indexed="64"/>
        </left>
        <right style="thin">
          <color indexed="64"/>
        </right>
        <top/>
        <bottom/>
      </border>
    </dxf>
    <dxf>
      <font>
        <strike val="0"/>
        <outline val="0"/>
        <shadow val="0"/>
        <u val="none"/>
        <vertAlign val="baseline"/>
        <sz val="11"/>
        <color rgb="FF000000"/>
        <name val="Aptos Narrow"/>
        <family val="2"/>
        <scheme val="minor"/>
      </font>
      <numFmt numFmtId="184" formatCode="\€\ #,##0.00"/>
      <fill>
        <patternFill patternType="solid">
          <fgColor indexed="64"/>
          <bgColor rgb="FFFFFFFF"/>
        </patternFill>
      </fill>
      <alignment horizontal="center" vertical="center"/>
    </dxf>
    <dxf>
      <font>
        <b val="0"/>
        <i val="0"/>
        <strike val="0"/>
        <condense val="0"/>
        <extend val="0"/>
        <outline val="0"/>
        <shadow val="0"/>
        <u val="none"/>
        <vertAlign val="baseline"/>
        <sz val="11"/>
        <color theme="1"/>
        <name val="Aptos Narrow"/>
        <family val="2"/>
        <scheme val="minor"/>
      </font>
      <numFmt numFmtId="167" formatCode="_([$€-2]\ * #,##0.00_);_([$€-2]\ * \(#,##0.00\);_([$€-2]\ * &quot;-&quot;??_);_(@_)"/>
      <fill>
        <patternFill patternType="none">
          <fgColor indexed="64"/>
          <bgColor indexed="65"/>
        </patternFill>
      </fill>
    </dxf>
    <dxf>
      <font>
        <b/>
        <strike val="0"/>
        <outline val="0"/>
        <shadow val="0"/>
        <u val="none"/>
        <vertAlign val="baseline"/>
        <sz val="11"/>
        <color rgb="FF000000"/>
        <name val="Aptos Narrow"/>
        <family val="2"/>
        <scheme val="minor"/>
      </font>
      <numFmt numFmtId="184" formatCode="\€\ #,##0.00"/>
      <fill>
        <patternFill patternType="solid">
          <fgColor indexed="64"/>
          <bgColor rgb="FFE2F0D9"/>
        </patternFill>
      </fill>
      <alignment horizontal="center" vertical="center"/>
      <border diagonalUp="0" diagonalDown="0">
        <left style="thin">
          <color rgb="FFBFBFBF"/>
        </left>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35" formatCode="_(* #,##0.00_);_(* \(#,##0.00\);_(* &quot;-&quot;??_);_(@_)"/>
      <fill>
        <patternFill patternType="none">
          <fgColor indexed="64"/>
          <bgColor indexed="65"/>
        </patternFill>
      </fill>
    </dxf>
    <dxf>
      <font>
        <b/>
        <strike val="0"/>
        <outline val="0"/>
        <shadow val="0"/>
        <u val="none"/>
        <vertAlign val="baseline"/>
        <sz val="11"/>
        <color rgb="FF000000"/>
        <name val="Aptos Narrow"/>
        <family val="2"/>
        <scheme val="minor"/>
      </font>
      <numFmt numFmtId="184" formatCode="\€\ #,##0.00"/>
      <fill>
        <patternFill patternType="solid">
          <fgColor indexed="64"/>
          <bgColor rgb="FFE2F0D9"/>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7" formatCode="_([$€-2]\ * #,##0.00_);_([$€-2]\ * \(#,##0.00\);_([$€-2]\ * &quot;-&quot;??_);_(@_)"/>
      <fill>
        <patternFill patternType="solid">
          <fgColor indexed="64"/>
          <bgColor rgb="FFD6DCE5"/>
        </patternFill>
      </fill>
    </dxf>
    <dxf>
      <font>
        <b/>
        <strike val="0"/>
        <outline val="0"/>
        <shadow val="0"/>
        <u val="none"/>
        <vertAlign val="baseline"/>
        <sz val="11"/>
        <color rgb="FF000000"/>
        <name val="Aptos Narrow"/>
        <family val="2"/>
        <scheme val="minor"/>
      </font>
      <numFmt numFmtId="184" formatCode="\€\ #,##0.00"/>
      <fill>
        <patternFill patternType="solid">
          <fgColor indexed="64"/>
          <bgColor rgb="FFE2F0D9"/>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indexed="64"/>
          <bgColor rgb="FFD6DCE5"/>
        </patternFill>
      </fill>
    </dxf>
    <dxf>
      <font>
        <strike val="0"/>
        <outline val="0"/>
        <shadow val="0"/>
        <u val="none"/>
        <vertAlign val="baseline"/>
        <sz val="11"/>
        <color rgb="FF000000"/>
        <name val="Aptos Narrow"/>
        <family val="2"/>
        <scheme val="minor"/>
      </font>
      <numFmt numFmtId="184" formatCode="\€\ #,##0.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numFmt numFmtId="167" formatCode="_([$€-2]\ * #,##0.00_);_([$€-2]\ * \(#,##0.00\);_([$€-2]\ * &quot;-&quot;??_);_(@_)"/>
      <fill>
        <patternFill patternType="solid">
          <fgColor indexed="64"/>
          <bgColor rgb="FFD6DCE5"/>
        </patternFill>
      </fill>
    </dxf>
    <dxf>
      <font>
        <color rgb="FF000000"/>
      </font>
      <numFmt numFmtId="0" formatCode="General"/>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fill>
        <patternFill patternType="solid">
          <fgColor indexed="64"/>
          <bgColor rgb="FFE9EEF4"/>
        </patternFill>
      </fill>
    </dxf>
    <dxf>
      <font>
        <b val="0"/>
        <i val="0"/>
        <strike val="0"/>
        <condense val="0"/>
        <extend val="0"/>
        <outline val="0"/>
        <shadow val="0"/>
        <u val="none"/>
        <vertAlign val="baseline"/>
        <sz val="11"/>
        <color rgb="FF000000"/>
        <name val="Aptos Narrow"/>
        <family val="2"/>
        <scheme val="minor"/>
      </font>
      <numFmt numFmtId="184" formatCode="\€\ #,##0.00"/>
      <fill>
        <patternFill patternType="solid">
          <fgColor indexed="64"/>
          <bgColor rgb="FFFFF2CC"/>
        </patternFill>
      </fill>
      <alignment horizontal="center" vertical="center" wrapText="1"/>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fill>
        <patternFill patternType="solid">
          <fgColor indexed="64"/>
          <bgColor rgb="FFE9EEF4"/>
        </patternFill>
      </fill>
    </dxf>
    <dxf>
      <font>
        <strike val="0"/>
        <outline val="0"/>
        <shadow val="0"/>
        <u val="none"/>
        <vertAlign val="baseline"/>
        <sz val="11"/>
        <color rgb="FF000000"/>
        <name val="Aptos Narrow"/>
        <family val="2"/>
        <scheme val="minor"/>
      </font>
      <numFmt numFmtId="184" formatCode="\€\ #,##0.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fill>
        <patternFill patternType="solid">
          <fgColor indexed="64"/>
          <bgColor rgb="FFE9EEF4"/>
        </patternFill>
      </fill>
    </dxf>
    <dxf>
      <font>
        <b val="0"/>
        <i val="0"/>
        <strike val="0"/>
        <condense val="0"/>
        <extend val="0"/>
        <outline val="0"/>
        <shadow val="0"/>
        <u val="none"/>
        <vertAlign val="baseline"/>
        <sz val="11"/>
        <color rgb="FF000000"/>
        <name val="Aptos Narrow"/>
        <family val="2"/>
        <scheme val="minor"/>
      </font>
      <numFmt numFmtId="184" formatCode="\€\ #,##0.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indexed="64"/>
          <bgColor rgb="FFE9EEF4"/>
        </patternFill>
      </fill>
    </dxf>
    <dxf>
      <font>
        <b val="0"/>
        <i val="0"/>
        <strike val="0"/>
        <condense val="0"/>
        <extend val="0"/>
        <outline val="0"/>
        <shadow val="0"/>
        <u val="none"/>
        <vertAlign val="baseline"/>
        <sz val="11"/>
        <color rgb="FF000000"/>
        <name val="Aptos Narrow"/>
        <family val="2"/>
        <scheme val="minor"/>
      </font>
      <numFmt numFmtId="184" formatCode="\€\ #,##0.00"/>
      <fill>
        <patternFill patternType="solid">
          <fgColor indexed="64"/>
          <bgColor rgb="FFFFF2CC"/>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indexed="64"/>
          <bgColor rgb="FFE9EEF4"/>
        </patternFill>
      </fill>
    </dxf>
    <dxf>
      <font>
        <b val="0"/>
        <i val="0"/>
        <strike val="0"/>
        <condense val="0"/>
        <extend val="0"/>
        <outline val="0"/>
        <shadow val="0"/>
        <u val="none"/>
        <vertAlign val="baseline"/>
        <sz val="11"/>
        <color rgb="FF000000"/>
        <name val="Aptos Narrow"/>
        <family val="2"/>
        <scheme val="minor"/>
      </font>
      <numFmt numFmtId="184" formatCode="\€\ #,##0.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indexed="64"/>
          <bgColor rgb="FFE9EEF4"/>
        </patternFill>
      </fill>
    </dxf>
    <dxf>
      <font>
        <b val="0"/>
        <i val="0"/>
        <strike val="0"/>
        <condense val="0"/>
        <extend val="0"/>
        <outline val="0"/>
        <shadow val="0"/>
        <u val="none"/>
        <vertAlign val="baseline"/>
        <sz val="11"/>
        <color rgb="FF000000"/>
        <name val="Aptos Narrow"/>
        <family val="2"/>
        <scheme val="minor"/>
      </font>
      <numFmt numFmtId="184" formatCode="\€\ #,##0.00"/>
      <fill>
        <patternFill patternType="solid">
          <fgColor indexed="64"/>
          <bgColor rgb="FFFFF2CC"/>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fill>
        <patternFill patternType="solid">
          <fgColor indexed="64"/>
          <bgColor rgb="FFE9EEF4"/>
        </patternFill>
      </fill>
    </dxf>
    <dxf>
      <font>
        <strike val="0"/>
        <outline val="0"/>
        <shadow val="0"/>
        <u val="none"/>
        <vertAlign val="baseline"/>
        <sz val="11"/>
        <color rgb="FF000000"/>
        <name val="Aptos Narrow"/>
        <family val="2"/>
        <scheme val="minor"/>
      </font>
      <numFmt numFmtId="184" formatCode="\€\ #,##0.00"/>
      <fill>
        <patternFill patternType="solid">
          <fgColor indexed="64"/>
          <bgColor rgb="FFFFF2CC"/>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7" formatCode="_([$€-2]\ * #,##0.00_);_([$€-2]\ * \(#,##0.00\);_([$€-2]\ * &quot;-&quot;??_);_(@_)"/>
      <fill>
        <patternFill patternType="solid">
          <fgColor indexed="64"/>
          <bgColor rgb="FFE9EEF4"/>
        </patternFill>
      </fill>
    </dxf>
    <dxf>
      <font>
        <b val="0"/>
        <i val="0"/>
        <strike val="0"/>
        <condense val="0"/>
        <extend val="0"/>
        <outline val="0"/>
        <shadow val="0"/>
        <u val="none"/>
        <vertAlign val="baseline"/>
        <sz val="11"/>
        <color rgb="FF000000"/>
        <name val="Aptos Narrow"/>
        <family val="2"/>
        <scheme val="minor"/>
      </font>
      <numFmt numFmtId="184" formatCode="\€\ #,##0.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7" formatCode="_([$€-2]\ * #,##0.00_);_([$€-2]\ * \(#,##0.00\);_([$€-2]\ * &quot;-&quot;??_);_(@_)"/>
      <fill>
        <patternFill patternType="solid">
          <fgColor indexed="64"/>
          <bgColor rgb="FFE9EEF4"/>
        </patternFill>
      </fill>
    </dxf>
    <dxf>
      <font>
        <strike val="0"/>
        <outline val="0"/>
        <shadow val="0"/>
        <u val="none"/>
        <vertAlign val="baseline"/>
        <sz val="11"/>
        <color rgb="FF000000"/>
        <name val="Aptos Narrow"/>
        <family val="2"/>
        <scheme val="minor"/>
      </font>
      <numFmt numFmtId="184" formatCode="\€\ #,##0.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3" formatCode="0%"/>
    </dxf>
    <dxf>
      <font>
        <b val="0"/>
        <i val="0"/>
        <strike val="0"/>
        <condense val="0"/>
        <extend val="0"/>
        <outline val="0"/>
        <shadow val="0"/>
        <u val="none"/>
        <vertAlign val="baseline"/>
        <sz val="11"/>
        <color rgb="FF000000"/>
        <name val="Aptos Narrow"/>
        <family val="2"/>
        <scheme val="minor"/>
      </font>
      <numFmt numFmtId="164" formatCode="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35" formatCode="_(* #,##0.00_);_(* \(#,##0.00\);_(* &quot;-&quot;??_);_(@_)"/>
      <fill>
        <patternFill patternType="none">
          <fgColor indexed="64"/>
          <bgColor indexed="65"/>
        </patternFill>
      </fill>
    </dxf>
    <dxf>
      <font>
        <strike val="0"/>
        <outline val="0"/>
        <shadow val="0"/>
        <u val="none"/>
        <vertAlign val="baseline"/>
        <sz val="11"/>
        <color rgb="FF000000"/>
        <name val="Aptos Narrow"/>
        <family val="2"/>
        <scheme val="minor"/>
      </font>
      <numFmt numFmtId="184" formatCode="\€\ #,##0.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35" formatCode="_(* #,##0.00_);_(* \(#,##0.00\);_(* &quot;-&quot;??_);_(@_)"/>
      <fill>
        <patternFill patternType="none">
          <fgColor indexed="64"/>
          <bgColor indexed="65"/>
        </patternFill>
      </fill>
    </dxf>
    <dxf>
      <font>
        <b val="0"/>
        <i val="0"/>
        <strike val="0"/>
        <condense val="0"/>
        <extend val="0"/>
        <outline val="0"/>
        <shadow val="0"/>
        <u val="none"/>
        <vertAlign val="baseline"/>
        <sz val="11"/>
        <color rgb="FF000000"/>
        <name val="Aptos Narrow"/>
        <family val="2"/>
        <scheme val="minor"/>
      </font>
      <numFmt numFmtId="184" formatCode="\€\ #,##0.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strike val="0"/>
        <outline val="0"/>
        <shadow val="0"/>
        <u val="none"/>
        <vertAlign val="baseline"/>
        <sz val="11"/>
        <color rgb="FF000000"/>
        <name val="Aptos Narrow"/>
        <family val="2"/>
        <scheme val="minor"/>
      </font>
      <numFmt numFmtId="184" formatCode="\€\ #,##0.00"/>
      <fill>
        <patternFill patternType="solid">
          <fgColor indexed="64"/>
          <bgColor rgb="FFFFF2CC"/>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7" formatCode="_([$€-2]\ * #,##0.00_);_([$€-2]\ * \(#,##0.00\);_([$€-2]\ * &quot;-&quot;??_);_(@_)"/>
      <fill>
        <patternFill patternType="none">
          <fgColor indexed="64"/>
          <bgColor indexed="65"/>
        </patternFill>
      </fill>
    </dxf>
    <dxf>
      <font>
        <strike val="0"/>
        <outline val="0"/>
        <shadow val="0"/>
        <u val="none"/>
        <vertAlign val="baseline"/>
        <sz val="11"/>
        <color rgb="FF000000"/>
        <name val="Aptos Narrow"/>
        <family val="2"/>
        <scheme val="minor"/>
      </font>
      <numFmt numFmtId="3" formatCode="#,##0"/>
      <fill>
        <patternFill patternType="solid">
          <fgColor indexed="64"/>
          <bgColor rgb="FFEAF2F8"/>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9" formatCode="#,##0&quot; Kg&quot;"/>
      <fill>
        <patternFill patternType="none">
          <fgColor indexed="64"/>
          <bgColor indexed="65"/>
        </patternFill>
      </fill>
    </dxf>
    <dxf>
      <font>
        <b val="0"/>
        <i val="0"/>
        <strike val="0"/>
        <condense val="0"/>
        <extend val="0"/>
        <outline val="0"/>
        <shadow val="0"/>
        <u val="none"/>
        <vertAlign val="baseline"/>
        <sz val="11"/>
        <color rgb="FF000000"/>
        <name val="Aptos Narrow"/>
        <family val="2"/>
        <scheme val="minor"/>
      </font>
      <numFmt numFmtId="3" formatCode="#,##0"/>
      <fill>
        <patternFill patternType="solid">
          <fgColor indexed="64"/>
          <bgColor rgb="FFEAF2F8"/>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rgb="FFFFFFFF"/>
        <name val="Aptos Narrow"/>
        <family val="2"/>
        <scheme val="minor"/>
      </font>
      <numFmt numFmtId="221" formatCode="#,##0.00000&quot; Kg&quot;"/>
      <fill>
        <patternFill patternType="solid">
          <fgColor indexed="64"/>
          <bgColor rgb="FFD6DCE5"/>
        </patternFill>
      </fill>
    </dxf>
    <dxf>
      <font>
        <b val="0"/>
        <i val="0"/>
        <strike val="0"/>
        <condense val="0"/>
        <extend val="0"/>
        <outline val="0"/>
        <shadow val="0"/>
        <u val="none"/>
        <vertAlign val="baseline"/>
        <sz val="11"/>
        <color rgb="FF000000"/>
        <name val="Aptos Narrow"/>
        <family val="2"/>
        <scheme val="minor"/>
      </font>
      <numFmt numFmtId="210" formatCode="0.00000"/>
      <fill>
        <patternFill patternType="solid">
          <fgColor indexed="64"/>
          <bgColor rgb="FFEAF2F8"/>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6" formatCode="_(* #,##0_);_(* \(#,##0\);_(* &quot;-&quot;??_);_(@_)"/>
      <fill>
        <patternFill patternType="none">
          <fgColor indexed="64"/>
          <bgColor indexed="65"/>
        </patternFill>
      </fill>
    </dxf>
    <dxf>
      <font>
        <strike val="0"/>
        <outline val="0"/>
        <shadow val="0"/>
        <u val="none"/>
        <vertAlign val="baseline"/>
        <sz val="11"/>
        <color rgb="FF000000"/>
        <name val="Aptos Narrow"/>
        <family val="2"/>
        <scheme val="minor"/>
      </font>
      <numFmt numFmtId="3" formatCode="#,##0"/>
      <fill>
        <patternFill patternType="solid">
          <fgColor indexed="64"/>
          <bgColor rgb="FFEAF2F8"/>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9" formatCode="#,##0&quot; Kg&quot;"/>
      <fill>
        <patternFill patternType="solid">
          <fgColor indexed="64"/>
          <bgColor rgb="FFD6DCE5"/>
        </patternFill>
      </fill>
      <border diagonalUp="0" diagonalDown="0" outline="0">
        <left style="medium">
          <color indexed="64"/>
        </left>
        <right style="medium">
          <color indexed="64"/>
        </right>
        <top/>
        <bottom/>
      </border>
    </dxf>
    <dxf>
      <font>
        <b val="0"/>
        <i val="0"/>
        <strike val="0"/>
        <condense val="0"/>
        <extend val="0"/>
        <outline val="0"/>
        <shadow val="0"/>
        <u val="none"/>
        <vertAlign val="baseline"/>
        <sz val="11"/>
        <color rgb="FF000000"/>
        <name val="Aptos Narrow"/>
        <family val="2"/>
        <scheme val="minor"/>
      </font>
      <numFmt numFmtId="3" formatCode="#,##0"/>
      <fill>
        <patternFill patternType="solid">
          <fgColor indexed="64"/>
          <bgColor rgb="FFEAF2F8"/>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9" formatCode="#,##0&quot; Kg&quot;"/>
      <fill>
        <patternFill patternType="solid">
          <fgColor indexed="64"/>
          <bgColor rgb="FFD6DCE5"/>
        </patternFill>
      </fill>
    </dxf>
    <dxf>
      <font>
        <b val="0"/>
        <i val="0"/>
        <strike val="0"/>
        <condense val="0"/>
        <extend val="0"/>
        <outline val="0"/>
        <shadow val="0"/>
        <u val="none"/>
        <vertAlign val="baseline"/>
        <sz val="11"/>
        <color rgb="FF000000"/>
        <name val="Aptos Narrow"/>
        <family val="2"/>
        <scheme val="minor"/>
      </font>
      <numFmt numFmtId="3" formatCode="#,##0"/>
      <fill>
        <patternFill patternType="solid">
          <fgColor indexed="64"/>
          <bgColor rgb="FFEAF2F8"/>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35" formatCode="_(* #,##0.00_);_(* \(#,##0.00\);_(* &quot;-&quot;??_);_(@_)"/>
      <fill>
        <patternFill patternType="solid">
          <fgColor indexed="64"/>
          <bgColor rgb="FFD6DCE5"/>
        </patternFill>
      </fill>
    </dxf>
    <dxf>
      <font>
        <strike val="0"/>
        <outline val="0"/>
        <shadow val="0"/>
        <u val="none"/>
        <vertAlign val="baseline"/>
        <sz val="11"/>
        <color rgb="FF000000"/>
        <name val="Aptos Narrow"/>
        <family val="2"/>
        <scheme val="minor"/>
      </font>
      <numFmt numFmtId="2" formatCode="0.00"/>
      <fill>
        <patternFill patternType="solid">
          <fgColor indexed="64"/>
          <bgColor rgb="FFEAF2F8"/>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6" formatCode="_(* #,##0_);_(* \(#,##0\);_(* &quot;-&quot;??_);_(@_)"/>
      <fill>
        <patternFill patternType="solid">
          <fgColor indexed="64"/>
          <bgColor rgb="FFD6DCE5"/>
        </patternFill>
      </fill>
    </dxf>
    <dxf>
      <font>
        <strike val="0"/>
        <outline val="0"/>
        <shadow val="0"/>
        <u val="none"/>
        <vertAlign val="baseline"/>
        <sz val="11"/>
        <color rgb="FF000000"/>
        <name val="Aptos Narrow"/>
        <family val="2"/>
        <scheme val="minor"/>
      </font>
      <numFmt numFmtId="3" formatCode="#,##0"/>
      <fill>
        <patternFill patternType="solid">
          <fgColor indexed="64"/>
          <bgColor rgb="FFEAF2F8"/>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6" formatCode="_(* #,##0_);_(* \(#,##0\);_(* &quot;-&quot;??_);_(@_)"/>
      <fill>
        <patternFill patternType="solid">
          <fgColor indexed="64"/>
          <bgColor rgb="FFD6DCE5"/>
        </patternFill>
      </fill>
    </dxf>
    <dxf>
      <font>
        <strike val="0"/>
        <outline val="0"/>
        <shadow val="0"/>
        <u val="none"/>
        <vertAlign val="baseline"/>
        <sz val="11"/>
        <color rgb="FF000000"/>
        <name val="Aptos Narrow"/>
        <family val="2"/>
        <scheme val="minor"/>
      </font>
      <numFmt numFmtId="3" formatCode="#,##0"/>
      <fill>
        <patternFill patternType="solid">
          <fgColor indexed="64"/>
          <bgColor rgb="FFEAF2F8"/>
        </patternFill>
      </fill>
      <alignment horizontal="center" vertical="center"/>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b val="0"/>
        <i val="0"/>
        <strike val="0"/>
        <condense val="0"/>
        <extend val="0"/>
        <outline val="0"/>
        <shadow val="0"/>
        <u val="none"/>
        <vertAlign val="baseline"/>
        <sz val="11"/>
        <color theme="1"/>
        <name val="Aptos Narrow"/>
        <family val="2"/>
        <scheme val="minor"/>
      </font>
      <numFmt numFmtId="166" formatCode="_(* #,##0_);_(* \(#,##0\);_(* &quot;-&quot;??_);_(@_)"/>
      <fill>
        <patternFill patternType="solid">
          <fgColor indexed="64"/>
          <bgColor rgb="FFD6DCE5"/>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166" formatCode="_(* #,##0_);_(* \(#,##0\);_(* &quot;-&quot;??_);_(@_)"/>
      <fill>
        <patternFill patternType="solid">
          <fgColor indexed="64"/>
          <bgColor rgb="FFEAF2F8"/>
        </patternFill>
      </fill>
      <alignment horizontal="center" vertical="center" textRotation="0" wrapText="0" indent="0" justifyLastLine="0" shrinkToFit="0" readingOrder="0"/>
      <border diagonalUp="0" diagonalDown="0">
        <left/>
        <right style="thin">
          <color rgb="FFBFBFBF"/>
        </right>
        <top style="thin">
          <color rgb="FFBFBFBF"/>
        </top>
        <bottom style="thin">
          <color rgb="FFBFBFBF"/>
        </bottom>
        <vertical style="thin">
          <color rgb="FFBFBFBF"/>
        </vertical>
        <horizontal style="thin">
          <color rgb="FFBFBFBF"/>
        </horizontal>
      </border>
    </dxf>
    <dxf>
      <border>
        <top style="thin">
          <color rgb="FFBFBFBF"/>
        </top>
      </border>
    </dxf>
    <dxf>
      <border diagonalUp="0" diagonalDown="0">
        <left style="thin">
          <color rgb="FF7F7F7F"/>
        </left>
        <right style="thin">
          <color rgb="FF7F7F7F"/>
        </right>
        <top style="thin">
          <color rgb="FF7F7F7F"/>
        </top>
        <bottom style="thin">
          <color rgb="FF7F7F7F"/>
        </bottom>
      </border>
    </dxf>
    <dxf>
      <font>
        <strike val="0"/>
        <outline val="0"/>
        <shadow val="0"/>
        <u val="none"/>
        <vertAlign val="baseline"/>
        <sz val="11"/>
        <color rgb="FF000000"/>
        <name val="Aptos Narrow"/>
        <family val="2"/>
        <scheme val="minor"/>
      </font>
      <fill>
        <patternFill patternType="solid">
          <fgColor indexed="64"/>
          <bgColor rgb="FFFFFFFF"/>
        </patternFill>
      </fill>
      <alignment horizontal="center" vertical="center"/>
    </dxf>
    <dxf>
      <border>
        <bottom style="thin">
          <color rgb="FFBFBFBF"/>
        </bottom>
      </border>
    </dxf>
    <dxf>
      <font>
        <b/>
        <i val="0"/>
        <strike val="0"/>
        <condense val="0"/>
        <extend val="0"/>
        <outline val="0"/>
        <shadow val="0"/>
        <u val="none"/>
        <vertAlign val="baseline"/>
        <sz val="11"/>
        <color rgb="FFFFFFFF"/>
        <name val="Aptos Narrow"/>
        <family val="2"/>
        <scheme val="minor"/>
      </font>
      <numFmt numFmtId="35" formatCode="_(* #,##0.00_);_(* \(#,##0.00\);_(* &quot;-&quot;??_);_(@_)"/>
      <fill>
        <patternFill patternType="solid">
          <fgColor indexed="64"/>
          <bgColor rgb="FF1F4E78"/>
        </patternFill>
      </fill>
      <alignment horizontal="center" vertical="center" textRotation="0" wrapText="1" indent="0" justifyLastLine="0" shrinkToFit="0" readingOrder="0"/>
      <border diagonalUp="0" diagonalDown="0">
        <left style="thin">
          <color rgb="FFBFBFBF"/>
        </left>
        <right style="thin">
          <color rgb="FFBFBFBF"/>
        </right>
        <top/>
        <bottom/>
        <vertical style="thin">
          <color rgb="FFBFBFBF"/>
        </vertical>
        <horizontal style="thin">
          <color rgb="FFBFBFBF"/>
        </horizontal>
      </border>
    </dxf>
    <dxf>
      <alignment horizontal="left"/>
    </dxf>
    <dxf>
      <numFmt numFmtId="164" formatCode="0.0%"/>
      <alignment horizontal="right"/>
    </dxf>
    <dxf>
      <alignment horizontal="left"/>
    </dxf>
    <dxf>
      <alignment horizontal="left"/>
    </dxf>
    <dxf>
      <alignment horizontal="left"/>
    </dxf>
    <dxf>
      <alignment horizontal="left"/>
    </dxf>
    <dxf>
      <alignment horizontal="left"/>
    </dxf>
    <dxf>
      <font>
        <b/>
        <color rgb="FFFFFFFF"/>
      </font>
      <fill>
        <patternFill patternType="solid">
          <fgColor indexed="64"/>
          <bgColor rgb="FF5B9BD5"/>
        </patternFill>
      </fill>
      <alignment horizontal="center"/>
    </dxf>
    <dxf>
      <font>
        <b val="0"/>
        <i val="0"/>
        <strike val="0"/>
        <condense val="0"/>
        <extend val="0"/>
        <outline val="0"/>
        <shadow val="0"/>
        <u val="none"/>
        <vertAlign val="baseline"/>
        <sz val="11"/>
        <color auto="1"/>
        <name val="Aptos Narrow"/>
        <family val="2"/>
        <scheme val="minor"/>
      </font>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164" formatCode="0.0%"/>
      <fill>
        <patternFill patternType="none">
          <fgColor indexed="64"/>
          <bgColor auto="1"/>
        </patternFill>
      </fill>
    </dxf>
    <dxf>
      <font>
        <b val="0"/>
        <i val="0"/>
        <strike val="0"/>
        <condense val="0"/>
        <extend val="0"/>
        <outline val="0"/>
        <shadow val="0"/>
        <u val="none"/>
        <vertAlign val="baseline"/>
        <sz val="11"/>
        <color auto="1"/>
        <name val="Aptos Narrow"/>
        <family val="2"/>
        <scheme val="minor"/>
      </font>
      <numFmt numFmtId="166" formatCode="_(* #,##0_);_(* \(#,##0\);_(* &quot;-&quot;??_);_(@_)"/>
      <fill>
        <patternFill patternType="none">
          <fgColor indexed="64"/>
          <bgColor auto="1"/>
        </patternFill>
      </fill>
      <alignment horizontal="center" textRotation="0" wrapText="0" indent="0" justifyLastLine="0" shrinkToFit="0" readingOrder="0"/>
      <border diagonalUp="0" diagonalDown="0" outline="0">
        <left style="thin">
          <color rgb="FFB4C6E7"/>
        </left>
        <right style="thin">
          <color rgb="FFB4C6E7"/>
        </right>
        <top/>
        <bottom/>
      </border>
    </dxf>
    <dxf>
      <font>
        <b val="0"/>
        <i val="0"/>
        <strike val="0"/>
        <condense val="0"/>
        <extend val="0"/>
        <outline val="0"/>
        <shadow val="0"/>
        <u val="none"/>
        <vertAlign val="baseline"/>
        <sz val="11"/>
        <color auto="1"/>
        <name val="Aptos Narrow"/>
        <family val="2"/>
        <scheme val="minor"/>
      </font>
      <numFmt numFmtId="166" formatCode="_(* #,##0_);_(* \(#,##0\);_(* &quot;-&quot;??_);_(@_)"/>
      <fill>
        <patternFill patternType="none">
          <fgColor indexed="64"/>
          <bgColor auto="1"/>
        </patternFill>
      </fill>
      <alignment horizontal="center" textRotation="0" wrapText="0" indent="0" justifyLastLine="0" shrinkToFit="0" readingOrder="0"/>
      <border diagonalUp="0" diagonalDown="0" outline="0">
        <left style="thin">
          <color rgb="FFB4C6E7"/>
        </left>
        <right style="thin">
          <color rgb="FFB4C6E7"/>
        </right>
        <top/>
        <bottom/>
      </border>
    </dxf>
    <dxf>
      <font>
        <b val="0"/>
        <i val="0"/>
        <strike val="0"/>
        <condense val="0"/>
        <extend val="0"/>
        <outline val="0"/>
        <shadow val="0"/>
        <u val="none"/>
        <vertAlign val="baseline"/>
        <sz val="11"/>
        <color auto="1"/>
        <name val="Aptos Narrow"/>
        <family val="2"/>
        <scheme val="minor"/>
      </font>
      <fill>
        <patternFill patternType="none">
          <fgColor indexed="64"/>
          <bgColor auto="1"/>
        </patternFill>
      </fill>
      <alignment horizontal="center" textRotation="0" wrapText="0" indent="0" justifyLastLine="0" shrinkToFit="0" readingOrder="0"/>
      <border diagonalUp="0" diagonalDown="0" outline="0">
        <left style="thin">
          <color rgb="FFB4C6E7"/>
        </left>
        <right style="thin">
          <color rgb="FFB4C6E7"/>
        </right>
        <top/>
        <bottom/>
      </border>
    </dxf>
    <dxf>
      <font>
        <b val="0"/>
        <i val="0"/>
        <strike val="0"/>
        <condense val="0"/>
        <extend val="0"/>
        <outline val="0"/>
        <shadow val="0"/>
        <u val="none"/>
        <vertAlign val="baseline"/>
        <sz val="11"/>
        <color auto="1"/>
        <name val="Aptos Narrow"/>
        <family val="2"/>
        <scheme val="minor"/>
      </font>
      <fill>
        <patternFill patternType="none">
          <fgColor indexed="64"/>
          <bgColor auto="1"/>
        </patternFill>
      </fill>
      <alignment horizontal="center" textRotation="0" wrapText="0" indent="0" justifyLastLine="0" shrinkToFit="0" readingOrder="0"/>
      <border diagonalUp="0" diagonalDown="0" outline="0">
        <left style="thin">
          <color rgb="FFB4C6E7"/>
        </left>
        <right style="thin">
          <color rgb="FFB4C6E7"/>
        </right>
        <top/>
        <bottom/>
      </border>
    </dxf>
    <dxf>
      <font>
        <b val="0"/>
        <i val="0"/>
        <strike val="0"/>
        <condense val="0"/>
        <extend val="0"/>
        <outline val="0"/>
        <shadow val="0"/>
        <u val="none"/>
        <vertAlign val="baseline"/>
        <sz val="11"/>
        <color auto="1"/>
        <name val="Aptos Narrow"/>
        <family val="2"/>
        <scheme val="minor"/>
      </font>
      <fill>
        <patternFill patternType="none">
          <fgColor indexed="64"/>
          <bgColor auto="1"/>
        </patternFill>
      </fill>
      <alignment horizontal="center" textRotation="0" wrapText="0" indent="0" justifyLastLine="0" shrinkToFit="0" readingOrder="0"/>
      <border diagonalUp="0" diagonalDown="0" outline="0">
        <left style="thin">
          <color rgb="FFB4C6E7"/>
        </left>
        <right style="thin">
          <color rgb="FFB4C6E7"/>
        </right>
        <top/>
        <bottom/>
      </border>
    </dxf>
    <dxf>
      <font>
        <strike val="0"/>
        <outline val="0"/>
        <shadow val="0"/>
        <u val="none"/>
        <vertAlign val="baseline"/>
        <sz val="11"/>
        <color auto="1"/>
        <name val="Aptos Narrow"/>
        <family val="2"/>
        <scheme val="minor"/>
      </font>
      <fill>
        <patternFill patternType="none">
          <fgColor indexed="64"/>
          <bgColor auto="1"/>
        </patternFill>
      </fill>
      <alignment horizontal="center" textRotation="0" wrapText="0" indent="0" justifyLastLine="0" shrinkToFit="0" readingOrder="0"/>
    </dxf>
    <dxf>
      <font>
        <strike val="0"/>
        <outline val="0"/>
        <shadow val="0"/>
        <u val="none"/>
        <vertAlign val="baseline"/>
        <sz val="11"/>
        <color auto="1"/>
        <name val="Aptos Narrow"/>
        <family val="2"/>
        <scheme val="minor"/>
      </font>
      <fill>
        <patternFill patternType="none">
          <fgColor indexed="64"/>
          <bgColor auto="1"/>
        </patternFill>
      </fill>
      <alignment horizontal="center" textRotation="0" wrapText="0" indent="0" justifyLastLine="0" shrinkToFit="0" readingOrder="0"/>
    </dxf>
    <dxf>
      <border outline="0">
        <top style="thin">
          <color auto="1"/>
        </top>
      </border>
    </dxf>
    <dxf>
      <fill>
        <patternFill patternType="none">
          <fgColor indexed="64"/>
          <bgColor auto="1"/>
        </patternFill>
      </fill>
    </dxf>
    <dxf>
      <border outline="0">
        <bottom style="double">
          <color indexed="64"/>
        </bottom>
      </border>
    </dxf>
    <dxf>
      <font>
        <b/>
        <i val="0"/>
        <strike val="0"/>
        <condense val="0"/>
        <extend val="0"/>
        <outline val="0"/>
        <shadow val="0"/>
        <u val="none"/>
        <vertAlign val="baseline"/>
        <sz val="11"/>
        <color rgb="FFFFFFFF"/>
        <name val="Aptos Narrow"/>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rgb="FFB4C6E7"/>
        </left>
        <right style="thin">
          <color rgb="FFB4C6E7"/>
        </right>
        <top/>
        <bottom/>
      </border>
    </dxf>
    <dxf>
      <font>
        <b val="0"/>
        <i val="0"/>
        <strike val="0"/>
        <condense val="0"/>
        <extend val="0"/>
        <outline val="0"/>
        <shadow val="0"/>
        <u val="none"/>
        <vertAlign val="baseline"/>
        <sz val="11"/>
        <color auto="1"/>
        <name val="Aptos Narrow"/>
        <family val="2"/>
        <scheme val="minor"/>
      </font>
      <numFmt numFmtId="207" formatCode="[$$-409]#,##0.000"/>
      <fill>
        <patternFill patternType="solid">
          <fgColor indexed="64"/>
          <bgColor rgb="FFD6E3F8"/>
        </patternFill>
      </fill>
    </dxf>
    <dxf>
      <font>
        <b val="0"/>
        <i val="0"/>
        <strike val="0"/>
        <condense val="0"/>
        <extend val="0"/>
        <outline val="0"/>
        <shadow val="0"/>
        <u val="none"/>
        <vertAlign val="baseline"/>
        <sz val="11"/>
        <color auto="1"/>
        <name val="Aptos Narrow"/>
        <family val="2"/>
        <scheme val="minor"/>
      </font>
      <numFmt numFmtId="188" formatCode="\€\ #,##0.000"/>
      <fill>
        <patternFill patternType="solid">
          <fgColor indexed="64"/>
          <bgColor rgb="FFD6E3F8"/>
        </patternFill>
      </fill>
    </dxf>
    <dxf>
      <font>
        <b val="0"/>
        <i val="0"/>
        <strike val="0"/>
        <condense val="0"/>
        <extend val="0"/>
        <outline val="0"/>
        <shadow val="0"/>
        <u val="none"/>
        <vertAlign val="baseline"/>
        <sz val="11"/>
        <color auto="1"/>
        <name val="Aptos Narrow"/>
        <family val="2"/>
        <scheme val="minor"/>
      </font>
      <numFmt numFmtId="0" formatCode="General"/>
      <fill>
        <patternFill patternType="solid">
          <fgColor indexed="64"/>
          <bgColor rgb="FFD6E3F8"/>
        </patternFill>
      </fill>
    </dxf>
    <dxf>
      <font>
        <b val="0"/>
        <i val="0"/>
        <strike val="0"/>
        <condense val="0"/>
        <extend val="0"/>
        <outline val="0"/>
        <shadow val="0"/>
        <u val="none"/>
        <vertAlign val="baseline"/>
        <sz val="11"/>
        <color auto="1"/>
        <name val="Aptos Narrow"/>
        <family val="2"/>
        <scheme val="minor"/>
      </font>
      <fill>
        <patternFill patternType="solid">
          <fgColor indexed="64"/>
          <bgColor rgb="FFD6E3F8"/>
        </patternFill>
      </fill>
    </dxf>
    <dxf>
      <border outline="0">
        <bottom style="double">
          <color indexed="64"/>
        </bottom>
      </border>
    </dxf>
    <dxf>
      <font>
        <b/>
        <i val="0"/>
        <strike val="0"/>
        <condense val="0"/>
        <extend val="0"/>
        <outline val="0"/>
        <shadow val="0"/>
        <u val="none"/>
        <vertAlign val="baseline"/>
        <sz val="11"/>
        <color rgb="FFFFFFFF"/>
        <name val="Aptos Narrow"/>
        <family val="2"/>
        <scheme val="minor"/>
      </font>
      <fill>
        <patternFill patternType="solid">
          <fgColor indexed="64"/>
          <bgColor rgb="FF92D050"/>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solid">
          <fgColor indexed="64"/>
          <bgColor rgb="FFD6DCE5"/>
        </patternFill>
      </fill>
    </dxf>
    <dxf>
      <font>
        <b val="0"/>
        <i val="0"/>
        <strike val="0"/>
        <condense val="0"/>
        <extend val="0"/>
        <outline val="0"/>
        <shadow val="0"/>
        <u val="none"/>
        <vertAlign val="baseline"/>
        <sz val="11"/>
        <color theme="1"/>
        <name val="Aptos Narrow"/>
        <family val="2"/>
        <scheme val="minor"/>
      </font>
      <fill>
        <patternFill patternType="solid">
          <fgColor indexed="64"/>
          <bgColor rgb="FFD6DCE5"/>
        </patternFill>
      </fill>
    </dxf>
    <dxf>
      <font>
        <b val="0"/>
        <i val="0"/>
        <strike val="0"/>
        <condense val="0"/>
        <extend val="0"/>
        <outline val="0"/>
        <shadow val="0"/>
        <u val="none"/>
        <vertAlign val="baseline"/>
        <sz val="11"/>
        <color theme="1"/>
        <name val="Aptos Narrow"/>
        <family val="2"/>
        <scheme val="minor"/>
      </font>
      <numFmt numFmtId="35" formatCode="_(* #,##0.00_);_(* \(#,##0.00\);_(* &quot;-&quot;??_);_(@_)"/>
      <fill>
        <patternFill patternType="solid">
          <fgColor indexed="64"/>
          <bgColor rgb="FFD6DCE5"/>
        </patternFill>
      </fill>
    </dxf>
    <dxf>
      <numFmt numFmtId="0" formatCode="General"/>
      <fill>
        <patternFill patternType="solid">
          <fgColor indexed="64"/>
          <bgColor rgb="FFD6DCE5"/>
        </patternFill>
      </fill>
    </dxf>
    <dxf>
      <font>
        <b val="0"/>
        <i val="0"/>
        <strike val="0"/>
        <condense val="0"/>
        <extend val="0"/>
        <outline val="0"/>
        <shadow val="0"/>
        <u val="none"/>
        <vertAlign val="baseline"/>
        <sz val="11"/>
        <color theme="1"/>
        <name val="Aptos Narrow"/>
        <family val="2"/>
        <scheme val="minor"/>
      </font>
      <fill>
        <patternFill patternType="solid">
          <fgColor indexed="64"/>
          <bgColor rgb="FFD6DCE5"/>
        </patternFill>
      </fill>
    </dxf>
    <dxf>
      <border outline="0">
        <bottom style="double">
          <color indexed="64"/>
        </bottom>
      </border>
    </dxf>
    <dxf>
      <font>
        <b/>
        <i val="0"/>
        <strike val="0"/>
        <condense val="0"/>
        <extend val="0"/>
        <outline val="0"/>
        <shadow val="0"/>
        <u val="none"/>
        <vertAlign val="baseline"/>
        <sz val="11"/>
        <color rgb="FFFFFFFF"/>
        <name val="Aptos Narrow"/>
        <family val="2"/>
        <scheme val="minor"/>
      </font>
      <fill>
        <patternFill patternType="solid">
          <fgColor indexed="64"/>
          <bgColor rgb="FF2E75B6"/>
        </patternFill>
      </fill>
      <alignment horizontal="general" vertical="center" textRotation="0" wrapText="0" indent="0" justifyLastLine="0" shrinkToFit="0" readingOrder="0"/>
    </dxf>
    <dxf>
      <numFmt numFmtId="171" formatCode="_(* #,##0.000_);_(* \(#,##0.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sharedStrings" Target="sharedStrings.xml"/><Relationship Id="rId3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17</xdr:col>
      <xdr:colOff>560824</xdr:colOff>
      <xdr:row>1</xdr:row>
      <xdr:rowOff>57150</xdr:rowOff>
    </xdr:from>
    <xdr:to>
      <xdr:col>18</xdr:col>
      <xdr:colOff>1932424</xdr:colOff>
      <xdr:row>5</xdr:row>
      <xdr:rowOff>320675</xdr:rowOff>
    </xdr:to>
    <xdr:grpSp>
      <xdr:nvGrpSpPr>
        <xdr:cNvPr id="8" name="Group 7">
          <a:extLst>
            <a:ext uri="{FF2B5EF4-FFF2-40B4-BE49-F238E27FC236}">
              <a16:creationId xmlns:a16="http://schemas.microsoft.com/office/drawing/2014/main" id="{95BF626C-FCDC-6173-E9E9-9FB0F2A7C9A2}"/>
            </a:ext>
          </a:extLst>
        </xdr:cNvPr>
        <xdr:cNvGrpSpPr/>
      </xdr:nvGrpSpPr>
      <xdr:grpSpPr>
        <a:xfrm>
          <a:off x="19048849" y="438150"/>
          <a:ext cx="2790825" cy="2587625"/>
          <a:chOff x="18353524" y="361950"/>
          <a:chExt cx="2790825" cy="2587625"/>
        </a:xfrm>
      </xdr:grpSpPr>
      <xdr:pic>
        <xdr:nvPicPr>
          <xdr:cNvPr id="2" name="Picture 1">
            <a:extLst>
              <a:ext uri="{FF2B5EF4-FFF2-40B4-BE49-F238E27FC236}">
                <a16:creationId xmlns:a16="http://schemas.microsoft.com/office/drawing/2014/main" id="{A2EC3B90-8F0B-4DF1-AC62-FB755433D9F7}"/>
              </a:ext>
            </a:extLst>
          </xdr:cNvPr>
          <xdr:cNvPicPr>
            <a:picLocks noChangeAspect="1"/>
          </xdr:cNvPicPr>
        </xdr:nvPicPr>
        <xdr:blipFill>
          <a:blip xmlns:r="http://schemas.openxmlformats.org/officeDocument/2006/relationships" r:embed="rId1"/>
          <a:stretch>
            <a:fillRect/>
          </a:stretch>
        </xdr:blipFill>
        <xdr:spPr>
          <a:xfrm>
            <a:off x="18372574" y="371475"/>
            <a:ext cx="762000" cy="120650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pic>
        <xdr:nvPicPr>
          <xdr:cNvPr id="3" name="Picture 2">
            <a:extLst>
              <a:ext uri="{FF2B5EF4-FFF2-40B4-BE49-F238E27FC236}">
                <a16:creationId xmlns:a16="http://schemas.microsoft.com/office/drawing/2014/main" id="{D1B17265-0D58-4A4C-B9C0-73E2CB868615}"/>
              </a:ext>
            </a:extLst>
          </xdr:cNvPr>
          <xdr:cNvPicPr>
            <a:picLocks noChangeAspect="1"/>
          </xdr:cNvPicPr>
        </xdr:nvPicPr>
        <xdr:blipFill>
          <a:blip xmlns:r="http://schemas.openxmlformats.org/officeDocument/2006/relationships" r:embed="rId2"/>
          <a:stretch>
            <a:fillRect/>
          </a:stretch>
        </xdr:blipFill>
        <xdr:spPr>
          <a:xfrm>
            <a:off x="19325074" y="361950"/>
            <a:ext cx="762000" cy="120650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pic>
        <xdr:nvPicPr>
          <xdr:cNvPr id="4" name="Picture 3">
            <a:extLst>
              <a:ext uri="{FF2B5EF4-FFF2-40B4-BE49-F238E27FC236}">
                <a16:creationId xmlns:a16="http://schemas.microsoft.com/office/drawing/2014/main" id="{4C709534-4DE3-497C-B586-533D23942403}"/>
              </a:ext>
            </a:extLst>
          </xdr:cNvPr>
          <xdr:cNvPicPr>
            <a:picLocks noChangeAspect="1"/>
          </xdr:cNvPicPr>
        </xdr:nvPicPr>
        <xdr:blipFill>
          <a:blip xmlns:r="http://schemas.openxmlformats.org/officeDocument/2006/relationships" r:embed="rId3"/>
          <a:stretch>
            <a:fillRect/>
          </a:stretch>
        </xdr:blipFill>
        <xdr:spPr>
          <a:xfrm>
            <a:off x="20382349" y="1724025"/>
            <a:ext cx="762000" cy="120650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pic>
        <xdr:nvPicPr>
          <xdr:cNvPr id="6" name="Picture 5">
            <a:extLst>
              <a:ext uri="{FF2B5EF4-FFF2-40B4-BE49-F238E27FC236}">
                <a16:creationId xmlns:a16="http://schemas.microsoft.com/office/drawing/2014/main" id="{617C8B55-EABA-5CC8-BC82-0538AC15953D}"/>
              </a:ext>
            </a:extLst>
          </xdr:cNvPr>
          <xdr:cNvPicPr>
            <a:picLocks noChangeAspect="1"/>
          </xdr:cNvPicPr>
        </xdr:nvPicPr>
        <xdr:blipFill>
          <a:blip xmlns:r="http://schemas.openxmlformats.org/officeDocument/2006/relationships" r:embed="rId4"/>
          <a:stretch>
            <a:fillRect/>
          </a:stretch>
        </xdr:blipFill>
        <xdr:spPr>
          <a:xfrm>
            <a:off x="18353524" y="1743075"/>
            <a:ext cx="762000" cy="120650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pic>
        <xdr:nvPicPr>
          <xdr:cNvPr id="7" name="Picture 6">
            <a:extLst>
              <a:ext uri="{FF2B5EF4-FFF2-40B4-BE49-F238E27FC236}">
                <a16:creationId xmlns:a16="http://schemas.microsoft.com/office/drawing/2014/main" id="{46AD12FF-06D6-6C44-4B92-8F906D987D65}"/>
              </a:ext>
            </a:extLst>
          </xdr:cNvPr>
          <xdr:cNvPicPr>
            <a:picLocks noChangeAspect="1"/>
          </xdr:cNvPicPr>
        </xdr:nvPicPr>
        <xdr:blipFill>
          <a:blip xmlns:r="http://schemas.openxmlformats.org/officeDocument/2006/relationships" r:embed="rId5"/>
          <a:stretch>
            <a:fillRect/>
          </a:stretch>
        </xdr:blipFill>
        <xdr:spPr>
          <a:xfrm>
            <a:off x="20344249" y="371475"/>
            <a:ext cx="762000" cy="120650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corptipa-my.sharepoint.com/personal/michael_c_tipa-corp_com/Documents/Desktop/Study/2025%20Pricing%20calculator%20-%20Europe%20%20June%20draft.xlsx" TargetMode="External"/><Relationship Id="rId1" Type="http://schemas.openxmlformats.org/officeDocument/2006/relationships/externalLinkPath" Target="2025%20Pricing%20calculator%20-%20Europe%20%20June%20draf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orptipa.sharepoint.com/personal/guy_tipa-corp_com/Documents/Documents/WP-Macro%20-Test%20gf64.xlsm"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corptipa-my.sharepoint.com/personal/michael_c_tipa-corp_com/Documents/Desktop/Study/2025%20Pricing%20calculator%20-%20Europe%20%20June%20draft_22.07.2026.xlsx" TargetMode="External"/><Relationship Id="rId1" Type="http://schemas.openxmlformats.org/officeDocument/2006/relationships/externalLinkPath" Target="2025%20Pricing%20calculator%20-%20Europe%20%20June%20draft_22.07.202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ShaharShani\AppData\Local\Microsoft\Windows\INetCache\Content.Outlook\0QYE2JO2\Films%20BOM%20simulator.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Users/Oren/Google%20Drive/Oren/Production/film%20construction%20tool%20-%2028.7.16.xlsx" TargetMode="External"/><Relationship Id="rId1" Type="http://schemas.openxmlformats.org/officeDocument/2006/relationships/externalLinkPath" Target="/Users/Oren/Google%20Drive/Oren/Production/film%20construction%20tool%20-%2028.7.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ipa 302FG"/>
      <sheetName val="Tipa 302NF"/>
      <sheetName val="Tipa 318"/>
      <sheetName val="Tipa 302 Verbano"/>
      <sheetName val="Prices check"/>
      <sheetName val="BOM"/>
      <sheetName val="Product BOM Summary 2024"/>
      <sheetName val="Raw material summary"/>
      <sheetName val="Film PL. US"/>
      <sheetName val="Film -Summary Blown"/>
      <sheetName val="Film -Summary"/>
      <sheetName val="Film -Summary Pricing"/>
      <sheetName val="WICKET1 SALES"/>
      <sheetName val="WICKET2 SALES"/>
      <sheetName val="WICKET1"/>
      <sheetName val="WICKET2"/>
      <sheetName val="WICKET3"/>
      <sheetName val="WICKET4"/>
      <sheetName val="WICKET5"/>
      <sheetName val="WICKET6"/>
      <sheetName val="WICKET7"/>
      <sheetName val="WICKET8"/>
      <sheetName val="Bgs Calculator"/>
      <sheetName val="KArl Pricing"/>
      <sheetName val="Garments calc."/>
      <sheetName val="Bgs Calculator sales"/>
      <sheetName val="Garments Sales calc. "/>
      <sheetName val="Laminate for reels  - Sales"/>
      <sheetName val="Laminate for reels"/>
      <sheetName val="Laminate for bags"/>
      <sheetName val="Laminated bags"/>
      <sheetName val="Laminated bags - Sales"/>
      <sheetName val="Laminate for Bags  - Sales"/>
      <sheetName val="SDR price list"/>
      <sheetName val="Fast track Plain"/>
      <sheetName val="Laminate for Bags Fast Track"/>
      <sheetName val="Laminated bags Fast Track"/>
      <sheetName val="Garments for Sales"/>
      <sheetName val="Sales calculator"/>
      <sheetName val="Bags Price List - Hackbarth DB"/>
      <sheetName val="SESA Pricing "/>
      <sheetName val="מחיר הדפסה"/>
      <sheetName val="List of names"/>
      <sheetName val="ייצור זיפר"/>
      <sheetName val="Shipment to Turkey"/>
      <sheetName val="Trucking"/>
      <sheetName val="Sheet1"/>
      <sheetName val="2025 Pricing calculator - Europ"/>
    </sheetNames>
    <sheetDataSet>
      <sheetData sheetId="0"/>
      <sheetData sheetId="1"/>
      <sheetData sheetId="2"/>
      <sheetData sheetId="3"/>
      <sheetData sheetId="4"/>
      <sheetData sheetId="5"/>
      <sheetData sheetId="6"/>
      <sheetData sheetId="7">
        <row r="3">
          <cell r="F3">
            <v>1.1000000000000001</v>
          </cell>
        </row>
        <row r="10">
          <cell r="J10" t="str">
            <v>600-800</v>
          </cell>
          <cell r="K10" t="str">
            <v>900-1100</v>
          </cell>
        </row>
        <row r="11">
          <cell r="I11" t="str">
            <v>NKME</v>
          </cell>
          <cell r="J11">
            <v>9.92</v>
          </cell>
          <cell r="K11">
            <v>9.92</v>
          </cell>
        </row>
        <row r="12">
          <cell r="I12" t="str">
            <v>NKR</v>
          </cell>
          <cell r="J12">
            <v>7.95</v>
          </cell>
          <cell r="K12">
            <v>7.95</v>
          </cell>
        </row>
        <row r="13">
          <cell r="I13" t="str">
            <v>PBAT</v>
          </cell>
          <cell r="J13">
            <v>5.5</v>
          </cell>
          <cell r="K13">
            <v>5.5</v>
          </cell>
        </row>
        <row r="14">
          <cell r="I14" t="str">
            <v>Paper</v>
          </cell>
          <cell r="J14">
            <v>1.31</v>
          </cell>
        </row>
        <row r="15">
          <cell r="I15" t="str">
            <v>ADHISIVE</v>
          </cell>
          <cell r="J15">
            <v>12.25</v>
          </cell>
          <cell r="K15">
            <v>12.25</v>
          </cell>
        </row>
        <row r="16">
          <cell r="I16" t="str">
            <v>HARDENER</v>
          </cell>
          <cell r="J16">
            <v>8.9</v>
          </cell>
          <cell r="K16">
            <v>8.9</v>
          </cell>
        </row>
      </sheetData>
      <sheetData sheetId="8"/>
      <sheetData sheetId="9"/>
      <sheetData sheetId="10">
        <row r="35">
          <cell r="Q35" t="e">
            <v>#N/A</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5">
          <cell r="Y5">
            <v>800</v>
          </cell>
        </row>
        <row r="21">
          <cell r="Y21">
            <v>910</v>
          </cell>
        </row>
      </sheetData>
      <sheetData sheetId="34"/>
      <sheetData sheetId="35"/>
      <sheetData sheetId="36"/>
      <sheetData sheetId="37"/>
      <sheetData sheetId="38"/>
      <sheetData sheetId="39"/>
      <sheetData sheetId="40"/>
      <sheetData sheetId="41"/>
      <sheetData sheetId="42">
        <row r="2">
          <cell r="F2">
            <v>106</v>
          </cell>
          <cell r="G2" t="str">
            <v>NKME</v>
          </cell>
          <cell r="H2" t="str">
            <v>NKR</v>
          </cell>
          <cell r="L2" t="str">
            <v>PBAT</v>
          </cell>
          <cell r="M2">
            <v>0.2</v>
          </cell>
          <cell r="N2">
            <v>1.25</v>
          </cell>
        </row>
        <row r="3">
          <cell r="F3">
            <v>618</v>
          </cell>
          <cell r="G3" t="str">
            <v>NKR</v>
          </cell>
          <cell r="L3" t="str">
            <v>Tipa312Met</v>
          </cell>
          <cell r="M3">
            <v>0.2</v>
          </cell>
          <cell r="N3">
            <v>1.25</v>
          </cell>
        </row>
        <row r="4">
          <cell r="F4">
            <v>819</v>
          </cell>
          <cell r="G4" t="str">
            <v>NKR</v>
          </cell>
          <cell r="H4" t="str">
            <v>Paper</v>
          </cell>
          <cell r="L4" t="str">
            <v>NKME</v>
          </cell>
          <cell r="M4">
            <v>0.2</v>
          </cell>
          <cell r="N4">
            <v>1.44</v>
          </cell>
        </row>
        <row r="5">
          <cell r="F5">
            <v>823</v>
          </cell>
          <cell r="G5" t="str">
            <v>NKR</v>
          </cell>
          <cell r="H5" t="str">
            <v>Paper</v>
          </cell>
          <cell r="L5" t="str">
            <v>NKR</v>
          </cell>
          <cell r="M5">
            <v>0.35</v>
          </cell>
          <cell r="N5">
            <v>1.44</v>
          </cell>
        </row>
        <row r="6">
          <cell r="F6">
            <v>604</v>
          </cell>
          <cell r="G6" t="str">
            <v>NKR</v>
          </cell>
          <cell r="H6" t="str">
            <v>NKR</v>
          </cell>
          <cell r="L6" t="str">
            <v>Tipa302FG</v>
          </cell>
          <cell r="M6">
            <v>0.2</v>
          </cell>
          <cell r="N6">
            <v>1.25</v>
          </cell>
        </row>
        <row r="7">
          <cell r="F7">
            <v>608</v>
          </cell>
          <cell r="G7" t="str">
            <v>NKR</v>
          </cell>
          <cell r="H7" t="str">
            <v>PBAT</v>
          </cell>
          <cell r="L7" t="str">
            <v>Paper</v>
          </cell>
          <cell r="M7">
            <v>0.3</v>
          </cell>
          <cell r="N7">
            <v>1</v>
          </cell>
        </row>
        <row r="8">
          <cell r="F8">
            <v>607</v>
          </cell>
          <cell r="G8" t="str">
            <v>NKR</v>
          </cell>
          <cell r="L8" t="str">
            <v>Tipa302WFG</v>
          </cell>
          <cell r="M8">
            <v>0.2</v>
          </cell>
          <cell r="N8">
            <v>1.25</v>
          </cell>
        </row>
        <row r="9">
          <cell r="F9" t="str">
            <v>608W</v>
          </cell>
          <cell r="G9" t="str">
            <v>NKR</v>
          </cell>
          <cell r="H9" t="str">
            <v>PBAT</v>
          </cell>
        </row>
        <row r="10">
          <cell r="F10">
            <v>418</v>
          </cell>
          <cell r="G10" t="str">
            <v>NKR</v>
          </cell>
        </row>
        <row r="11">
          <cell r="F11">
            <v>428</v>
          </cell>
          <cell r="G11" t="str">
            <v>Tipa312Met</v>
          </cell>
          <cell r="H11" t="str">
            <v>NKR</v>
          </cell>
        </row>
        <row r="14">
          <cell r="P14" t="str">
            <v>Type of laminate in Sales calcultator</v>
          </cell>
          <cell r="Q14" t="str">
            <v>Laminate106</v>
          </cell>
          <cell r="R14" t="str">
            <v>Laminate608W</v>
          </cell>
          <cell r="S14" t="str">
            <v>Laminate618</v>
          </cell>
          <cell r="T14" t="str">
            <v>Laminate607</v>
          </cell>
          <cell r="U14" t="str">
            <v>Laminate418</v>
          </cell>
          <cell r="V14" t="str">
            <v>Laminate428</v>
          </cell>
          <cell r="W14" t="str">
            <v>Laminate819</v>
          </cell>
          <cell r="X14" t="str">
            <v>Laminate823</v>
          </cell>
        </row>
        <row r="15">
          <cell r="L15" t="str">
            <v>NKMATT</v>
          </cell>
          <cell r="M15" t="str">
            <v>Garment</v>
          </cell>
          <cell r="P15" t="str">
            <v>Laminate106</v>
          </cell>
          <cell r="Y15" t="str">
            <v>Tipa302FG</v>
          </cell>
        </row>
        <row r="16">
          <cell r="L16">
            <v>25</v>
          </cell>
          <cell r="M16">
            <v>18</v>
          </cell>
          <cell r="P16" t="str">
            <v>Laminate608W</v>
          </cell>
          <cell r="Y16" t="str">
            <v>Tipa317FG</v>
          </cell>
        </row>
        <row r="17">
          <cell r="M17">
            <v>20</v>
          </cell>
          <cell r="P17" t="str">
            <v>Laminate618</v>
          </cell>
        </row>
        <row r="18">
          <cell r="M18">
            <v>25</v>
          </cell>
          <cell r="P18" t="str">
            <v>Laminate607</v>
          </cell>
        </row>
        <row r="19">
          <cell r="M19">
            <v>30</v>
          </cell>
          <cell r="P19" t="str">
            <v>Laminate418</v>
          </cell>
        </row>
        <row r="20">
          <cell r="M20">
            <v>35</v>
          </cell>
          <cell r="P20" t="str">
            <v>Laminate428</v>
          </cell>
        </row>
        <row r="21">
          <cell r="M21">
            <v>40</v>
          </cell>
          <cell r="P21" t="str">
            <v>Laminate819</v>
          </cell>
        </row>
        <row r="22">
          <cell r="M22">
            <v>50</v>
          </cell>
          <cell r="P22" t="str">
            <v>Laminate823</v>
          </cell>
        </row>
        <row r="23">
          <cell r="M23">
            <v>60</v>
          </cell>
        </row>
        <row r="24">
          <cell r="M24">
            <v>70</v>
          </cell>
        </row>
        <row r="25">
          <cell r="M25">
            <v>80</v>
          </cell>
        </row>
        <row r="34">
          <cell r="D34">
            <v>55</v>
          </cell>
          <cell r="F34">
            <v>10</v>
          </cell>
        </row>
        <row r="35">
          <cell r="D35">
            <v>60</v>
          </cell>
          <cell r="F35">
            <v>15</v>
          </cell>
        </row>
        <row r="36">
          <cell r="D36">
            <v>65</v>
          </cell>
          <cell r="F36">
            <v>15</v>
          </cell>
        </row>
        <row r="37">
          <cell r="D37">
            <v>70</v>
          </cell>
          <cell r="F37">
            <v>15</v>
          </cell>
        </row>
        <row r="38">
          <cell r="D38">
            <v>80</v>
          </cell>
          <cell r="F38">
            <v>20</v>
          </cell>
        </row>
        <row r="39">
          <cell r="D39">
            <v>90</v>
          </cell>
          <cell r="F39">
            <v>20</v>
          </cell>
        </row>
        <row r="40">
          <cell r="D40">
            <v>100</v>
          </cell>
          <cell r="F40">
            <v>20</v>
          </cell>
        </row>
      </sheetData>
      <sheetData sheetId="43"/>
      <sheetData sheetId="44"/>
      <sheetData sheetId="45"/>
      <sheetData sheetId="46"/>
      <sheetData sheetId="4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Cast Films"/>
      <sheetName val="GEF063 WP Sales"/>
      <sheetName val="Report"/>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ipa 302FG"/>
      <sheetName val="Tipa 302NF"/>
      <sheetName val="Tipa 318"/>
      <sheetName val="Tipa 302 Verbano"/>
      <sheetName val="Prices check"/>
      <sheetName val="BOM"/>
      <sheetName val="Product BOM Summary 2024"/>
      <sheetName val="Raw material summary"/>
      <sheetName val="Film PL. US"/>
      <sheetName val="Film -Summary Blown"/>
      <sheetName val="Film -Summary"/>
      <sheetName val="Film -Summary Pricing"/>
      <sheetName val="WICKET1 SALES"/>
      <sheetName val="WICKET2 SALES"/>
      <sheetName val="WICKET1"/>
      <sheetName val="WICKET2"/>
      <sheetName val="WICKET3"/>
      <sheetName val="WICKET4"/>
      <sheetName val="WICKET5"/>
      <sheetName val="WICKET6"/>
      <sheetName val="WICKET7"/>
      <sheetName val="WICKET8"/>
      <sheetName val="Bgs Calculator"/>
      <sheetName val="KArl Pricing"/>
      <sheetName val="Garments calc."/>
      <sheetName val="Bgs Calculator sales"/>
      <sheetName val="Garments Sales calc. "/>
      <sheetName val="Laminate for reels  - Sales"/>
      <sheetName val="Laminate for reels"/>
      <sheetName val="Laminate for bags"/>
      <sheetName val="Laminated bags"/>
      <sheetName val="Laminated bags - Sales"/>
      <sheetName val="Laminate for Bags  - Sales"/>
      <sheetName val="SDR price list"/>
      <sheetName val="Fast track Plain"/>
      <sheetName val="Laminate for Bags Fast Track"/>
      <sheetName val="Laminated bags Fast Track"/>
      <sheetName val="Garments for Sales"/>
      <sheetName val="Sales calculator"/>
      <sheetName val="Bags Price List - Hackbarth DB"/>
      <sheetName val="SESA Pricing "/>
      <sheetName val="מחיר הדפסה"/>
      <sheetName val="List of names"/>
      <sheetName val="ייצור זיפר"/>
      <sheetName val="Shipment to Turkey"/>
      <sheetName val="Trucking"/>
      <sheetName val="Sheet1"/>
      <sheetName val="2025 Pricing calculator - Europ"/>
    </sheetNames>
    <sheetDataSet>
      <sheetData sheetId="0"/>
      <sheetData sheetId="1"/>
      <sheetData sheetId="2"/>
      <sheetData sheetId="3"/>
      <sheetData sheetId="4"/>
      <sheetData sheetId="5"/>
      <sheetData sheetId="6"/>
      <sheetData sheetId="7">
        <row r="11">
          <cell r="I11" t="str">
            <v>NKME</v>
          </cell>
          <cell r="J11">
            <v>9.92</v>
          </cell>
        </row>
        <row r="12">
          <cell r="I12" t="str">
            <v>NKR</v>
          </cell>
          <cell r="J12">
            <v>7.95</v>
          </cell>
        </row>
        <row r="13">
          <cell r="I13" t="str">
            <v>PBAT</v>
          </cell>
          <cell r="J13">
            <v>5.5</v>
          </cell>
        </row>
        <row r="14">
          <cell r="I14" t="str">
            <v>Paper</v>
          </cell>
          <cell r="J14">
            <v>1.31</v>
          </cell>
        </row>
        <row r="15">
          <cell r="I15" t="str">
            <v>ADHISIVE</v>
          </cell>
          <cell r="J15">
            <v>12.25</v>
          </cell>
        </row>
        <row r="16">
          <cell r="I16" t="str">
            <v>HARDENER</v>
          </cell>
          <cell r="J16">
            <v>8.9</v>
          </cell>
        </row>
        <row r="17">
          <cell r="I17" t="str">
            <v>Tipa312Met</v>
          </cell>
          <cell r="J17">
            <v>9</v>
          </cell>
        </row>
      </sheetData>
      <sheetData sheetId="8"/>
      <sheetData sheetId="9"/>
      <sheetData sheetId="10">
        <row r="25">
          <cell r="Q25">
            <v>6.1893378349257064</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ow r="2">
          <cell r="F2">
            <v>106</v>
          </cell>
          <cell r="G2" t="str">
            <v>NKME</v>
          </cell>
          <cell r="H2" t="str">
            <v>NKR</v>
          </cell>
          <cell r="L2" t="str">
            <v>PBAT</v>
          </cell>
          <cell r="M2">
            <v>0.2</v>
          </cell>
          <cell r="N2">
            <v>1.25</v>
          </cell>
        </row>
        <row r="3">
          <cell r="F3">
            <v>618</v>
          </cell>
          <cell r="G3" t="str">
            <v>NKR</v>
          </cell>
          <cell r="L3" t="str">
            <v>Tipa312Met</v>
          </cell>
          <cell r="M3">
            <v>0.2</v>
          </cell>
          <cell r="N3">
            <v>1.25</v>
          </cell>
          <cell r="T3">
            <v>0.16900000000000001</v>
          </cell>
        </row>
        <row r="4">
          <cell r="F4">
            <v>819</v>
          </cell>
          <cell r="G4" t="str">
            <v>NKR</v>
          </cell>
          <cell r="H4" t="str">
            <v>Paper</v>
          </cell>
          <cell r="L4" t="str">
            <v>NKME</v>
          </cell>
          <cell r="M4">
            <v>0.2</v>
          </cell>
          <cell r="N4">
            <v>1.44</v>
          </cell>
        </row>
        <row r="5">
          <cell r="F5">
            <v>823</v>
          </cell>
          <cell r="G5" t="str">
            <v>NKR</v>
          </cell>
          <cell r="H5" t="str">
            <v>Paper</v>
          </cell>
          <cell r="L5" t="str">
            <v>NKR</v>
          </cell>
          <cell r="M5">
            <v>0.35</v>
          </cell>
          <cell r="N5">
            <v>1.44</v>
          </cell>
        </row>
        <row r="6">
          <cell r="F6">
            <v>604</v>
          </cell>
          <cell r="G6" t="str">
            <v>NKR</v>
          </cell>
          <cell r="H6" t="str">
            <v>NKR</v>
          </cell>
          <cell r="L6" t="str">
            <v>Tipa302FG</v>
          </cell>
          <cell r="M6">
            <v>0.2</v>
          </cell>
          <cell r="N6">
            <v>1.25</v>
          </cell>
        </row>
        <row r="7">
          <cell r="F7">
            <v>608</v>
          </cell>
          <cell r="G7" t="str">
            <v>NKR</v>
          </cell>
          <cell r="H7" t="str">
            <v>PBAT</v>
          </cell>
          <cell r="L7" t="str">
            <v>Paper</v>
          </cell>
          <cell r="M7">
            <v>0.3</v>
          </cell>
          <cell r="N7">
            <v>1</v>
          </cell>
        </row>
        <row r="8">
          <cell r="F8">
            <v>607</v>
          </cell>
          <cell r="G8" t="str">
            <v>NKR</v>
          </cell>
          <cell r="L8" t="str">
            <v>Tipa302WFG</v>
          </cell>
          <cell r="M8">
            <v>0.2</v>
          </cell>
          <cell r="N8">
            <v>1.25</v>
          </cell>
        </row>
        <row r="9">
          <cell r="F9" t="str">
            <v>608W</v>
          </cell>
          <cell r="G9" t="str">
            <v>NKR</v>
          </cell>
          <cell r="H9" t="str">
            <v>PBAT</v>
          </cell>
        </row>
        <row r="10">
          <cell r="F10">
            <v>418</v>
          </cell>
          <cell r="G10" t="str">
            <v>NKR</v>
          </cell>
        </row>
        <row r="11">
          <cell r="F11">
            <v>428</v>
          </cell>
          <cell r="G11" t="str">
            <v>Tipa312Met</v>
          </cell>
          <cell r="H11" t="str">
            <v>NKR</v>
          </cell>
        </row>
        <row r="15">
          <cell r="B15" t="str">
            <v>NKR</v>
          </cell>
          <cell r="C15" t="str">
            <v>NKME</v>
          </cell>
          <cell r="D15" t="str">
            <v>PAPER</v>
          </cell>
          <cell r="E15" t="str">
            <v>Tipa312Met</v>
          </cell>
          <cell r="L15" t="str">
            <v>NKMATT</v>
          </cell>
          <cell r="M15" t="str">
            <v>Garment</v>
          </cell>
        </row>
        <row r="16">
          <cell r="B16">
            <v>23</v>
          </cell>
          <cell r="C16">
            <v>20</v>
          </cell>
          <cell r="D16">
            <v>67</v>
          </cell>
          <cell r="E16">
            <v>25</v>
          </cell>
          <cell r="L16">
            <v>25</v>
          </cell>
          <cell r="M16">
            <v>18</v>
          </cell>
        </row>
        <row r="17">
          <cell r="M17">
            <v>20</v>
          </cell>
        </row>
        <row r="18">
          <cell r="M18">
            <v>25</v>
          </cell>
        </row>
        <row r="19">
          <cell r="M19">
            <v>30</v>
          </cell>
        </row>
        <row r="20">
          <cell r="M20">
            <v>35</v>
          </cell>
        </row>
        <row r="21">
          <cell r="M21">
            <v>40</v>
          </cell>
        </row>
        <row r="22">
          <cell r="M22">
            <v>50</v>
          </cell>
        </row>
        <row r="23">
          <cell r="M23">
            <v>60</v>
          </cell>
        </row>
        <row r="24">
          <cell r="M24">
            <v>70</v>
          </cell>
        </row>
        <row r="25">
          <cell r="M25">
            <v>80</v>
          </cell>
        </row>
      </sheetData>
      <sheetData sheetId="43"/>
      <sheetData sheetId="44"/>
      <sheetData sheetId="45"/>
      <sheetData sheetId="46"/>
      <sheetData sheetId="4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get price"/>
      <sheetName val="Product tree"/>
      <sheetName val="Raw materials prices"/>
    </sheetNames>
    <sheetDataSet>
      <sheetData sheetId="0" refreshError="1"/>
      <sheetData sheetId="1" refreshError="1"/>
      <sheetData sheetId="2">
        <row r="51">
          <cell r="L51" t="str">
            <v>PLA</v>
          </cell>
        </row>
        <row r="52">
          <cell r="L52" t="str">
            <v>PBAT</v>
          </cell>
        </row>
        <row r="53">
          <cell r="L53" t="str">
            <v>PBS</v>
          </cell>
        </row>
        <row r="54">
          <cell r="L54" t="str">
            <v>PCL</v>
          </cell>
        </row>
        <row r="55">
          <cell r="L55" t="str">
            <v>AO_PBS</v>
          </cell>
        </row>
        <row r="56">
          <cell r="L56" t="str">
            <v>SLAB_PBSA</v>
          </cell>
        </row>
        <row r="57">
          <cell r="L57" t="str">
            <v>AB_PLA</v>
          </cell>
        </row>
        <row r="58">
          <cell r="L58" t="str">
            <v>PGA</v>
          </cell>
        </row>
        <row r="59">
          <cell r="L59" t="str">
            <v>PBSA</v>
          </cell>
        </row>
        <row r="60">
          <cell r="L60" t="str">
            <v>PBAT_compound</v>
          </cell>
        </row>
        <row r="61">
          <cell r="L61" t="str">
            <v>TPS</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ilm structure"/>
      <sheetName val="list for drop down menu"/>
    </sheetNames>
    <sheetDataSet>
      <sheetData sheetId="0"/>
      <sheetData sheetId="1">
        <row r="1">
          <cell r="A1" t="str">
            <v>17MIT</v>
          </cell>
        </row>
        <row r="2">
          <cell r="A2" t="str">
            <v>FD92</v>
          </cell>
        </row>
        <row r="3">
          <cell r="A3" t="str">
            <v>FZ91</v>
          </cell>
        </row>
        <row r="4">
          <cell r="A4" t="str">
            <v>B12</v>
          </cell>
        </row>
        <row r="5">
          <cell r="A5" t="str">
            <v>C2331</v>
          </cell>
        </row>
        <row r="6">
          <cell r="A6" t="str">
            <v>SL05</v>
          </cell>
        </row>
        <row r="7">
          <cell r="A7" t="str">
            <v>KAB</v>
          </cell>
        </row>
        <row r="8">
          <cell r="A8" t="str">
            <v>KS</v>
          </cell>
        </row>
        <row r="9">
          <cell r="A9" t="str">
            <v>MB14</v>
          </cell>
        </row>
        <row r="10">
          <cell r="A10" t="str">
            <v>Cell P</v>
          </cell>
        </row>
        <row r="11">
          <cell r="A11" t="str">
            <v>Cell M</v>
          </cell>
        </row>
        <row r="12">
          <cell r="A12" t="str">
            <v>Cell C</v>
          </cell>
        </row>
        <row r="13">
          <cell r="A13" t="str">
            <v>Epotal</v>
          </cell>
        </row>
        <row r="14">
          <cell r="A14">
            <v>8095</v>
          </cell>
        </row>
        <row r="15">
          <cell r="A15" t="str">
            <v>BTR</v>
          </cell>
        </row>
        <row r="16">
          <cell r="A16" t="str">
            <v>TPL18</v>
          </cell>
        </row>
        <row r="17">
          <cell r="A17" t="str">
            <v>TP20</v>
          </cell>
        </row>
        <row r="18">
          <cell r="A18">
            <v>4043</v>
          </cell>
        </row>
        <row r="19">
          <cell r="A19">
            <v>6800</v>
          </cell>
        </row>
        <row r="20">
          <cell r="A20" t="str">
            <v>MB13</v>
          </cell>
        </row>
      </sheetData>
    </sheetDataSet>
  </externalBook>
</externalLink>
</file>

<file path=xl/persons/person.xml><?xml version="1.0" encoding="utf-8"?>
<personList xmlns="http://schemas.microsoft.com/office/spreadsheetml/2018/threadedcomments" xmlns:x="http://schemas.openxmlformats.org/spreadsheetml/2006/main">
  <person displayName="Michael Chervets" id="{95EE1FF2-A61D-4869-B6C9-829E1A9FD12C}" userId="S::michael.c@tipa-corp.com::de7e936c-a13e-477f-bad6-2ce402cf612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hael Chervets" refreshedDate="46181.437911458335" createdVersion="8" refreshedVersion="8" minRefreshableVersion="3" recordCount="390" xr:uid="{9D2953ED-50EA-47E5-9196-866F9B1CCC30}">
  <cacheSource type="worksheet">
    <worksheetSource name="Table2"/>
  </cacheSource>
  <cacheFields count="4">
    <cacheField name="Film" numFmtId="0">
      <sharedItems count="10">
        <s v="PL202.1"/>
        <s v="PL202.2"/>
        <s v="PL202.3"/>
        <s v="TIPA 302FG"/>
        <s v="TIPA 302FG W"/>
        <s v="TIPA 306M"/>
        <s v="TIPA 306W"/>
        <s v="TIPA 312 MFG"/>
        <s v="TIPA 312MFGW"/>
        <s v=""/>
      </sharedItems>
    </cacheField>
    <cacheField name="Grade" numFmtId="43">
      <sharedItems count="9">
        <s v="FD92PM"/>
        <s v="LX175"/>
        <s v="S723"/>
        <s v="S724"/>
        <s v="KAB59A"/>
        <s v="BVE8049P"/>
        <s v="B12"/>
        <s v="RM WHITE BIO8153"/>
        <s v=""/>
      </sharedItems>
    </cacheField>
    <cacheField name="Serial Number" numFmtId="43">
      <sharedItems/>
    </cacheField>
    <cacheField name="Price Calculated(€) Thickness &amp; QTY related" numFmtId="4">
      <sharedItems containsMixedTypes="1" containsNumber="1" minValue="2.265E-2" maxValue="4.698999999999999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
  <r>
    <x v="0"/>
    <x v="0"/>
    <s v="RMPM2"/>
    <n v="3.2521499999999999"/>
  </r>
  <r>
    <x v="0"/>
    <x v="1"/>
    <s v="RMLX175"/>
    <n v="0.27008399999999999"/>
  </r>
  <r>
    <x v="0"/>
    <x v="2"/>
    <s v="RM TA45-08 S723"/>
    <n v="0.32320000000000004"/>
  </r>
  <r>
    <x v="0"/>
    <x v="3"/>
    <s v="RM TA45-08 S724"/>
    <n v="0.17639999999999997"/>
  </r>
  <r>
    <x v="0"/>
    <x v="4"/>
    <s v="RM A KAB59A"/>
    <n v="6.7949999999999983E-2"/>
  </r>
  <r>
    <x v="0"/>
    <x v="5"/>
    <s v="BVE8049P"/>
    <n v="4.6989999999999998"/>
  </r>
  <r>
    <x v="0"/>
    <x v="6"/>
    <s v="RMB12"/>
    <n v="0.20700000000000002"/>
  </r>
  <r>
    <x v="1"/>
    <x v="1"/>
    <s v="RMLX175"/>
    <n v="1.50258"/>
  </r>
  <r>
    <x v="1"/>
    <x v="2"/>
    <s v="RM TA45-08 S723"/>
    <n v="0.32320000000000004"/>
  </r>
  <r>
    <x v="1"/>
    <x v="5"/>
    <s v="BVE8049P"/>
    <n v="4.6989999999999998"/>
  </r>
  <r>
    <x v="1"/>
    <x v="6"/>
    <s v="RMB12"/>
    <n v="0.20700000000000002"/>
  </r>
  <r>
    <x v="2"/>
    <x v="1"/>
    <s v="RMLX175"/>
    <n v="1.50258"/>
  </r>
  <r>
    <x v="2"/>
    <x v="2"/>
    <s v="RM TA45-08 S723"/>
    <n v="0.32320000000000004"/>
  </r>
  <r>
    <x v="2"/>
    <x v="5"/>
    <s v="BVE8049P"/>
    <n v="3.6259999999999999"/>
  </r>
  <r>
    <x v="2"/>
    <x v="6"/>
    <s v="RMB12"/>
    <n v="0.29400000000000004"/>
  </r>
  <r>
    <x v="3"/>
    <x v="0"/>
    <s v="RMPM2"/>
    <n v="2.2194000000000003"/>
  </r>
  <r>
    <x v="3"/>
    <x v="1"/>
    <s v="RMLX175"/>
    <n v="0.18259199999999998"/>
  </r>
  <r>
    <x v="3"/>
    <x v="4"/>
    <s v="RM A KAB59A"/>
    <n v="4.53E-2"/>
  </r>
  <r>
    <x v="3"/>
    <x v="2"/>
    <s v="RM TA45-08 S723"/>
    <n v="0.24239999999999998"/>
  </r>
  <r>
    <x v="3"/>
    <x v="6"/>
    <s v="RMB12"/>
    <n v="0.88649999999999995"/>
  </r>
  <r>
    <x v="3"/>
    <x v="3"/>
    <s v="RM TA45-08 S724"/>
    <n v="2.3519999999999999E-2"/>
  </r>
  <r>
    <x v="4"/>
    <x v="0"/>
    <s v="RMPM2"/>
    <n v="2.1870000000000003"/>
  </r>
  <r>
    <x v="4"/>
    <x v="1"/>
    <s v="RMLX175"/>
    <n v="0.18259199999999998"/>
  </r>
  <r>
    <x v="4"/>
    <x v="4"/>
    <s v="RM A KAB59A"/>
    <n v="4.53E-2"/>
  </r>
  <r>
    <x v="4"/>
    <x v="2"/>
    <s v="RM TA45-08 S723"/>
    <n v="0.24239999999999998"/>
  </r>
  <r>
    <x v="4"/>
    <x v="3"/>
    <s v="RM TA45-08 S724"/>
    <n v="9.4079999999999997E-2"/>
  </r>
  <r>
    <x v="4"/>
    <x v="7"/>
    <s v="RM WHITE BIO8153"/>
    <n v="0.36899999999999999"/>
  </r>
  <r>
    <x v="4"/>
    <x v="6"/>
    <s v="RMB12"/>
    <n v="0.79649999999999987"/>
  </r>
  <r>
    <x v="5"/>
    <x v="1"/>
    <s v="RMLX175"/>
    <n v="2.1061480000000001"/>
  </r>
  <r>
    <x v="5"/>
    <x v="2"/>
    <s v="RM TA45-08 S723"/>
    <n v="0.24239999999999998"/>
  </r>
  <r>
    <x v="5"/>
    <x v="0"/>
    <s v="RMPM2"/>
    <n v="1.0908000000000002"/>
  </r>
  <r>
    <x v="5"/>
    <x v="4"/>
    <s v="RM A KAB59A"/>
    <n v="2.265E-2"/>
  </r>
  <r>
    <x v="5"/>
    <x v="3"/>
    <s v="RM TA45-08 S724"/>
    <n v="5.8799999999999998E-2"/>
  </r>
  <r>
    <x v="6"/>
    <x v="1"/>
    <s v="RMLX175"/>
    <n v="1.9406739999999998"/>
  </r>
  <r>
    <x v="6"/>
    <x v="2"/>
    <s v="RM TA45-08 S723"/>
    <n v="0.24239999999999998"/>
  </r>
  <r>
    <x v="6"/>
    <x v="4"/>
    <s v="RM A KAB59A"/>
    <n v="4.53E-2"/>
  </r>
  <r>
    <x v="6"/>
    <x v="3"/>
    <s v="RM TA45-08 S724"/>
    <n v="0.1176"/>
  </r>
  <r>
    <x v="6"/>
    <x v="7"/>
    <s v="RM WHITE BIO8153"/>
    <n v="0.36899999999999999"/>
  </r>
  <r>
    <x v="6"/>
    <x v="0"/>
    <s v="RMPM2"/>
    <n v="1.0908000000000002"/>
  </r>
  <r>
    <x v="7"/>
    <x v="1"/>
    <s v="RMLX175"/>
    <n v="0.59405799999999997"/>
  </r>
  <r>
    <x v="7"/>
    <x v="2"/>
    <s v="RM TA45-08 S723"/>
    <n v="0.24239999999999998"/>
  </r>
  <r>
    <x v="7"/>
    <x v="6"/>
    <s v="RMB12"/>
    <n v="0.88649999999999995"/>
  </r>
  <r>
    <x v="7"/>
    <x v="0"/>
    <s v="RMPM2"/>
    <n v="1.0867500000000001"/>
  </r>
  <r>
    <x v="7"/>
    <x v="4"/>
    <s v="RM A KAB59A"/>
    <n v="2.265E-2"/>
  </r>
  <r>
    <x v="7"/>
    <x v="3"/>
    <s v="RM TA45-08 S724"/>
    <n v="6.762E-2"/>
  </r>
  <r>
    <x v="8"/>
    <x v="1"/>
    <s v="RMLX175"/>
    <n v="0.59405799999999997"/>
  </r>
  <r>
    <x v="8"/>
    <x v="2"/>
    <s v="RM TA45-08 S723"/>
    <n v="0.24239999999999998"/>
  </r>
  <r>
    <x v="8"/>
    <x v="7"/>
    <s v="RM WHITE BIO8153"/>
    <n v="0.36899999999999999"/>
  </r>
  <r>
    <x v="8"/>
    <x v="6"/>
    <s v="RMB12"/>
    <n v="0.79649999999999987"/>
  </r>
  <r>
    <x v="8"/>
    <x v="0"/>
    <s v="RMPM2"/>
    <n v="1.0867500000000001"/>
  </r>
  <r>
    <x v="8"/>
    <x v="4"/>
    <s v="RM A KAB59A"/>
    <n v="2.265E-2"/>
  </r>
  <r>
    <x v="8"/>
    <x v="3"/>
    <s v="RM TA45-08 S724"/>
    <n v="6.762E-2"/>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r>
    <x v="9"/>
    <x v="8"/>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067FC7-B38F-4397-A07D-F44A9D734DF6}"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16" firstHeaderRow="1" firstDataRow="1" firstDataCol="2"/>
  <pivotFields count="4">
    <pivotField axis="axisRow" compact="0" outline="0" showAll="0" defaultSubtotal="0">
      <items count="10">
        <item h="1" x="9"/>
        <item h="1" x="0"/>
        <item h="1" x="1"/>
        <item h="1" x="2"/>
        <item x="3"/>
        <item x="4"/>
        <item x="5"/>
        <item x="6"/>
        <item x="7"/>
        <item x="8"/>
      </items>
    </pivotField>
    <pivotField axis="axisRow" compact="0" outline="0" showAll="0">
      <items count="10">
        <item h="1" x="8"/>
        <item h="1" x="6"/>
        <item h="1" x="5"/>
        <item h="1" x="0"/>
        <item h="1" x="4"/>
        <item h="1" x="1"/>
        <item h="1" x="7"/>
        <item x="2"/>
        <item x="3"/>
        <item t="default"/>
      </items>
    </pivotField>
    <pivotField compact="0" outline="0" showAll="0"/>
    <pivotField dataField="1" compact="0" outline="0" showAll="0"/>
  </pivotFields>
  <rowFields count="2">
    <field x="0"/>
    <field x="1"/>
  </rowFields>
  <rowItems count="13">
    <i>
      <x v="4"/>
      <x v="7"/>
    </i>
    <i r="1">
      <x v="8"/>
    </i>
    <i>
      <x v="5"/>
      <x v="7"/>
    </i>
    <i r="1">
      <x v="8"/>
    </i>
    <i>
      <x v="6"/>
      <x v="7"/>
    </i>
    <i r="1">
      <x v="8"/>
    </i>
    <i>
      <x v="7"/>
      <x v="7"/>
    </i>
    <i r="1">
      <x v="8"/>
    </i>
    <i>
      <x v="8"/>
      <x v="7"/>
    </i>
    <i r="1">
      <x v="8"/>
    </i>
    <i>
      <x v="9"/>
      <x v="7"/>
    </i>
    <i r="1">
      <x v="8"/>
    </i>
    <i t="grand">
      <x/>
    </i>
  </rowItems>
  <colItems count="1">
    <i/>
  </colItems>
  <dataFields count="1">
    <dataField name="Sum of Price Calculated(€) Thickness &amp; QTY related" fld="3" baseField="1" baseItem="8" numFmtId="171"/>
  </dataFields>
  <formats count="1">
    <format dxfId="19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210BB59-01EB-4F66-9C2C-D13D5D368703}" name="Table2" displayName="Table2" ref="L1:O391" totalsRowShown="0" headerRowDxfId="194" dataDxfId="192" headerRowBorderDxfId="193" headerRowCellStyle="Comma" dataCellStyle="Comma">
  <autoFilter ref="L1:O391" xr:uid="{A210BB59-01EB-4F66-9C2C-D13D5D368703}"/>
  <tableColumns count="4">
    <tableColumn id="1" xr3:uid="{B8157A9A-E1D2-4B25-9E22-F5FCFF066906}" name="Film" dataDxfId="191">
      <calculatedColumnFormula array="1">IFERROR(_xlfn.LET(_xlpm.films,Table4[Film],_xlpm.grades,Table4[Grade],_xlpm.pairs,_xlfn._xlws.FILTER(_xlfn.HSTACK(_xlpm.films,_xlpm.grades),(_xlpm.films&lt;&gt;"")*(TRIM(_xlpm.grades)&lt;&gt;"")),_xlpm.uniquePairs,_xlfn.UNIQUE(_xlpm.pairs),_xlpm.sortedPairs,_xlfn._xlws.SORT(_xlpm.uniquePairs,1,1),INDEX(_xlpm.sortedPairs,ROWS($L$2:L2),1)),"")</calculatedColumnFormula>
    </tableColumn>
    <tableColumn id="2" xr3:uid="{93BBE4B7-71F6-48CB-8BD1-31522AEFC8BF}" name="Grade" dataDxfId="190" dataCellStyle="Comma">
      <calculatedColumnFormula array="1">IFERROR(_xlfn.LET(_xlpm.films,Table4[Film],_xlpm.grades,Table4[Grade],_xlpm.pairs,_xlfn._xlws.FILTER(_xlfn.HSTACK(_xlpm.films,_xlpm.grades),(_xlpm.films&lt;&gt;"")*(TRIM(_xlpm.grades)&lt;&gt;"")),_xlpm.uniquePairs,_xlfn.UNIQUE(_xlpm.pairs),_xlpm.sortedPairs,_xlfn._xlws.SORT(_xlpm.uniquePairs,1,1),INDEX(_xlpm.sortedPairs,ROWS($M$2:M2),2)),"")</calculatedColumnFormula>
    </tableColumn>
    <tableColumn id="3" xr3:uid="{AD4A6A29-1375-4638-9FE3-BF71052C17FE}" name="Serial Number" dataDxfId="189" dataCellStyle="Comma">
      <calculatedColumnFormula array="1">IF(OR(Table2[[#This Row],[Film]]="",Table2[[#This Row],[Grade]]=""),"",IFERROR(INDEX(Table4[Serial Number],MATCH(1,(Table4[Film]=Table2[[#This Row],[Film]])*(Table4[Grade]=Table2[[#This Row],[Grade]]),0)),""))</calculatedColumnFormula>
    </tableColumn>
    <tableColumn id="4" xr3:uid="{BA695A86-1106-4297-9C41-E29B95787D36}" name="Price Calculated(€) Thickness &amp; QTY related" dataDxfId="188" dataCellStyle="Comma">
      <calculatedColumnFormula>IF(OR(Table2[[#This Row],[Film]]="",Table2[[#This Row],[Grade]]=""),"",SUMIFS(Table4[Price Calculated(€) Thickness &amp; QTY related],Table4[Film],Table2[[#This Row],[Film]],Table4[Grade],Table2[[#This Row],[Grade]]))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8FF937A-A26F-4298-9554-862CA3C037B2}" name="Table3" displayName="Table3" ref="Q1:S50" totalsRowShown="0" headerRowDxfId="187" dataDxfId="185" headerRowBorderDxfId="186">
  <autoFilter ref="Q1:S50" xr:uid="{C8FF937A-A26F-4298-9554-862CA3C037B2}"/>
  <tableColumns count="3">
    <tableColumn id="1" xr3:uid="{5C509461-E427-4AB1-B3A8-6A4526B9E1CD}" name="Film" dataDxfId="184">
      <calculatedColumnFormula array="1">IFERROR(INDEX(Table2[Film],MATCH(0,COUNTIF($Q$1:Q1,Table2[Film])+IF(Table2[Film]="",1,0),0)),"")</calculatedColumnFormula>
    </tableColumn>
    <tableColumn id="2" xr3:uid="{F1DBA7B1-DCF1-4777-A1B9-C0741A90A778}" name="Price (€/kg)" dataDxfId="183">
      <calculatedColumnFormula>SUMIF(Table2[Film],"TIPA 312 MFG",Table2[Price Calculated(€) Thickness &amp; QTY related])+_xlfn.XLOOKUP("MET LUX ",HELPER!$A:$A,HELPER!$E:$E,0)</calculatedColumnFormula>
    </tableColumn>
    <tableColumn id="3" xr3:uid="{680F993F-691F-44CD-A4E6-2265B27F0AE6}" name="Price ($/kg)" dataDxfId="182">
      <calculatedColumnFormula>IFERROR(R2*HELPER!$AK$2," ")</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6B2C1C2-89AD-4929-9D83-49EF2602D1A8}" name="Table4" displayName="Table4" ref="A1:J391" totalsRowShown="0" headerRowDxfId="181" dataDxfId="179" headerRowBorderDxfId="180" tableBorderDxfId="178" headerRowCellStyle="Comma">
  <autoFilter ref="A1:J391" xr:uid="{6A314183-9BBC-41E8-BE28-37F672F38505}"/>
  <tableColumns count="10">
    <tableColumn id="1" xr3:uid="{E3FB1A5E-315A-4234-BF63-198D4E00776D}" name="Film" dataDxfId="177"/>
    <tableColumn id="2" xr3:uid="{322B5675-435F-4FF6-8ED5-A1434C736285}" name="Ext" dataDxfId="176"/>
    <tableColumn id="3" xr3:uid="{1082B3B1-6217-4379-B6A0-DC12079E2B4B}" name="Material" dataDxfId="175" dataCellStyle="Comma"/>
    <tableColumn id="4" xr3:uid="{1071BCF4-B364-4150-8310-A4BA492C71E2}" name="Grade" dataDxfId="174" dataCellStyle="Comma">
      <calculatedColumnFormula>IF(C2="","",IFERROR(_xlfn.XLOOKUP(C2,HELPER!$A$2:$A$81,HELPER!$B$2:$B$81,""),D2))</calculatedColumnFormula>
    </tableColumn>
    <tableColumn id="5" xr3:uid="{37861497-0DAE-4BAF-93CE-B409D6CF91BE}" name="Serial Number" dataDxfId="173" dataCellStyle="Comma">
      <calculatedColumnFormula>IFERROR(_xlfn.XLOOKUP(D2,HELPER!$B:$B,HELPER!$C:$C,""),"")</calculatedColumnFormula>
    </tableColumn>
    <tableColumn id="6" xr3:uid="{9AC20643-0FB6-4F03-847A-921BBF19C756}" name="Resin" dataDxfId="172" dataCellStyle="Comma">
      <calculatedColumnFormula>IFERROR(_xlfn.XLOOKUP(D2,HELPER!$B:$B,HELPER!$D:$D,""),"")</calculatedColumnFormula>
    </tableColumn>
    <tableColumn id="7" xr3:uid="{2DA36AAA-469D-44C5-8A9A-5A0A33CE5510}" name="Thickness (µ)" dataDxfId="171" dataCellStyle="Comma"/>
    <tableColumn id="8" xr3:uid="{4E09E9BA-79EC-4C24-AEE9-4D3E7A772FEE}" name="QTY" dataDxfId="170" dataCellStyle="Percent"/>
    <tableColumn id="9" xr3:uid="{3FAC0EC2-1EAB-44D4-9F88-A9904E6EC436}" name="Price (€/kg)" dataDxfId="169" dataCellStyle="Comma">
      <calculatedColumnFormula>IF(AND(H2&lt;&gt;"",IFERROR(_xlfn.XLOOKUP(D2,HELPER!$B:$B,HELPER!$E:$E,""),"")=""),"Missing price",IFERROR(_xlfn.XLOOKUP(D2,HELPER!$B:$B,HELPER!$E:$E,"")," "))</calculatedColumnFormula>
    </tableColumn>
    <tableColumn id="10" xr3:uid="{8DCF83D9-0A0F-43A7-B0FA-DAF26ECBD971}" name="Price Calculated(€) Thickness &amp; QTY related" dataDxfId="168" dataCellStyle="Comma">
      <calculatedColumnFormula>IFERROR(H2*(IF(G2=8,I2*HELPER!$G$2,BOM!I2*HELPER!$G$3))," ")</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D069BB6-A559-4A8C-B82A-0F379FB4E9B2}" name="tblResinWeightedQty12" displayName="tblResinWeightedQty12" ref="U1:AA59" totalsRowShown="0" headerRowDxfId="167">
  <autoFilter ref="U1:AA59" xr:uid="{BD069BB6-A559-4A8C-B82A-0F379FB4E9B2}"/>
  <tableColumns count="7">
    <tableColumn id="1" xr3:uid="{DBAC9458-440F-455D-88F4-38843B254EBA}" name="Film" dataDxfId="166"/>
    <tableColumn id="2" xr3:uid="{2D9426AB-4BBF-49C8-AAE3-317E77B226E6}" name="Material" dataDxfId="165"/>
    <tableColumn id="3" xr3:uid="{B79B99F7-C14D-4754-AFED-0E29B08057F5}" name="Grade" dataDxfId="164"/>
    <tableColumn id="4" xr3:uid="{A24DB38D-0CEB-4E77-943B-F4653966CBD9}" name="Serial Number" dataDxfId="163"/>
    <tableColumn id="5" xr3:uid="{746703C1-6479-47E6-A128-4B610EBB7307}" name="Resin" dataDxfId="162"/>
    <tableColumn id="6" xr3:uid="{AAFCB3BA-C55C-486B-958F-952649148985}" name="Weighted QTY %" dataDxfId="161">
      <calculatedColumnFormula array="1">SUMPRODUCT((BOM!$A$2:$A$391=U2)*(BOM!$F$2:$F$391=Y2)*BOM!$H$2:$H$391*BOM!$G$2:$G$391)/SUMPRODUCT((BOM!$A$2:$A$391=U2)*BOM!$H$2:$H$391*BOM!$G$2:$G$391)</calculatedColumnFormula>
    </tableColumn>
    <tableColumn id="7" xr3:uid="{26EF1EC7-956B-4E74-B510-D61CDCD29930}" name="Film Total Check" dataDxfId="160" dataCellStyle="Percent">
      <calculatedColumnFormula>SUMIF(tblResinWeightedQty12[Film],tblResinWeightedQty12[[#This Row],[Film]],tblResinWeightedQty12[Weighted QTY %])</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FBD348-FE81-425A-840D-0DE45BD229EB}" name="Table1" displayName="Table1" ref="A2:AC8" totalsRowShown="0" headerRowDxfId="159" dataDxfId="157" headerRowBorderDxfId="158" tableBorderDxfId="156" totalsRowBorderDxfId="155" headerRowCellStyle="Comma">
  <autoFilter ref="A2:AC8" xr:uid="{62FBD348-FE81-425A-840D-0DE45BD229EB}"/>
  <tableColumns count="29">
    <tableColumn id="1" xr3:uid="{D1A4722B-1151-4FA6-86AB-465AB5FABC8E}" name="Film Type" dataDxfId="154" totalsRowDxfId="153" dataCellStyle="Comma" totalsRowCellStyle="Comma">
      <calculatedColumnFormula array="1">CHOOSE(ROW()-ROW(Table1[#Headers]),$AH$4,$AL$4,$AP$4,$AT$4,$AX$4,$BB$4)</calculatedColumnFormula>
    </tableColumn>
    <tableColumn id="2" xr3:uid="{8141F56B-E930-4F2A-8C03-499EAE5B524C}" name="Width (mm)" dataDxfId="152" totalsRowDxfId="151" dataCellStyle="Comma" totalsRowCellStyle="Comma">
      <calculatedColumnFormula array="1">CHOOSE(ROW()-ROW(Table1[#Headers]),$AH$5,$AL$5,$AP$5,$AT$5,$AX$5,$BB$5)</calculatedColumnFormula>
    </tableColumn>
    <tableColumn id="3" xr3:uid="{D8E07A67-F44D-4E2F-9D20-D0C93EB33FAD}" name="Thickness (µ)" dataDxfId="150" totalsRowDxfId="149" dataCellStyle="Comma" totalsRowCellStyle="Comma">
      <calculatedColumnFormula array="1">CHOOSE(ROW()-ROW(Table1[#Headers]),$AH$6,$AL$6,$AP$6,$AT$6,$AX$6,$BB$6)</calculatedColumnFormula>
    </tableColumn>
    <tableColumn id="4" xr3:uid="{CACACA4A-A054-4C52-A856-3F40ECE723B3}" name="Density" dataDxfId="148" totalsRowDxfId="147" dataCellStyle="Comma" totalsRowCellStyle="Comma">
      <calculatedColumnFormula array="1">CHOOSE(ROW()-ROW(Table1[#Headers]),$AH$7,$AL$7,$AP$7,$AT$7,$AX$7,$BB$7)</calculatedColumnFormula>
    </tableColumn>
    <tableColumn id="5" xr3:uid="{B2F9B46D-F8FD-4065-BD82-CB680BC55074}" name="Weight (Kg)" dataDxfId="146" totalsRowDxfId="145" dataCellStyle="Comma" totalsRowCellStyle="Comma">
      <calculatedColumnFormula>IF(OR(A3="",A3="-"),"",IF(AND(G3&lt;&gt;"",H3&lt;&gt;""),G3*H3,""))</calculatedColumnFormula>
    </tableColumn>
    <tableColumn id="6" xr3:uid="{9F4BBF5B-9924-49A3-9946-D665FE5994CA}" name="Weight Override" dataDxfId="144" totalsRowDxfId="143" dataCellStyle="Comma" totalsRowCellStyle="Comma">
      <calculatedColumnFormula array="1">CHOOSE(ROW()-ROW(Table1[#Headers]),IF($AH$21="By Length",$AH$22*$H$3,$AH$8),IF($AL$21="By Length",$AL$22*$H$4,$AL$8),IF($AP$21="By Length",$AP$22*$H$5,$AP$8),IF($AT$21="By Length",$AT$22*$H$6,$AT$8),IF($AX$21="By Length",$AX$22*$H$7,$AX$8),IF($BB$21="By Length",$BB$22*$H$8,$BB$8))</calculatedColumnFormula>
    </tableColumn>
    <tableColumn id="7" xr3:uid="{020A8F63-8E11-4CD2-8CFF-94D09109919B}" name="Length (Mr)" dataDxfId="142" totalsRowDxfId="141" totalsRowCellStyle="Comma">
      <calculatedColumnFormula array="1">CHOOSE(ROW()-ROW(Table1[#Headers]),$AH$9,$AL$9,$AP$9,$AT$9,$AX$9,$BB$9)</calculatedColumnFormula>
    </tableColumn>
    <tableColumn id="8" xr3:uid="{BB0C58E6-A237-426D-8196-5A0250F67CF8}" name="Total KG in one Meter" dataDxfId="140" totalsRowDxfId="139" dataCellStyle="Comma" totalsRowCellStyle="Comma">
      <calculatedColumnFormula>IF(OR(A3="",A3="-"),"",IF(AND(B3&lt;&gt;"",C3&lt;&gt;"",D3&lt;&gt;""),D3*(C3/1000)*(B3/1000),""))</calculatedColumnFormula>
    </tableColumn>
    <tableColumn id="9" xr3:uid="{9D2C3595-E622-44E7-BBDF-08B90618CA2B}" name="Total Kg Produced" dataDxfId="138" totalsRowDxfId="137" dataCellStyle="Comma" totalsRowCellStyle="Comma">
      <calculatedColumnFormula>IF(OR(A3="",A3="-"),"",IF(F3&lt;&gt;"",F3,IF(AND(G3&lt;&gt;"",H3&lt;&gt;""),G3*H3,"")))</calculatedColumnFormula>
    </tableColumn>
    <tableColumn id="10" xr3:uid="{529E6D3C-868D-4EDA-BCA3-0AEC07BC958D}" name="Hourly rate" dataDxfId="136" totalsRowDxfId="135"/>
    <tableColumn id="11" xr3:uid="{88CC362C-A6B7-466A-A6DE-A8F0EBDC43E4}" name="1Kg production cost" dataDxfId="134">
      <calculatedColumnFormula>IFERROR((Table1[[#This Row],[Hourly rate]]*(Table1[[#This Row],[Total Kg Produced]]/500))/Table1[[#This Row],[Total Kg Produced]],0)+0.2</calculatedColumnFormula>
    </tableColumn>
    <tableColumn id="12" xr3:uid="{950EA6DD-2569-4998-AF21-BD171B4AF35D}" name="RM cost in 1 Kg" dataDxfId="133" totalsRowDxfId="132" dataCellStyle="Comma" totalsRowCellStyle="Comma">
      <calculatedColumnFormula>IFERROR(_xlfn.XLOOKUP(Table1[[#This Row],[Film Type]],Table3[Film],Table3[Price (€/kg)],0),0)</calculatedColumnFormula>
    </tableColumn>
    <tableColumn id="13" xr3:uid="{496DC5B3-E2F7-4714-AED6-125F2D4D837D}" name="Total RM and Production" dataDxfId="131" totalsRowDxfId="130">
      <calculatedColumnFormula>IFERROR((L3+K3),0)</calculatedColumnFormula>
    </tableColumn>
    <tableColumn id="14" xr3:uid="{783368BD-1CE3-45F4-B7C2-3A17363FE511}" name="Depreciation" dataDxfId="129" totalsRowDxfId="128" dataCellStyle="Percent" totalsRowCellStyle="Percent">
      <calculatedColumnFormula>IF(OR(I3="",I3=0),"",VLOOKUP(I3,HELPER!$AM$2:$AN$6,2,TRUE))</calculatedColumnFormula>
    </tableColumn>
    <tableColumn id="15" xr3:uid="{40C00A28-F2D1-495F-AF34-F83C7F879928}" name="Total Cost and depreciation" dataDxfId="127" totalsRowDxfId="126">
      <calculatedColumnFormula>IF(AND(M3&lt;&gt;"",N3&lt;&gt;""),M3*(1+N3),"")</calculatedColumnFormula>
    </tableColumn>
    <tableColumn id="23" xr3:uid="{9B46D828-BA52-4516-84DD-0BFE154FA4AE}" name="Thickness waste" dataDxfId="125" totalsRowDxfId="124">
      <calculatedColumnFormula>IF(AND(Table1[[#This Row],[Thickness (µ)]]&lt;&gt;"",Table1[[#This Row],[RM cost in 1 Kg]]&lt;&gt;""), VLOOKUP(Table1[[#This Row],[Thickness (µ)]], HELPER!$BH$3:$BI$5, 2, TRUE) * Table1[[#This Row],[RM cost in 1 Kg]], "")</calculatedColumnFormula>
    </tableColumn>
    <tableColumn id="16" xr3:uid="{B234D0CA-A250-44F3-89E0-45397F5D91D8}" name="Other costs" dataDxfId="123" totalsRowDxfId="122" dataCellStyle="Comma" totalsRowCellStyle="Percent"/>
    <tableColumn id="24" xr3:uid="{200DCE32-023E-4D2F-B0EB-26D6E73AFB11}" name="Supplier" dataDxfId="121" totalsRowDxfId="120" dataCellStyle="Percent" totalsRowCellStyle="Percent">
      <calculatedColumnFormula array="1">CHOOSE(ROW()-ROW(Table1[#Headers]),$AH$13,$AL$13,$AP$13,$AT$13,$AX$13,$BB$13)</calculatedColumnFormula>
    </tableColumn>
    <tableColumn id="25" xr3:uid="{80E16401-5CC1-43A0-8AB7-81D6C58AE508}" name="Printing" dataDxfId="119" totalsRowDxfId="118" dataCellStyle="Percent" totalsRowCellStyle="Percent">
      <calculatedColumnFormula array="1">IF(OR($AH$13="",$AH$12=0,$AH$12="0",$AH$11="Not Printed"),0,IF($AH$5&gt;1220,"Error! please choose width not higher than 1220",_xlfn.LET(_xlpm.len,$AH$9,_xlpm.colors,$AH$12,_xlpm.colNum,IF(_xlpm.len&lt;3000,1,IF(_xlpm.len&lt;10000,2,IF(_xlpm.len&lt;25000,3,IF(_xlpm.len&lt;50000,4,IF(_xlpm.len&lt;100000,5,IF(_xlpm.len&lt;250000,6,IF(_xlpm.len&lt;500000,7,8))))))),_xlpm.widthRow,IF($AH$5&lt;=990,0,5),_xlpm.colorOffset,IF(OR(_xlpm.colors=1,_xlpm.colors=2,_xlpm.colors="1-2"),1,IF(OR(_xlpm.colors=3,_xlpm.colors=4,_xlpm.colors="3-4"),2,IF(OR(_xlpm.colors&gt;=5,_xlpm.colors="5-6",_xlpm.colors="5-8"),3,0))),_xlpm.supplierRow,IF($AH$13="Marma",3,IF($AH$13="Bastin",13,0)),IF(OR(_xlpm.supplierRow=0,_xlpm.colorOffset=0),0,INDEX('Lmntn &amp; Prntng- Marma &amp; Bastin '!$D:$K,_xlpm.supplierRow+_xlpm.widthRow+_xlpm.colorOffset,_xlpm.colNum)))))</calculatedColumnFormula>
    </tableColumn>
    <tableColumn id="28" xr3:uid="{D1BB92CF-198C-430D-8A65-2B4080581309}" name="Printing per KG" dataDxfId="117" totalsRowDxfId="116" dataCellStyle="Percent" totalsRowCellStyle="Percent">
      <calculatedColumnFormula>IFERROR(Table1[[#This Row],[Printing]]*Table1[[#This Row],[Length (Mr)]]/Table1[[#This Row],[Weight Override]],0)</calculatedColumnFormula>
    </tableColumn>
    <tableColumn id="26" xr3:uid="{8F67B75D-5F96-4414-A27D-206EA9559B2C}" name="Printing Waste" dataDxfId="115" totalsRowDxfId="114" dataCellStyle="Percent" totalsRowCellStyle="Percent">
      <calculatedColumnFormula>IF(Table1[[#This Row],[Printing]]&gt;0,Table1[[#This Row],[RM cost in 1 Kg]]*0.028,0)</calculatedColumnFormula>
    </tableColumn>
    <tableColumn id="17" xr3:uid="{8A96E7E7-00FF-4686-8282-70F568F922D7}" name="Setup" dataDxfId="113" totalsRowDxfId="112">
      <calculatedColumnFormula>IF(Table1[[#This Row],[RM cost in 1 Kg]]&gt;0,((1500+3000)/30000),0)</calculatedColumnFormula>
    </tableColumn>
    <tableColumn id="27" xr3:uid="{60B6E3B6-62C2-49CB-8F53-FC83FB8C0017}" name="Setup for colored Films" dataDxfId="111" totalsRowDxfId="110" dataCellStyle="Percent">
      <calculatedColumnFormula>IF(AND(Table1[[#This Row],[Weight Override]]&gt;0,ISNUMBER(SEARCH("W",Table1[[#This Row],[Film Type]]))),1500/Table1[[#This Row],[Weight Override]],0)</calculatedColumnFormula>
    </tableColumn>
    <tableColumn id="18" xr3:uid="{51BFC1CD-F6BF-49A4-A0FB-3A1BC43D05FB}" name="Shiping Destination" dataDxfId="109" totalsRowDxfId="108" dataCellStyle="Percent" totalsRowCellStyle="60% - Accent1">
      <calculatedColumnFormula array="1">CHOOSE(ROW()-ROW(Table1[#Headers]),$AH$10,$AL$10,$AP$10,$AT$10,$AX$10,$BB$10)</calculatedColumnFormula>
    </tableColumn>
    <tableColumn id="19" xr3:uid="{3FC6B0EB-7EE8-439E-9D72-A67EC92CDDD8}" name="Shiping cost" dataDxfId="107" totalsRowDxfId="106" dataCellStyle="Comma" totalsRowCellStyle="60% - Accent1">
      <calculatedColumnFormula>IFERROR(IF(X3="Europe to Canada",IF(I3&lt;1000,(I3/1000)*VLOOKUP(1000,HELPER!$AG$4:$AH$8,2,FALSE)/I3,VLOOKUP(I3,HELPER!$AG$4:$AH$8,2,TRUE)/I3),VLOOKUP(X3,HELPER!$AF$2:$AH$3,3,FALSE)),0)</calculatedColumnFormula>
    </tableColumn>
    <tableColumn id="20" xr3:uid="{C37A9B68-BAE9-4A37-A33F-C969F1BFD646}" name="Total Cost" dataDxfId="105" totalsRowDxfId="104" dataCellStyle="60% - Accent1" totalsRowCellStyle="60% - Accent1">
      <calculatedColumnFormula>IFERROR((Table1[[#This Row],[Total Cost and depreciation]]+Table1[[#This Row],[Thickness waste]]+Table1[[#This Row],[Other costs]]+Table1[[#This Row],[Setup]]+Table1[[#This Row],[Setup for colored Films]]+Table1[[#This Row],[Shiping cost]]+Table1[[#This Row],[Printing Waste]]+Table1[[#This Row],[Printing per KG]]),0)</calculatedColumnFormula>
    </tableColumn>
    <tableColumn id="21" xr3:uid="{F5E1E897-191E-475A-B360-80598F255192}" name="Margin" dataDxfId="103" totalsRowDxfId="102" dataCellStyle="Percent">
      <calculatedColumnFormula array="1">Table1[[#This Row],[Total Cost]]/(1-CHOOSE(ROW()-ROW(Table1[#Headers]),$AH$2,$AL$2,$AP$2,$AT$2,$AX$2,$BB$2))-Table1[[#This Row],[Total Cost]]</calculatedColumnFormula>
    </tableColumn>
    <tableColumn id="22" xr3:uid="{7F0D95BC-178C-4181-969A-8D7A6E3BF97B}" name="Sell Price" dataDxfId="101" totalsRowDxfId="100" dataCellStyle="60% - Accent1" totalsRowCellStyle="60% - Accent1">
      <calculatedColumnFormula array="1">Table1[[#This Row],[Total Cost]]/(1-CHOOSE(ROW()-ROW(Table1[#Headers]),$AH$2,$AL$2,$AP$2,$AT$2,$AX$2,$BB$2))</calculatedColumnFormula>
    </tableColumn>
    <tableColumn id="29" xr3:uid="{43AB3D2F-1322-42C1-AE53-64DFB7E8EBF3}" name="For Laminates calculation purposes" dataDxfId="99">
      <calculatedColumnFormula>Table1[[#This Row],[Total Cost and depreciation]]+Table1[[#This Row],[Thickness waste]]+Table1[[#This Row],[Other costs]]</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0314D92-EF22-4226-B823-7F80891FF192}" name="Table5" displayName="Table5" ref="A1:E32" totalsRowShown="0" headerRowDxfId="98" dataDxfId="96" headerRowBorderDxfId="97" tableBorderDxfId="95" headerRowCellStyle="Normal 4">
  <autoFilter ref="A1:E32" xr:uid="{70314D92-EF22-4226-B823-7F80891FF192}"/>
  <tableColumns count="5">
    <tableColumn id="1" xr3:uid="{7B8617A1-7A7C-4F6B-8575-03FF269C474F}" name="Material" dataDxfId="94"/>
    <tableColumn id="2" xr3:uid="{BEE98562-FABC-4718-B134-3AF01DD446E3}" name="Grade" dataDxfId="93"/>
    <tableColumn id="3" xr3:uid="{F7B44110-C31A-4400-88CF-B4FE30131E74}" name="Serial Number" dataDxfId="92"/>
    <tableColumn id="4" xr3:uid="{3D3E3B0A-4F3E-457D-A770-9D3699148171}" name="Resin" dataDxfId="91"/>
    <tableColumn id="5" xr3:uid="{4F37DFB8-3E64-4894-ACB1-9CBBCAACC431}" name="Price (€/kg)"/>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FEC6F20-905F-4044-BF6A-9BC1C7225948}" name="tblFilmAdditivePricing" displayName="tblFilmAdditivePricing" ref="CK1:CP8" totalsRowShown="0" headerRowDxfId="90">
  <autoFilter ref="CK1:CP8" xr:uid="{EFEC6F20-905F-4044-BF6A-9BC1C7225948}"/>
  <tableColumns count="6">
    <tableColumn id="1" xr3:uid="{82029D4D-9990-4BBD-A280-A327E62116C6}" name="FILM"/>
    <tableColumn id="2" xr3:uid="{39BDFF5F-86B4-4A3C-83C9-A3E06B3501E4}" name="FILM Price" dataDxfId="89"/>
    <tableColumn id="3" xr3:uid="{A12AD279-EA03-47DE-8295-6BD14345A1E3}" name="Additive"/>
    <tableColumn id="4" xr3:uid="{C71338A1-C383-4485-8434-4D432864AF8F}" name="Additive Price" dataDxfId="88">
      <calculatedColumnFormula array="1">IF(CM2="",0,IFERROR(INDEX($E$2:$E$32,MATCH(TRUE,(TRIM($A$2:$A$32)=TRIM(CM2))+(TRIM($B$2:$B$32)=TRIM(CM2))+(TRIM($C$2:$C$32)=TRIM(CM2))+(TRIM($D$2:$D$32)=TRIM(CM2))&gt;0,0)),""))</calculatedColumnFormula>
    </tableColumn>
    <tableColumn id="5" xr3:uid="{BBCD2D1B-F86C-425C-B863-349E2C3FBE1E}" name="Total Price" dataDxfId="87">
      <calculatedColumnFormula>IF(CK2="","",IF(CL2="","",CL2+IF(CN2="",0,CN2)))</calculatedColumnFormula>
    </tableColumn>
    <tableColumn id="6" xr3:uid="{8D720452-9667-4D15-92D2-764B2953D9DB}" name="Calculation Process" dataDxfId="86"/>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E141CEE-9C83-4880-AB7E-E0E48A46EEAF}" name="tblLaminateImpConversion" displayName="tblLaminateImpConversion" ref="CR1:CY20" totalsRowShown="0">
  <autoFilter ref="CR1:CY20" xr:uid="{7E141CEE-9C83-4880-AB7E-E0E48A46EEAF}"/>
  <tableColumns count="8">
    <tableColumn id="1" xr3:uid="{B2061534-2E95-4C2B-A8C4-2BF4BC771F37}" name="Laminate">
      <calculatedColumnFormula>TRIM('Laminate for reels  - Sales (2)'!$C$36)</calculatedColumnFormula>
    </tableColumn>
    <tableColumn id="2" xr3:uid="{844A2D26-A5EB-498F-85EE-ADB2C5D74D2F}" name="IMP" dataDxfId="85"/>
    <tableColumn id="3" xr3:uid="{E998B619-A833-4AA5-B76C-950E49363006}" name="Meters" dataDxfId="84">
      <calculatedColumnFormula>'Laminate for reels  - Sales (2)'!J45</calculatedColumnFormula>
    </tableColumn>
    <tableColumn id="4" xr3:uid="{8B3D1900-1E2B-421D-8CA7-04A51DF77692}" name="Kg" dataDxfId="83">
      <calculatedColumnFormula>'Laminate for reels  - Sales (2)'!K45</calculatedColumnFormula>
    </tableColumn>
    <tableColumn id="5" xr3:uid="{2B517B9F-5CBB-425F-84AB-103F181CE9BF}" name="Rule / source" dataDxfId="82"/>
    <tableColumn id="6" xr3:uid="{62D926C9-7E95-4D14-A07A-8F79722A1F6B}" name="Pouch Calc1 Thickness Options" dataDxfId="81">
      <calculatedColumnFormula array="1">IF(OR(TRIM(Pouches!$AE$51&amp;"")="618",TRIM(Pouches!$AE$51&amp;"")="618 W"),106,IF(5=1,IFERROR(INDEX(_xlfn._xlws.FILTER(tblLaminateStructures[Total Thickness (µ)],(TRIM(tblLaminateStructures[Laminate]&amp;"")=TRIM(Pouches!$AE$51&amp;""))*(tblLaminateStructures[Total Thickness (µ)]&lt;&gt;"")),1),""),""))</calculatedColumnFormula>
    </tableColumn>
    <tableColumn id="7" xr3:uid="{7684B29B-B042-4175-B079-1814D4861716}" name="Pouch Calc2 Thickness Options" dataDxfId="80">
      <calculatedColumnFormula array="1">IF(OR(TRIM(Pouches!$AI$51&amp;"")="618",TRIM(Pouches!$AI$51&amp;"")="618 W"),106,IF(5=1,IFERROR(INDEX(_xlfn._xlws.FILTER(tblLaminateStructures[Total Thickness (µ)],(TRIM(tblLaminateStructures[Laminate]&amp;"")=TRIM(Pouches!$AI$51&amp;""))*(tblLaminateStructures[Total Thickness (µ)]&lt;&gt;"")),1),""),""))</calculatedColumnFormula>
    </tableColumn>
    <tableColumn id="8" xr3:uid="{387E715D-9831-4AD4-A0C1-BB0BA695D5A0}" name="Pouch Calc3 Thickness Options" dataDxfId="79">
      <calculatedColumnFormula array="1">IF(OR(TRIM(Pouches!$AM$51&amp;"")="618",TRIM(Pouches!$AM$51&amp;"")="618 W"),106,IF(5=1,IFERROR(INDEX(_xlfn._xlws.FILTER(tblLaminateStructures[Total Thickness (µ)],(TRIM(tblLaminateStructures[Laminate]&amp;"")=TRIM(Pouches!$AM$51&amp;""))*(tblLaminateStructures[Total Thickness (µ)]&lt;&gt;"")),1),""),""))</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7146774-63CF-44BD-9FEE-F3F9C5CADA73}" name="tblLaminateStructures" displayName="tblLaminateStructures" ref="AV1:BD176" totalsRowShown="0" headerRowDxfId="78" dataDxfId="77">
  <autoFilter ref="AV1:BD176" xr:uid="{D7146774-63CF-44BD-9FEE-F3F9C5CADA73}"/>
  <tableColumns count="9">
    <tableColumn id="1" xr3:uid="{CBC76488-035A-4F27-A282-D0E6619A8E7C}" name="Laminate" dataDxfId="76"/>
    <tableColumn id="2" xr3:uid="{8433B7BE-06B2-4C86-BF1F-D5BCC01B31E0}" name="Total Thickness (µ)" dataDxfId="75"/>
    <tableColumn id="3" xr3:uid="{E6E24A4C-B812-4503-BF02-99AA8FFE6131}" name="Material / Layer" dataDxfId="74"/>
    <tableColumn id="4" xr3:uid="{E25CF676-0F37-4076-A67A-9D366FA2574F}" name="Layer Thickness (µ)" dataDxfId="73"/>
    <tableColumn id="5" xr3:uid="{E432D6BE-556D-4C34-8428-5278C4614F57}" name="Structure Check" dataDxfId="72">
      <calculatedColumnFormula>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calculatedColumnFormula>
    </tableColumn>
    <tableColumn id="6" xr3:uid="{C3915DA9-87E9-4DC3-8E3C-698FB99CE717}" name="Layer Type / Info" dataDxfId="71"/>
    <tableColumn id="7" xr3:uid="{930AE417-9203-48F8-874D-82A79320A5BB}" name="Remarks" dataDxfId="70"/>
    <tableColumn id="8" xr3:uid="{2CE72154-1F14-4FE7-8DC1-F3E8174365AF}" name="Status" dataDxfId="69"/>
    <tableColumn id="9" xr3:uid="{FD5934DD-6FBB-4059-8BA0-FD891876E7BF}" name="MET setup factor" dataDxfId="68"/>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51923F5-E544-4028-A652-4DD4EF519540}" name="Table6" displayName="Table6" ref="A4:AD14" totalsRowShown="0" headerRowDxfId="67" tableBorderDxfId="66" headerRowCellStyle="Comma">
  <autoFilter ref="A4:AD14" xr:uid="{851923F5-E544-4028-A652-4DD4EF519540}"/>
  <tableColumns count="30">
    <tableColumn id="1" xr3:uid="{729A785B-DB6C-43F5-8AB7-90E3EC41DD0F}" name="Bag Type"/>
    <tableColumn id="2" xr3:uid="{3C864CDC-AA35-49FD-8D04-406F02184659}" name="Film Type"/>
    <tableColumn id="3" xr3:uid="{6A1C6328-8D90-40E3-AF1C-D5E950C5A7F7}" name="Bags amount" dataDxfId="65" dataCellStyle="Comma"/>
    <tableColumn id="4" xr3:uid="{2F2B0434-0367-4687-97C3-751F83908CC4}" name="Height (mm)"/>
    <tableColumn id="5" xr3:uid="{CBF8147C-E844-4B66-9E4E-C91DFF80FD41}" name="Repeat = Width (mm)"/>
    <tableColumn id="6" xr3:uid="{22E4A862-F6C4-47A2-8AB2-02FB9D62257F}" name="Flap"/>
    <tableColumn id="7" xr3:uid="{1DAAC08D-7799-46B6-A8A2-0085E4FBCDDF}" name="Bottom Gusset"/>
    <tableColumn id="8" xr3:uid="{2DA6979F-2F55-4400-8688-1FE4FEA5C5C3}" name="Film"/>
    <tableColumn id="9" xr3:uid="{5E6C198E-40EB-47EC-9A93-80F70C65BCB9}" name="Cast/ Blown"/>
    <tableColumn id="10" xr3:uid="{4FB10D9C-61DE-4353-9E23-C5EF8E47E4C5}" name="PR/ Non PR"/>
    <tableColumn id="11" xr3:uid="{82034269-5AAE-455B-BCD8-C40F3A15BCA4}" name="Number of colors"/>
    <tableColumn id="12" xr3:uid="{1EE509D8-E09B-446B-8ADF-F06FAE480328}" name="Total film Width (mm)" dataDxfId="64">
      <calculatedColumnFormula>IFERROR(IF(OR(D5=HELPER!Q4,D5=HELPER!$Q$5),D5*2+F5+G5*2,D5*2+G5*2)," ")</calculatedColumnFormula>
    </tableColumn>
    <tableColumn id="13" xr3:uid="{2BC34A09-03F4-4991-90B6-30E820924B69}" name="Thickness (µ)"/>
    <tableColumn id="14" xr3:uid="{13A729EA-2634-47F0-B005-8F8BCAEED8F9}" name="Bag's Weight (kg)" dataDxfId="63">
      <calculatedColumnFormula>(E5/1000)*(L5/1000)*(M5/1000)*1.25</calculatedColumnFormula>
    </tableColumn>
    <tableColumn id="15" xr3:uid="{694841EF-DE9D-43F6-8799-6A94810C1099}" name="Bag's Weight + Fall out (kg)" dataDxfId="62">
      <calculatedColumnFormula>N5*(1+X5)</calculatedColumnFormula>
    </tableColumn>
    <tableColumn id="16" xr3:uid="{BFD38363-B509-4C80-981D-D76608F12453}" name="Raw material cost (per kg)">
      <calculatedColumnFormula>IFERROR(VLOOKUP(B5,BOM!$Q$1:$R$12,2,FALSE),"")</calculatedColumnFormula>
    </tableColumn>
    <tableColumn id="17" xr3:uid="{0BEC5866-48A6-400D-838C-FD6351811856}" name="Shipment Destination"/>
    <tableColumn id="18" xr3:uid="{4B078ABF-365E-4BA1-8AE7-B639ECCA4680}" name="Shipment costs" dataDxfId="61">
      <calculatedColumnFormula>IFERROR(IF(Q5="Europe to Canada",IF(C5*O5&lt;1000,(C5*O5/1000)*VLOOKUP(1000,HELPER!$AG$4:$AH$8,2,FALSE)/(C5*O5),VLOOKUP(C5*O5,HELPER!$AG$4:$AH$8,2,TRUE)/(C5*O5)),VLOOKUP(Q5,HELPER!$AF$2:$AH$3,3,FALSE)),0)</calculatedColumnFormula>
    </tableColumn>
    <tableColumn id="19" xr3:uid="{85D5393E-C75B-4592-8E1F-F59468BBF62E}" name="Raw material cost per bag" dataDxfId="60">
      <calculatedColumnFormula>IFERROR(Table6[[#This Row],[Bag''s Weight + Fall out (kg)]]*(Table6[[#This Row],[Raw material cost (per kg)]]+Table6[[#This Row],[Shipment costs]])," ")</calculatedColumnFormula>
    </tableColumn>
    <tableColumn id="20" xr3:uid="{08360CA2-8814-4EC7-B63B-D77F13FF9969}" name="Length (m)"/>
    <tableColumn id="21" xr3:uid="{C88F5F46-2E1E-4837-8FE0-4B2FE6635291}" name="Set up waste"/>
    <tableColumn id="22" xr3:uid="{438171D7-E117-4760-8999-66E5F92C6225}" name="Print waste"/>
    <tableColumn id="23" xr3:uid="{4C41DFC6-E8C1-496B-AE9B-EFBF086F8CAB}" name="Zipper waste" dataDxfId="59" dataCellStyle="Percent">
      <calculatedColumnFormula>IFERROR((0.05+SUM(U5,V5)/T5)," ")</calculatedColumnFormula>
    </tableColumn>
    <tableColumn id="24" xr3:uid="{4F6BC7DD-EA65-4AA7-8F5B-7247CCE712DB}" name="Total waste" dataDxfId="58">
      <calculatedColumnFormula>IFERROR((0.075+(U5+IF(OR(J5&lt;&gt;"Printed",K5=0,K5="0",K5=""),0,V5))/T5+W5),"no data yet")</calculatedColumnFormula>
    </tableColumn>
    <tableColumn id="25" xr3:uid="{20930EBC-42F6-4004-9346-4D072A731959}" name="Converting cost" dataDxfId="57">
      <calculatedColumnFormula>IF(OR(C5="",C5=0),"",((D5*E5)/1000000)*0.175*VLOOKUP(C5,HELPER!$AS$3:$AT$7,2,TRUE)*1.2*1.15*IF((D5+E5)*2&gt;=1200,1.5,1))</calculatedColumnFormula>
    </tableColumn>
    <tableColumn id="30" xr3:uid="{69DC2739-D602-4409-ADE3-407107EABDBA}" name="Converting cost - Manual alternative" dataDxfId="56"/>
    <tableColumn id="26" xr3:uid="{01010847-8FB0-4A98-885C-A32CB63C0A8C}" name="Zipper" dataDxfId="55" dataCellStyle="Comma">
      <calculatedColumnFormula>IF(A5=HELPER!$Q$2,HELPER!$AD$2,0)</calculatedColumnFormula>
    </tableColumn>
    <tableColumn id="27" xr3:uid="{BD13A131-385F-47B7-A029-EBA00E57D35B}" name="Total cost" dataDxfId="54" dataCellStyle="Comma">
      <calculatedColumnFormula>IFERROR((P5+U5+V5+W5+X5+IF(Z5&lt;&gt;"",Z5,Y5)+AA5),0)</calculatedColumnFormula>
    </tableColumn>
    <tableColumn id="28" xr3:uid="{BC2DE9C2-BD14-4527-8F62-9C91C9AC4AF6}" name="Price for customer" dataDxfId="53" dataCellStyle="60% - Accent1">
      <calculatedColumnFormula>IFERROR(AB5/(1-$AC$2)," ")</calculatedColumnFormula>
    </tableColumn>
    <tableColumn id="29" xr3:uid="{5EAC4FF9-ECCB-415B-AEEB-BD9A91D527B9}" name="Profit"/>
  </tableColumns>
  <tableStyleInfo name="TableStyleMedium2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661FAF7-72FB-406C-90AB-9C6B7D50C177}" name="tblResinWeightedQty" displayName="tblResinWeightedQty" ref="A4:G62" totalsRowShown="0" headerRowDxfId="52">
  <autoFilter ref="A4:G62" xr:uid="{6661FAF7-72FB-406C-90AB-9C6B7D50C177}"/>
  <tableColumns count="7">
    <tableColumn id="1" xr3:uid="{51123DDF-3EA3-4A78-B29C-2CBFC19008D3}" name="Film" dataDxfId="51"/>
    <tableColumn id="2" xr3:uid="{67F3A041-25DC-4E4C-AB53-29B59B673BE8}" name="Material" dataDxfId="50"/>
    <tableColumn id="3" xr3:uid="{AA854D13-2ACC-49A1-8D90-BBB065C3BF4A}" name="Grade" dataDxfId="49"/>
    <tableColumn id="4" xr3:uid="{0BFEBDD5-2161-4D71-A327-DCFE12773DA4}" name="Serial Number" dataDxfId="48"/>
    <tableColumn id="5" xr3:uid="{5EE5C10A-D548-43A4-A0A9-61657E9B6738}" name="Resin" dataDxfId="47"/>
    <tableColumn id="6" xr3:uid="{79FFD91E-B35F-44F9-AE61-BCBF05891B06}" name="Weighted QTY %" dataDxfId="46">
      <calculatedColumnFormula array="1">SUMPRODUCT((BOM!$A$2:$A$391=A5)*(BOM!$F$2:$F$391=E5)*BOM!$H$2:$H$391*BOM!$G$2:$G$391)/SUMPRODUCT((BOM!$A$2:$A$391=A5)*BOM!$H$2:$H$391*BOM!$G$2:$G$391)</calculatedColumnFormula>
    </tableColumn>
    <tableColumn id="7" xr3:uid="{3EE438EE-4B89-4BB0-BA85-767C19A2E8EB}" name="Film Total Check" dataDxfId="45">
      <calculatedColumnFormula>SUMIF(tblResinWeightedQty[Film],tblResinWeightedQty[[#This Row],[Film]],tblResinWeightedQty[Weighted QTY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203" dT="2026-06-01T08:49:10.52" personId="{95EE1FF2-A61D-4869-B6C9-829E1A9FD12C}" id="{FFC01D9C-2636-44F1-B5DD-7DEB63CA12E2}">
    <text xml:space="preserve">Need to be checked
</text>
  </threadedComment>
  <threadedComment ref="F203" dT="2026-06-01T08:48:59.50" personId="{95EE1FF2-A61D-4869-B6C9-829E1A9FD12C}" id="{B545A99D-9EF4-4948-93F0-BFBF32BC3B17}">
    <text xml:space="preserve">Need to be checked
</text>
  </threadedComment>
  <threadedComment ref="F222" dT="2026-06-01T08:49:59.94" personId="{95EE1FF2-A61D-4869-B6C9-829E1A9FD12C}" id="{2A87582D-5128-42E6-B4C5-FC297492FF90}">
    <text xml:space="preserve">Need to be checked
</text>
  </threadedComment>
  <threadedComment ref="F233" dT="2026-06-01T08:50:09.52" personId="{95EE1FF2-A61D-4869-B6C9-829E1A9FD12C}" id="{BA401F1F-68A0-4393-8437-301AF5E0C834}">
    <text>Need to be checked</text>
  </threadedComment>
  <threadedComment ref="F252" dT="2026-06-01T08:50:20.42" personId="{95EE1FF2-A61D-4869-B6C9-829E1A9FD12C}" id="{6A8F4E62-01CB-4D92-AB8C-70D2F01F6B7B}">
    <text>Need to be checked</text>
  </threadedComment>
</ThreadedComments>
</file>

<file path=xl/threadedComments/threadedComment2.xml><?xml version="1.0" encoding="utf-8"?>
<ThreadedComments xmlns="http://schemas.microsoft.com/office/spreadsheetml/2018/threadedcomments" xmlns:x="http://schemas.openxmlformats.org/spreadsheetml/2006/main">
  <threadedComment ref="E4" dT="2026-06-16T10:31:57.75" personId="{95EE1FF2-A61D-4869-B6C9-829E1A9FD12C}" id="{6C98EA5A-6121-4E6D-A12F-448489E9AFCD}">
    <text>Tune Price</text>
  </threadedComment>
</ThreadedComment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7" Type="http://schemas.microsoft.com/office/2017/10/relationships/threadedComment" Target="../threadedComments/threadedComment1.xml"/><Relationship Id="rId2" Type="http://schemas.openxmlformats.org/officeDocument/2006/relationships/table" Target="../tables/table1.xml"/><Relationship Id="rId1" Type="http://schemas.openxmlformats.org/officeDocument/2006/relationships/vmlDrawing" Target="../drawings/vmlDrawing3.vml"/><Relationship Id="rId6" Type="http://schemas.openxmlformats.org/officeDocument/2006/relationships/comments" Target="../comments3.xml"/><Relationship Id="rId5" Type="http://schemas.openxmlformats.org/officeDocument/2006/relationships/table" Target="../tables/table4.xml"/><Relationship Id="rId4"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8" Type="http://schemas.microsoft.com/office/2017/10/relationships/threadedComment" Target="../threadedComments/threadedComment2.xml"/><Relationship Id="rId3" Type="http://schemas.openxmlformats.org/officeDocument/2006/relationships/table" Target="../tables/table6.xml"/><Relationship Id="rId7"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xml"/><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A9D2E-48CB-4777-A334-B571AB6F672D}">
  <sheetPr filterMode="1"/>
  <dimension ref="A3:C45"/>
  <sheetViews>
    <sheetView topLeftCell="A4" workbookViewId="0">
      <selection activeCell="I17" sqref="F15:I17"/>
    </sheetView>
  </sheetViews>
  <sheetFormatPr defaultRowHeight="15"/>
  <cols>
    <col min="1" max="1" width="21.28515625" bestFit="1" customWidth="1"/>
    <col min="2" max="2" width="8.7109375" bestFit="1" customWidth="1"/>
    <col min="3" max="3" width="48.140625" bestFit="1" customWidth="1"/>
  </cols>
  <sheetData>
    <row r="3" spans="1:3">
      <c r="A3" s="104" t="s">
        <v>1</v>
      </c>
      <c r="B3" s="104" t="s">
        <v>22</v>
      </c>
      <c r="C3" t="s">
        <v>288</v>
      </c>
    </row>
    <row r="4" spans="1:3">
      <c r="A4" t="s">
        <v>0</v>
      </c>
      <c r="B4" t="s">
        <v>10</v>
      </c>
      <c r="C4" s="105">
        <v>0.24239999999999998</v>
      </c>
    </row>
    <row r="5" spans="1:3">
      <c r="B5" t="s">
        <v>11</v>
      </c>
      <c r="C5" s="105">
        <v>2.3519999999999999E-2</v>
      </c>
    </row>
    <row r="6" spans="1:3">
      <c r="A6" t="s">
        <v>43</v>
      </c>
      <c r="B6" t="s">
        <v>10</v>
      </c>
      <c r="C6" s="105">
        <v>0.24239999999999998</v>
      </c>
    </row>
    <row r="7" spans="1:3">
      <c r="B7" t="s">
        <v>11</v>
      </c>
      <c r="C7" s="105">
        <v>9.4079999999999997E-2</v>
      </c>
    </row>
    <row r="8" spans="1:3">
      <c r="A8" t="s">
        <v>45</v>
      </c>
      <c r="B8" t="s">
        <v>10</v>
      </c>
      <c r="C8" s="105">
        <v>0.24239999999999998</v>
      </c>
    </row>
    <row r="9" spans="1:3">
      <c r="B9" t="s">
        <v>11</v>
      </c>
      <c r="C9" s="105">
        <v>5.8799999999999998E-2</v>
      </c>
    </row>
    <row r="10" spans="1:3">
      <c r="A10" t="s">
        <v>46</v>
      </c>
      <c r="B10" t="s">
        <v>10</v>
      </c>
      <c r="C10" s="105">
        <v>0.24239999999999998</v>
      </c>
    </row>
    <row r="11" spans="1:3">
      <c r="B11" t="s">
        <v>11</v>
      </c>
      <c r="C11" s="105">
        <v>0.1176</v>
      </c>
    </row>
    <row r="12" spans="1:3">
      <c r="A12" t="s">
        <v>201</v>
      </c>
      <c r="B12" t="s">
        <v>10</v>
      </c>
      <c r="C12" s="105">
        <v>0.24239999999999998</v>
      </c>
    </row>
    <row r="13" spans="1:3">
      <c r="B13" t="s">
        <v>11</v>
      </c>
      <c r="C13" s="105">
        <v>6.762E-2</v>
      </c>
    </row>
    <row r="14" spans="1:3">
      <c r="A14" t="s">
        <v>52</v>
      </c>
      <c r="B14" t="s">
        <v>10</v>
      </c>
      <c r="C14" s="105">
        <v>0.24239999999999998</v>
      </c>
    </row>
    <row r="15" spans="1:3">
      <c r="B15" t="s">
        <v>11</v>
      </c>
      <c r="C15" s="105">
        <v>6.762E-2</v>
      </c>
    </row>
    <row r="16" spans="1:3">
      <c r="A16" t="s">
        <v>287</v>
      </c>
      <c r="C16" s="105">
        <v>1.8836399999999998</v>
      </c>
    </row>
    <row r="20" spans="1:3" ht="15.75" thickBot="1">
      <c r="A20" s="106" t="s">
        <v>1</v>
      </c>
      <c r="B20" s="107" t="s">
        <v>92</v>
      </c>
      <c r="C20" s="86" t="s">
        <v>168</v>
      </c>
    </row>
    <row r="21" spans="1:3" ht="15.75" hidden="1" thickTop="1">
      <c r="A21" s="108" t="s">
        <v>47</v>
      </c>
      <c r="B21" s="109">
        <v>8.9957840000000004</v>
      </c>
      <c r="C21" s="110">
        <v>10.43510944</v>
      </c>
    </row>
    <row r="22" spans="1:3" ht="15.75" hidden="1" thickTop="1">
      <c r="A22" s="111" t="s">
        <v>48</v>
      </c>
      <c r="B22" s="112">
        <v>6.7317799999999997</v>
      </c>
      <c r="C22" s="113">
        <v>7.8088647999999994</v>
      </c>
    </row>
    <row r="23" spans="1:3" ht="15.75" hidden="1" thickTop="1">
      <c r="A23" s="108" t="s">
        <v>49</v>
      </c>
      <c r="B23" s="109">
        <v>5.7457799999999999</v>
      </c>
      <c r="C23" s="110">
        <v>6.6651047999999991</v>
      </c>
    </row>
    <row r="24" spans="1:3" ht="15.75" thickTop="1">
      <c r="A24" s="111" t="s">
        <v>0</v>
      </c>
      <c r="B24" s="112">
        <v>3.5997120000000002</v>
      </c>
      <c r="C24" s="113">
        <v>4.1756659200000001</v>
      </c>
    </row>
    <row r="25" spans="1:3">
      <c r="A25" s="108" t="s">
        <v>43</v>
      </c>
      <c r="B25" s="109">
        <v>3.9168720000000006</v>
      </c>
      <c r="C25" s="110">
        <v>4.5435715200000004</v>
      </c>
    </row>
    <row r="26" spans="1:3">
      <c r="A26" s="111" t="s">
        <v>45</v>
      </c>
      <c r="B26" s="112">
        <v>3.5207980000000005</v>
      </c>
      <c r="C26" s="113">
        <v>4.0841256800000005</v>
      </c>
    </row>
    <row r="27" spans="1:3">
      <c r="A27" s="108" t="s">
        <v>46</v>
      </c>
      <c r="B27" s="109">
        <v>3.805774</v>
      </c>
      <c r="C27" s="110">
        <v>4.4146978399999997</v>
      </c>
    </row>
    <row r="28" spans="1:3">
      <c r="A28" s="111" t="s">
        <v>201</v>
      </c>
      <c r="B28" s="112">
        <v>2.8999779999999995</v>
      </c>
      <c r="C28" s="113">
        <v>3.3639744799999991</v>
      </c>
    </row>
    <row r="29" spans="1:3">
      <c r="A29" s="108" t="s">
        <v>52</v>
      </c>
      <c r="B29" s="109">
        <v>3.1789779999999994</v>
      </c>
      <c r="C29" s="110">
        <v>3.6876144799999993</v>
      </c>
    </row>
    <row r="32" spans="1:3" ht="15.75" thickBot="1">
      <c r="A32" s="116" t="s">
        <v>289</v>
      </c>
      <c r="B32" s="116" t="s">
        <v>3</v>
      </c>
      <c r="C32" s="116" t="s">
        <v>290</v>
      </c>
    </row>
    <row r="33" spans="1:3" ht="15.75" thickTop="1">
      <c r="A33" s="902" t="s">
        <v>0</v>
      </c>
      <c r="B33" t="s">
        <v>10</v>
      </c>
      <c r="C33" s="114">
        <f>C4/$B$24</f>
        <v>6.7338720430967794E-2</v>
      </c>
    </row>
    <row r="34" spans="1:3" ht="15.75" thickBot="1">
      <c r="A34" s="903"/>
      <c r="B34" s="93" t="s">
        <v>11</v>
      </c>
      <c r="C34" s="115">
        <f>C5/$B$24</f>
        <v>6.5338560418166779E-3</v>
      </c>
    </row>
    <row r="35" spans="1:3" ht="15.75" thickTop="1">
      <c r="A35" s="902" t="s">
        <v>43</v>
      </c>
      <c r="B35" t="s">
        <v>10</v>
      </c>
      <c r="C35" s="114">
        <f>C6/$B$25</f>
        <v>6.1886117289510593E-2</v>
      </c>
    </row>
    <row r="36" spans="1:3" ht="15.75" thickBot="1">
      <c r="A36" s="903"/>
      <c r="B36" s="93" t="s">
        <v>11</v>
      </c>
      <c r="C36" s="115">
        <f>C7/$B$25</f>
        <v>2.4019166314344708E-2</v>
      </c>
    </row>
    <row r="37" spans="1:3" ht="15.75" thickTop="1">
      <c r="A37" s="902" t="s">
        <v>45</v>
      </c>
      <c r="B37" t="s">
        <v>10</v>
      </c>
      <c r="C37" s="114">
        <f>C8/$B$26</f>
        <v>6.8848028202697212E-2</v>
      </c>
    </row>
    <row r="38" spans="1:3" ht="15.75" thickBot="1">
      <c r="A38" s="903"/>
      <c r="B38" s="93" t="s">
        <v>11</v>
      </c>
      <c r="C38" s="115">
        <f>C9/$B$26</f>
        <v>1.670075931649586E-2</v>
      </c>
    </row>
    <row r="39" spans="1:3" ht="15.75" thickTop="1">
      <c r="A39" s="902" t="s">
        <v>46</v>
      </c>
      <c r="B39" t="s">
        <v>10</v>
      </c>
      <c r="C39" s="114">
        <f>C10/$B$27</f>
        <v>6.3692694311327985E-2</v>
      </c>
    </row>
    <row r="40" spans="1:3" ht="15.75" thickBot="1">
      <c r="A40" s="903"/>
      <c r="B40" s="93" t="s">
        <v>11</v>
      </c>
      <c r="C40" s="115">
        <f>C11/$B$27</f>
        <v>3.0900416052030415E-2</v>
      </c>
    </row>
    <row r="41" spans="1:3" ht="15.75" thickTop="1">
      <c r="A41" s="902" t="s">
        <v>201</v>
      </c>
      <c r="B41" t="s">
        <v>10</v>
      </c>
      <c r="C41" s="114">
        <f>C12/$B$28</f>
        <v>8.3586841003621418E-2</v>
      </c>
    </row>
    <row r="42" spans="1:3" ht="15.75" thickBot="1">
      <c r="A42" s="903"/>
      <c r="B42" s="93" t="s">
        <v>11</v>
      </c>
      <c r="C42" s="115">
        <f>C13/$B$28</f>
        <v>2.331741827006964E-2</v>
      </c>
    </row>
    <row r="43" spans="1:3" ht="15.75" thickTop="1">
      <c r="A43" s="902" t="s">
        <v>52</v>
      </c>
      <c r="B43" t="s">
        <v>10</v>
      </c>
      <c r="C43" s="114">
        <f>C14/$B$29</f>
        <v>7.6250920893444374E-2</v>
      </c>
    </row>
    <row r="44" spans="1:3" ht="15.75" thickBot="1">
      <c r="A44" s="903"/>
      <c r="B44" s="93" t="s">
        <v>11</v>
      </c>
      <c r="C44" s="115">
        <f>C15/$B$29</f>
        <v>2.1270987090819756E-2</v>
      </c>
    </row>
    <row r="45" spans="1:3" ht="15.75" thickTop="1"/>
  </sheetData>
  <autoFilter ref="A20:C29" xr:uid="{101A9D2E-48CB-4777-A334-B571AB6F672D}">
    <filterColumn colId="0">
      <filters>
        <filter val="TIPA 302FG"/>
        <filter val="TIPA 302FG W"/>
        <filter val="TIPA 306M"/>
        <filter val="TIPA 306W"/>
        <filter val="TIPA 312 MFG"/>
        <filter val="TIPA 312MFGW"/>
      </filters>
    </filterColumn>
  </autoFilter>
  <mergeCells count="6">
    <mergeCell ref="A43:A44"/>
    <mergeCell ref="A33:A34"/>
    <mergeCell ref="A35:A36"/>
    <mergeCell ref="A37:A38"/>
    <mergeCell ref="A39:A40"/>
    <mergeCell ref="A41:A4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66833-B30D-4ACD-B3DB-51611ACF826D}">
  <sheetPr>
    <tabColor rgb="FF00B050"/>
  </sheetPr>
  <dimension ref="A1:S61"/>
  <sheetViews>
    <sheetView zoomScaleNormal="100" workbookViewId="0">
      <selection activeCell="K16" sqref="K16"/>
    </sheetView>
  </sheetViews>
  <sheetFormatPr defaultRowHeight="15"/>
  <cols>
    <col min="1" max="1" width="19.5703125" customWidth="1"/>
    <col min="2" max="2" width="23.5703125" customWidth="1"/>
    <col min="3" max="3" width="20.42578125" bestFit="1" customWidth="1"/>
    <col min="4" max="4" width="12.140625" bestFit="1" customWidth="1"/>
    <col min="5" max="5" width="13.42578125" bestFit="1" customWidth="1"/>
    <col min="6" max="6" width="10.42578125" bestFit="1" customWidth="1"/>
    <col min="7" max="7" width="12.85546875" customWidth="1"/>
    <col min="8" max="8" width="12.85546875" bestFit="1" customWidth="1"/>
    <col min="12" max="12" width="17.28515625" customWidth="1"/>
    <col min="15" max="15" width="10.42578125" bestFit="1" customWidth="1"/>
  </cols>
  <sheetData>
    <row r="1" spans="1:19" ht="15.75" thickBot="1">
      <c r="Q1" s="670" t="s">
        <v>1107</v>
      </c>
    </row>
    <row r="2" spans="1:19" ht="15.75" thickBot="1">
      <c r="A2" s="671"/>
      <c r="B2" s="672"/>
      <c r="C2" s="672"/>
      <c r="D2" s="672"/>
      <c r="E2" s="672"/>
      <c r="F2" s="672"/>
      <c r="G2" s="672"/>
      <c r="H2" s="672"/>
      <c r="I2" s="672"/>
      <c r="J2" s="672"/>
      <c r="K2" s="672"/>
      <c r="L2" s="672"/>
      <c r="M2" s="672"/>
      <c r="N2" s="672"/>
      <c r="O2" s="672"/>
      <c r="P2" s="672"/>
      <c r="Q2" s="673"/>
    </row>
    <row r="3" spans="1:19" ht="19.5" thickBot="1">
      <c r="A3" s="674"/>
      <c r="C3" s="904" t="s">
        <v>1108</v>
      </c>
      <c r="D3" s="905"/>
      <c r="E3" s="905"/>
      <c r="F3" s="905"/>
      <c r="G3" s="905"/>
      <c r="H3" s="906"/>
      <c r="Q3" s="675"/>
    </row>
    <row r="4" spans="1:19" ht="45.75" thickBot="1">
      <c r="A4" s="674"/>
      <c r="C4" s="676" t="s">
        <v>112</v>
      </c>
      <c r="D4" s="676" t="s">
        <v>1109</v>
      </c>
      <c r="E4" s="676" t="s">
        <v>1110</v>
      </c>
      <c r="F4" s="676" t="s">
        <v>1111</v>
      </c>
      <c r="G4" s="676" t="s">
        <v>1112</v>
      </c>
      <c r="H4" s="676"/>
      <c r="I4" s="34"/>
      <c r="J4" s="34"/>
      <c r="K4" s="34"/>
      <c r="L4" s="34"/>
      <c r="M4" s="677" t="s">
        <v>1113</v>
      </c>
      <c r="N4" s="34"/>
      <c r="O4" s="34"/>
      <c r="P4" s="34" t="s">
        <v>1114</v>
      </c>
      <c r="Q4" s="675"/>
    </row>
    <row r="5" spans="1:19" ht="16.5" thickBot="1">
      <c r="A5" s="674"/>
      <c r="C5" s="678">
        <f>C20</f>
        <v>254</v>
      </c>
      <c r="D5" s="678">
        <f>C21</f>
        <v>254</v>
      </c>
      <c r="E5" s="679">
        <f>C22</f>
        <v>76.199999999999989</v>
      </c>
      <c r="F5" s="680">
        <f>C23</f>
        <v>0</v>
      </c>
      <c r="G5" s="681">
        <f>2*C20+C22*2+C23</f>
        <v>660.4</v>
      </c>
      <c r="H5" s="681"/>
      <c r="I5" s="34"/>
      <c r="J5" s="34"/>
      <c r="K5" s="34"/>
      <c r="L5" s="34"/>
      <c r="M5" s="682">
        <f>500+100</f>
        <v>600</v>
      </c>
      <c r="N5" s="34"/>
      <c r="O5" s="34"/>
      <c r="P5" s="34">
        <v>3.9</v>
      </c>
      <c r="Q5" s="675"/>
    </row>
    <row r="6" spans="1:19">
      <c r="A6" s="674"/>
      <c r="Q6" s="675"/>
    </row>
    <row r="7" spans="1:19" ht="15.75" thickBot="1">
      <c r="A7" s="674"/>
      <c r="Q7" s="675"/>
    </row>
    <row r="8" spans="1:19" ht="16.5" thickBot="1">
      <c r="A8" s="907" t="s">
        <v>1115</v>
      </c>
      <c r="B8" s="908"/>
      <c r="C8" s="908"/>
      <c r="D8" s="908"/>
      <c r="E8" s="908"/>
      <c r="F8" s="909"/>
      <c r="G8" s="910" t="s">
        <v>1116</v>
      </c>
      <c r="H8" s="911"/>
      <c r="I8" s="910" t="s">
        <v>1117</v>
      </c>
      <c r="J8" s="911"/>
      <c r="K8" s="910" t="s">
        <v>1118</v>
      </c>
      <c r="L8" s="912"/>
      <c r="M8" s="912"/>
      <c r="N8" s="912"/>
      <c r="O8" s="911"/>
      <c r="Q8" s="683">
        <v>0.25</v>
      </c>
    </row>
    <row r="9" spans="1:19" ht="45.75" thickBot="1">
      <c r="A9" s="684" t="s">
        <v>1119</v>
      </c>
      <c r="B9" s="684" t="s">
        <v>180</v>
      </c>
      <c r="C9" s="685" t="s">
        <v>1120</v>
      </c>
      <c r="D9" s="685" t="s">
        <v>1121</v>
      </c>
      <c r="E9" s="685" t="s">
        <v>56</v>
      </c>
      <c r="F9" s="686" t="s">
        <v>1122</v>
      </c>
      <c r="G9" s="684" t="s">
        <v>1116</v>
      </c>
      <c r="H9" s="687" t="s">
        <v>1123</v>
      </c>
      <c r="I9" s="684" t="s">
        <v>1124</v>
      </c>
      <c r="J9" s="687" t="s">
        <v>1125</v>
      </c>
      <c r="K9" s="684" t="s">
        <v>951</v>
      </c>
      <c r="L9" s="688" t="s">
        <v>1126</v>
      </c>
      <c r="M9" s="685" t="s">
        <v>1127</v>
      </c>
      <c r="N9" s="685" t="s">
        <v>1128</v>
      </c>
      <c r="O9" s="687" t="s">
        <v>1118</v>
      </c>
      <c r="P9" s="689" t="s">
        <v>1129</v>
      </c>
      <c r="Q9" s="690" t="s">
        <v>128</v>
      </c>
      <c r="S9" s="691" t="s">
        <v>1130</v>
      </c>
    </row>
    <row r="10" spans="1:19" ht="15.75">
      <c r="A10" s="692" t="str">
        <f>+C18</f>
        <v>Zipper pouch</v>
      </c>
      <c r="B10" s="693" t="str">
        <f>'Laminate for Bags  - Sales'!A3</f>
        <v>608W</v>
      </c>
      <c r="C10" s="694">
        <f>C27</f>
        <v>100</v>
      </c>
      <c r="D10" s="695">
        <f>IF(C25="PR",'Laminate for Bags  - Sales'!I26,'Laminate for Bags  - Sales'!I33)</f>
        <v>1.3964766453463513</v>
      </c>
      <c r="E10" s="696">
        <f>$D5/1000</f>
        <v>0.254</v>
      </c>
      <c r="F10" s="697">
        <f>E10*D10</f>
        <v>0.35470506791797324</v>
      </c>
      <c r="G10" s="698">
        <f>IF(ISNUMBER(SEARCH("zipper",A10))=TRUE,'[3]List of names'!T3,"")</f>
        <v>0.16900000000000001</v>
      </c>
      <c r="H10" s="699">
        <f>IF(ISNUMBER(SEARCH("zipper",A10))=TRUE,G10*E10,"")</f>
        <v>4.2926000000000006E-2</v>
      </c>
      <c r="I10" s="700"/>
      <c r="J10" s="699"/>
      <c r="K10" s="701"/>
      <c r="L10" s="702">
        <f>C24</f>
        <v>100000</v>
      </c>
      <c r="M10" s="703">
        <f>IF(H10="",M5*(D10),M5*(D10+H10))</f>
        <v>863.64158720781074</v>
      </c>
      <c r="N10" s="704">
        <f>M10/L10</f>
        <v>8.6364158720781074E-3</v>
      </c>
      <c r="O10" s="705">
        <f>0.41/1.16</f>
        <v>0.35344827586206895</v>
      </c>
      <c r="P10" s="706">
        <f>IF(AND(H10="",J10=""),O10+N10+F10,IF(AND(H10="",J10&lt;&gt;""),O10+N10+J10+F10,IF(AND(H10&lt;&gt;"",J10=""),O10+N10+H10+F10,O10+N10+J10+H10+F10)))</f>
        <v>0.75971575965212024</v>
      </c>
      <c r="Q10" s="706">
        <f>$P10/(1-$Q$8)</f>
        <v>1.012954346202827</v>
      </c>
      <c r="S10" s="386">
        <f>O10+SUM('Laminate for Bags  - Sales'!Q9:Q11)*D5/1000</f>
        <v>0.39253784716206896</v>
      </c>
    </row>
    <row r="11" spans="1:19" ht="15.75" thickBot="1">
      <c r="A11" s="707"/>
      <c r="B11" s="708"/>
      <c r="C11" s="708"/>
      <c r="D11" s="708"/>
      <c r="E11" s="709">
        <f>D10*E10</f>
        <v>0.35470506791797324</v>
      </c>
      <c r="F11" s="710"/>
      <c r="G11" s="708"/>
      <c r="H11" s="708"/>
      <c r="I11" s="708"/>
      <c r="J11" s="708"/>
      <c r="K11" s="708"/>
      <c r="L11" s="708"/>
      <c r="M11" s="708"/>
      <c r="N11" s="708"/>
      <c r="O11" s="708"/>
      <c r="P11" s="708"/>
      <c r="Q11" s="711"/>
    </row>
    <row r="12" spans="1:19">
      <c r="D12" s="712"/>
      <c r="E12" s="712"/>
      <c r="F12" s="712"/>
      <c r="G12" s="712"/>
      <c r="H12" s="712"/>
      <c r="I12" s="712"/>
      <c r="J12" s="712"/>
      <c r="K12" s="712"/>
      <c r="L12" s="712"/>
      <c r="M12" s="712"/>
      <c r="N12" s="712"/>
      <c r="O12" s="712"/>
      <c r="P12" s="712"/>
      <c r="Q12" s="712"/>
      <c r="R12" s="712"/>
    </row>
    <row r="13" spans="1:19">
      <c r="N13" s="712"/>
      <c r="O13" s="712"/>
      <c r="P13" s="712"/>
      <c r="Q13" s="713"/>
      <c r="R13" s="712"/>
    </row>
    <row r="15" spans="1:19" ht="21">
      <c r="B15" s="714" t="s">
        <v>1131</v>
      </c>
      <c r="C15" s="715"/>
    </row>
    <row r="16" spans="1:19" ht="15.75" thickBot="1">
      <c r="D16" s="716"/>
      <c r="E16" s="712"/>
      <c r="F16" s="712"/>
      <c r="G16" s="712"/>
      <c r="H16" s="712"/>
      <c r="I16" s="712"/>
      <c r="J16" s="712"/>
      <c r="K16" s="712"/>
      <c r="L16" s="712"/>
      <c r="M16" s="712"/>
    </row>
    <row r="17" spans="2:12" ht="15.75">
      <c r="B17" s="717" t="s">
        <v>967</v>
      </c>
      <c r="C17" s="718" t="s">
        <v>1132</v>
      </c>
      <c r="D17" s="716" t="s">
        <v>1133</v>
      </c>
      <c r="K17" s="712"/>
      <c r="L17" s="712"/>
    </row>
    <row r="18" spans="2:12">
      <c r="B18" s="719" t="s">
        <v>110</v>
      </c>
      <c r="C18" s="669" t="s">
        <v>283</v>
      </c>
      <c r="D18" s="716"/>
      <c r="K18" s="712"/>
      <c r="L18" s="712"/>
    </row>
    <row r="19" spans="2:12">
      <c r="B19" s="719" t="s">
        <v>968</v>
      </c>
      <c r="C19" s="669" t="s">
        <v>969</v>
      </c>
      <c r="D19" s="716"/>
      <c r="K19" s="712"/>
      <c r="L19" s="712"/>
    </row>
    <row r="20" spans="2:12">
      <c r="B20" s="719" t="s">
        <v>1134</v>
      </c>
      <c r="C20" s="669">
        <f>10*25.4</f>
        <v>254</v>
      </c>
      <c r="D20" s="716" t="s">
        <v>226</v>
      </c>
      <c r="K20" s="712"/>
      <c r="L20" s="712"/>
    </row>
    <row r="21" spans="2:12">
      <c r="B21" s="719" t="s">
        <v>1135</v>
      </c>
      <c r="C21" s="669">
        <f>10*25.4</f>
        <v>254</v>
      </c>
      <c r="D21" s="716" t="s">
        <v>1136</v>
      </c>
      <c r="H21" s="720"/>
      <c r="K21" s="712"/>
      <c r="L21" s="712"/>
    </row>
    <row r="22" spans="2:12" ht="15.75">
      <c r="B22" s="719" t="s">
        <v>1137</v>
      </c>
      <c r="C22" s="669">
        <f>3*25.4</f>
        <v>76.199999999999989</v>
      </c>
      <c r="D22" s="716" t="s">
        <v>1138</v>
      </c>
      <c r="E22" s="721" t="s">
        <v>985</v>
      </c>
      <c r="F22" s="722">
        <f>IF(C17="Laminate608W",2000/'Laminate for Bags  - Sales'!Q28, IF(C17="Laminate608",750/'Laminate for Bags  - Sales'!Q28,500/'Laminate for Bags  - Sales'!Q28))</f>
        <v>87818.62962025551</v>
      </c>
      <c r="K22" s="712"/>
      <c r="L22" s="712"/>
    </row>
    <row r="23" spans="2:12" ht="15.75">
      <c r="B23" s="719" t="s">
        <v>114</v>
      </c>
      <c r="C23" s="669">
        <v>0</v>
      </c>
      <c r="D23" s="716"/>
      <c r="E23" s="723" t="s">
        <v>920</v>
      </c>
      <c r="F23" s="724">
        <f>C24*'Laminate for Bags  - Sales'!Q28</f>
        <v>2277.4210992000003</v>
      </c>
      <c r="H23" s="117"/>
      <c r="K23" s="712"/>
      <c r="L23" s="712"/>
    </row>
    <row r="24" spans="2:12">
      <c r="B24" s="719" t="s">
        <v>227</v>
      </c>
      <c r="C24" s="725">
        <v>100000</v>
      </c>
      <c r="D24" s="716"/>
      <c r="G24" s="726"/>
      <c r="H24" s="117"/>
      <c r="K24" s="712"/>
      <c r="L24" s="712"/>
    </row>
    <row r="25" spans="2:12">
      <c r="B25" s="719" t="s">
        <v>138</v>
      </c>
      <c r="C25" s="669" t="s">
        <v>1139</v>
      </c>
      <c r="D25" s="716"/>
      <c r="K25" s="712"/>
      <c r="L25" s="712"/>
    </row>
    <row r="26" spans="2:12">
      <c r="B26" s="719" t="s">
        <v>979</v>
      </c>
      <c r="C26" s="669" t="s">
        <v>1140</v>
      </c>
      <c r="D26" s="716"/>
      <c r="H26" s="727"/>
      <c r="K26" s="712"/>
      <c r="L26" s="712"/>
    </row>
    <row r="27" spans="2:12">
      <c r="B27" s="719" t="s">
        <v>4</v>
      </c>
      <c r="C27" s="669">
        <v>100</v>
      </c>
      <c r="D27" s="728"/>
      <c r="H27" s="34"/>
      <c r="I27" s="34"/>
      <c r="J27" s="34"/>
      <c r="K27" s="34"/>
      <c r="L27" s="34"/>
    </row>
    <row r="28" spans="2:12">
      <c r="B28" s="719"/>
      <c r="C28" s="669"/>
      <c r="D28" s="729"/>
      <c r="H28" s="119"/>
      <c r="I28" s="119"/>
      <c r="J28" s="119"/>
      <c r="K28" s="119"/>
      <c r="L28" s="119"/>
    </row>
    <row r="29" spans="2:12">
      <c r="B29" s="730" t="s">
        <v>983</v>
      </c>
      <c r="C29" s="731">
        <f>IF(C24&gt;=F22,1,"X")</f>
        <v>1</v>
      </c>
      <c r="D29" s="716"/>
      <c r="H29" s="119"/>
      <c r="I29" s="119"/>
      <c r="J29" s="119"/>
      <c r="K29" s="119"/>
      <c r="L29" s="119"/>
    </row>
    <row r="30" spans="2:12">
      <c r="B30" s="732" t="s">
        <v>1141</v>
      </c>
      <c r="C30" s="733" t="str">
        <f>IF(C31*C24&gt;50000,"Higher than 50K",C31)</f>
        <v>Higher than 50K</v>
      </c>
      <c r="H30" s="119"/>
      <c r="I30" s="119"/>
      <c r="J30" s="119"/>
      <c r="K30" s="119"/>
      <c r="L30" s="119"/>
    </row>
    <row r="31" spans="2:12" ht="15.75">
      <c r="B31" s="462" t="s">
        <v>1142</v>
      </c>
      <c r="C31" s="734">
        <f>Q10</f>
        <v>1.012954346202827</v>
      </c>
      <c r="H31" s="119"/>
      <c r="I31" s="119"/>
      <c r="J31" s="119"/>
      <c r="K31" s="119"/>
      <c r="L31" s="119"/>
    </row>
    <row r="32" spans="2:12" ht="15.75" thickBot="1">
      <c r="B32" s="735" t="s">
        <v>987</v>
      </c>
      <c r="C32" s="736" t="e">
        <f>C30*C29*C24</f>
        <v>#VALUE!</v>
      </c>
      <c r="K32" s="712"/>
      <c r="L32" s="712"/>
    </row>
    <row r="33" spans="2:12" ht="15.75" thickBot="1">
      <c r="H33" s="34"/>
      <c r="I33" s="34"/>
      <c r="J33" s="34"/>
      <c r="K33" s="34"/>
      <c r="L33" s="34"/>
    </row>
    <row r="34" spans="2:12" ht="15.75" thickBot="1">
      <c r="B34" s="737" t="s">
        <v>1143</v>
      </c>
      <c r="C34" s="738">
        <f>P10</f>
        <v>0.75971575965212024</v>
      </c>
    </row>
    <row r="36" spans="2:12" ht="15.75">
      <c r="B36" s="739" t="s">
        <v>1144</v>
      </c>
      <c r="C36" s="740">
        <f>+C31*1.17</f>
        <v>1.1851565850573076</v>
      </c>
      <c r="D36" s="740">
        <f>P10*1.17</f>
        <v>0.88886743879298058</v>
      </c>
    </row>
    <row r="37" spans="2:12" ht="15.75">
      <c r="B37" s="739" t="s">
        <v>987</v>
      </c>
      <c r="C37" s="741">
        <f>+C36*C24</f>
        <v>118515.65850573075</v>
      </c>
    </row>
    <row r="41" spans="2:12">
      <c r="B41" s="742"/>
      <c r="C41" s="743" t="s">
        <v>1145</v>
      </c>
    </row>
    <row r="42" spans="2:12" ht="15.75" customHeight="1">
      <c r="B42" s="742" t="s">
        <v>1146</v>
      </c>
      <c r="C42" s="744">
        <v>500</v>
      </c>
    </row>
    <row r="43" spans="2:12">
      <c r="B43" s="742" t="s">
        <v>1147</v>
      </c>
      <c r="C43" s="744">
        <v>500</v>
      </c>
    </row>
    <row r="44" spans="2:12">
      <c r="B44" s="742" t="s">
        <v>1148</v>
      </c>
      <c r="C44" s="744">
        <v>750</v>
      </c>
    </row>
    <row r="45" spans="2:12">
      <c r="B45" s="742" t="s">
        <v>1149</v>
      </c>
      <c r="C45" s="744">
        <v>2000</v>
      </c>
    </row>
    <row r="56" spans="2:4">
      <c r="B56" t="s">
        <v>131</v>
      </c>
      <c r="C56" t="s">
        <v>1150</v>
      </c>
    </row>
    <row r="57" spans="2:4">
      <c r="B57" t="s">
        <v>1151</v>
      </c>
      <c r="C57" t="s">
        <v>1152</v>
      </c>
    </row>
    <row r="58" spans="2:4">
      <c r="B58" t="s">
        <v>1153</v>
      </c>
      <c r="C58" t="s">
        <v>1154</v>
      </c>
    </row>
    <row r="59" spans="2:4">
      <c r="B59" t="s">
        <v>273</v>
      </c>
      <c r="C59" t="s">
        <v>1152</v>
      </c>
      <c r="D59" t="s">
        <v>1155</v>
      </c>
    </row>
    <row r="60" spans="2:4">
      <c r="B60" t="s">
        <v>1156</v>
      </c>
      <c r="C60" t="s">
        <v>1157</v>
      </c>
    </row>
    <row r="61" spans="2:4">
      <c r="B61" t="s">
        <v>1158</v>
      </c>
      <c r="C61" t="s">
        <v>283</v>
      </c>
    </row>
  </sheetData>
  <mergeCells count="5">
    <mergeCell ref="C3:H3"/>
    <mergeCell ref="A8:F8"/>
    <mergeCell ref="G8:H8"/>
    <mergeCell ref="I8:J8"/>
    <mergeCell ref="K8:O8"/>
  </mergeCells>
  <dataValidations count="8">
    <dataValidation operator="greaterThan" allowBlank="1" showInputMessage="1" showErrorMessage="1" errorTitle="Length of reel must be 500M+ " sqref="C23" xr:uid="{64D38DB8-00C7-4BA8-A382-C81B09E61563}"/>
    <dataValidation type="whole" allowBlank="1" showInputMessage="1" showErrorMessage="1" sqref="C20:C21" xr:uid="{47A442A6-0D32-4AF6-9C3B-21BEE7EED603}">
      <formula1>100</formula1>
      <formula2>550</formula2>
    </dataValidation>
    <dataValidation type="list" allowBlank="1" showInputMessage="1" showErrorMessage="1" sqref="C17" xr:uid="{562CA11A-F828-4785-8B90-A8ED2D8F4237}">
      <formula1>Laminate</formula1>
    </dataValidation>
    <dataValidation type="list" allowBlank="1" showInputMessage="1" showErrorMessage="1" sqref="C27" xr:uid="{C4B8A624-6F87-40EC-A0BE-B0D78A8690F1}">
      <formula1>INDIRECT(C17)</formula1>
    </dataValidation>
    <dataValidation type="whole" operator="greaterThan" allowBlank="1" showInputMessage="1" showErrorMessage="1" errorTitle="Length of reel must be 500M+ " sqref="C24" xr:uid="{04E2B252-AC80-40E1-9DA2-AF6345C25ED7}">
      <formula1>500</formula1>
    </dataValidation>
    <dataValidation type="list" allowBlank="1" showInputMessage="1" showErrorMessage="1" sqref="C26" xr:uid="{E7AD5D80-B870-494A-90BD-CED076E03D3C}">
      <formula1>"0,1 to 4, 5 to 8"</formula1>
    </dataValidation>
    <dataValidation operator="greaterThanOrEqual" allowBlank="1" showInputMessage="1" showErrorMessage="1" errorTitle="MOQ is 5K Meter" sqref="C24" xr:uid="{94B1CFBD-1B31-428D-9A44-8D2AEDEC7835}"/>
    <dataValidation operator="greaterThan" showInputMessage="1" showErrorMessage="1" errorTitle="Length of reel must be 500M+ " sqref="C22" xr:uid="{2A5644DC-8A6E-4FF8-AC8B-90FAB286CB23}"/>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DC1E4-F721-45B6-8518-9AC010D403A8}">
  <sheetPr>
    <tabColor theme="4" tint="0.39997558519241921"/>
  </sheetPr>
  <dimension ref="A1:AB39"/>
  <sheetViews>
    <sheetView zoomScale="85" zoomScaleNormal="85" workbookViewId="0">
      <pane xSplit="3" ySplit="2" topLeftCell="D3" activePane="bottomRight" state="frozen"/>
      <selection activeCell="E30" sqref="E30"/>
      <selection pane="topRight" activeCell="E30" sqref="E30"/>
      <selection pane="bottomLeft" activeCell="E30" sqref="E30"/>
      <selection pane="bottomRight" activeCell="E30" sqref="E30"/>
    </sheetView>
  </sheetViews>
  <sheetFormatPr defaultRowHeight="15"/>
  <cols>
    <col min="1" max="1" width="22.42578125" customWidth="1"/>
    <col min="2" max="2" width="19.5703125" bestFit="1" customWidth="1"/>
    <col min="3" max="3" width="16.42578125" customWidth="1"/>
    <col min="4" max="4" width="11.42578125" customWidth="1"/>
    <col min="5" max="5" width="9.42578125" bestFit="1" customWidth="1"/>
    <col min="6" max="6" width="9.42578125" customWidth="1"/>
    <col min="8" max="8" width="12" customWidth="1"/>
    <col min="9" max="10" width="10.5703125" customWidth="1"/>
    <col min="11" max="11" width="20.5703125" customWidth="1"/>
    <col min="12" max="12" width="11.42578125" bestFit="1" customWidth="1"/>
    <col min="13" max="13" width="17" customWidth="1"/>
    <col min="14" max="14" width="10.5703125" bestFit="1" customWidth="1"/>
    <col min="15" max="15" width="11" bestFit="1" customWidth="1"/>
    <col min="16" max="16" width="26" bestFit="1" customWidth="1"/>
    <col min="17" max="17" width="14.5703125" bestFit="1" customWidth="1"/>
    <col min="18" max="18" width="11.42578125" bestFit="1" customWidth="1"/>
    <col min="19" max="19" width="10.5703125" customWidth="1"/>
    <col min="20" max="20" width="12.85546875" bestFit="1" customWidth="1"/>
    <col min="22" max="22" width="20.85546875" bestFit="1" customWidth="1"/>
    <col min="23" max="23" width="16.42578125" bestFit="1" customWidth="1"/>
    <col min="24" max="24" width="9.5703125" bestFit="1" customWidth="1"/>
    <col min="25" max="25" width="11.28515625" customWidth="1"/>
    <col min="26" max="26" width="15.42578125" customWidth="1"/>
    <col min="28" max="28" width="12.5703125" bestFit="1" customWidth="1"/>
  </cols>
  <sheetData>
    <row r="1" spans="1:28" ht="16.5" thickBot="1">
      <c r="A1" s="290"/>
      <c r="B1" s="293"/>
      <c r="C1" s="290"/>
      <c r="D1" s="290"/>
      <c r="E1" s="293" t="s">
        <v>881</v>
      </c>
      <c r="F1" s="293"/>
      <c r="G1" s="294" t="s">
        <v>1181</v>
      </c>
      <c r="H1" s="378">
        <f>'Laminated bags - Sales'!C24</f>
        <v>100000</v>
      </c>
      <c r="I1" s="293"/>
      <c r="J1" s="293"/>
      <c r="K1" s="290"/>
      <c r="L1" s="293"/>
      <c r="M1" s="290"/>
      <c r="N1" s="293"/>
      <c r="O1" s="290"/>
      <c r="P1" s="293"/>
      <c r="Q1" s="290"/>
      <c r="R1" s="293"/>
      <c r="S1" s="293"/>
      <c r="T1" s="290"/>
      <c r="U1" s="293"/>
      <c r="V1" s="293"/>
      <c r="W1" s="290"/>
      <c r="X1" s="290"/>
      <c r="Y1" s="290"/>
      <c r="Z1" s="290"/>
      <c r="AA1" s="290"/>
      <c r="AB1" s="290"/>
    </row>
    <row r="2" spans="1:28" ht="48" thickBot="1">
      <c r="A2" s="296" t="s">
        <v>180</v>
      </c>
      <c r="B2" s="296" t="s">
        <v>882</v>
      </c>
      <c r="C2" s="297" t="s">
        <v>181</v>
      </c>
      <c r="D2" s="297" t="s">
        <v>883</v>
      </c>
      <c r="E2" s="297" t="s">
        <v>182</v>
      </c>
      <c r="F2" s="297"/>
      <c r="G2" s="296" t="s">
        <v>885</v>
      </c>
      <c r="H2" s="297" t="s">
        <v>1182</v>
      </c>
      <c r="I2" s="297" t="s">
        <v>184</v>
      </c>
      <c r="J2" s="297" t="s">
        <v>886</v>
      </c>
      <c r="K2" s="297" t="s">
        <v>185</v>
      </c>
      <c r="L2" s="297" t="s">
        <v>186</v>
      </c>
      <c r="M2" s="296" t="s">
        <v>58</v>
      </c>
      <c r="N2" s="297" t="s">
        <v>187</v>
      </c>
      <c r="O2" s="297" t="s">
        <v>188</v>
      </c>
      <c r="P2" s="297" t="s">
        <v>887</v>
      </c>
      <c r="Q2" s="298" t="s">
        <v>189</v>
      </c>
      <c r="R2" s="298" t="s">
        <v>888</v>
      </c>
      <c r="S2" s="298"/>
      <c r="T2" s="298" t="s">
        <v>889</v>
      </c>
      <c r="U2" s="290"/>
      <c r="V2" s="405" t="s">
        <v>1183</v>
      </c>
      <c r="W2" s="290" t="s">
        <v>890</v>
      </c>
      <c r="X2" s="290" t="s">
        <v>891</v>
      </c>
      <c r="Y2" s="290"/>
      <c r="Z2" s="290"/>
      <c r="AA2" s="290"/>
      <c r="AB2" s="290"/>
    </row>
    <row r="3" spans="1:28" ht="16.5" thickBot="1">
      <c r="A3" s="913" t="str">
        <f>IF('Laminated bags - Sales'!C17="Laminate607",607,IF('Laminated bags - Sales'!C17="Laminate608",608,IF('Laminated bags - Sales'!C17="Laminate418",418,IF('Laminated bags - Sales'!C17="Laminate608W","608W",IF('Laminated bags - Sales'!C17="Laminate106",106,IF('Laminated bags - Sales'!C17="Laminate428",428,IF('Laminated bags - Sales'!C17="Laminate819",819,IF('Laminated bags - Sales'!C17="Laminate823",823,IF('Laminated bags - Sales'!C17="Laminate618",618,"Check")))))))))</f>
        <v>608W</v>
      </c>
      <c r="B3" s="299" t="str">
        <f>IF(C3&lt;&gt;"","A","")</f>
        <v>A</v>
      </c>
      <c r="C3" s="300" t="str">
        <f>IF(A3=W608,"Tipa302WFG",IF(A3=418,"Tipa312Met",IF(A3=428,"Tipa312Met",IF(A3=823,"Tipa312Met","Tipa302FG"))))</f>
        <v>Tipa302FG</v>
      </c>
      <c r="D3" s="916">
        <f>'Laminated bags - Sales'!G5</f>
        <v>660.4</v>
      </c>
      <c r="E3" s="919">
        <f>IF(OR(A3&lt;&gt;"608W",A3&lt;&gt;608),IF((K4-29)/D3&gt;6,D3*6,IF((K4-29)/D3&gt;5,D3*5,IF((K4-29)/D3&gt;4,D3*4,IF((K4-29)/D3&gt;3,D3*3,IF((K4-29)/D3&gt;2,D3*2,D3))))),MAX(750,IF((K4-29)/D3&gt;6,D3*6,IF((K4-29)/D3&gt;5,D3*5,IF((K4-29)/D3&gt;4,D3*4,IF((K4-29)/D3&gt;3,D3*3,IF((K4-29)/D3&gt;2,D3*2,D3)))))))</f>
        <v>660.4</v>
      </c>
      <c r="F3" s="751"/>
      <c r="G3" s="922" t="str">
        <f>'Laminated bags - Sales'!C19</f>
        <v>FG</v>
      </c>
      <c r="H3" s="919">
        <f>H1*'Laminated bags - Sales'!C21/1000</f>
        <v>25400</v>
      </c>
      <c r="I3" s="922" t="str">
        <f>'Laminated bags - Sales'!C25</f>
        <v>PR</v>
      </c>
      <c r="J3" s="922" t="str">
        <f>'Laminated bags - Sales'!C26</f>
        <v>5 to 8</v>
      </c>
      <c r="K3" s="301">
        <v>790</v>
      </c>
      <c r="L3" s="302">
        <f>IF(C5&lt;&gt;"",L8-SUM(L4:L5,6),L8-SUM(L4:L5,3))</f>
        <v>71</v>
      </c>
      <c r="M3" s="303">
        <f>VLOOKUP(C3,'[3]List of names'!L:N,3,0)</f>
        <v>1.25</v>
      </c>
      <c r="N3" s="304">
        <f>IF(C3="PAPER",42/1000*$K3/1000,M3*1000*(L3/1000000)*($K3/1000))</f>
        <v>7.0112500000000008E-2</v>
      </c>
      <c r="O3" s="778">
        <f>IF(E3&gt;950,'[3]Film -Summary'!Q25*1.25,'[3]Film -Summary'!Q25)</f>
        <v>6.1893378349257064</v>
      </c>
      <c r="P3" s="306">
        <f>VLOOKUP(C3,'[3]List of names'!$L$2:$M$10,2,FALSE)+$Q$31</f>
        <v>4.45</v>
      </c>
      <c r="Q3" s="307">
        <f>N3*(O3+P3)</f>
        <v>0.74595057395122866</v>
      </c>
      <c r="R3" s="308" t="e">
        <f>Q3*USD</f>
        <v>#REF!</v>
      </c>
      <c r="S3" s="308"/>
      <c r="T3" s="779">
        <f>(O3+P3)*N3/$N$8</f>
        <v>7.270664763607118</v>
      </c>
      <c r="U3" s="290"/>
      <c r="V3" s="780">
        <f>1.25*(L3/1000)*(E3/1000)*'Laminated bags - Sales'!C21/1000</f>
        <v>1.4887066999999999E-2</v>
      </c>
      <c r="W3" s="309">
        <f>Y3/X3</f>
        <v>9.15768E-2</v>
      </c>
      <c r="X3" s="310">
        <f>IF(A3=608,1/N8,1/N4)</f>
        <v>38.219286980982083</v>
      </c>
      <c r="Y3" s="781">
        <f>IF(A3=608,Y11*Y10,IF(J3="1 to 4",Y7,Y8))</f>
        <v>3.5</v>
      </c>
      <c r="Z3" s="290" t="s">
        <v>893</v>
      </c>
      <c r="AA3" t="s">
        <v>894</v>
      </c>
      <c r="AB3" t="s">
        <v>895</v>
      </c>
    </row>
    <row r="4" spans="1:28" ht="16.5" thickBot="1">
      <c r="A4" s="914"/>
      <c r="B4" s="312" t="str">
        <f>IF(C4&lt;&gt;"","B","")</f>
        <v>B</v>
      </c>
      <c r="C4" s="313" t="str">
        <f>VLOOKUP(A3,'[3]List of names'!$F$2:$G$11,2,0)</f>
        <v>NKR</v>
      </c>
      <c r="D4" s="917"/>
      <c r="E4" s="920"/>
      <c r="F4" s="752"/>
      <c r="G4" s="923"/>
      <c r="H4" s="920"/>
      <c r="I4" s="923"/>
      <c r="J4" s="923"/>
      <c r="K4" s="301">
        <v>790</v>
      </c>
      <c r="L4" s="314">
        <f>HLOOKUP(C4,'[3]List of names'!B15:E16,2,0)</f>
        <v>23</v>
      </c>
      <c r="M4" s="303">
        <f>VLOOKUP(C4,'[3]List of names'!L:N,3,0)</f>
        <v>1.44</v>
      </c>
      <c r="N4" s="315">
        <f>IF(C4="PAPER",42/1000*$K4/1000,M4*1000*(L4/1000000)*($K4/1000))</f>
        <v>2.6164799999999998E-2</v>
      </c>
      <c r="O4" s="778">
        <f>VLOOKUP(C4,'[3]Raw material summary'!$I$11:$J$17,2,0)</f>
        <v>7.95</v>
      </c>
      <c r="P4" s="306">
        <f>VLOOKUP(C4,'[3]List of names'!$L$2:$M$10,2,FALSE)+$Q$31</f>
        <v>4.5999999999999996</v>
      </c>
      <c r="Q4" s="317">
        <f>N4*(O4+P4)</f>
        <v>0.32836823999999998</v>
      </c>
      <c r="R4" s="308" t="e">
        <f>Q4*USD</f>
        <v>#REF!</v>
      </c>
      <c r="S4" s="318"/>
      <c r="T4" s="782">
        <f>(O4+P4)*N4/$N$8</f>
        <v>3.2005544005543998</v>
      </c>
      <c r="U4" s="319"/>
      <c r="V4" s="319"/>
      <c r="W4" s="309">
        <f>Y4/X4</f>
        <v>0.15389595</v>
      </c>
      <c r="X4" s="319">
        <f>1/N8</f>
        <v>9.7468451898831638</v>
      </c>
      <c r="Y4" s="311">
        <v>1.5</v>
      </c>
      <c r="Z4" s="290" t="s">
        <v>896</v>
      </c>
      <c r="AA4" s="360">
        <f>IF(OR(A3="608W",A3=608,A3=618,A3=418,A3=607),1,2)</f>
        <v>1</v>
      </c>
      <c r="AB4">
        <v>2.5</v>
      </c>
    </row>
    <row r="5" spans="1:28" ht="15.75">
      <c r="A5" s="914"/>
      <c r="B5" s="312" t="str">
        <f>IF(C5&lt;&gt;"","C","")</f>
        <v>C</v>
      </c>
      <c r="C5" s="322" t="str">
        <f>IF(VLOOKUP(A3,'[3]List of names'!F2:H11,3,FALSE)=0,"",VLOOKUP(A3,'[3]List of names'!F2:H11,3,FALSE))</f>
        <v>PBAT</v>
      </c>
      <c r="D5" s="918"/>
      <c r="E5" s="921"/>
      <c r="F5" s="753"/>
      <c r="G5" s="924"/>
      <c r="H5" s="921"/>
      <c r="I5" s="924"/>
      <c r="J5" s="924"/>
      <c r="K5" s="323">
        <v>790</v>
      </c>
      <c r="L5" s="324">
        <f>_xlfn.IFNA(HLOOKUP(C5,'[3]List of names'!B15:E16,2,0),0)</f>
        <v>0</v>
      </c>
      <c r="M5" s="325">
        <f>IF(C5="",0,VLOOKUP(C5,'[3]List of names'!L2:N7,3,0))</f>
        <v>1.25</v>
      </c>
      <c r="N5" s="326">
        <f>IF(C5="","",IF(C5="PAPER",50/1000*$K5/1000,M5*1000*(L5/1000000)*($K5/1000)))</f>
        <v>0</v>
      </c>
      <c r="O5" s="778">
        <f>VLOOKUP(C5,'[3]Raw material summary'!$I$11:$J$17,2,0)</f>
        <v>5.5</v>
      </c>
      <c r="P5" s="306">
        <f>VLOOKUP(C5,'[3]List of names'!$L$2:$M$10,2,FALSE)+$Q$31</f>
        <v>4.45</v>
      </c>
      <c r="Q5" s="317">
        <f>IF(C5="","",N5*(O5+P5))</f>
        <v>0</v>
      </c>
      <c r="R5" s="318" t="e">
        <f>IF(C5="","",Q5*USD)</f>
        <v>#REF!</v>
      </c>
      <c r="S5" s="318"/>
      <c r="T5" s="782">
        <f>IF(C5="","",(O5+P5)*N5/$N$8)</f>
        <v>0</v>
      </c>
      <c r="U5" s="290"/>
      <c r="V5" s="290"/>
      <c r="W5" s="309">
        <f>Y5/X5</f>
        <v>0</v>
      </c>
      <c r="X5" s="309">
        <f>1/N8</f>
        <v>9.7468451898831638</v>
      </c>
      <c r="Y5" s="290">
        <f>IF('Laminated bags - Sales'!C25="PR",0,0.4)*Y10</f>
        <v>0</v>
      </c>
      <c r="Z5" s="290" t="s">
        <v>897</v>
      </c>
    </row>
    <row r="6" spans="1:28" ht="15.75">
      <c r="A6" s="914"/>
      <c r="B6" s="327"/>
      <c r="C6" s="328" t="s">
        <v>898</v>
      </c>
      <c r="D6" s="328"/>
      <c r="E6" s="328"/>
      <c r="F6" s="328"/>
      <c r="G6" s="329"/>
      <c r="H6" s="329"/>
      <c r="I6" s="329"/>
      <c r="J6" s="329"/>
      <c r="K6" s="329"/>
      <c r="L6" s="329"/>
      <c r="M6" s="330"/>
      <c r="N6" s="783">
        <f>IF(A3=608,0,(K3/1000*0.004*IF(B5="C",2,1)))</f>
        <v>6.3200000000000001E-3</v>
      </c>
      <c r="O6" s="316">
        <v>4.5</v>
      </c>
      <c r="P6" s="306">
        <f>Q31</f>
        <v>4.25</v>
      </c>
      <c r="Q6" s="317">
        <f>N6*(O6+P6)</f>
        <v>5.5300000000000002E-2</v>
      </c>
      <c r="R6" s="308" t="e">
        <f t="shared" ref="R6:R11" si="0">Q6*USD</f>
        <v>#REF!</v>
      </c>
      <c r="S6" s="318"/>
      <c r="T6" s="782">
        <f>(O6+P6)*N6/$N$8</f>
        <v>0.5390005390005389</v>
      </c>
      <c r="U6" s="332"/>
      <c r="V6" s="332"/>
      <c r="W6" s="309"/>
      <c r="X6" s="290"/>
      <c r="Y6" s="290"/>
      <c r="Z6" s="290"/>
    </row>
    <row r="7" spans="1:28" ht="16.5" thickBot="1">
      <c r="A7" s="915"/>
      <c r="B7" s="333"/>
      <c r="C7" s="334" t="s">
        <v>899</v>
      </c>
      <c r="D7" s="334"/>
      <c r="E7" s="334"/>
      <c r="F7" s="334"/>
      <c r="G7" s="335"/>
      <c r="H7" s="335"/>
      <c r="I7" s="335"/>
      <c r="J7" s="335"/>
      <c r="K7" s="335"/>
      <c r="L7" s="335"/>
      <c r="M7" s="336"/>
      <c r="N7" s="784"/>
      <c r="O7" s="316"/>
      <c r="P7" s="306"/>
      <c r="Q7" s="338">
        <f>N7*(O7+P7)</f>
        <v>0</v>
      </c>
      <c r="R7" s="308" t="e">
        <f t="shared" si="0"/>
        <v>#REF!</v>
      </c>
      <c r="S7" s="339"/>
      <c r="T7" s="785">
        <f>(O7+P7)*N7/$N$8</f>
        <v>0</v>
      </c>
      <c r="U7" s="290"/>
      <c r="V7" s="290"/>
      <c r="W7" s="290">
        <f>W4*X4</f>
        <v>1.5</v>
      </c>
      <c r="X7" s="309"/>
      <c r="Y7" s="309">
        <f>IF(L18&gt;1000,2.5,IF(L18&gt;500,3,3.5))*Y10</f>
        <v>3</v>
      </c>
      <c r="Z7" s="290" t="s">
        <v>900</v>
      </c>
    </row>
    <row r="8" spans="1:28" ht="19.5" thickBot="1">
      <c r="A8" s="290" t="str">
        <f>A3</f>
        <v>608W</v>
      </c>
      <c r="B8" s="39"/>
      <c r="C8" s="39">
        <f>COUNTA(C3:C5)</f>
        <v>3</v>
      </c>
      <c r="D8" s="39"/>
      <c r="E8" s="39">
        <f>COUNTIF(C3:C5,"")</f>
        <v>0</v>
      </c>
      <c r="F8" s="39"/>
      <c r="G8" s="39" t="s">
        <v>901</v>
      </c>
      <c r="H8" s="39">
        <f>H3/(ROUNDDOWN(K3/D3,0))</f>
        <v>25400</v>
      </c>
      <c r="I8" s="340"/>
      <c r="J8" s="340"/>
      <c r="K8" s="395">
        <f>SUMPRODUCT(K3:K5,L3:L5)/(L8-IF(AA4=2,6,3))</f>
        <v>765.56701030927832</v>
      </c>
      <c r="L8" s="342">
        <f>'Laminated bags - Sales'!C27</f>
        <v>100</v>
      </c>
      <c r="M8" s="340"/>
      <c r="N8" s="343">
        <f>SUM(N3:N7)</f>
        <v>0.10259730000000002</v>
      </c>
      <c r="O8" s="340"/>
      <c r="P8" s="786" t="s">
        <v>902</v>
      </c>
      <c r="Q8" s="787">
        <f>SUM(Q3:Q7)</f>
        <v>1.1296188139512284</v>
      </c>
      <c r="R8" s="365" t="e">
        <f t="shared" si="0"/>
        <v>#REF!</v>
      </c>
      <c r="S8" s="365"/>
      <c r="T8" s="788">
        <f>SUM(T3:T7)</f>
        <v>11.010219703162056</v>
      </c>
      <c r="U8" s="290"/>
      <c r="V8" s="290"/>
      <c r="Y8">
        <f>IF(L18&gt;1000,3,IF(L18&gt;500,3.5,4))*Y10</f>
        <v>3.5</v>
      </c>
      <c r="Z8" s="290" t="s">
        <v>903</v>
      </c>
    </row>
    <row r="9" spans="1:28" ht="16.5" thickBot="1">
      <c r="A9" s="290"/>
      <c r="B9" s="340"/>
      <c r="C9" s="290"/>
      <c r="D9" s="290"/>
      <c r="E9" s="290">
        <f>IF(OR((680-D3*1)&lt;120,AND((680-D3*2)&lt;120,(680-D3*2)&gt;0),AND((680-D3*3)&lt;120,(680-D3*3)&gt;0)),680,0)</f>
        <v>680</v>
      </c>
      <c r="F9" s="290"/>
      <c r="G9" s="340"/>
      <c r="H9" s="340"/>
      <c r="I9" s="340"/>
      <c r="J9" s="340"/>
      <c r="K9" s="340"/>
      <c r="O9" s="340"/>
      <c r="P9" s="347" t="s">
        <v>291</v>
      </c>
      <c r="Q9" s="789">
        <f>+W4</f>
        <v>0.15389595</v>
      </c>
      <c r="R9" s="790" t="e">
        <f t="shared" si="0"/>
        <v>#REF!</v>
      </c>
      <c r="S9" s="790"/>
      <c r="T9" s="791">
        <f>Y4</f>
        <v>1.5</v>
      </c>
      <c r="U9" s="290"/>
      <c r="V9" s="290"/>
    </row>
    <row r="10" spans="1:28" ht="16.5" thickBot="1">
      <c r="A10" s="290"/>
      <c r="B10" s="352">
        <v>4</v>
      </c>
      <c r="C10" s="353" t="s">
        <v>167</v>
      </c>
      <c r="D10" s="340"/>
      <c r="E10" s="290">
        <f>IF(680-D3*1&lt;120,680,0)</f>
        <v>680</v>
      </c>
      <c r="F10" s="290"/>
      <c r="G10" s="340"/>
      <c r="H10" s="340"/>
      <c r="I10" s="340"/>
      <c r="J10" s="340"/>
      <c r="K10" s="340"/>
      <c r="L10" s="355"/>
      <c r="M10" s="355">
        <f>+N3/N8</f>
        <v>0.68337568337568333</v>
      </c>
      <c r="N10" s="340"/>
      <c r="O10" s="340"/>
      <c r="P10" s="347" t="s">
        <v>827</v>
      </c>
      <c r="Q10" s="356"/>
      <c r="R10" s="349" t="e">
        <f t="shared" si="0"/>
        <v>#REF!</v>
      </c>
      <c r="S10" s="349"/>
      <c r="T10" s="792">
        <f>Y5</f>
        <v>0</v>
      </c>
      <c r="U10" s="290"/>
      <c r="V10" s="290"/>
      <c r="Y10">
        <f>IF(L19&lt;100,2,IF(L19&lt;200,1.75,IF(L19&lt;250,1.5,1)))</f>
        <v>1</v>
      </c>
      <c r="Z10" t="s">
        <v>904</v>
      </c>
      <c r="AB10" s="290"/>
    </row>
    <row r="11" spans="1:28" ht="16.5" thickBot="1">
      <c r="A11" s="290"/>
      <c r="B11" s="352">
        <v>3.6</v>
      </c>
      <c r="C11" s="353" t="s">
        <v>292</v>
      </c>
      <c r="D11" s="340"/>
      <c r="E11" s="340"/>
      <c r="F11" s="340"/>
      <c r="G11" s="340"/>
      <c r="I11" s="340"/>
      <c r="J11" s="340"/>
      <c r="K11" s="340"/>
      <c r="M11">
        <f>+M10*L19</f>
        <v>1780.8575000000001</v>
      </c>
      <c r="N11" s="358"/>
      <c r="O11" s="340"/>
      <c r="P11" s="347" t="s">
        <v>293</v>
      </c>
      <c r="Q11" s="793"/>
      <c r="R11" s="308" t="e">
        <f t="shared" si="0"/>
        <v>#REF!</v>
      </c>
      <c r="S11" s="308"/>
      <c r="T11" s="794">
        <f>Y3*N4/N8</f>
        <v>0.89258489258489249</v>
      </c>
      <c r="U11" s="290"/>
      <c r="V11" s="290"/>
      <c r="Y11" s="360">
        <v>2.5</v>
      </c>
      <c r="Z11" s="360" t="s">
        <v>905</v>
      </c>
      <c r="AA11" s="926" t="s">
        <v>906</v>
      </c>
      <c r="AB11" s="290"/>
    </row>
    <row r="12" spans="1:28" ht="16.5" thickBot="1">
      <c r="A12" s="290"/>
      <c r="B12" s="290"/>
      <c r="G12" s="340"/>
      <c r="I12" s="362"/>
      <c r="J12" s="362"/>
      <c r="K12" s="340"/>
      <c r="L12" s="340"/>
      <c r="M12" s="340"/>
      <c r="N12" s="358">
        <f>100*N8</f>
        <v>10.259730000000001</v>
      </c>
      <c r="O12" s="340"/>
      <c r="P12" s="795" t="s">
        <v>907</v>
      </c>
      <c r="Q12" s="796">
        <f>SUM(Q8:Q11)</f>
        <v>1.2835147639512283</v>
      </c>
      <c r="R12" s="376" t="e">
        <f>SUM(R8:R11)</f>
        <v>#REF!</v>
      </c>
      <c r="S12" s="376"/>
      <c r="T12" s="797">
        <f>SUM(T8:T11)</f>
        <v>13.402804595746948</v>
      </c>
      <c r="U12" s="290"/>
      <c r="V12" s="290"/>
      <c r="Y12" s="360">
        <v>1.2749999999999999</v>
      </c>
      <c r="Z12" s="360" t="s">
        <v>908</v>
      </c>
      <c r="AA12" s="926"/>
      <c r="AB12" s="290"/>
    </row>
    <row r="13" spans="1:28" ht="19.5" thickBot="1">
      <c r="A13" s="366" t="s">
        <v>909</v>
      </c>
      <c r="B13" s="367"/>
      <c r="C13" s="368"/>
      <c r="D13" s="368"/>
      <c r="E13" s="368"/>
      <c r="F13" s="368"/>
      <c r="G13" s="369"/>
      <c r="H13" s="340" t="s">
        <v>910</v>
      </c>
      <c r="I13" s="927" t="s">
        <v>911</v>
      </c>
      <c r="J13" s="370"/>
      <c r="K13" s="371" t="s">
        <v>912</v>
      </c>
      <c r="L13" s="372">
        <f>$Q13/ROUNDDOWN((K8-30)/D3,0)</f>
        <v>1.3964766453463513</v>
      </c>
      <c r="M13" s="373" t="e">
        <f>L13*USD</f>
        <v>#REF!</v>
      </c>
      <c r="O13" s="340"/>
      <c r="P13" s="374" t="s">
        <v>913</v>
      </c>
      <c r="Q13" s="375">
        <f>Q8*(1+Q17)+SUM(Q9:Q11)</f>
        <v>1.3964766453463513</v>
      </c>
      <c r="R13" s="377" t="e">
        <f>R12*1.1</f>
        <v>#REF!</v>
      </c>
      <c r="S13" s="377"/>
      <c r="T13" s="798">
        <f>T12*1.1</f>
        <v>14.743085055321645</v>
      </c>
      <c r="U13" s="340"/>
      <c r="V13" s="340"/>
      <c r="AB13" s="340"/>
    </row>
    <row r="14" spans="1:28" ht="19.5" thickBot="1">
      <c r="A14" s="340" t="s">
        <v>226</v>
      </c>
      <c r="B14" s="378">
        <v>300</v>
      </c>
      <c r="C14" s="366" t="s">
        <v>914</v>
      </c>
      <c r="D14" s="340"/>
      <c r="E14" s="340"/>
      <c r="F14" s="340"/>
      <c r="G14" s="340"/>
      <c r="H14" s="379">
        <f>IF(C32="NF",30%,25%)</f>
        <v>0.25</v>
      </c>
      <c r="I14" s="928"/>
      <c r="J14" s="380"/>
      <c r="K14" s="381" t="s">
        <v>915</v>
      </c>
      <c r="L14" s="382">
        <f>$L13*$L22</f>
        <v>13.611241673478261</v>
      </c>
      <c r="M14" s="373" t="e">
        <f>L14*USD</f>
        <v>#REF!</v>
      </c>
      <c r="O14" s="340"/>
      <c r="R14" s="340"/>
      <c r="S14" s="340"/>
      <c r="T14" s="383">
        <f>T13*(K3/E3)</f>
        <v>17.636337361756663</v>
      </c>
      <c r="U14" s="340"/>
      <c r="V14" s="340"/>
      <c r="AB14" s="340"/>
    </row>
    <row r="15" spans="1:28" ht="18.75">
      <c r="A15" s="340" t="s">
        <v>916</v>
      </c>
      <c r="B15" s="378">
        <v>250</v>
      </c>
      <c r="C15" s="366" t="s">
        <v>917</v>
      </c>
      <c r="D15" s="340"/>
      <c r="E15" s="340"/>
      <c r="F15" s="340"/>
      <c r="G15" s="369"/>
      <c r="H15" s="290"/>
      <c r="I15" s="927" t="s">
        <v>918</v>
      </c>
      <c r="J15" s="370"/>
      <c r="K15" s="384" t="s">
        <v>919</v>
      </c>
      <c r="L15" s="385">
        <f>$L13/(1-$H14)</f>
        <v>1.8619688604618017</v>
      </c>
      <c r="M15" s="385" t="e">
        <f>L15*USD</f>
        <v>#REF!</v>
      </c>
      <c r="N15" s="290"/>
      <c r="O15" s="290"/>
      <c r="Q15" s="386"/>
      <c r="R15" s="290"/>
      <c r="S15" s="290"/>
      <c r="T15" s="290"/>
      <c r="U15" s="290"/>
      <c r="V15" s="290"/>
      <c r="AB15" s="290"/>
    </row>
    <row r="16" spans="1:28" ht="19.5" thickBot="1">
      <c r="A16" s="290"/>
      <c r="B16" s="290"/>
      <c r="C16" s="290"/>
      <c r="D16" s="290"/>
      <c r="E16" s="290"/>
      <c r="F16" s="290"/>
      <c r="G16" s="290"/>
      <c r="H16" s="290"/>
      <c r="I16" s="928"/>
      <c r="J16" s="380"/>
      <c r="K16" s="387" t="s">
        <v>921</v>
      </c>
      <c r="L16" s="388">
        <f>L14/(1-H14)</f>
        <v>18.148322231304348</v>
      </c>
      <c r="M16" s="388" t="e">
        <f>L16*USD</f>
        <v>#REF!</v>
      </c>
      <c r="N16" s="290">
        <f>L16/L15</f>
        <v>9.7468451898831638</v>
      </c>
      <c r="O16" s="290"/>
      <c r="P16" s="340"/>
      <c r="Q16" s="290"/>
      <c r="R16" s="290"/>
      <c r="S16" s="290"/>
      <c r="T16" s="290"/>
      <c r="U16" s="290"/>
      <c r="V16" s="290"/>
      <c r="AB16" s="392" t="s">
        <v>922</v>
      </c>
    </row>
    <row r="17" spans="1:28">
      <c r="A17" s="290" t="s">
        <v>923</v>
      </c>
      <c r="B17" s="290"/>
      <c r="C17" s="290"/>
      <c r="D17" s="290"/>
      <c r="E17" s="290"/>
      <c r="F17" s="290"/>
      <c r="G17" s="290"/>
      <c r="H17" s="290"/>
      <c r="I17" s="290"/>
      <c r="J17" s="290"/>
      <c r="K17" s="290"/>
      <c r="L17" s="799">
        <f>(L16-L14)/L16</f>
        <v>0.25</v>
      </c>
      <c r="M17" s="290"/>
      <c r="N17" s="290"/>
      <c r="O17" s="290"/>
      <c r="P17" s="393" t="s">
        <v>924</v>
      </c>
      <c r="Q17" s="394">
        <v>0.1</v>
      </c>
      <c r="R17" s="290"/>
      <c r="S17" s="290"/>
      <c r="T17" s="290"/>
      <c r="U17" s="290"/>
      <c r="V17" s="290"/>
      <c r="AB17" s="290"/>
    </row>
    <row r="18" spans="1:28">
      <c r="A18" s="340" t="s">
        <v>226</v>
      </c>
      <c r="B18" s="378">
        <f>C35</f>
        <v>0</v>
      </c>
      <c r="C18" s="366" t="s">
        <v>925</v>
      </c>
      <c r="D18" s="340"/>
      <c r="E18" s="340"/>
      <c r="F18" s="340"/>
      <c r="G18" s="340"/>
      <c r="H18" s="340"/>
      <c r="I18" s="340"/>
      <c r="J18" s="340"/>
      <c r="K18" t="s">
        <v>926</v>
      </c>
      <c r="L18" s="117">
        <f>L19*L4/L8</f>
        <v>599.37342660000013</v>
      </c>
      <c r="M18" s="395"/>
      <c r="N18" s="340"/>
      <c r="O18" s="340"/>
      <c r="P18" s="393" t="s">
        <v>927</v>
      </c>
      <c r="Q18" s="396">
        <v>0.1</v>
      </c>
      <c r="R18" s="290"/>
      <c r="S18" s="290"/>
      <c r="T18" s="290"/>
      <c r="U18" s="290"/>
      <c r="V18" s="290"/>
      <c r="AB18" s="290"/>
    </row>
    <row r="19" spans="1:28">
      <c r="A19" s="340" t="s">
        <v>916</v>
      </c>
      <c r="B19" s="397">
        <f>C37</f>
        <v>0</v>
      </c>
      <c r="C19" s="366" t="s">
        <v>928</v>
      </c>
      <c r="D19" s="340"/>
      <c r="E19" s="340"/>
      <c r="F19" s="340"/>
      <c r="G19" s="340"/>
      <c r="H19" s="340"/>
      <c r="I19" s="340"/>
      <c r="J19" s="340"/>
      <c r="K19" s="800" t="s">
        <v>929</v>
      </c>
      <c r="L19" s="801">
        <f>N8/ROUNDDOWN((K3-29)/D3,0)*H3</f>
        <v>2605.9714200000003</v>
      </c>
      <c r="M19" s="802">
        <f>+L19*N3/N8</f>
        <v>1780.8575000000001</v>
      </c>
      <c r="N19" s="340"/>
      <c r="O19" s="340"/>
      <c r="Q19" s="396"/>
      <c r="R19" s="290"/>
      <c r="S19" s="290"/>
      <c r="T19" s="290"/>
      <c r="U19" s="290"/>
      <c r="V19" s="290"/>
      <c r="AB19" s="290"/>
    </row>
    <row r="20" spans="1:28">
      <c r="A20" s="290"/>
      <c r="B20" s="340"/>
      <c r="C20" s="340"/>
      <c r="D20" s="340"/>
      <c r="E20" s="340"/>
      <c r="F20" s="340"/>
      <c r="G20" s="340"/>
      <c r="H20" s="340"/>
      <c r="I20" s="340"/>
      <c r="J20" s="340"/>
      <c r="M20" s="340"/>
      <c r="N20" s="340"/>
      <c r="O20" s="340"/>
      <c r="Q20" s="396"/>
      <c r="R20" s="290"/>
      <c r="S20" s="290"/>
      <c r="T20" s="290"/>
      <c r="U20" s="290"/>
      <c r="V20" s="290"/>
      <c r="AB20" s="290"/>
    </row>
    <row r="21" spans="1:28">
      <c r="A21" s="405" t="s">
        <v>931</v>
      </c>
      <c r="B21" s="290"/>
      <c r="C21" s="290" t="s">
        <v>932</v>
      </c>
      <c r="D21" s="290" t="s">
        <v>933</v>
      </c>
      <c r="E21" s="290"/>
      <c r="F21" s="290"/>
      <c r="G21" s="340"/>
      <c r="H21" s="340"/>
      <c r="I21" s="340"/>
      <c r="J21" s="340"/>
      <c r="K21" s="406" t="s">
        <v>934</v>
      </c>
      <c r="L21" s="803">
        <f>1/N8</f>
        <v>9.7468451898831638</v>
      </c>
      <c r="M21" s="340"/>
      <c r="N21" s="340"/>
      <c r="O21" s="340"/>
      <c r="P21" s="340"/>
      <c r="Q21" s="290"/>
      <c r="R21" s="290"/>
      <c r="S21" s="290"/>
      <c r="T21" s="290"/>
      <c r="U21" s="290"/>
      <c r="V21" s="290"/>
      <c r="AB21" s="290"/>
    </row>
    <row r="22" spans="1:28">
      <c r="A22" s="290" t="s">
        <v>935</v>
      </c>
      <c r="B22" s="408">
        <v>1000</v>
      </c>
      <c r="C22" s="290">
        <v>4</v>
      </c>
      <c r="D22" s="290">
        <f>B22/C22</f>
        <v>250</v>
      </c>
      <c r="E22" s="290"/>
      <c r="F22" s="290"/>
      <c r="G22" s="340"/>
      <c r="H22" s="340"/>
      <c r="I22" s="340"/>
      <c r="J22" s="340"/>
      <c r="K22" s="406" t="s">
        <v>936</v>
      </c>
      <c r="L22" s="409">
        <f>1/N8*ROUNDDOWN(E3/D3,0)</f>
        <v>9.7468451898831638</v>
      </c>
      <c r="M22" s="340"/>
      <c r="N22" s="340"/>
      <c r="O22" s="340"/>
      <c r="P22" s="340" t="s">
        <v>937</v>
      </c>
      <c r="Q22" s="340" t="str">
        <f>IF(G1="impression",ROUNDDOWN(K3/D3,0)*1000/B15,"NA")</f>
        <v>NA</v>
      </c>
      <c r="R22" s="290"/>
      <c r="S22" s="290"/>
      <c r="T22" s="290"/>
      <c r="U22" s="290"/>
      <c r="V22" s="290"/>
      <c r="AB22" s="290"/>
    </row>
    <row r="23" spans="1:28">
      <c r="A23" s="290" t="s">
        <v>939</v>
      </c>
      <c r="B23" s="408">
        <v>1000</v>
      </c>
      <c r="C23" s="290">
        <v>4</v>
      </c>
      <c r="D23" s="290">
        <f>B23/C23</f>
        <v>250</v>
      </c>
      <c r="E23" s="340"/>
      <c r="F23" s="340"/>
      <c r="G23" s="340"/>
      <c r="H23" s="340" t="s">
        <v>940</v>
      </c>
      <c r="I23" s="340"/>
      <c r="J23" s="340"/>
      <c r="K23" s="340"/>
      <c r="L23" s="340"/>
      <c r="M23" s="340"/>
      <c r="N23" s="340"/>
      <c r="O23" s="340"/>
      <c r="P23" s="290" t="s">
        <v>941</v>
      </c>
      <c r="Q23" s="410" t="str">
        <f>IF(G1="Impression",Q13/Q22,"NA")</f>
        <v>NA</v>
      </c>
      <c r="R23" s="290"/>
      <c r="S23" s="290"/>
      <c r="T23" s="290"/>
      <c r="U23" s="290"/>
      <c r="V23" s="290"/>
      <c r="AB23" s="290"/>
    </row>
    <row r="24" spans="1:28">
      <c r="A24" s="290" t="s">
        <v>943</v>
      </c>
      <c r="B24" s="340">
        <v>1000</v>
      </c>
      <c r="C24" s="340">
        <v>1</v>
      </c>
      <c r="D24" s="290">
        <f>B24/C24</f>
        <v>1000</v>
      </c>
      <c r="E24" s="340"/>
      <c r="F24" s="340"/>
      <c r="G24" s="340"/>
      <c r="H24" s="411"/>
      <c r="I24" s="925" t="s">
        <v>944</v>
      </c>
      <c r="J24" s="925"/>
      <c r="K24" s="925" t="s">
        <v>165</v>
      </c>
      <c r="L24" s="925"/>
      <c r="M24" s="340"/>
      <c r="N24" s="340"/>
      <c r="O24" s="340"/>
      <c r="P24" s="340" t="s">
        <v>945</v>
      </c>
      <c r="Q24" s="290" t="e">
        <f>Q23*1.25</f>
        <v>#VALUE!</v>
      </c>
      <c r="R24" s="290"/>
      <c r="S24" s="290"/>
      <c r="T24" s="290"/>
      <c r="U24" s="290"/>
      <c r="V24" s="290"/>
      <c r="AB24" s="290"/>
    </row>
    <row r="25" spans="1:28">
      <c r="A25" s="290" t="s">
        <v>946</v>
      </c>
      <c r="B25" s="340">
        <v>50</v>
      </c>
      <c r="C25" s="340" t="s">
        <v>947</v>
      </c>
      <c r="D25" s="340"/>
      <c r="E25" s="340"/>
      <c r="F25" s="340"/>
      <c r="G25" s="340"/>
      <c r="H25" s="415"/>
      <c r="I25" s="415" t="s">
        <v>948</v>
      </c>
      <c r="J25" s="415" t="s">
        <v>949</v>
      </c>
      <c r="K25" s="415" t="s">
        <v>948</v>
      </c>
      <c r="L25" s="415" t="s">
        <v>949</v>
      </c>
      <c r="M25" s="340"/>
      <c r="N25" s="340"/>
      <c r="O25" s="340"/>
      <c r="P25" s="340"/>
      <c r="Q25" s="290"/>
      <c r="R25" s="290"/>
      <c r="S25" s="290"/>
      <c r="T25" s="290"/>
      <c r="U25" s="290"/>
      <c r="V25" s="290"/>
      <c r="AB25" s="290"/>
    </row>
    <row r="26" spans="1:28">
      <c r="A26" s="290" t="s">
        <v>950</v>
      </c>
      <c r="B26" s="340">
        <v>500</v>
      </c>
      <c r="C26" s="340" t="s">
        <v>951</v>
      </c>
      <c r="D26" s="340"/>
      <c r="E26" s="340"/>
      <c r="F26" s="340"/>
      <c r="H26" s="415" t="s">
        <v>952</v>
      </c>
      <c r="I26" s="416">
        <f>L13</f>
        <v>1.3964766453463513</v>
      </c>
      <c r="J26" s="417">
        <f>L15</f>
        <v>1.8619688604618017</v>
      </c>
      <c r="K26" s="418" t="e">
        <f>I26*USD</f>
        <v>#REF!</v>
      </c>
      <c r="L26" s="418" t="e">
        <f>J26*USD</f>
        <v>#REF!</v>
      </c>
    </row>
    <row r="27" spans="1:28">
      <c r="A27" s="290" t="s">
        <v>955</v>
      </c>
      <c r="B27" s="422">
        <v>0.1</v>
      </c>
      <c r="C27" s="340" t="s">
        <v>956</v>
      </c>
      <c r="D27" s="422">
        <f>5%+3%</f>
        <v>0.08</v>
      </c>
      <c r="E27" s="422">
        <f>7%+3%</f>
        <v>0.1</v>
      </c>
      <c r="F27" s="422"/>
      <c r="G27" s="804">
        <f>6%+3%</f>
        <v>0.09</v>
      </c>
      <c r="H27" s="412" t="s">
        <v>957</v>
      </c>
      <c r="I27" s="417">
        <f>L14</f>
        <v>13.611241673478261</v>
      </c>
      <c r="J27" s="417">
        <f>L16</f>
        <v>18.148322231304348</v>
      </c>
      <c r="K27" s="418" t="e">
        <f>I27*USD</f>
        <v>#REF!</v>
      </c>
      <c r="L27" s="418" t="e">
        <f>J27*USD</f>
        <v>#REF!</v>
      </c>
    </row>
    <row r="28" spans="1:28">
      <c r="P28" s="38" t="s">
        <v>1184</v>
      </c>
      <c r="Q28" s="805">
        <f>N8*D3/E3*((E3+30)/K3)*'Laminated bags - Sales'!C21/1000</f>
        <v>2.2774210992000003E-2</v>
      </c>
    </row>
    <row r="29" spans="1:28">
      <c r="H29" t="s">
        <v>959</v>
      </c>
    </row>
    <row r="31" spans="1:28">
      <c r="H31" s="411"/>
      <c r="I31" s="925" t="s">
        <v>944</v>
      </c>
      <c r="J31" s="925"/>
      <c r="K31" s="925" t="s">
        <v>165</v>
      </c>
      <c r="L31" s="925"/>
      <c r="P31" t="s">
        <v>962</v>
      </c>
      <c r="Q31">
        <f>IF(L19&lt;1000,2,IF(L19&lt;3000,2,1.5))+15*0.15</f>
        <v>4.25</v>
      </c>
    </row>
    <row r="32" spans="1:28">
      <c r="G32" s="806">
        <f>H14</f>
        <v>0.25</v>
      </c>
      <c r="H32" s="415"/>
      <c r="I32" s="415" t="s">
        <v>948</v>
      </c>
      <c r="J32" s="415" t="s">
        <v>949</v>
      </c>
      <c r="K32" s="415" t="s">
        <v>948</v>
      </c>
      <c r="L32" s="415" t="s">
        <v>949</v>
      </c>
    </row>
    <row r="33" spans="8:12">
      <c r="H33" s="415" t="s">
        <v>952</v>
      </c>
      <c r="I33" s="416">
        <f>(Q8*(1+Q18)+SUM(Q9:Q11))/ROUNDDOWN((K3-30)/D3,0)</f>
        <v>1.3964766453463513</v>
      </c>
      <c r="J33" s="417">
        <f>I33*(1+$G$32)</f>
        <v>1.7455958066829391</v>
      </c>
      <c r="K33" s="418" t="e">
        <f>I33*USD</f>
        <v>#REF!</v>
      </c>
      <c r="L33" s="418" t="e">
        <f>J33*USD</f>
        <v>#REF!</v>
      </c>
    </row>
    <row r="34" spans="8:12">
      <c r="H34" s="412" t="s">
        <v>957</v>
      </c>
      <c r="I34" s="417">
        <f>$I33*$L22</f>
        <v>13.611241673478261</v>
      </c>
      <c r="J34" s="417">
        <f>I34*(1+$G$32)</f>
        <v>17.014052091847827</v>
      </c>
      <c r="K34" s="418" t="e">
        <f>I34*USD</f>
        <v>#REF!</v>
      </c>
      <c r="L34" s="418" t="e">
        <f>J34*USD</f>
        <v>#REF!</v>
      </c>
    </row>
    <row r="37" spans="8:12" ht="14.45" customHeight="1"/>
    <row r="38" spans="8:12" ht="14.45" customHeight="1"/>
    <row r="39" spans="8:12" ht="14.45" customHeight="1"/>
  </sheetData>
  <mergeCells count="14">
    <mergeCell ref="I31:J31"/>
    <mergeCell ref="K31:L31"/>
    <mergeCell ref="J3:J5"/>
    <mergeCell ref="AA11:AA12"/>
    <mergeCell ref="I13:I14"/>
    <mergeCell ref="I15:I16"/>
    <mergeCell ref="I24:J24"/>
    <mergeCell ref="K24:L24"/>
    <mergeCell ref="I3:I5"/>
    <mergeCell ref="A3:A7"/>
    <mergeCell ref="D3:D5"/>
    <mergeCell ref="E3:E5"/>
    <mergeCell ref="G3:G5"/>
    <mergeCell ref="H3:H5"/>
  </mergeCells>
  <dataValidations count="4">
    <dataValidation type="list" allowBlank="1" showInputMessage="1" showErrorMessage="1" sqref="J3:J5" xr:uid="{0F97F96B-E8DE-4E8D-BB0A-00AAFD284A8C}">
      <formula1>"0, 1 to 4, 5 to 8"</formula1>
    </dataValidation>
    <dataValidation showInputMessage="1" showErrorMessage="1" sqref="K3:K5" xr:uid="{46607E6D-1128-4F2F-98F7-F9AC85367E4F}"/>
    <dataValidation type="list" allowBlank="1" showInputMessage="1" showErrorMessage="1" sqref="L3" xr:uid="{BBEE4BE0-1E21-4C71-8DFE-0AEB93155CC6}">
      <formula1>INDIRECT(C3)</formula1>
    </dataValidation>
    <dataValidation type="list" allowBlank="1" sqref="L4" xr:uid="{1C3D4530-EC61-4324-87DB-362A94C4D6FC}">
      <formula1>INDIRECT(C4)</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B40B8-616C-4167-BE4E-B64A72393B5F}">
  <sheetPr>
    <tabColor rgb="FF00B0F0"/>
  </sheetPr>
  <dimension ref="A1:AB77"/>
  <sheetViews>
    <sheetView zoomScale="85" zoomScaleNormal="85" workbookViewId="0">
      <pane xSplit="3" ySplit="2" topLeftCell="G17" activePane="bottomRight" state="frozen"/>
      <selection activeCell="F28" sqref="F28"/>
      <selection pane="topRight" activeCell="F28" sqref="F28"/>
      <selection pane="bottomLeft" activeCell="F28" sqref="F28"/>
      <selection pane="bottomRight" activeCell="O36" sqref="O36"/>
    </sheetView>
  </sheetViews>
  <sheetFormatPr defaultRowHeight="15"/>
  <cols>
    <col min="1" max="1" width="22.42578125" customWidth="1"/>
    <col min="2" max="2" width="30.42578125" customWidth="1"/>
    <col min="3" max="3" width="25.5703125" customWidth="1"/>
    <col min="4" max="4" width="17.85546875" customWidth="1"/>
    <col min="5" max="5" width="9.42578125" bestFit="1" customWidth="1"/>
    <col min="6" max="6" width="9.42578125" customWidth="1"/>
    <col min="8" max="8" width="32.140625" bestFit="1" customWidth="1"/>
    <col min="9" max="9" width="15.28515625" customWidth="1"/>
    <col min="10" max="10" width="15" customWidth="1"/>
    <col min="11" max="11" width="20.5703125" customWidth="1"/>
    <col min="12" max="12" width="26.140625" customWidth="1"/>
    <col min="13" max="13" width="12.42578125" bestFit="1" customWidth="1"/>
    <col min="14" max="14" width="11.85546875" bestFit="1" customWidth="1"/>
    <col min="15" max="15" width="11.42578125" bestFit="1" customWidth="1"/>
    <col min="16" max="16" width="26" bestFit="1" customWidth="1"/>
    <col min="17" max="17" width="14.5703125" bestFit="1" customWidth="1"/>
    <col min="18" max="18" width="11.42578125" bestFit="1" customWidth="1"/>
    <col min="19" max="19" width="10.5703125" customWidth="1"/>
    <col min="20" max="20" width="12.5703125" bestFit="1" customWidth="1"/>
    <col min="21" max="21" width="13.85546875" customWidth="1"/>
    <col min="22" max="22" width="14.5703125" bestFit="1" customWidth="1"/>
    <col min="23" max="23" width="9.5703125" bestFit="1" customWidth="1"/>
    <col min="25" max="25" width="13.5703125" customWidth="1"/>
    <col min="26" max="26" width="18.42578125" bestFit="1" customWidth="1"/>
    <col min="27" max="27" width="12.5703125" bestFit="1" customWidth="1"/>
    <col min="31" max="31" width="14.85546875" customWidth="1"/>
    <col min="32" max="32" width="16.28515625" customWidth="1"/>
    <col min="33" max="33" width="14.42578125" customWidth="1"/>
    <col min="34" max="34" width="18" customWidth="1"/>
  </cols>
  <sheetData>
    <row r="1" spans="1:28" ht="16.5" thickBot="1">
      <c r="A1" s="290"/>
      <c r="B1" s="291" t="s">
        <v>879</v>
      </c>
      <c r="C1" s="292" t="s">
        <v>880</v>
      </c>
      <c r="D1" s="290"/>
      <c r="E1" s="293" t="s">
        <v>881</v>
      </c>
      <c r="F1" s="293"/>
      <c r="G1" s="294" t="str">
        <f>C38</f>
        <v>Ml</v>
      </c>
      <c r="H1" s="295">
        <f>C39</f>
        <v>5000</v>
      </c>
      <c r="I1" s="293"/>
      <c r="J1" s="293"/>
      <c r="K1" s="290"/>
      <c r="L1" s="293"/>
      <c r="M1" s="290"/>
      <c r="N1" s="293"/>
      <c r="O1" s="290"/>
      <c r="P1" s="293"/>
      <c r="Q1" s="290"/>
      <c r="R1" s="293"/>
      <c r="S1" s="293"/>
      <c r="T1" s="290"/>
      <c r="U1" s="293"/>
      <c r="V1" s="290"/>
      <c r="W1" s="290"/>
      <c r="X1" s="290"/>
      <c r="Y1" s="290"/>
      <c r="Z1" s="290"/>
      <c r="AA1" s="290"/>
    </row>
    <row r="2" spans="1:28" ht="48" thickBot="1">
      <c r="A2" s="296" t="s">
        <v>180</v>
      </c>
      <c r="B2" s="296" t="s">
        <v>882</v>
      </c>
      <c r="C2" s="297" t="s">
        <v>181</v>
      </c>
      <c r="D2" s="297" t="s">
        <v>883</v>
      </c>
      <c r="E2" s="297" t="s">
        <v>182</v>
      </c>
      <c r="F2" s="297" t="s">
        <v>884</v>
      </c>
      <c r="G2" s="296" t="s">
        <v>885</v>
      </c>
      <c r="H2" s="297" t="s">
        <v>183</v>
      </c>
      <c r="I2" s="297" t="s">
        <v>184</v>
      </c>
      <c r="J2" s="297" t="s">
        <v>886</v>
      </c>
      <c r="K2" s="297" t="s">
        <v>185</v>
      </c>
      <c r="L2" s="297" t="s">
        <v>186</v>
      </c>
      <c r="M2" s="296" t="s">
        <v>58</v>
      </c>
      <c r="N2" s="297" t="s">
        <v>187</v>
      </c>
      <c r="O2" s="297" t="s">
        <v>188</v>
      </c>
      <c r="P2" s="297" t="s">
        <v>887</v>
      </c>
      <c r="Q2" s="298" t="s">
        <v>189</v>
      </c>
      <c r="R2" s="298" t="s">
        <v>888</v>
      </c>
      <c r="S2" s="298"/>
      <c r="T2" s="298" t="s">
        <v>889</v>
      </c>
      <c r="U2" s="290"/>
      <c r="W2" s="290" t="s">
        <v>890</v>
      </c>
      <c r="X2" s="290" t="s">
        <v>891</v>
      </c>
      <c r="Y2" s="290"/>
      <c r="Z2" s="290"/>
      <c r="AA2" s="290"/>
      <c r="AB2" s="290" t="s">
        <v>892</v>
      </c>
    </row>
    <row r="3" spans="1:28" ht="24.95" customHeight="1" thickBot="1">
      <c r="A3" s="913">
        <f>IF(C36="Laminate607",607,IF(C36="Laminate608",608,IF(C36="Laminate418",418,IF(C36="Laminate608W","608W",IF(C36="Laminate106",106,IF(C36="Laminate428",428,IF(C36="Laminate819",819,IF(C36="Laminate823",823,IF(C36="Laminate618",618,"Check")))))))))</f>
        <v>819</v>
      </c>
      <c r="B3" s="299" t="str">
        <f>IF(C3&lt;&gt;"","A","")</f>
        <v>A</v>
      </c>
      <c r="C3" s="300" t="str">
        <f>IF(C36="Laminate608W","Tipa302WFG",IF(C36="Laminate418","Tipa312Met",IF(C36="Laminate428","Tipa312Met",IF(C36="Laminate823","Tipa312Met","Tipa302FG"))))</f>
        <v>Tipa302FG</v>
      </c>
      <c r="D3" s="916">
        <f>IF(G1="Impression",B14,B18)</f>
        <v>760</v>
      </c>
      <c r="E3" s="932">
        <f>IF(OR(A3&lt;&gt;"608W",A3&lt;&gt;608),IF((K4-29)/D3&gt;6,D3*6,IF((K4-29)/D3&gt;5,D3*5,IF((K4-29)/D3&gt;4,D3*4,IF((K4-29)/D3&gt;3,D3*3,IF((K4-29)/D3&gt;2,D3*2,D3))))),MAX(750,IF((K4-29)/D3&gt;6,D3*6,IF((K4-29)/D3&gt;5,D3*5,IF((K4-29)/D3&gt;4,D3*4,IF((K4-29)/D3&gt;3,D3*3,IF((K4-29)/D3&gt;2,D3*2,D3)))))))</f>
        <v>760</v>
      </c>
      <c r="F3" s="919" t="str">
        <f>IF(G1="Impression",B15,"")</f>
        <v/>
      </c>
      <c r="G3" s="922" t="str">
        <f>C37</f>
        <v>FG</v>
      </c>
      <c r="H3" s="929">
        <f>IF(G1="Ml",H1,IF(G1="KG",(1/N8*ROUNDDOWN((K8-30)/D3,0))*H1,H1*F3/1000))</f>
        <v>5000</v>
      </c>
      <c r="I3" s="922" t="str">
        <f>C43</f>
        <v>Non PR</v>
      </c>
      <c r="J3" s="922">
        <f>C44</f>
        <v>0</v>
      </c>
      <c r="K3" s="301">
        <f>IF(OR(A3="608W",A3=608),E3+40*2,E3+50)</f>
        <v>810</v>
      </c>
      <c r="L3" s="302">
        <f>IF($AA$4=1,L8-SUM(L4:L5,3),L8-SUM(L4:L5,6))</f>
        <v>4</v>
      </c>
      <c r="M3" s="303">
        <f>VLOOKUP(C3,'[1]List of names'!L:N,3,0)</f>
        <v>1.25</v>
      </c>
      <c r="N3" s="304">
        <f>IF(C3="PAPER",42/1000*$K3/1000,M3*1000*(L3/1000000)*($K3/1000))</f>
        <v>4.0500000000000006E-3</v>
      </c>
      <c r="O3" s="305" t="e">
        <f>IF(E3&lt;950,'[1]Film -Summary'!Q35,'[1]Film -Summary'!Q35*1.25)</f>
        <v>#N/A</v>
      </c>
      <c r="P3" s="306">
        <f>VLOOKUP(C3,'[1]List of names'!$L$2:$M$10,2,FALSE)+Q32</f>
        <v>4.95</v>
      </c>
      <c r="Q3" s="307" t="e">
        <f>N3*(O3+P3)</f>
        <v>#N/A</v>
      </c>
      <c r="R3" s="308" t="e">
        <f>Q3*USD</f>
        <v>#N/A</v>
      </c>
      <c r="S3" s="308"/>
      <c r="T3" s="307" t="e">
        <f>(O3+P3)*N3/$N$8</f>
        <v>#N/A</v>
      </c>
      <c r="U3" s="290"/>
      <c r="W3" s="309">
        <f>Y3/X3</f>
        <v>0.10730880000000001</v>
      </c>
      <c r="X3" s="310">
        <f>IF(OR(A3="608W",A3=608),1/N8,1/N4)</f>
        <v>37.275600882686227</v>
      </c>
      <c r="Y3" s="311">
        <f>IF(OR(A3="608W",A3=608),Y11*Y10,IF(J3="1 to 4",Y7,Y8))</f>
        <v>4</v>
      </c>
      <c r="Z3" s="290" t="s">
        <v>893</v>
      </c>
      <c r="AA3" t="s">
        <v>894</v>
      </c>
      <c r="AB3" t="s">
        <v>895</v>
      </c>
    </row>
    <row r="4" spans="1:28" ht="30.6" customHeight="1">
      <c r="A4" s="914"/>
      <c r="B4" s="312" t="str">
        <f>IF(C4&lt;&gt;"","B","")</f>
        <v>B</v>
      </c>
      <c r="C4" s="313" t="str">
        <f>VLOOKUP(A3,'[1]List of names'!$F$2:$G$11,2,0)</f>
        <v>NKR</v>
      </c>
      <c r="D4" s="917"/>
      <c r="E4" s="933"/>
      <c r="F4" s="920"/>
      <c r="G4" s="923"/>
      <c r="H4" s="930"/>
      <c r="I4" s="923"/>
      <c r="J4" s="923"/>
      <c r="K4" s="301">
        <f>IF(D3&lt;300,D3*4+50,IF(D3&lt;400,D3*3+50,IF(D3&lt;600,D3*2+50,D3+50)))</f>
        <v>810</v>
      </c>
      <c r="L4" s="314" cm="1">
        <f t="array" ref="L4">IF(C4="NKR",23,IF(C4="NKME",20,IF(C4="Tipa312Met",25,NA)))</f>
        <v>23</v>
      </c>
      <c r="M4" s="303">
        <f>VLOOKUP(C4,'[1]List of names'!L:N,3,0)</f>
        <v>1.44</v>
      </c>
      <c r="N4" s="315">
        <f>IF(C4="PAPER",42/1000*$K4/1000,M4*1000*(L4/1000000)*($K4/1000))</f>
        <v>2.6827199999999999E-2</v>
      </c>
      <c r="O4" s="316">
        <f>VLOOKUP(C4,'[1]Raw material summary'!$I$10:$K$16,IF($K$3&lt;900,2,3),0)</f>
        <v>7.95</v>
      </c>
      <c r="P4" s="306">
        <f>VLOOKUP(C4,'[1]List of names'!$L$2:$M$7,2,FALSE)+Q32</f>
        <v>5.0999999999999996</v>
      </c>
      <c r="Q4" s="317">
        <f>N4*(O4+P4)</f>
        <v>0.35009496000000001</v>
      </c>
      <c r="R4" s="318">
        <f>Q4*USD</f>
        <v>0.38510445600000004</v>
      </c>
      <c r="S4" s="318"/>
      <c r="T4" s="317">
        <f>(O4+P4)*N4/$N$8</f>
        <v>5.0777255639097749</v>
      </c>
      <c r="U4" s="319"/>
      <c r="W4" s="320">
        <f>Y4/X4</f>
        <v>0.28957823999999999</v>
      </c>
      <c r="X4" s="319">
        <f>1/N8</f>
        <v>14.503852223150469</v>
      </c>
      <c r="Y4" s="311">
        <f>IF(OR(A3=608,A3="608W"),AA4*Y12*Y10,Y12*AA4*Y10)</f>
        <v>4.2</v>
      </c>
      <c r="Z4" s="290" t="s">
        <v>896</v>
      </c>
      <c r="AA4" s="321">
        <f>IF(OR(A3="608W",A3=608,A3=618,A3=418),1,2)</f>
        <v>2</v>
      </c>
      <c r="AB4">
        <v>2.5</v>
      </c>
    </row>
    <row r="5" spans="1:28" ht="15.6" customHeight="1">
      <c r="A5" s="914"/>
      <c r="B5" s="312" t="str">
        <f>IF(C5&lt;&gt;"","C","")</f>
        <v>C</v>
      </c>
      <c r="C5" s="322" t="str">
        <f>IF(VLOOKUP(A3,'[1]List of names'!F2:H11,3,FALSE)=0,"",VLOOKUP(A3,'[1]List of names'!F2:H11,3,FALSE))</f>
        <v>Paper</v>
      </c>
      <c r="D5" s="918"/>
      <c r="E5" s="934"/>
      <c r="F5" s="921"/>
      <c r="G5" s="924"/>
      <c r="H5" s="931"/>
      <c r="I5" s="924"/>
      <c r="J5" s="924"/>
      <c r="K5" s="323">
        <f>IF(D3&lt;300,D3*4+50,IF(D3&lt;400,D3*3+50,IF(D3&lt;600,D3*2+50,D3+50)))</f>
        <v>810</v>
      </c>
      <c r="L5" s="324">
        <f>IF(C5="","",IF(C5="NKR",23,IF(C5="NKME",20,IF(C5="Paper",67,IF(C5="PBAT",INDEX('[1]List of names'!$F$34:$F$40,MATCH($L$8,'[1]List of names'!$D$34:$D$40,0)),IF(C5="",0,"NA"))))))</f>
        <v>67</v>
      </c>
      <c r="M5" s="325">
        <f>IF(C5="",0,VLOOKUP(C5,'[1]List of names'!L2:N7,3,0))</f>
        <v>1</v>
      </c>
      <c r="N5" s="326">
        <f>IF(C5="","",IF(C5="PAPER",42/1000*$K5/1000,M5*1000*(L5/1000000)*($K5/1000)))</f>
        <v>3.4020000000000002E-2</v>
      </c>
      <c r="O5" s="316">
        <f>IF(C5="",0,VLOOKUP(C5,'[1]Raw material summary'!$I$10:$K$16,IF($K$3&lt;900,2,3),0))</f>
        <v>1.31</v>
      </c>
      <c r="P5" s="306">
        <f>IF(C5="",0,VLOOKUP(C5,'[1]List of names'!$L$2:$M$7,2,FALSE))</f>
        <v>0.3</v>
      </c>
      <c r="Q5" s="317">
        <f>IF(C5="","",N5*(O5+P5))</f>
        <v>5.4772200000000007E-2</v>
      </c>
      <c r="R5" s="318">
        <f>IF(C5="","",Q5*USD)</f>
        <v>6.0249420000000012E-2</v>
      </c>
      <c r="S5" s="318"/>
      <c r="T5" s="317">
        <f>IF(C5="","",(O5+P5)*N5/$N$8)</f>
        <v>0.79440789473684226</v>
      </c>
      <c r="U5" s="290"/>
      <c r="W5" s="309">
        <f>Y5/X5</f>
        <v>5.1710399999999997E-2</v>
      </c>
      <c r="X5" s="309">
        <f>1/N8</f>
        <v>14.503852223150469</v>
      </c>
      <c r="Y5" s="290">
        <v>0.75</v>
      </c>
      <c r="Z5" s="290" t="s">
        <v>897</v>
      </c>
    </row>
    <row r="6" spans="1:28" ht="15.75">
      <c r="A6" s="914"/>
      <c r="B6" s="327"/>
      <c r="C6" s="328" t="s">
        <v>898</v>
      </c>
      <c r="D6" s="328"/>
      <c r="E6" s="328"/>
      <c r="F6" s="328"/>
      <c r="G6" s="329"/>
      <c r="H6" s="329"/>
      <c r="I6" s="329"/>
      <c r="J6" s="329"/>
      <c r="K6" s="329"/>
      <c r="L6" s="329"/>
      <c r="M6" s="330"/>
      <c r="N6" s="331">
        <f>IF(A3=608,0,(K3/1000*0.0025*IF(B5="C",2,1)))</f>
        <v>4.0500000000000006E-3</v>
      </c>
      <c r="O6" s="316">
        <v>4.5</v>
      </c>
      <c r="P6" s="306">
        <f>0.2+Q32</f>
        <v>4.95</v>
      </c>
      <c r="Q6" s="317">
        <f>N6*(O6+P6)</f>
        <v>3.8272500000000001E-2</v>
      </c>
      <c r="R6" s="318">
        <f t="shared" ref="R6:R11" si="0">Q6*USD</f>
        <v>4.2099750000000005E-2</v>
      </c>
      <c r="S6" s="318"/>
      <c r="T6" s="317">
        <f>(O6+P6)*N6/$N$8</f>
        <v>0.55509868421052633</v>
      </c>
      <c r="U6" s="332"/>
      <c r="W6" s="309"/>
      <c r="X6" s="290"/>
      <c r="Y6" s="290"/>
      <c r="Z6" s="290"/>
    </row>
    <row r="7" spans="1:28" ht="16.5" thickBot="1">
      <c r="A7" s="915"/>
      <c r="B7" s="333"/>
      <c r="C7" s="334" t="s">
        <v>899</v>
      </c>
      <c r="D7" s="334"/>
      <c r="E7" s="334"/>
      <c r="F7" s="334"/>
      <c r="G7" s="335"/>
      <c r="H7" s="335"/>
      <c r="I7" s="335"/>
      <c r="J7" s="335"/>
      <c r="K7" s="335"/>
      <c r="L7" s="335"/>
      <c r="M7" s="336"/>
      <c r="N7" s="337"/>
      <c r="O7" s="316"/>
      <c r="P7" s="306"/>
      <c r="Q7" s="338">
        <f>N7*(O7+P7)</f>
        <v>0</v>
      </c>
      <c r="R7" s="339">
        <f t="shared" si="0"/>
        <v>0</v>
      </c>
      <c r="S7" s="339"/>
      <c r="T7" s="338">
        <f>(O7+P7)*N7/$N$8</f>
        <v>0</v>
      </c>
      <c r="U7" s="290"/>
      <c r="W7" s="290"/>
      <c r="X7" s="309"/>
      <c r="Y7" s="309">
        <v>3.5</v>
      </c>
      <c r="Z7" s="290" t="s">
        <v>900</v>
      </c>
    </row>
    <row r="8" spans="1:28" ht="19.5" thickBot="1">
      <c r="A8" s="290">
        <f>A3</f>
        <v>819</v>
      </c>
      <c r="B8" s="39"/>
      <c r="C8" s="39">
        <f>COUNTA(C3:C5)</f>
        <v>3</v>
      </c>
      <c r="D8" s="39"/>
      <c r="E8" s="39">
        <f>COUNTIF(C3:C5,"")</f>
        <v>0</v>
      </c>
      <c r="F8" s="39"/>
      <c r="G8" s="39" t="s">
        <v>901</v>
      </c>
      <c r="H8" s="39">
        <f>H3/(ROUNDDOWN(K3/D3,0))</f>
        <v>5000</v>
      </c>
      <c r="I8" s="340"/>
      <c r="J8" s="340"/>
      <c r="K8" s="341">
        <f>SUMPRODUCT(K3:K5,L3:L5)/IF(AA4=1,($L$8-3),($L$8-6))</f>
        <v>810</v>
      </c>
      <c r="L8" s="342">
        <f>C45</f>
        <v>100</v>
      </c>
      <c r="M8" s="340"/>
      <c r="N8" s="343">
        <f>SUM(N3:N7)</f>
        <v>6.89472E-2</v>
      </c>
      <c r="O8" s="340"/>
      <c r="P8" s="344" t="s">
        <v>902</v>
      </c>
      <c r="Q8" s="345" t="e">
        <f>SUM(Q3:Q7)</f>
        <v>#N/A</v>
      </c>
      <c r="R8" s="346" t="e">
        <f t="shared" si="0"/>
        <v>#N/A</v>
      </c>
      <c r="S8" s="346"/>
      <c r="T8" s="345" t="e">
        <f>SUM(T3:T7)</f>
        <v>#N/A</v>
      </c>
      <c r="U8" s="290"/>
      <c r="Y8">
        <v>4</v>
      </c>
      <c r="Z8" s="290" t="s">
        <v>903</v>
      </c>
    </row>
    <row r="9" spans="1:28" ht="16.5" thickBot="1">
      <c r="A9" s="290"/>
      <c r="B9" s="340"/>
      <c r="C9" s="290"/>
      <c r="D9" s="290"/>
      <c r="E9" s="290">
        <f>IF(OR((680-D3*1)&lt;120,AND((680-D3*2)&lt;120,(680-D3*2)&gt;0),AND((680-D3*3)&lt;120,(680-D3*3)&gt;0)),680,0)</f>
        <v>680</v>
      </c>
      <c r="F9" s="290"/>
      <c r="G9" s="340"/>
      <c r="H9" s="340"/>
      <c r="I9" s="340"/>
      <c r="J9" s="340"/>
      <c r="K9" s="340"/>
      <c r="L9">
        <f>K3*L3+K4*L4</f>
        <v>21870</v>
      </c>
      <c r="O9" s="340"/>
      <c r="P9" s="347" t="s">
        <v>291</v>
      </c>
      <c r="Q9" s="348">
        <f>0.06</f>
        <v>0.06</v>
      </c>
      <c r="R9" s="349">
        <f t="shared" si="0"/>
        <v>6.6000000000000003E-2</v>
      </c>
      <c r="S9" s="350"/>
      <c r="T9" s="351">
        <f>+Y4</f>
        <v>4.2</v>
      </c>
      <c r="U9" s="290"/>
    </row>
    <row r="10" spans="1:28" ht="16.5" thickBot="1">
      <c r="A10" s="290"/>
      <c r="B10" s="352">
        <v>4</v>
      </c>
      <c r="C10" s="353" t="s">
        <v>167</v>
      </c>
      <c r="D10" s="340"/>
      <c r="E10" s="290">
        <f>IF(680-D3*1&lt;120,680,0)</f>
        <v>680</v>
      </c>
      <c r="F10" s="340" t="str">
        <f>IF(C5="NKR",19,IF(C5="NKME",20,IF(C5="",0,"NA")))</f>
        <v>NA</v>
      </c>
      <c r="G10" s="340"/>
      <c r="H10" s="340"/>
      <c r="I10" s="340"/>
      <c r="J10" s="340"/>
      <c r="K10" s="354">
        <f>IF(OR(A3=607,A3=608),'[1]SDR price list'!Y5,'[1]SDR price list'!Y21)</f>
        <v>910</v>
      </c>
      <c r="L10" s="355"/>
      <c r="M10" s="355"/>
      <c r="N10" s="340"/>
      <c r="O10" s="340"/>
      <c r="P10" s="347" t="s">
        <v>827</v>
      </c>
      <c r="Q10" s="356">
        <f>W5</f>
        <v>5.1710399999999997E-2</v>
      </c>
      <c r="R10" s="349">
        <f t="shared" si="0"/>
        <v>5.6881439999999998E-2</v>
      </c>
      <c r="S10" s="350"/>
      <c r="T10" s="357">
        <f>Y5</f>
        <v>0.75</v>
      </c>
      <c r="U10" s="290"/>
      <c r="Y10">
        <f>IF(L19&lt;300,2,IF(L19&lt;750,1.75,IF(L19&lt;1500,1.5,1)))</f>
        <v>1.75</v>
      </c>
      <c r="Z10" t="s">
        <v>904</v>
      </c>
      <c r="AB10" s="290"/>
    </row>
    <row r="11" spans="1:28" ht="16.5" thickBot="1">
      <c r="A11" s="290"/>
      <c r="B11" s="352">
        <v>3.6</v>
      </c>
      <c r="C11" s="353" t="s">
        <v>292</v>
      </c>
      <c r="D11" s="340"/>
      <c r="E11" s="340"/>
      <c r="F11" s="340"/>
      <c r="G11" s="340"/>
      <c r="I11" s="340"/>
      <c r="J11" s="340"/>
      <c r="K11" s="340"/>
      <c r="M11" s="355"/>
      <c r="N11" s="358"/>
      <c r="O11" s="340"/>
      <c r="P11" s="347" t="s">
        <v>293</v>
      </c>
      <c r="Q11" s="359">
        <f>87.8/1000</f>
        <v>8.7800000000000003E-2</v>
      </c>
      <c r="R11" s="349">
        <f t="shared" si="0"/>
        <v>9.6580000000000013E-2</v>
      </c>
      <c r="S11" s="350"/>
      <c r="T11" s="357">
        <f>IF(I3="PR",Y3*N4/N8,0)</f>
        <v>0</v>
      </c>
      <c r="U11" s="290"/>
      <c r="Y11" s="360">
        <v>2.5</v>
      </c>
      <c r="Z11" s="360" t="s">
        <v>905</v>
      </c>
      <c r="AA11" s="361" t="s">
        <v>906</v>
      </c>
      <c r="AB11" s="290"/>
    </row>
    <row r="12" spans="1:28" ht="16.5" thickBot="1">
      <c r="A12" s="290"/>
      <c r="B12" s="290"/>
      <c r="D12" t="e">
        <f>IF(C36=OR("Laminate418","Laminate428","Laminate823"),"Tipa312Met")</f>
        <v>#VALUE!</v>
      </c>
      <c r="G12" s="340"/>
      <c r="I12" s="362"/>
      <c r="J12" s="362"/>
      <c r="K12" s="340"/>
      <c r="L12" s="340"/>
      <c r="M12" s="340"/>
      <c r="N12" s="358">
        <f>100*N8</f>
        <v>6.8947200000000004</v>
      </c>
      <c r="O12" s="340"/>
      <c r="P12" s="363" t="s">
        <v>907</v>
      </c>
      <c r="Q12" s="364" t="e">
        <f>SUM(Q8:Q11)</f>
        <v>#N/A</v>
      </c>
      <c r="R12" s="365" t="e">
        <f>SUM(R8:R11)</f>
        <v>#N/A</v>
      </c>
      <c r="S12" s="365"/>
      <c r="T12" s="364" t="e">
        <f>SUM(T8:T11)</f>
        <v>#N/A</v>
      </c>
      <c r="U12" s="290"/>
      <c r="Y12" s="360">
        <v>1.2</v>
      </c>
      <c r="Z12" s="360" t="s">
        <v>908</v>
      </c>
      <c r="AA12" s="361"/>
      <c r="AB12" s="290"/>
    </row>
    <row r="13" spans="1:28" ht="19.5" thickBot="1">
      <c r="A13" s="366" t="s">
        <v>909</v>
      </c>
      <c r="B13" s="367"/>
      <c r="C13" s="368"/>
      <c r="D13" s="368"/>
      <c r="E13" s="368"/>
      <c r="F13" s="368"/>
      <c r="G13" s="369"/>
      <c r="H13" s="340" t="s">
        <v>910</v>
      </c>
      <c r="I13" s="927" t="s">
        <v>911</v>
      </c>
      <c r="J13" s="370"/>
      <c r="K13" s="371" t="s">
        <v>912</v>
      </c>
      <c r="L13" s="372" t="e">
        <f>$Q13/ROUNDDOWN((K8-30)/D3,0)</f>
        <v>#N/A</v>
      </c>
      <c r="M13" s="373" t="e">
        <f>L13*$B$10/$B$11</f>
        <v>#N/A</v>
      </c>
      <c r="O13" s="340"/>
      <c r="P13" s="374" t="s">
        <v>913</v>
      </c>
      <c r="Q13" s="375" t="e">
        <f>Q8*(1+Q17)+SUM(Q9:Q11)</f>
        <v>#N/A</v>
      </c>
      <c r="R13" s="376" t="e">
        <f>R12*(1.1)</f>
        <v>#N/A</v>
      </c>
      <c r="S13" s="377"/>
      <c r="T13" s="375" t="e">
        <f>T8*(1+Q17)+SUM(T9:T11)</f>
        <v>#N/A</v>
      </c>
      <c r="U13" s="340"/>
      <c r="AB13" s="340"/>
    </row>
    <row r="14" spans="1:28" ht="19.5" thickBot="1">
      <c r="A14" s="340" t="s">
        <v>226</v>
      </c>
      <c r="B14" s="378">
        <f>C40</f>
        <v>760</v>
      </c>
      <c r="C14" s="366" t="s">
        <v>914</v>
      </c>
      <c r="D14" s="340"/>
      <c r="E14" s="340"/>
      <c r="F14" s="340"/>
      <c r="G14" s="340"/>
      <c r="H14" s="379">
        <v>0.2</v>
      </c>
      <c r="I14" s="928"/>
      <c r="J14" s="380"/>
      <c r="K14" s="381" t="s">
        <v>915</v>
      </c>
      <c r="L14" s="382" t="e">
        <f>$L13*$L22*K8/E3</f>
        <v>#N/A</v>
      </c>
      <c r="M14" s="373" t="e">
        <f>L14*$B$10/$B$11</f>
        <v>#N/A</v>
      </c>
      <c r="O14" s="340"/>
      <c r="R14" s="340"/>
      <c r="S14" s="340"/>
      <c r="T14" s="383" t="e">
        <f>T13*(K8/E3)</f>
        <v>#N/A</v>
      </c>
      <c r="U14" s="340"/>
      <c r="AB14" s="340"/>
    </row>
    <row r="15" spans="1:28" ht="19.5" thickBot="1">
      <c r="A15" s="340" t="s">
        <v>916</v>
      </c>
      <c r="B15" s="378">
        <v>110</v>
      </c>
      <c r="C15" s="366" t="s">
        <v>917</v>
      </c>
      <c r="D15" s="340"/>
      <c r="E15" s="340"/>
      <c r="F15" s="340"/>
      <c r="G15" s="369"/>
      <c r="H15" s="290"/>
      <c r="I15" s="927" t="s">
        <v>918</v>
      </c>
      <c r="J15" s="370"/>
      <c r="K15" s="384" t="s">
        <v>919</v>
      </c>
      <c r="L15" s="385" t="e">
        <f>$L13/(1-$H14)</f>
        <v>#N/A</v>
      </c>
      <c r="M15" s="373" t="e">
        <f>L15*$B$10/$B$11</f>
        <v>#N/A</v>
      </c>
      <c r="N15" s="290"/>
      <c r="O15" s="290"/>
      <c r="Q15" s="386"/>
      <c r="R15" s="290"/>
      <c r="S15" s="290"/>
      <c r="T15" s="290"/>
      <c r="U15" s="290"/>
      <c r="X15" t="s">
        <v>920</v>
      </c>
      <c r="Y15" s="290" t="s">
        <v>69</v>
      </c>
      <c r="AB15" s="290"/>
    </row>
    <row r="16" spans="1:28" ht="19.5" thickBot="1">
      <c r="A16" s="290"/>
      <c r="B16" s="290"/>
      <c r="C16" s="290"/>
      <c r="D16" s="290"/>
      <c r="E16" s="290"/>
      <c r="F16" s="290"/>
      <c r="G16" s="290"/>
      <c r="H16" s="290"/>
      <c r="I16" s="928"/>
      <c r="J16" s="380"/>
      <c r="K16" s="387" t="s">
        <v>921</v>
      </c>
      <c r="L16" s="388" t="e">
        <f>L14/(1-H14)</f>
        <v>#N/A</v>
      </c>
      <c r="M16" s="373" t="e">
        <f>L16*$B$10/$B$11</f>
        <v>#N/A</v>
      </c>
      <c r="N16" s="290"/>
      <c r="O16" s="290"/>
      <c r="P16" s="340"/>
      <c r="Q16" s="290"/>
      <c r="R16" s="290"/>
      <c r="S16" s="290"/>
      <c r="T16" s="389" t="e">
        <f>T8/T12</f>
        <v>#N/A</v>
      </c>
      <c r="X16" s="390">
        <f>$H$8*N3</f>
        <v>20.250000000000004</v>
      </c>
      <c r="Y16" s="391" t="e">
        <f>X16*(O3+P3)</f>
        <v>#N/A</v>
      </c>
      <c r="AB16" s="392" t="s">
        <v>922</v>
      </c>
    </row>
    <row r="17" spans="1:28">
      <c r="A17" s="290" t="s">
        <v>923</v>
      </c>
      <c r="B17" s="290"/>
      <c r="C17" s="290"/>
      <c r="D17" s="290"/>
      <c r="E17" s="290"/>
      <c r="F17" s="290"/>
      <c r="G17" s="290"/>
      <c r="H17" s="290"/>
      <c r="I17" s="290"/>
      <c r="J17" s="290"/>
      <c r="K17" s="290"/>
      <c r="L17" s="290"/>
      <c r="M17" s="290"/>
      <c r="N17" s="290"/>
      <c r="O17" s="290"/>
      <c r="P17" s="393" t="s">
        <v>924</v>
      </c>
      <c r="Q17" s="394">
        <f>IF(A3=607,(D24*L4/L8+D23+D27*H8)/H8,(D24*L4/L8+D23+D22*0.8+D27*H8)/H8)</f>
        <v>0.186</v>
      </c>
      <c r="R17" s="290"/>
      <c r="S17" s="290"/>
      <c r="T17" s="290"/>
      <c r="X17" s="390">
        <f>$H$8*N4</f>
        <v>134.136</v>
      </c>
      <c r="Y17" s="391">
        <f>X17*(O4+P4)</f>
        <v>1750.4748</v>
      </c>
      <c r="AB17" s="290"/>
    </row>
    <row r="18" spans="1:28">
      <c r="A18" s="340" t="s">
        <v>226</v>
      </c>
      <c r="B18" s="378">
        <f>C40</f>
        <v>760</v>
      </c>
      <c r="C18" s="366" t="s">
        <v>925</v>
      </c>
      <c r="D18" s="340"/>
      <c r="E18" s="340"/>
      <c r="F18" s="340"/>
      <c r="G18" s="340"/>
      <c r="H18" s="340"/>
      <c r="I18" s="340"/>
      <c r="J18" s="340"/>
      <c r="K18" t="s">
        <v>926</v>
      </c>
      <c r="L18" s="117">
        <f>L19*L4/L8</f>
        <v>79.289280000000005</v>
      </c>
      <c r="M18" s="395"/>
      <c r="N18" s="340"/>
      <c r="O18" s="340"/>
      <c r="P18" s="393" t="s">
        <v>927</v>
      </c>
      <c r="Q18" s="396">
        <f>IF(C5="",(D23+D27*H8)/H8,(D23+D22*0.8+D27*H8)/H8)</f>
        <v>0.14000000000000001</v>
      </c>
      <c r="R18" s="290"/>
      <c r="S18" s="290"/>
      <c r="T18" s="290"/>
      <c r="X18" s="390">
        <f>$H$8*N5</f>
        <v>170.1</v>
      </c>
      <c r="Y18" s="391">
        <f>X18*(O5+P5)</f>
        <v>273.86099999999999</v>
      </c>
      <c r="AB18" s="290"/>
    </row>
    <row r="19" spans="1:28">
      <c r="A19" s="340" t="s">
        <v>916</v>
      </c>
      <c r="B19" s="397">
        <f>C42</f>
        <v>0</v>
      </c>
      <c r="C19" s="366" t="s">
        <v>928</v>
      </c>
      <c r="D19" s="340"/>
      <c r="E19" s="340"/>
      <c r="F19" s="340"/>
      <c r="G19" s="340"/>
      <c r="H19" s="340"/>
      <c r="I19" s="340"/>
      <c r="J19" s="340"/>
      <c r="K19" s="398" t="s">
        <v>929</v>
      </c>
      <c r="L19" s="399">
        <f>N8/ROUNDDOWN((K8-29)/D3,0)*H3</f>
        <v>344.73599999999999</v>
      </c>
      <c r="M19" s="400">
        <f>+L19*N3/N8</f>
        <v>20.250000000000004</v>
      </c>
      <c r="N19" s="395"/>
      <c r="O19" s="340"/>
      <c r="Q19" s="396"/>
      <c r="R19" s="290"/>
      <c r="S19" s="290"/>
      <c r="T19" s="290"/>
      <c r="X19" s="390">
        <f>$H$8*N6</f>
        <v>20.250000000000004</v>
      </c>
      <c r="Y19" s="391">
        <f>X19*(O6+P6)</f>
        <v>191.36250000000001</v>
      </c>
      <c r="AB19" s="290"/>
    </row>
    <row r="20" spans="1:28">
      <c r="A20" s="290"/>
      <c r="B20" s="340"/>
      <c r="C20" s="340"/>
      <c r="D20" s="340"/>
      <c r="E20" s="340"/>
      <c r="F20" s="340"/>
      <c r="G20" s="340"/>
      <c r="H20" s="340"/>
      <c r="I20" s="340"/>
      <c r="J20" s="340"/>
      <c r="K20" s="401" t="s">
        <v>930</v>
      </c>
      <c r="L20" s="402">
        <f>N8/ROUNDDOWN(K8/D3,0)*(E3/K8)*H1</f>
        <v>323.45599999999996</v>
      </c>
      <c r="M20" s="340"/>
      <c r="N20" s="340"/>
      <c r="O20" s="340"/>
      <c r="Q20" s="396"/>
      <c r="R20" s="290"/>
      <c r="S20" s="290"/>
      <c r="T20" s="290"/>
      <c r="X20" s="403">
        <f>$H$8*N7</f>
        <v>0</v>
      </c>
      <c r="Y20" s="404">
        <f>X20*O7</f>
        <v>0</v>
      </c>
      <c r="AB20" s="290"/>
    </row>
    <row r="21" spans="1:28">
      <c r="A21" s="405" t="s">
        <v>931</v>
      </c>
      <c r="B21" s="290"/>
      <c r="C21" s="290" t="s">
        <v>932</v>
      </c>
      <c r="D21" s="290" t="s">
        <v>933</v>
      </c>
      <c r="E21" s="290"/>
      <c r="F21" s="340"/>
      <c r="G21" s="340"/>
      <c r="H21" s="340"/>
      <c r="I21" s="340"/>
      <c r="J21" s="340"/>
      <c r="K21" s="406" t="s">
        <v>934</v>
      </c>
      <c r="L21" s="407">
        <f>1/N8</f>
        <v>14.503852223150469</v>
      </c>
      <c r="M21" s="340"/>
      <c r="N21" s="340"/>
      <c r="O21" s="340"/>
      <c r="P21" s="340"/>
      <c r="Q21" s="290"/>
      <c r="R21" s="290"/>
      <c r="S21" s="290"/>
      <c r="T21" s="290"/>
      <c r="X21" s="390">
        <f>SUM(X16:X20)</f>
        <v>344.73599999999999</v>
      </c>
      <c r="Y21" s="391" t="e">
        <f>SUM(Y16:Y20)</f>
        <v>#N/A</v>
      </c>
      <c r="AB21" s="290"/>
    </row>
    <row r="22" spans="1:28">
      <c r="A22" s="290" t="s">
        <v>935</v>
      </c>
      <c r="B22" s="408">
        <v>1000</v>
      </c>
      <c r="C22" s="290">
        <v>4</v>
      </c>
      <c r="D22" s="290">
        <f>B22/C22</f>
        <v>250</v>
      </c>
      <c r="E22" s="290"/>
      <c r="F22" s="340"/>
      <c r="G22" s="340"/>
      <c r="H22" s="340"/>
      <c r="I22" s="340"/>
      <c r="J22" s="340"/>
      <c r="K22" s="406" t="s">
        <v>936</v>
      </c>
      <c r="L22" s="409">
        <f>1/N8*ROUNDDOWN(K8/D3,0)</f>
        <v>14.503852223150469</v>
      </c>
      <c r="M22" s="340"/>
      <c r="N22" s="340"/>
      <c r="O22" s="340"/>
      <c r="P22" s="340" t="s">
        <v>937</v>
      </c>
      <c r="Q22" s="340">
        <f>ROUNDDOWN(K3/D3,0)*1000/B15</f>
        <v>9.0909090909090917</v>
      </c>
      <c r="R22" s="290"/>
      <c r="S22" s="290"/>
      <c r="T22" s="290"/>
      <c r="X22" s="290" t="s">
        <v>938</v>
      </c>
      <c r="Y22" t="e">
        <f>+(K3/E3*T13-T13)*L19</f>
        <v>#N/A</v>
      </c>
      <c r="AB22" s="290"/>
    </row>
    <row r="23" spans="1:28">
      <c r="A23" s="290" t="s">
        <v>939</v>
      </c>
      <c r="B23" s="408">
        <v>1000</v>
      </c>
      <c r="C23" s="290">
        <v>4</v>
      </c>
      <c r="D23" s="290">
        <f>B23/C23</f>
        <v>250</v>
      </c>
      <c r="E23" s="340"/>
      <c r="F23" s="340"/>
      <c r="G23" s="340"/>
      <c r="H23" s="340" t="s">
        <v>940</v>
      </c>
      <c r="I23" s="340"/>
      <c r="J23" s="340"/>
      <c r="K23" s="340"/>
      <c r="L23" s="340"/>
      <c r="M23" s="340"/>
      <c r="N23" s="340"/>
      <c r="O23" s="340"/>
      <c r="P23" s="290" t="s">
        <v>941</v>
      </c>
      <c r="Q23" s="410" t="e">
        <f>Q13/Q22</f>
        <v>#N/A</v>
      </c>
      <c r="R23" s="290"/>
      <c r="S23" s="290"/>
      <c r="T23" s="290"/>
      <c r="X23" s="290" t="s">
        <v>942</v>
      </c>
      <c r="Y23" s="391">
        <f>X21*SUM(T9:T11)</f>
        <v>1706.4431999999999</v>
      </c>
      <c r="AB23" s="290"/>
    </row>
    <row r="24" spans="1:28">
      <c r="A24" s="290" t="s">
        <v>943</v>
      </c>
      <c r="B24" s="340">
        <v>1000</v>
      </c>
      <c r="C24" s="340">
        <v>1</v>
      </c>
      <c r="D24" s="290">
        <f>B24/C24</f>
        <v>1000</v>
      </c>
      <c r="E24" s="340"/>
      <c r="F24" s="340"/>
      <c r="G24" s="340"/>
      <c r="H24" s="411"/>
      <c r="I24" s="925" t="s">
        <v>944</v>
      </c>
      <c r="J24" s="925"/>
      <c r="K24" s="925" t="s">
        <v>165</v>
      </c>
      <c r="L24" s="925"/>
      <c r="M24" s="340"/>
      <c r="N24" s="340"/>
      <c r="O24" s="340"/>
      <c r="P24" s="340" t="s">
        <v>945</v>
      </c>
      <c r="Q24" s="413" t="e">
        <f>Q23*1.25</f>
        <v>#N/A</v>
      </c>
      <c r="R24" s="414" t="e">
        <f>Q24*1.16</f>
        <v>#N/A</v>
      </c>
      <c r="S24" s="290"/>
      <c r="T24" s="290"/>
      <c r="X24" s="290" t="s">
        <v>294</v>
      </c>
      <c r="Y24" s="404" t="e">
        <f>IF(C43="PR",Y21*Q17,Y21*Q18)</f>
        <v>#N/A</v>
      </c>
      <c r="AB24" s="290"/>
    </row>
    <row r="25" spans="1:28">
      <c r="A25" s="290" t="s">
        <v>946</v>
      </c>
      <c r="B25" s="340">
        <v>50</v>
      </c>
      <c r="C25" s="340" t="s">
        <v>947</v>
      </c>
      <c r="D25" s="340"/>
      <c r="E25" s="340"/>
      <c r="F25" s="340"/>
      <c r="G25" s="340"/>
      <c r="H25" s="415"/>
      <c r="I25" s="415" t="s">
        <v>948</v>
      </c>
      <c r="J25" s="415" t="s">
        <v>949</v>
      </c>
      <c r="K25" s="415" t="s">
        <v>948</v>
      </c>
      <c r="L25" s="415" t="s">
        <v>949</v>
      </c>
      <c r="M25" s="340"/>
      <c r="N25" s="340"/>
      <c r="O25" s="340"/>
      <c r="P25" s="340"/>
      <c r="Q25" s="290"/>
      <c r="R25" s="290"/>
      <c r="S25" s="290"/>
      <c r="T25" s="290"/>
      <c r="X25" t="s">
        <v>69</v>
      </c>
      <c r="Y25" s="391" t="e">
        <f>SUM(Y21:Y24)</f>
        <v>#N/A</v>
      </c>
      <c r="AB25" s="290"/>
    </row>
    <row r="26" spans="1:28">
      <c r="A26" s="290" t="s">
        <v>950</v>
      </c>
      <c r="B26" s="340">
        <v>500</v>
      </c>
      <c r="C26" s="340" t="s">
        <v>951</v>
      </c>
      <c r="D26" s="340"/>
      <c r="E26" s="340"/>
      <c r="H26" s="415" t="s">
        <v>952</v>
      </c>
      <c r="I26" s="416" t="e">
        <f>L13</f>
        <v>#N/A</v>
      </c>
      <c r="J26" s="417" t="e">
        <f>L15</f>
        <v>#N/A</v>
      </c>
      <c r="K26" s="418" t="e">
        <f>I26*$O$29</f>
        <v>#N/A</v>
      </c>
      <c r="L26" s="418" t="e">
        <f t="shared" ref="L26:L27" si="1">J26*$O$29</f>
        <v>#N/A</v>
      </c>
      <c r="O26" s="419"/>
      <c r="P26" s="420" t="s">
        <v>953</v>
      </c>
      <c r="Q26" s="421">
        <f>IF(C36="Laminate608",750/N8*(E3/D3),500/N8*(E3/D3))</f>
        <v>7251.9261115752342</v>
      </c>
      <c r="X26" t="s">
        <v>954</v>
      </c>
      <c r="Y26" s="391" t="e">
        <f>C50</f>
        <v>#N/A</v>
      </c>
    </row>
    <row r="27" spans="1:28">
      <c r="A27" s="290" t="s">
        <v>955</v>
      </c>
      <c r="B27" s="422">
        <v>0.1</v>
      </c>
      <c r="C27" s="340" t="s">
        <v>956</v>
      </c>
      <c r="D27" s="422">
        <v>0.05</v>
      </c>
      <c r="E27" s="422"/>
      <c r="H27" s="412" t="s">
        <v>957</v>
      </c>
      <c r="I27" s="417" t="e">
        <f>L14</f>
        <v>#N/A</v>
      </c>
      <c r="J27" s="417" t="e">
        <f>L16</f>
        <v>#N/A</v>
      </c>
      <c r="K27" s="418" t="e">
        <f t="shared" ref="K27" si="2">I27*$O$29</f>
        <v>#N/A</v>
      </c>
      <c r="L27" s="418" t="e">
        <f t="shared" si="1"/>
        <v>#N/A</v>
      </c>
      <c r="X27" s="423" t="s">
        <v>127</v>
      </c>
      <c r="Y27" s="424" t="e">
        <f>Y26-Y25</f>
        <v>#N/A</v>
      </c>
    </row>
    <row r="28" spans="1:28">
      <c r="O28" t="s">
        <v>958</v>
      </c>
      <c r="X28" s="425"/>
      <c r="Y28" s="426" t="e">
        <f>Y27/Y26</f>
        <v>#N/A</v>
      </c>
    </row>
    <row r="29" spans="1:28">
      <c r="A29" s="427"/>
      <c r="B29" s="427"/>
      <c r="C29" s="427"/>
      <c r="D29" s="427"/>
      <c r="E29" s="427"/>
      <c r="F29" s="427"/>
      <c r="G29" s="427"/>
      <c r="H29" t="s">
        <v>959</v>
      </c>
      <c r="O29" s="428">
        <v>1.17</v>
      </c>
    </row>
    <row r="30" spans="1:28">
      <c r="A30" s="427"/>
      <c r="B30" s="427"/>
      <c r="C30" s="427"/>
      <c r="D30" s="427"/>
      <c r="E30" s="427"/>
      <c r="F30" s="427"/>
      <c r="G30" s="427"/>
    </row>
    <row r="31" spans="1:28">
      <c r="A31" s="427"/>
      <c r="B31" s="427"/>
      <c r="C31" s="427"/>
      <c r="D31" s="427"/>
      <c r="E31" s="427"/>
      <c r="F31" s="427"/>
      <c r="G31" s="427"/>
      <c r="H31" s="411"/>
      <c r="I31" s="925" t="s">
        <v>944</v>
      </c>
      <c r="J31" s="925"/>
      <c r="K31" s="925" t="s">
        <v>165</v>
      </c>
      <c r="L31" s="925"/>
    </row>
    <row r="32" spans="1:28" ht="21">
      <c r="A32" s="427"/>
      <c r="B32" s="429" t="s">
        <v>960</v>
      </c>
      <c r="C32" s="430" t="s">
        <v>961</v>
      </c>
      <c r="D32" s="427"/>
      <c r="E32" s="427"/>
      <c r="F32" s="427"/>
      <c r="G32" s="431">
        <f>H14</f>
        <v>0.2</v>
      </c>
      <c r="H32" s="415"/>
      <c r="I32" s="415" t="s">
        <v>948</v>
      </c>
      <c r="J32" s="415" t="s">
        <v>949</v>
      </c>
      <c r="K32" s="415" t="s">
        <v>948</v>
      </c>
      <c r="L32" s="415" t="s">
        <v>949</v>
      </c>
      <c r="P32" t="s">
        <v>962</v>
      </c>
      <c r="Q32">
        <f>IF(L20&lt;1000,2.5,IF(L20&lt;3000,2,1.5))+15*0.15</f>
        <v>4.75</v>
      </c>
    </row>
    <row r="33" spans="1:15" ht="21">
      <c r="A33" s="427"/>
      <c r="B33" s="429" t="s">
        <v>963</v>
      </c>
      <c r="C33" s="430" t="s">
        <v>964</v>
      </c>
      <c r="D33" s="427"/>
      <c r="E33" s="427"/>
      <c r="F33" s="427"/>
      <c r="G33" s="427"/>
      <c r="H33" s="415" t="s">
        <v>952</v>
      </c>
      <c r="I33" s="416" t="e">
        <f>(Q8*(1+Q18)+SUM(Q9:Q11))/ROUNDDOWN((K3-30)/D3,0)</f>
        <v>#N/A</v>
      </c>
      <c r="J33" s="417" t="e">
        <f>I33/(1-$G$32)</f>
        <v>#N/A</v>
      </c>
      <c r="K33" s="418" t="e">
        <f t="shared" ref="K33:L34" si="3">I33*$O$29</f>
        <v>#N/A</v>
      </c>
      <c r="L33" s="418" t="e">
        <f t="shared" si="3"/>
        <v>#N/A</v>
      </c>
    </row>
    <row r="34" spans="1:15" ht="21">
      <c r="A34" s="427"/>
      <c r="B34" s="429" t="s">
        <v>965</v>
      </c>
      <c r="C34" s="430" t="s">
        <v>966</v>
      </c>
      <c r="D34" s="427"/>
      <c r="E34" s="427"/>
      <c r="F34" s="427"/>
      <c r="G34" s="427"/>
      <c r="H34" s="412" t="s">
        <v>957</v>
      </c>
      <c r="I34" s="417" t="e">
        <f>$I33*$L22*K8/E3</f>
        <v>#N/A</v>
      </c>
      <c r="J34" s="417" t="e">
        <f>I34/(1-$G$32)</f>
        <v>#N/A</v>
      </c>
      <c r="K34" s="418" t="e">
        <f t="shared" si="3"/>
        <v>#N/A</v>
      </c>
      <c r="L34" s="418" t="e">
        <f t="shared" si="3"/>
        <v>#N/A</v>
      </c>
    </row>
    <row r="35" spans="1:15" ht="15.75" thickBot="1">
      <c r="A35" s="427"/>
      <c r="B35" s="427"/>
      <c r="C35" s="427"/>
      <c r="D35" s="427"/>
      <c r="E35" s="427"/>
      <c r="F35" s="427"/>
      <c r="G35" s="427"/>
    </row>
    <row r="36" spans="1:15" ht="18.75" customHeight="1">
      <c r="A36" s="427"/>
      <c r="B36" s="432" t="s">
        <v>967</v>
      </c>
      <c r="C36" s="433" t="s">
        <v>1057</v>
      </c>
      <c r="D36" s="427"/>
      <c r="E36" s="427"/>
      <c r="F36" s="427"/>
      <c r="G36" s="427"/>
      <c r="I36" s="386" t="e">
        <f>I33*800</f>
        <v>#N/A</v>
      </c>
    </row>
    <row r="37" spans="1:15" ht="18.75" customHeight="1">
      <c r="A37" s="427"/>
      <c r="B37" s="434" t="s">
        <v>968</v>
      </c>
      <c r="C37" s="435" t="s">
        <v>969</v>
      </c>
      <c r="D37" s="436"/>
      <c r="E37" s="427"/>
      <c r="F37" s="427"/>
      <c r="G37" s="427"/>
      <c r="I37" s="386"/>
    </row>
    <row r="38" spans="1:15" ht="18.75" customHeight="1">
      <c r="A38" s="427"/>
      <c r="B38" s="434" t="s">
        <v>970</v>
      </c>
      <c r="C38" s="437" t="s">
        <v>1058</v>
      </c>
      <c r="D38" s="438" t="s">
        <v>953</v>
      </c>
      <c r="E38" s="439">
        <f>IF(C36="Laminate608w",2000/N8*(E3/D3),IF(C36="Laminate608",750/N8*(E3/D3),500/N8*(E3/D3)))</f>
        <v>7251.9261115752342</v>
      </c>
      <c r="F38" s="427"/>
      <c r="G38" s="427"/>
    </row>
    <row r="39" spans="1:15" ht="18.75" customHeight="1">
      <c r="A39" s="427"/>
      <c r="B39" s="434" t="s">
        <v>227</v>
      </c>
      <c r="C39" s="440">
        <v>5000</v>
      </c>
      <c r="D39" s="441" t="s">
        <v>971</v>
      </c>
      <c r="E39" s="442">
        <f>IF(C36="Laminate608W",2000,IF(C36="Laminate608",750,500))</f>
        <v>500</v>
      </c>
      <c r="F39" s="427"/>
      <c r="G39" s="427"/>
      <c r="I39" s="386" t="s">
        <v>51</v>
      </c>
      <c r="J39" t="s">
        <v>948</v>
      </c>
      <c r="K39" t="s">
        <v>972</v>
      </c>
    </row>
    <row r="40" spans="1:15" ht="18.75" customHeight="1">
      <c r="A40" s="427"/>
      <c r="B40" s="434" t="s">
        <v>224</v>
      </c>
      <c r="C40" s="435">
        <v>760</v>
      </c>
      <c r="D40" s="443" t="s">
        <v>929</v>
      </c>
      <c r="E40" s="444">
        <f>+L19</f>
        <v>344.73599999999999</v>
      </c>
      <c r="F40" s="427"/>
      <c r="G40" s="427"/>
      <c r="H40" s="445" t="s">
        <v>973</v>
      </c>
      <c r="I40" s="446">
        <v>5000</v>
      </c>
      <c r="J40" s="42">
        <v>11.485133945865627</v>
      </c>
      <c r="K40" s="42">
        <v>14.356417432332034</v>
      </c>
      <c r="L40" s="355">
        <f>K40*I40</f>
        <v>71782.087161660165</v>
      </c>
    </row>
    <row r="41" spans="1:15" ht="18.75" customHeight="1">
      <c r="A41" s="427"/>
      <c r="B41" s="434" t="s">
        <v>974</v>
      </c>
      <c r="C41" s="435" t="s">
        <v>176</v>
      </c>
      <c r="D41" s="447" t="s">
        <v>975</v>
      </c>
      <c r="E41" s="427"/>
      <c r="F41" s="427"/>
      <c r="G41" s="427"/>
      <c r="H41" s="445" t="s">
        <v>973</v>
      </c>
      <c r="I41" s="446">
        <f>I40*2</f>
        <v>10000</v>
      </c>
      <c r="J41" s="42" t="e">
        <f t="shared" ref="J41:J42" si="4">$I$34</f>
        <v>#N/A</v>
      </c>
      <c r="K41" s="42" t="e">
        <f t="shared" ref="K41:K42" si="5">$J$34</f>
        <v>#N/A</v>
      </c>
      <c r="L41" s="355" t="e">
        <f t="shared" ref="L41:L42" si="6">K41*I41</f>
        <v>#N/A</v>
      </c>
      <c r="M41" s="448" t="e">
        <f t="shared" ref="M41" si="7">K41/K40-1</f>
        <v>#N/A</v>
      </c>
    </row>
    <row r="42" spans="1:15" ht="18.75" customHeight="1">
      <c r="A42" s="427"/>
      <c r="B42" s="434" t="s">
        <v>976</v>
      </c>
      <c r="C42" s="435"/>
      <c r="D42" s="447" t="s">
        <v>977</v>
      </c>
      <c r="E42" s="427"/>
      <c r="F42" s="427"/>
      <c r="G42" s="427"/>
      <c r="H42" s="445" t="s">
        <v>973</v>
      </c>
      <c r="I42" s="449">
        <f>I40*3</f>
        <v>15000</v>
      </c>
      <c r="J42" s="42" t="e">
        <f t="shared" si="4"/>
        <v>#N/A</v>
      </c>
      <c r="K42" s="42" t="e">
        <f t="shared" si="5"/>
        <v>#N/A</v>
      </c>
      <c r="L42" s="355" t="e">
        <f t="shared" si="6"/>
        <v>#N/A</v>
      </c>
      <c r="M42" s="448" t="e">
        <f>K42/K41-1</f>
        <v>#N/A</v>
      </c>
    </row>
    <row r="43" spans="1:15" ht="18.75" customHeight="1">
      <c r="A43" s="427"/>
      <c r="B43" s="434" t="s">
        <v>138</v>
      </c>
      <c r="C43" s="435" t="s">
        <v>978</v>
      </c>
      <c r="D43" s="436"/>
      <c r="E43" s="427"/>
      <c r="F43" s="427"/>
      <c r="G43" s="427"/>
    </row>
    <row r="44" spans="1:15" ht="18.75" customHeight="1">
      <c r="A44" s="427"/>
      <c r="B44" s="434" t="s">
        <v>979</v>
      </c>
      <c r="C44" s="435">
        <v>0</v>
      </c>
      <c r="D44" s="436"/>
      <c r="E44" s="427"/>
      <c r="F44" s="427"/>
      <c r="G44" s="427"/>
      <c r="I44" t="s">
        <v>980</v>
      </c>
      <c r="J44" t="s">
        <v>981</v>
      </c>
      <c r="K44" t="s">
        <v>225</v>
      </c>
      <c r="L44" t="s">
        <v>948</v>
      </c>
      <c r="M44" t="s">
        <v>972</v>
      </c>
      <c r="N44" t="s">
        <v>982</v>
      </c>
    </row>
    <row r="45" spans="1:15" ht="18.75" customHeight="1">
      <c r="A45" s="427"/>
      <c r="B45" s="434" t="s">
        <v>4</v>
      </c>
      <c r="C45" s="435">
        <v>100</v>
      </c>
      <c r="D45" s="450"/>
      <c r="E45" s="427"/>
      <c r="F45" s="427"/>
      <c r="G45" s="427"/>
      <c r="H45" s="451"/>
      <c r="I45" s="452">
        <v>500000</v>
      </c>
      <c r="J45" s="453">
        <f>I45/(1000/$B$15)</f>
        <v>54999.999999999993</v>
      </c>
      <c r="K45" s="453">
        <f t="shared" ref="K45:K49" si="8">$N$8/ROUNDDOWN(($K$3-29)/$D$3,0)*$H$3</f>
        <v>344.73599999999999</v>
      </c>
      <c r="L45" s="454"/>
      <c r="M45" s="454">
        <v>4.3700000000000003E-2</v>
      </c>
      <c r="N45" s="455">
        <f>M45*I45</f>
        <v>21850</v>
      </c>
    </row>
    <row r="46" spans="1:15" ht="18.75" customHeight="1">
      <c r="A46" s="456"/>
      <c r="B46" s="434"/>
      <c r="C46" s="435"/>
      <c r="D46" s="457"/>
      <c r="E46" s="427"/>
      <c r="F46" s="427"/>
      <c r="G46" s="427"/>
      <c r="I46" s="452">
        <v>1000000</v>
      </c>
      <c r="J46" s="453">
        <f t="shared" ref="J46:J49" si="9">I46/(1000/$B$15)</f>
        <v>109999.99999999999</v>
      </c>
      <c r="K46" s="453">
        <f t="shared" si="8"/>
        <v>344.73599999999999</v>
      </c>
      <c r="L46" s="454"/>
      <c r="M46" s="454">
        <v>3.9600000000000003E-2</v>
      </c>
      <c r="N46" s="455">
        <f>M46*I46</f>
        <v>39600</v>
      </c>
      <c r="O46" s="458"/>
    </row>
    <row r="47" spans="1:15" ht="18.75" customHeight="1">
      <c r="A47" s="427"/>
      <c r="B47" s="434" t="s">
        <v>983</v>
      </c>
      <c r="C47" s="435" t="e">
        <f>IF(AND(C38="KG",J34*H1&gt;150000),"X",IF(AND(C38="Ml",J33*H1&gt;150000),"X",1))</f>
        <v>#N/A</v>
      </c>
      <c r="D47" s="436"/>
      <c r="E47" s="427"/>
      <c r="F47" s="427"/>
      <c r="G47" s="427"/>
      <c r="I47" s="452">
        <v>2000000</v>
      </c>
      <c r="J47" s="453">
        <f t="shared" si="9"/>
        <v>219999.99999999997</v>
      </c>
      <c r="K47" s="453">
        <f t="shared" si="8"/>
        <v>344.73599999999999</v>
      </c>
      <c r="L47" s="454"/>
      <c r="M47" s="454">
        <v>3.7499999999999999E-2</v>
      </c>
      <c r="N47" s="455">
        <f t="shared" ref="N47:N49" si="10">M47*I47</f>
        <v>75000</v>
      </c>
      <c r="O47" s="458"/>
    </row>
    <row r="48" spans="1:15" ht="18.75" customHeight="1">
      <c r="A48" s="427"/>
      <c r="B48" s="459" t="s">
        <v>984</v>
      </c>
      <c r="C48" s="460" t="e">
        <f>IF(C49*C39&gt;150000,"Higher than 40K",C49)</f>
        <v>#N/A</v>
      </c>
      <c r="D48" s="436"/>
      <c r="E48" s="427"/>
      <c r="F48" s="427"/>
      <c r="G48" s="427"/>
      <c r="H48" s="461" t="s">
        <v>985</v>
      </c>
      <c r="I48" s="452">
        <v>3000000</v>
      </c>
      <c r="J48" s="453">
        <f t="shared" si="9"/>
        <v>329999.99999999994</v>
      </c>
      <c r="K48" s="453">
        <v>532.02500000000009</v>
      </c>
      <c r="L48" s="454" t="e">
        <f>$Q$23</f>
        <v>#N/A</v>
      </c>
      <c r="M48" s="454">
        <v>3.6999999999999998E-2</v>
      </c>
      <c r="N48" s="455">
        <f t="shared" si="10"/>
        <v>111000</v>
      </c>
    </row>
    <row r="49" spans="1:16" ht="18.75" customHeight="1">
      <c r="A49" s="427"/>
      <c r="B49" s="462" t="s">
        <v>986</v>
      </c>
      <c r="C49" s="463" t="e">
        <f>IF(AND(C43="PR",C38="Ml"),J26,IF(AND(C43="PR",C38="KG"),J27,IF(AND(C43="Non PR",C38="Ml"),J33,J34)))</f>
        <v>#N/A</v>
      </c>
      <c r="D49" s="436"/>
      <c r="E49" s="427"/>
      <c r="F49" s="427"/>
      <c r="G49" s="427"/>
      <c r="I49" s="452">
        <v>4000000</v>
      </c>
      <c r="J49" s="453">
        <f t="shared" si="9"/>
        <v>439999.99999999994</v>
      </c>
      <c r="K49" s="453">
        <f t="shared" si="8"/>
        <v>344.73599999999999</v>
      </c>
      <c r="L49" s="454" t="e">
        <f>$Q$23</f>
        <v>#N/A</v>
      </c>
      <c r="M49" s="454">
        <v>3.6499999999999998E-2</v>
      </c>
      <c r="N49" s="455">
        <f t="shared" si="10"/>
        <v>146000</v>
      </c>
      <c r="O49" s="458">
        <f>N49/$L$20</f>
        <v>451.37514839730909</v>
      </c>
    </row>
    <row r="50" spans="1:16" ht="18.75" customHeight="1" thickBot="1">
      <c r="A50" s="427"/>
      <c r="B50" s="464" t="s">
        <v>987</v>
      </c>
      <c r="C50" s="465" t="e">
        <f>C48*C47*C39</f>
        <v>#N/A</v>
      </c>
      <c r="D50" s="436"/>
      <c r="E50" s="427"/>
      <c r="F50" s="427"/>
      <c r="G50" s="427"/>
      <c r="I50" s="452"/>
      <c r="J50" s="453"/>
      <c r="K50" s="453"/>
      <c r="L50" s="466"/>
      <c r="M50" s="386"/>
      <c r="N50" s="446"/>
    </row>
    <row r="51" spans="1:16" ht="18.75" customHeight="1">
      <c r="A51" s="427"/>
      <c r="B51" s="467"/>
      <c r="C51" s="468"/>
      <c r="D51" s="436"/>
      <c r="E51" s="427"/>
      <c r="F51" s="427"/>
      <c r="G51" s="427"/>
      <c r="L51" s="466"/>
      <c r="M51" s="386"/>
      <c r="N51" s="446">
        <f t="shared" ref="N51:N52" si="11">M51*I51</f>
        <v>0</v>
      </c>
    </row>
    <row r="52" spans="1:16" ht="18.75" customHeight="1" thickBot="1">
      <c r="A52" s="427"/>
      <c r="B52" s="469" t="s">
        <v>988</v>
      </c>
      <c r="C52" s="470" t="e">
        <f>IF(AND(C43="PR",C38="Ml"),I26,IF(AND(C43="PR",C38="KG"),I27,IF(AND(C43="Non PR",C38="Ml"),I33,I34)))*C47</f>
        <v>#N/A</v>
      </c>
      <c r="D52" s="436"/>
      <c r="E52" s="427"/>
      <c r="F52" s="427"/>
      <c r="G52" s="427"/>
      <c r="L52" s="466"/>
      <c r="M52" s="386"/>
      <c r="N52" s="446">
        <f t="shared" si="11"/>
        <v>0</v>
      </c>
    </row>
    <row r="53" spans="1:16" ht="18.75" customHeight="1" thickBot="1">
      <c r="A53" s="427"/>
      <c r="C53" s="471"/>
      <c r="D53" s="436"/>
      <c r="E53" s="427"/>
      <c r="F53" s="427"/>
      <c r="G53" s="427"/>
      <c r="K53" t="s">
        <v>989</v>
      </c>
      <c r="L53" t="s">
        <v>990</v>
      </c>
      <c r="N53" t="s">
        <v>991</v>
      </c>
      <c r="O53" t="s">
        <v>992</v>
      </c>
    </row>
    <row r="54" spans="1:16" ht="18.75" customHeight="1">
      <c r="A54" s="427"/>
      <c r="B54" s="472" t="s">
        <v>993</v>
      </c>
      <c r="C54" s="473" t="e">
        <f>+C49*USD</f>
        <v>#N/A</v>
      </c>
      <c r="D54" s="436"/>
      <c r="E54" s="427"/>
      <c r="F54" s="427"/>
      <c r="G54" s="427"/>
      <c r="I54" t="s">
        <v>994</v>
      </c>
      <c r="K54">
        <f>120*60*12</f>
        <v>86400</v>
      </c>
      <c r="L54" s="474">
        <f>K54*25</f>
        <v>2160000</v>
      </c>
      <c r="M54" t="s">
        <v>981</v>
      </c>
      <c r="N54">
        <f>350/(120*60)</f>
        <v>4.8611111111111112E-2</v>
      </c>
      <c r="O54" t="s">
        <v>995</v>
      </c>
      <c r="P54" t="s">
        <v>996</v>
      </c>
    </row>
    <row r="55" spans="1:16" ht="18.75" customHeight="1" thickBot="1">
      <c r="A55" s="427"/>
      <c r="B55" s="475" t="s">
        <v>987</v>
      </c>
      <c r="C55" s="476" t="e">
        <f>+C54*C39</f>
        <v>#N/A</v>
      </c>
      <c r="D55" s="436"/>
      <c r="E55" s="427"/>
      <c r="F55" s="427"/>
      <c r="G55" s="427"/>
      <c r="I55" t="s">
        <v>997</v>
      </c>
      <c r="K55">
        <f>200*60*12</f>
        <v>144000</v>
      </c>
      <c r="L55" s="474">
        <f>K55*25</f>
        <v>3600000</v>
      </c>
      <c r="M55" t="s">
        <v>998</v>
      </c>
      <c r="O55" t="s">
        <v>999</v>
      </c>
    </row>
    <row r="56" spans="1:16">
      <c r="A56" s="427"/>
      <c r="B56" s="427"/>
      <c r="C56" s="427"/>
      <c r="D56" s="427"/>
      <c r="E56" s="427"/>
      <c r="F56" s="427"/>
      <c r="G56" s="427"/>
      <c r="I56" t="s">
        <v>1000</v>
      </c>
      <c r="K56">
        <f>300*60*12</f>
        <v>216000</v>
      </c>
      <c r="L56" s="474">
        <f>K56*25</f>
        <v>5400000</v>
      </c>
      <c r="M56" t="s">
        <v>981</v>
      </c>
      <c r="N56">
        <f>700/(120*60)</f>
        <v>9.7222222222222224E-2</v>
      </c>
      <c r="O56" t="s">
        <v>1001</v>
      </c>
    </row>
    <row r="57" spans="1:16" ht="15.75">
      <c r="A57" s="427"/>
      <c r="B57" s="427"/>
      <c r="C57" s="477" t="s">
        <v>1002</v>
      </c>
      <c r="D57" s="427"/>
      <c r="E57" s="427"/>
      <c r="F57" s="427"/>
      <c r="G57" s="427"/>
    </row>
    <row r="58" spans="1:16" ht="15.75" thickBot="1">
      <c r="A58" s="427"/>
      <c r="B58" s="427"/>
      <c r="C58" s="427"/>
      <c r="D58" s="427"/>
      <c r="E58" s="427"/>
      <c r="F58" s="427"/>
      <c r="G58" s="427"/>
    </row>
    <row r="59" spans="1:16" ht="36" customHeight="1" thickBot="1">
      <c r="A59" s="427"/>
      <c r="B59" s="427"/>
      <c r="C59" s="427" t="s">
        <v>1003</v>
      </c>
      <c r="D59" s="427"/>
      <c r="E59" s="427"/>
      <c r="F59" s="427"/>
      <c r="G59" s="427"/>
      <c r="I59" s="478" t="s">
        <v>1004</v>
      </c>
      <c r="J59" s="478" t="s">
        <v>1005</v>
      </c>
      <c r="K59" s="478" t="s">
        <v>1006</v>
      </c>
      <c r="L59" s="478" t="s">
        <v>1007</v>
      </c>
    </row>
    <row r="60" spans="1:16" ht="36" customHeight="1" thickBot="1">
      <c r="A60" s="427"/>
      <c r="B60" s="427"/>
      <c r="C60" s="427" t="s">
        <v>1008</v>
      </c>
      <c r="D60" s="427"/>
      <c r="E60" s="427"/>
      <c r="F60" s="427"/>
      <c r="G60" s="427"/>
      <c r="I60" s="478" t="s">
        <v>1009</v>
      </c>
      <c r="J60" s="479" t="s">
        <v>1010</v>
      </c>
      <c r="K60" s="479" t="s">
        <v>1011</v>
      </c>
      <c r="L60" s="478" t="s">
        <v>1012</v>
      </c>
    </row>
    <row r="61" spans="1:16" ht="36" customHeight="1" thickBot="1">
      <c r="A61" s="427"/>
      <c r="B61" s="427">
        <v>608</v>
      </c>
      <c r="C61" s="427">
        <v>14.7</v>
      </c>
      <c r="D61" s="427"/>
      <c r="E61" s="427"/>
      <c r="F61" s="427"/>
      <c r="G61" s="427"/>
      <c r="I61" s="478" t="s">
        <v>1013</v>
      </c>
      <c r="J61" s="479" t="s">
        <v>1014</v>
      </c>
      <c r="K61" s="479" t="s">
        <v>1015</v>
      </c>
      <c r="L61" s="478" t="s">
        <v>1016</v>
      </c>
    </row>
    <row r="62" spans="1:16" ht="36" customHeight="1" thickBot="1">
      <c r="A62" s="427"/>
      <c r="B62" s="427"/>
      <c r="C62" s="427"/>
      <c r="D62" s="427"/>
      <c r="E62" s="427"/>
      <c r="F62" s="427"/>
      <c r="G62" s="427"/>
      <c r="I62" s="478" t="s">
        <v>1017</v>
      </c>
      <c r="J62" s="479" t="s">
        <v>1018</v>
      </c>
      <c r="K62" s="479" t="s">
        <v>1019</v>
      </c>
      <c r="L62" s="478" t="s">
        <v>1020</v>
      </c>
    </row>
    <row r="63" spans="1:16" ht="36" customHeight="1" thickBot="1">
      <c r="A63" s="427"/>
      <c r="B63" s="427"/>
      <c r="C63" s="427"/>
      <c r="D63" s="427"/>
      <c r="E63" s="427"/>
      <c r="F63" s="427"/>
      <c r="G63" s="427"/>
      <c r="I63" s="478" t="s">
        <v>1021</v>
      </c>
      <c r="J63" s="479" t="s">
        <v>1022</v>
      </c>
      <c r="K63" s="479" t="s">
        <v>1023</v>
      </c>
      <c r="L63" s="478" t="s">
        <v>1024</v>
      </c>
    </row>
    <row r="64" spans="1:16" ht="21.75" customHeight="1">
      <c r="A64" s="427"/>
      <c r="B64" s="427"/>
      <c r="C64" s="427"/>
      <c r="D64" s="427"/>
      <c r="E64" s="427"/>
      <c r="F64" s="427"/>
      <c r="G64" s="427"/>
    </row>
    <row r="65" spans="1:7" ht="21.75" customHeight="1">
      <c r="A65" s="427"/>
      <c r="B65" s="427"/>
      <c r="C65" s="427"/>
      <c r="D65" s="427"/>
      <c r="E65" s="427"/>
      <c r="F65" s="427"/>
      <c r="G65" s="427"/>
    </row>
    <row r="66" spans="1:7" ht="21.75" customHeight="1">
      <c r="A66" s="427"/>
      <c r="B66" s="427"/>
      <c r="C66" s="427"/>
      <c r="D66" s="427"/>
      <c r="E66" s="427"/>
      <c r="F66" s="427"/>
      <c r="G66" s="427"/>
    </row>
    <row r="67" spans="1:7" ht="21.75" customHeight="1"/>
    <row r="68" spans="1:7" ht="21.75" customHeight="1"/>
    <row r="69" spans="1:7" ht="21.75" customHeight="1"/>
    <row r="70" spans="1:7" ht="21.75" customHeight="1"/>
    <row r="71" spans="1:7" ht="21.75" customHeight="1"/>
    <row r="72" spans="1:7" ht="21.75" customHeight="1"/>
    <row r="73" spans="1:7" ht="21.75" customHeight="1"/>
    <row r="74" spans="1:7" ht="21.75" customHeight="1"/>
    <row r="75" spans="1:7" ht="21.75" customHeight="1"/>
    <row r="76" spans="1:7" ht="21.75" customHeight="1"/>
    <row r="77" spans="1:7" ht="21.75" customHeight="1"/>
  </sheetData>
  <mergeCells count="14">
    <mergeCell ref="I31:J31"/>
    <mergeCell ref="K31:L31"/>
    <mergeCell ref="I3:I5"/>
    <mergeCell ref="J3:J5"/>
    <mergeCell ref="I13:I14"/>
    <mergeCell ref="I15:I16"/>
    <mergeCell ref="I24:J24"/>
    <mergeCell ref="K24:L24"/>
    <mergeCell ref="H3:H5"/>
    <mergeCell ref="A3:A7"/>
    <mergeCell ref="D3:D5"/>
    <mergeCell ref="E3:E5"/>
    <mergeCell ref="F3:F5"/>
    <mergeCell ref="G3:G5"/>
  </mergeCells>
  <dataValidations count="10">
    <dataValidation type="list" allowBlank="1" sqref="L4" xr:uid="{B725DEA7-2588-4DD2-82B9-3E4FED3E08D4}">
      <formula1>INDIRECT(C4)</formula1>
    </dataValidation>
    <dataValidation type="list" allowBlank="1" showInputMessage="1" showErrorMessage="1" sqref="C36" xr:uid="{A5C2EAE2-D469-43AC-BA62-1CB6DD9D1821}">
      <formula1>Laminate_type</formula1>
    </dataValidation>
    <dataValidation type="list" allowBlank="1" showInputMessage="1" showErrorMessage="1" sqref="C45" xr:uid="{9FB34137-9B0D-4538-8E9E-22CD3FCB19BB}">
      <formula1>INDIRECT(C36)</formula1>
    </dataValidation>
    <dataValidation type="list" allowBlank="1" showInputMessage="1" showErrorMessage="1" sqref="L3" xr:uid="{A7F4AC7E-3E21-4A2F-AD2C-D0E87A73A8EB}">
      <formula1>INDIRECT(C3)</formula1>
    </dataValidation>
    <dataValidation showInputMessage="1" showErrorMessage="1" sqref="K3:K5" xr:uid="{4A40B6B7-9599-4043-8D3A-D54E79338944}"/>
    <dataValidation type="list" allowBlank="1" showInputMessage="1" showErrorMessage="1" sqref="J3:J5" xr:uid="{D5068442-A54B-4376-91EA-29F935084325}">
      <formula1>"0, 1 to 4, 5 to 8"</formula1>
    </dataValidation>
    <dataValidation operator="greaterThan" allowBlank="1" showInputMessage="1" showErrorMessage="1" errorTitle="MOQ is 5K Meter" sqref="C39" xr:uid="{6CBC200B-550B-4ABF-8892-46FB53EFA96A}"/>
    <dataValidation type="list" allowBlank="1" showInputMessage="1" showErrorMessage="1" sqref="C44" xr:uid="{DB549FFB-C502-441E-964A-973CA6C23ABF}">
      <formula1>"0,1 to 4, 5 to 8"</formula1>
    </dataValidation>
    <dataValidation type="list" allowBlank="1" showInputMessage="1" showErrorMessage="1" sqref="C41" xr:uid="{2D129A3E-3720-4B56-B75F-D46E533DA75F}">
      <formula1>"Y,N"</formula1>
    </dataValidation>
    <dataValidation type="whole" operator="greaterThan" allowBlank="1" showInputMessage="1" showErrorMessage="1" errorTitle="Length of reel must be 500M+ " sqref="C42" xr:uid="{A43BAC2E-58F4-464F-B107-30F031133DEA}">
      <formula1>500</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7C427-A91F-42B4-9341-9586F30A82EA}">
  <dimension ref="B2:J38"/>
  <sheetViews>
    <sheetView workbookViewId="0">
      <selection activeCell="G26" sqref="G26"/>
    </sheetView>
  </sheetViews>
  <sheetFormatPr defaultRowHeight="15"/>
  <cols>
    <col min="1" max="1" width="3.85546875" customWidth="1"/>
    <col min="2" max="2" width="28.5703125" customWidth="1"/>
    <col min="3" max="3" width="47.5703125" customWidth="1"/>
    <col min="4" max="5" width="19" customWidth="1"/>
    <col min="6" max="6" width="24.7109375" customWidth="1"/>
    <col min="7" max="10" width="13.28515625" customWidth="1"/>
  </cols>
  <sheetData>
    <row r="2" spans="2:10" ht="24">
      <c r="B2" s="166" t="s">
        <v>525</v>
      </c>
    </row>
    <row r="3" spans="2:10">
      <c r="B3" s="170" t="s">
        <v>526</v>
      </c>
    </row>
    <row r="5" spans="2:10" ht="15.75">
      <c r="B5" s="171" t="s">
        <v>527</v>
      </c>
    </row>
    <row r="7" spans="2:10" ht="18.75">
      <c r="B7" s="172" t="s">
        <v>150</v>
      </c>
      <c r="C7" s="182" t="s">
        <v>528</v>
      </c>
      <c r="D7" s="174" t="s">
        <v>151</v>
      </c>
      <c r="E7" s="182" t="s">
        <v>528</v>
      </c>
      <c r="F7" s="176" t="s">
        <v>152</v>
      </c>
      <c r="G7" s="182" t="s">
        <v>528</v>
      </c>
      <c r="H7" s="178" t="s">
        <v>153</v>
      </c>
      <c r="I7" s="182" t="s">
        <v>528</v>
      </c>
      <c r="J7" s="180" t="s">
        <v>529</v>
      </c>
    </row>
    <row r="8" spans="2:10" ht="18.75">
      <c r="B8" s="173" t="s">
        <v>530</v>
      </c>
      <c r="C8" s="182" t="s">
        <v>531</v>
      </c>
      <c r="D8" s="175" t="s">
        <v>532</v>
      </c>
      <c r="E8" s="182" t="s">
        <v>531</v>
      </c>
      <c r="F8" s="177" t="s">
        <v>533</v>
      </c>
      <c r="G8" s="182" t="s">
        <v>531</v>
      </c>
      <c r="H8" s="179" t="s">
        <v>534</v>
      </c>
      <c r="I8" s="182" t="s">
        <v>531</v>
      </c>
      <c r="J8" s="181" t="s">
        <v>535</v>
      </c>
    </row>
    <row r="11" spans="2:10" ht="15.75">
      <c r="B11" s="171" t="s">
        <v>536</v>
      </c>
    </row>
    <row r="13" spans="2:10">
      <c r="B13" s="183" t="s">
        <v>154</v>
      </c>
      <c r="C13" s="183" t="s">
        <v>155</v>
      </c>
      <c r="D13" s="183" t="s">
        <v>174</v>
      </c>
      <c r="E13" s="183" t="s">
        <v>537</v>
      </c>
      <c r="F13" s="183" t="s">
        <v>223</v>
      </c>
    </row>
    <row r="14" spans="2:10">
      <c r="B14" s="184" t="s">
        <v>156</v>
      </c>
      <c r="C14" s="184" t="s">
        <v>538</v>
      </c>
      <c r="D14" s="184" t="s">
        <v>216</v>
      </c>
      <c r="E14" s="184" t="s">
        <v>0</v>
      </c>
      <c r="F14" s="184" t="s">
        <v>169</v>
      </c>
    </row>
    <row r="15" spans="2:10">
      <c r="B15" s="50" t="s">
        <v>157</v>
      </c>
      <c r="C15" s="50" t="s">
        <v>218</v>
      </c>
      <c r="D15" s="50" t="s">
        <v>217</v>
      </c>
      <c r="E15" s="50" t="s">
        <v>539</v>
      </c>
      <c r="F15" s="50" t="s">
        <v>540</v>
      </c>
    </row>
    <row r="16" spans="2:10">
      <c r="B16" s="184" t="s">
        <v>158</v>
      </c>
      <c r="C16" s="184" t="s">
        <v>541</v>
      </c>
      <c r="D16" s="184" t="s">
        <v>219</v>
      </c>
      <c r="E16" s="184" t="s">
        <v>542</v>
      </c>
      <c r="F16" s="184" t="s">
        <v>169</v>
      </c>
    </row>
    <row r="17" spans="2:6">
      <c r="B17" s="50" t="s">
        <v>159</v>
      </c>
      <c r="C17" s="50" t="s">
        <v>543</v>
      </c>
      <c r="D17" s="50" t="s">
        <v>544</v>
      </c>
      <c r="E17" s="50" t="s">
        <v>545</v>
      </c>
      <c r="F17" s="50" t="s">
        <v>546</v>
      </c>
    </row>
    <row r="18" spans="2:6">
      <c r="B18" s="184" t="s">
        <v>160</v>
      </c>
      <c r="C18" s="184" t="s">
        <v>72</v>
      </c>
      <c r="D18" s="184" t="s">
        <v>220</v>
      </c>
      <c r="E18" s="184" t="s">
        <v>545</v>
      </c>
      <c r="F18" s="184" t="s">
        <v>547</v>
      </c>
    </row>
    <row r="19" spans="2:6">
      <c r="B19" s="50" t="s">
        <v>161</v>
      </c>
      <c r="C19" s="50" t="s">
        <v>548</v>
      </c>
      <c r="D19" s="50" t="s">
        <v>549</v>
      </c>
      <c r="E19" s="50" t="s">
        <v>550</v>
      </c>
      <c r="F19" s="50" t="s">
        <v>169</v>
      </c>
    </row>
    <row r="20" spans="2:6">
      <c r="B20" s="184" t="s">
        <v>162</v>
      </c>
      <c r="C20" s="184" t="s">
        <v>551</v>
      </c>
      <c r="D20" s="184" t="s">
        <v>175</v>
      </c>
      <c r="E20" s="184" t="s">
        <v>552</v>
      </c>
      <c r="F20" s="184" t="s">
        <v>553</v>
      </c>
    </row>
    <row r="21" spans="2:6">
      <c r="B21" s="50" t="s">
        <v>221</v>
      </c>
      <c r="C21" s="50" t="s">
        <v>554</v>
      </c>
      <c r="D21" s="50" t="s">
        <v>555</v>
      </c>
      <c r="E21" s="50" t="s">
        <v>556</v>
      </c>
      <c r="F21" s="50" t="s">
        <v>557</v>
      </c>
    </row>
    <row r="24" spans="2:6" ht="15.75">
      <c r="B24" s="171" t="s">
        <v>558</v>
      </c>
    </row>
    <row r="26" spans="2:6">
      <c r="B26" s="185" t="s">
        <v>141</v>
      </c>
      <c r="C26" s="185" t="s">
        <v>222</v>
      </c>
    </row>
    <row r="27" spans="2:6">
      <c r="B27" s="50" t="s">
        <v>57</v>
      </c>
      <c r="C27" s="50" t="s">
        <v>559</v>
      </c>
    </row>
    <row r="28" spans="2:6">
      <c r="B28" s="50" t="s">
        <v>560</v>
      </c>
      <c r="C28" s="50" t="s">
        <v>561</v>
      </c>
    </row>
    <row r="29" spans="2:6">
      <c r="B29" s="50" t="s">
        <v>69</v>
      </c>
      <c r="C29" s="50" t="s">
        <v>562</v>
      </c>
    </row>
    <row r="30" spans="2:6">
      <c r="B30" s="50" t="s">
        <v>489</v>
      </c>
      <c r="C30" s="50" t="s">
        <v>563</v>
      </c>
    </row>
    <row r="33" spans="2:2" ht="15.75">
      <c r="B33" s="171" t="s">
        <v>564</v>
      </c>
    </row>
    <row r="35" spans="2:2">
      <c r="B35" s="186" t="s">
        <v>565</v>
      </c>
    </row>
    <row r="36" spans="2:2">
      <c r="B36" s="186" t="s">
        <v>566</v>
      </c>
    </row>
    <row r="37" spans="2:2">
      <c r="B37" s="186" t="s">
        <v>567</v>
      </c>
    </row>
    <row r="38" spans="2:2">
      <c r="B38" s="186" t="s">
        <v>568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14183-9BBC-41E8-BE28-37F672F38505}">
  <dimension ref="A1:AA404"/>
  <sheetViews>
    <sheetView topLeftCell="L1" zoomScaleNormal="100" workbookViewId="0">
      <pane ySplit="1" topLeftCell="A2" activePane="bottomLeft" state="frozen"/>
      <selection pane="bottomLeft" activeCell="R11" sqref="R11"/>
    </sheetView>
  </sheetViews>
  <sheetFormatPr defaultRowHeight="15" outlineLevelCol="1"/>
  <cols>
    <col min="1" max="1" width="57.5703125" style="34" bestFit="1" customWidth="1"/>
    <col min="2" max="2" width="19.5703125" style="34" bestFit="1" customWidth="1" outlineLevel="1"/>
    <col min="3" max="3" width="15.5703125" style="34" bestFit="1" customWidth="1" outlineLevel="1"/>
    <col min="4" max="5" width="19.85546875" style="34" bestFit="1" customWidth="1" outlineLevel="1"/>
    <col min="6" max="6" width="13.42578125" style="35" bestFit="1" customWidth="1" outlineLevel="1"/>
    <col min="7" max="7" width="20.28515625" style="35" bestFit="1" customWidth="1" outlineLevel="1"/>
    <col min="8" max="8" width="11.7109375" style="32" bestFit="1" customWidth="1" outlineLevel="1"/>
    <col min="9" max="9" width="18.7109375" style="8" bestFit="1" customWidth="1" outlineLevel="1"/>
    <col min="10" max="10" width="48" style="48" bestFit="1" customWidth="1" outlineLevel="1"/>
    <col min="11" max="11" width="2.5703125" customWidth="1"/>
    <col min="12" max="12" width="14.42578125" bestFit="1" customWidth="1" outlineLevel="1"/>
    <col min="13" max="13" width="19.85546875" style="3" bestFit="1" customWidth="1" outlineLevel="1"/>
    <col min="14" max="14" width="19.85546875" style="3" bestFit="1" customWidth="1"/>
    <col min="15" max="15" width="37.42578125" style="3" bestFit="1" customWidth="1" outlineLevel="1"/>
    <col min="16" max="16" width="2.5703125" customWidth="1"/>
    <col min="17" max="17" width="14.42578125" bestFit="1" customWidth="1"/>
    <col min="18" max="18" width="25.140625" customWidth="1"/>
    <col min="19" max="19" width="15.85546875" bestFit="1" customWidth="1"/>
    <col min="20" max="20" width="2.5703125" customWidth="1"/>
    <col min="21" max="21" width="14" bestFit="1" customWidth="1"/>
    <col min="22" max="22" width="13.42578125" bestFit="1" customWidth="1"/>
    <col min="23" max="23" width="17.5703125" bestFit="1" customWidth="1"/>
    <col min="24" max="24" width="18.5703125" bestFit="1" customWidth="1"/>
    <col min="25" max="25" width="10.7109375" bestFit="1" customWidth="1"/>
    <col min="26" max="26" width="20.42578125" bestFit="1" customWidth="1"/>
    <col min="27" max="27" width="20.5703125" style="5" bestFit="1" customWidth="1"/>
  </cols>
  <sheetData>
    <row r="1" spans="1:27" ht="30.75" thickBot="1">
      <c r="A1" s="22" t="s">
        <v>1</v>
      </c>
      <c r="B1" s="23" t="s">
        <v>2</v>
      </c>
      <c r="C1" s="23" t="s">
        <v>3</v>
      </c>
      <c r="D1" s="23" t="s">
        <v>22</v>
      </c>
      <c r="E1" s="23" t="s">
        <v>73</v>
      </c>
      <c r="F1" s="24" t="s">
        <v>21</v>
      </c>
      <c r="G1" s="24" t="s">
        <v>4</v>
      </c>
      <c r="H1" s="24" t="s">
        <v>51</v>
      </c>
      <c r="I1" s="24" t="s">
        <v>31</v>
      </c>
      <c r="J1" s="24" t="s">
        <v>53</v>
      </c>
      <c r="K1" s="6"/>
      <c r="L1" s="11" t="s">
        <v>1</v>
      </c>
      <c r="M1" s="12" t="s">
        <v>22</v>
      </c>
      <c r="N1" s="12" t="s">
        <v>73</v>
      </c>
      <c r="O1" s="13" t="s">
        <v>53</v>
      </c>
      <c r="P1" s="6"/>
      <c r="Q1" s="61" t="s">
        <v>1</v>
      </c>
      <c r="R1" s="62" t="s">
        <v>31</v>
      </c>
      <c r="S1" s="63" t="s">
        <v>168</v>
      </c>
      <c r="T1" s="6"/>
      <c r="U1" s="807" t="s">
        <v>1</v>
      </c>
      <c r="V1" s="807" t="s">
        <v>3</v>
      </c>
      <c r="W1" s="807" t="s">
        <v>22</v>
      </c>
      <c r="X1" s="807" t="s">
        <v>73</v>
      </c>
      <c r="Y1" s="807" t="s">
        <v>21</v>
      </c>
      <c r="Z1" s="807" t="s">
        <v>1188</v>
      </c>
      <c r="AA1" s="810" t="s">
        <v>1189</v>
      </c>
    </row>
    <row r="2" spans="1:27" ht="15.75" thickTop="1">
      <c r="A2" s="25" t="s">
        <v>0</v>
      </c>
      <c r="B2" s="26" t="s">
        <v>5</v>
      </c>
      <c r="C2" s="26" t="s">
        <v>12</v>
      </c>
      <c r="D2" s="26" t="str">
        <f>IF(C2="","",IFERROR(_xlfn.XLOOKUP(C2,HELPER!$A$2:$A$81,HELPER!$B$2:$B$81,""),D2))</f>
        <v>FD92PM</v>
      </c>
      <c r="E2" s="26" t="str">
        <f>IFERROR(_xlfn.XLOOKUP(D2,HELPER!$B:$B,HELPER!$C:$C,""),"")</f>
        <v>RMPM2</v>
      </c>
      <c r="F2" s="27" t="str">
        <f>IFERROR(_xlfn.XLOOKUP(D2,HELPER!$B:$B,HELPER!$D:$D,""),"")</f>
        <v>Resin 9C</v>
      </c>
      <c r="G2" s="27">
        <v>8</v>
      </c>
      <c r="H2" s="31">
        <v>0.82599999999999996</v>
      </c>
      <c r="I2" s="21">
        <f>IF(AND(H2&lt;&gt;"",IFERROR(_xlfn.XLOOKUP(D2,HELPER!$B:$B,HELPER!$E:$E,""),"")=""),"Missing price",IFERROR(_xlfn.XLOOKUP(D2,HELPER!$B:$B,HELPER!$E:$E,"")," "))</f>
        <v>6.75</v>
      </c>
      <c r="J2" s="54">
        <f>IFERROR(H2*(IF(G2=8,I2*HELPER!$G$2,BOM!I2*HELPER!$G$3))," ")</f>
        <v>1.1151</v>
      </c>
      <c r="K2" s="7"/>
      <c r="L2" s="14" t="str" cm="1">
        <f t="array" ref="L2">IFERROR(_xlfn.LET(_xlpm.films,Table4[Film],_xlpm.grades,Table4[Grade],_xlpm.pairs,_xlfn._xlws.FILTER(_xlfn.HSTACK(_xlpm.films,_xlpm.grades),(_xlpm.films&lt;&gt;"")*(TRIM(_xlpm.grades)&lt;&gt;"")),_xlpm.uniquePairs,_xlfn.UNIQUE(_xlpm.pairs),_xlpm.sortedPairs,_xlfn._xlws.SORT(_xlpm.uniquePairs,1,1),INDEX(_xlpm.sortedPairs,ROWS($L$2:L2),1)),"")</f>
        <v>PL202.1</v>
      </c>
      <c r="M2" s="15" t="str" cm="1">
        <f t="array" ref="M2">IFERROR(_xlfn.LET(_xlpm.films,Table4[Film],_xlpm.grades,Table4[Grade],_xlpm.pairs,_xlfn._xlws.FILTER(_xlfn.HSTACK(_xlpm.films,_xlpm.grades),(_xlpm.films&lt;&gt;"")*(TRIM(_xlpm.grades)&lt;&gt;"")),_xlpm.uniquePairs,_xlfn.UNIQUE(_xlpm.pairs),_xlpm.sortedPairs,_xlfn._xlws.SORT(_xlpm.uniquePairs,1,1),INDEX(_xlpm.sortedPairs,ROWS($M$2:M2),2)),"")</f>
        <v>FD92PM</v>
      </c>
      <c r="N2" s="15" t="str" cm="1">
        <f t="array" ref="N2">IF(OR(Table2[[#This Row],[Film]]="",Table2[[#This Row],[Grade]]=""),"",IFERROR(INDEX(Table4[Serial Number],MATCH(1,(Table4[Film]=Table2[[#This Row],[Film]])*(Table4[Grade]=Table2[[#This Row],[Grade]]),0)),""))</f>
        <v>RMPM2</v>
      </c>
      <c r="O2" s="52">
        <f>IF(OR(Table2[[#This Row],[Film]]="",Table2[[#This Row],[Grade]]=""),"",SUMIFS(Table4[Price Calculated(€) Thickness &amp; QTY related],Table4[Film],Table2[[#This Row],[Film]],Table4[Grade],Table2[[#This Row],[Grade]]))</f>
        <v>3.2521499999999999</v>
      </c>
      <c r="P2" s="7"/>
      <c r="Q2" s="19" t="str" cm="1">
        <f t="array" ref="Q2">IFERROR(INDEX(Table2[Film],MATCH(0,COUNTIF($Q$1:Q1,Table2[Film])+IF(Table2[Film]="",1,0),0)),"")</f>
        <v>PL202.1</v>
      </c>
      <c r="R2" s="57">
        <f>SUMIF(Table2[Film],"TIPA 312 MFG",Table2[Price Calculated(€) Thickness &amp; QTY related])+_xlfn.XLOOKUP("MET LUX ",HELPER!$A:$A,HELPER!$E:$E,0)</f>
        <v>5.3805880000000004</v>
      </c>
      <c r="S2" s="59">
        <f>IFERROR(R2*HELPER!$AK$2," ")</f>
        <v>6.2414820799999999</v>
      </c>
      <c r="T2" s="7"/>
      <c r="U2" s="2" t="s">
        <v>47</v>
      </c>
      <c r="V2" s="2" t="s">
        <v>19</v>
      </c>
      <c r="W2" s="2" t="s">
        <v>30</v>
      </c>
      <c r="X2" s="2" t="s">
        <v>30</v>
      </c>
      <c r="Y2" s="2" t="s">
        <v>30</v>
      </c>
      <c r="Z2" s="808" cm="1">
        <f t="array" ref="Z2">SUMPRODUCT((BOM!$A$2:$A$391=U2)*(BOM!$F$2:$F$391=Y2)*BOM!$H$2:$H$391*BOM!$G$2:$G$391)/SUMPRODUCT((BOM!$A$2:$A$391=U2)*BOM!$H$2:$H$391*BOM!$G$2:$G$391)</f>
        <v>0.25400000000000006</v>
      </c>
      <c r="AA2" s="811">
        <f>SUMIF(tblResinWeightedQty12[Film],tblResinWeightedQty12[[#This Row],[Film]],tblResinWeightedQty12[Weighted QTY %])</f>
        <v>1.0000000000000002</v>
      </c>
    </row>
    <row r="3" spans="1:27">
      <c r="A3" s="25" t="s">
        <v>0</v>
      </c>
      <c r="B3" s="26" t="s">
        <v>5</v>
      </c>
      <c r="C3" s="26" t="s">
        <v>13</v>
      </c>
      <c r="D3" s="26" t="str">
        <f>IF(C3="","",IFERROR(_xlfn.XLOOKUP(C3,HELPER!$A$2:$A$81,HELPER!$B$2:$B$81,""),D3))</f>
        <v>LX175</v>
      </c>
      <c r="E3" s="26" t="str">
        <f>IFERROR(_xlfn.XLOOKUP(D3,HELPER!$B:$B,HELPER!$C:$C,""),"")</f>
        <v>RMLX175</v>
      </c>
      <c r="F3" s="27" t="str">
        <f>IFERROR(_xlfn.XLOOKUP(D3,HELPER!$B:$B,HELPER!$D:$D,""),"")</f>
        <v>Resin 1A</v>
      </c>
      <c r="G3" s="27">
        <v>8</v>
      </c>
      <c r="H3" s="31">
        <v>0.14399999999999999</v>
      </c>
      <c r="I3" s="21">
        <f>IF(AND(H3&lt;&gt;"",IFERROR(_xlfn.XLOOKUP(D3,HELPER!$B:$B,HELPER!$E:$E,""),"")=""),"Missing price",IFERROR(_xlfn.XLOOKUP(D3,HELPER!$B:$B,HELPER!$E:$E,"")," "))</f>
        <v>3.17</v>
      </c>
      <c r="J3" s="54">
        <f>IFERROR(H3*(IF(G3=8,I3*HELPER!$G$2,BOM!I3*HELPER!$G$3))," ")</f>
        <v>9.1295999999999988E-2</v>
      </c>
      <c r="K3" s="6"/>
      <c r="L3" s="16" t="str" cm="1">
        <f t="array" ref="L3">IFERROR(_xlfn.LET(_xlpm.films,Table4[Film],_xlpm.grades,Table4[Grade],_xlpm.pairs,_xlfn._xlws.FILTER(_xlfn.HSTACK(_xlpm.films,_xlpm.grades),(_xlpm.films&lt;&gt;"")*(TRIM(_xlpm.grades)&lt;&gt;"")),_xlpm.uniquePairs,_xlfn.UNIQUE(_xlpm.pairs),_xlpm.sortedPairs,_xlfn._xlws.SORT(_xlpm.uniquePairs,1,1),INDEX(_xlpm.sortedPairs,ROWS($L$2:L3),1)),"")</f>
        <v>PL202.1</v>
      </c>
      <c r="M3" s="17" t="str" cm="1">
        <f t="array" ref="M3">IFERROR(_xlfn.LET(_xlpm.films,Table4[Film],_xlpm.grades,Table4[Grade],_xlpm.pairs,_xlfn._xlws.FILTER(_xlfn.HSTACK(_xlpm.films,_xlpm.grades),(_xlpm.films&lt;&gt;"")*(TRIM(_xlpm.grades)&lt;&gt;"")),_xlpm.uniquePairs,_xlfn.UNIQUE(_xlpm.pairs),_xlpm.sortedPairs,_xlfn._xlws.SORT(_xlpm.uniquePairs,1,1),INDEX(_xlpm.sortedPairs,ROWS($M$2:M3),2)),"")</f>
        <v>LX175</v>
      </c>
      <c r="N3" s="17" t="str" cm="1">
        <f t="array" ref="N3">IF(OR(Table2[[#This Row],[Film]]="",Table2[[#This Row],[Grade]]=""),"",IFERROR(INDEX(Table4[Serial Number],MATCH(1,(Table4[Film]=Table2[[#This Row],[Film]])*(Table4[Grade]=Table2[[#This Row],[Grade]]),0)),""))</f>
        <v>RMLX175</v>
      </c>
      <c r="O3" s="53">
        <f>IF(OR(Table2[[#This Row],[Film]]="",Table2[[#This Row],[Grade]]=""),"",SUMIFS(Table4[Price Calculated(€) Thickness &amp; QTY related],Table4[Film],Table2[[#This Row],[Film]],Table4[Grade],Table2[[#This Row],[Grade]]))</f>
        <v>0.27008399999999999</v>
      </c>
      <c r="P3" s="6"/>
      <c r="Q3" s="20" t="str" cm="1">
        <f t="array" ref="Q3">IFERROR(INDEX(Table2[Film],MATCH(0,COUNTIF($Q$1:Q2,Table2[Film])+IF(Table2[Film]="",1,0),0)),"")</f>
        <v>PL202.2</v>
      </c>
      <c r="R3" s="58">
        <f>SUMIF(Table2[Film],"TIPA 312 MFG",Table2[Price Calculated(€) Thickness &amp; QTY related])+_xlfn.XLOOKUP("MET LUX ",HELPER!$A:$A,HELPER!$E:$E,0)</f>
        <v>5.3805880000000004</v>
      </c>
      <c r="S3" s="60">
        <f>IFERROR(R3*HELPER!$AK$2," ")</f>
        <v>6.2414820799999999</v>
      </c>
      <c r="T3" s="6"/>
      <c r="U3" s="2" t="s">
        <v>47</v>
      </c>
      <c r="V3" s="2" t="s">
        <v>13</v>
      </c>
      <c r="W3" s="2" t="s">
        <v>74</v>
      </c>
      <c r="X3" s="2" t="s">
        <v>75</v>
      </c>
      <c r="Y3" s="2" t="s">
        <v>33</v>
      </c>
      <c r="Z3" s="808" cm="1">
        <f t="array" ref="Z3">SUMPRODUCT((BOM!$A$2:$A$391=U3)*(BOM!$F$2:$F$391=Y3)*BOM!$H$2:$H$391*BOM!$G$2:$G$391)/SUMPRODUCT((BOM!$A$2:$A$391=U3)*BOM!$H$2:$H$391*BOM!$G$2:$G$391)</f>
        <v>8.5199999999999998E-2</v>
      </c>
      <c r="AA3" s="811">
        <f>SUMIF(tblResinWeightedQty12[Film],tblResinWeightedQty12[[#This Row],[Film]],tblResinWeightedQty12[Weighted QTY %])</f>
        <v>1.0000000000000002</v>
      </c>
    </row>
    <row r="4" spans="1:27">
      <c r="A4" s="25" t="s">
        <v>0</v>
      </c>
      <c r="B4" s="26" t="s">
        <v>5</v>
      </c>
      <c r="C4" s="26" t="s">
        <v>18</v>
      </c>
      <c r="D4" s="26" t="str">
        <f>IF(C4="","",IFERROR(_xlfn.XLOOKUP(C4,HELPER!$A$2:$A$81,HELPER!$B$2:$B$81,""),D4))</f>
        <v>KAB59A</v>
      </c>
      <c r="E4" s="26" t="str">
        <f>IFERROR(_xlfn.XLOOKUP(D4,HELPER!$B:$B,HELPER!$C:$C,""),"")</f>
        <v>RM A KAB59A</v>
      </c>
      <c r="F4" s="27" t="str">
        <f>IFERROR(_xlfn.XLOOKUP(D4,HELPER!$B:$B,HELPER!$D:$D,""),"")</f>
        <v>Resin 8</v>
      </c>
      <c r="G4" s="27">
        <v>8</v>
      </c>
      <c r="H4" s="31">
        <v>1.4999999999999999E-2</v>
      </c>
      <c r="I4" s="21">
        <f>IF(AND(H4&lt;&gt;"",IFERROR(_xlfn.XLOOKUP(D4,HELPER!$B:$B,HELPER!$E:$E,""),"")=""),"Missing price",IFERROR(_xlfn.XLOOKUP(D4,HELPER!$B:$B,HELPER!$E:$E,"")," "))</f>
        <v>7.55</v>
      </c>
      <c r="J4" s="54">
        <f>IFERROR(H4*(IF(G4=8,I4*HELPER!$G$2,BOM!I4*HELPER!$G$3))," ")</f>
        <v>2.265E-2</v>
      </c>
      <c r="K4" s="6"/>
      <c r="L4" s="14" t="str" cm="1">
        <f t="array" ref="L4">IFERROR(_xlfn.LET(_xlpm.films,Table4[Film],_xlpm.grades,Table4[Grade],_xlpm.pairs,_xlfn._xlws.FILTER(_xlfn.HSTACK(_xlpm.films,_xlpm.grades),(_xlpm.films&lt;&gt;"")*(TRIM(_xlpm.grades)&lt;&gt;"")),_xlpm.uniquePairs,_xlfn.UNIQUE(_xlpm.pairs),_xlpm.sortedPairs,_xlfn._xlws.SORT(_xlpm.uniquePairs,1,1),INDEX(_xlpm.sortedPairs,ROWS($L$2:L4),1)),"")</f>
        <v>PL202.1</v>
      </c>
      <c r="M4" s="15" t="str" cm="1">
        <f t="array" ref="M4">IFERROR(_xlfn.LET(_xlpm.films,Table4[Film],_xlpm.grades,Table4[Grade],_xlpm.pairs,_xlfn._xlws.FILTER(_xlfn.HSTACK(_xlpm.films,_xlpm.grades),(_xlpm.films&lt;&gt;"")*(TRIM(_xlpm.grades)&lt;&gt;"")),_xlpm.uniquePairs,_xlfn.UNIQUE(_xlpm.pairs),_xlpm.sortedPairs,_xlfn._xlws.SORT(_xlpm.uniquePairs,1,1),INDEX(_xlpm.sortedPairs,ROWS($M$2:M4),2)),"")</f>
        <v>S723</v>
      </c>
      <c r="N4" s="15" t="str" cm="1">
        <f t="array" ref="N4">IF(OR(Table2[[#This Row],[Film]]="",Table2[[#This Row],[Grade]]=""),"",IFERROR(INDEX(Table4[Serial Number],MATCH(1,(Table4[Film]=Table2[[#This Row],[Film]])*(Table4[Grade]=Table2[[#This Row],[Grade]]),0)),""))</f>
        <v>RM TA45-08 S723</v>
      </c>
      <c r="O4" s="52">
        <f>IF(OR(Table2[[#This Row],[Film]]="",Table2[[#This Row],[Grade]]=""),"",SUMIFS(Table4[Price Calculated(€) Thickness &amp; QTY related],Table4[Film],Table2[[#This Row],[Film]],Table4[Grade],Table2[[#This Row],[Grade]]))</f>
        <v>0.32320000000000004</v>
      </c>
      <c r="P4" s="6"/>
      <c r="Q4" s="19" t="str" cm="1">
        <f t="array" ref="Q4">IFERROR(INDEX(Table2[Film],MATCH(0,COUNTIF($Q$1:Q3,Table2[Film])+IF(Table2[Film]="",1,0),0)),"")</f>
        <v>PL202.3</v>
      </c>
      <c r="R4" s="57">
        <f>SUMIF(Table2[Film],"TIPA 312 MFG",Table2[Price Calculated(€) Thickness &amp; QTY related])+_xlfn.XLOOKUP("MET LUX ",HELPER!$A:$A,HELPER!$E:$E,0)</f>
        <v>5.3805880000000004</v>
      </c>
      <c r="S4" s="59">
        <f>IFERROR(R4*HELPER!$AK$2," ")</f>
        <v>6.2414820799999999</v>
      </c>
      <c r="T4" s="6"/>
      <c r="U4" s="2" t="s">
        <v>47</v>
      </c>
      <c r="V4" s="2" t="s">
        <v>14</v>
      </c>
      <c r="W4" s="2" t="s">
        <v>23</v>
      </c>
      <c r="X4" s="2" t="s">
        <v>77</v>
      </c>
      <c r="Y4" s="2" t="s">
        <v>35</v>
      </c>
      <c r="Z4" s="808" cm="1">
        <f t="array" ref="Z4">SUMPRODUCT((BOM!$A$2:$A$391=U4)*(BOM!$F$2:$F$391=Y4)*BOM!$H$2:$H$391*BOM!$G$2:$G$391)/SUMPRODUCT((BOM!$A$2:$A$391=U4)*BOM!$H$2:$H$391*BOM!$G$2:$G$391)</f>
        <v>0.13800000000000001</v>
      </c>
      <c r="AA4" s="811">
        <f>SUMIF(tblResinWeightedQty12[Film],tblResinWeightedQty12[[#This Row],[Film]],tblResinWeightedQty12[Weighted QTY %])</f>
        <v>1.0000000000000002</v>
      </c>
    </row>
    <row r="5" spans="1:27">
      <c r="A5" s="25" t="s">
        <v>0</v>
      </c>
      <c r="B5" s="26" t="s">
        <v>5</v>
      </c>
      <c r="C5" s="26" t="s">
        <v>16</v>
      </c>
      <c r="D5" s="26" t="str">
        <f>IF(C5="","",IFERROR(_xlfn.XLOOKUP(C5,HELPER!$A$2:$A$81,HELPER!$B$2:$B$81,""),D5))</f>
        <v>S723</v>
      </c>
      <c r="E5" s="26" t="str">
        <f>IFERROR(_xlfn.XLOOKUP(D5,HELPER!$B:$B,HELPER!$C:$C,""),"")</f>
        <v>RM TA45-08 S723</v>
      </c>
      <c r="F5" s="27" t="str">
        <f>IFERROR(_xlfn.XLOOKUP(D5,HELPER!$B:$B,HELPER!$D:$D,""),"")</f>
        <v>Resin 6</v>
      </c>
      <c r="G5" s="27">
        <v>8</v>
      </c>
      <c r="H5" s="31">
        <v>1.4999999999999999E-2</v>
      </c>
      <c r="I5" s="21">
        <f>IF(AND(H5&lt;&gt;"",IFERROR(_xlfn.XLOOKUP(D5,HELPER!$B:$B,HELPER!$E:$E,""),"")=""),"Missing price",IFERROR(_xlfn.XLOOKUP(D5,HELPER!$B:$B,HELPER!$E:$E,"")," "))</f>
        <v>16.16</v>
      </c>
      <c r="J5" s="54">
        <f>IFERROR(H5*(IF(G5=8,I5*HELPER!$G$2,BOM!I5*HELPER!$G$3))," ")</f>
        <v>4.8480000000000002E-2</v>
      </c>
      <c r="K5" s="6"/>
      <c r="L5" s="16" t="str" cm="1">
        <f t="array" ref="L5">IFERROR(_xlfn.LET(_xlpm.films,Table4[Film],_xlpm.grades,Table4[Grade],_xlpm.pairs,_xlfn._xlws.FILTER(_xlfn.HSTACK(_xlpm.films,_xlpm.grades),(_xlpm.films&lt;&gt;"")*(TRIM(_xlpm.grades)&lt;&gt;"")),_xlpm.uniquePairs,_xlfn.UNIQUE(_xlpm.pairs),_xlpm.sortedPairs,_xlfn._xlws.SORT(_xlpm.uniquePairs,1,1),INDEX(_xlpm.sortedPairs,ROWS($L$2:L5),1)),"")</f>
        <v>PL202.1</v>
      </c>
      <c r="M5" s="17" t="str" cm="1">
        <f t="array" ref="M5">IFERROR(_xlfn.LET(_xlpm.films,Table4[Film],_xlpm.grades,Table4[Grade],_xlpm.pairs,_xlfn._xlws.FILTER(_xlfn.HSTACK(_xlpm.films,_xlpm.grades),(_xlpm.films&lt;&gt;"")*(TRIM(_xlpm.grades)&lt;&gt;"")),_xlpm.uniquePairs,_xlfn.UNIQUE(_xlpm.pairs),_xlpm.sortedPairs,_xlfn._xlws.SORT(_xlpm.uniquePairs,1,1),INDEX(_xlpm.sortedPairs,ROWS($M$2:M5),2)),"")</f>
        <v>S724</v>
      </c>
      <c r="N5" s="17" t="str" cm="1">
        <f t="array" ref="N5">IF(OR(Table2[[#This Row],[Film]]="",Table2[[#This Row],[Grade]]=""),"",IFERROR(INDEX(Table4[Serial Number],MATCH(1,(Table4[Film]=Table2[[#This Row],[Film]])*(Table4[Grade]=Table2[[#This Row],[Grade]]),0)),""))</f>
        <v>RM TA45-08 S724</v>
      </c>
      <c r="O5" s="53">
        <f>IF(OR(Table2[[#This Row],[Film]]="",Table2[[#This Row],[Grade]]=""),"",SUMIFS(Table4[Price Calculated(€) Thickness &amp; QTY related],Table4[Film],Table2[[#This Row],[Film]],Table4[Grade],Table2[[#This Row],[Grade]]))</f>
        <v>0.17639999999999997</v>
      </c>
      <c r="P5" s="6"/>
      <c r="Q5" s="20" t="str" cm="1">
        <f t="array" ref="Q5">IFERROR(INDEX(Table2[Film],MATCH(0,COUNTIF($Q$1:Q4,Table2[Film])+IF(Table2[Film]="",1,0),0)),"")</f>
        <v>TIPA 302FG</v>
      </c>
      <c r="R5" s="58">
        <f>SUMIF(Table2[Film],"TIPA 312 MFG",Table2[Price Calculated(€) Thickness &amp; QTY related])+_xlfn.XLOOKUP("MET LUX ",HELPER!$A:$A,HELPER!$E:$E,0)</f>
        <v>5.3805880000000004</v>
      </c>
      <c r="S5" s="60">
        <f>IFERROR(R5*HELPER!$AK$2," ")</f>
        <v>6.2414820799999999</v>
      </c>
      <c r="T5" s="6"/>
      <c r="U5" s="2" t="s">
        <v>47</v>
      </c>
      <c r="V5" s="2" t="s">
        <v>16</v>
      </c>
      <c r="W5" s="2" t="s">
        <v>10</v>
      </c>
      <c r="X5" s="2" t="s">
        <v>81</v>
      </c>
      <c r="Y5" s="2" t="s">
        <v>38</v>
      </c>
      <c r="Z5" s="808" cm="1">
        <f t="array" ref="Z5">SUMPRODUCT((BOM!$A$2:$A$391=U5)*(BOM!$F$2:$F$391=Y5)*BOM!$H$2:$H$391*BOM!$G$2:$G$391)/SUMPRODUCT((BOM!$A$2:$A$391=U5)*BOM!$H$2:$H$391*BOM!$G$2:$G$391)</f>
        <v>2.0000000000000004E-2</v>
      </c>
      <c r="AA5" s="811">
        <f>SUMIF(tblResinWeightedQty12[Film],tblResinWeightedQty12[[#This Row],[Film]],tblResinWeightedQty12[Weighted QTY %])</f>
        <v>1.0000000000000002</v>
      </c>
    </row>
    <row r="6" spans="1:27">
      <c r="A6" s="25" t="s">
        <v>0</v>
      </c>
      <c r="B6" s="26" t="s">
        <v>5</v>
      </c>
      <c r="C6" s="28"/>
      <c r="D6" s="28" t="str">
        <f>IF(C6="","",IFERROR(_xlfn.XLOOKUP(C6,HELPER!$A$2:$A$81,HELPER!$B$2:$B$81,""),D6))</f>
        <v/>
      </c>
      <c r="E6" s="28" t="str">
        <f>IFERROR(_xlfn.XLOOKUP(D6,HELPER!$B:$B,HELPER!$C:$C,""),"")</f>
        <v/>
      </c>
      <c r="F6" s="30" t="str">
        <f>IFERROR(_xlfn.XLOOKUP(D6,HELPER!$B:$B,HELPER!$D:$D,""),"")</f>
        <v/>
      </c>
      <c r="G6" s="27">
        <v>8</v>
      </c>
      <c r="H6" s="31"/>
      <c r="I6" s="21" t="str">
        <f>IF(AND(H6&lt;&gt;"",IFERROR(_xlfn.XLOOKUP(D6,HELPER!$B:$B,HELPER!$E:$E,""),"")=""),"Missing price",IFERROR(_xlfn.XLOOKUP(D6,HELPER!$B:$B,HELPER!$E:$E,"")," "))</f>
        <v/>
      </c>
      <c r="J6" s="54" t="str">
        <f>IFERROR(H6*(IF(G6=8,I6*HELPER!$G$2,BOM!I6*HELPER!$G$3))," ")</f>
        <v xml:space="preserve"> </v>
      </c>
      <c r="K6" s="6"/>
      <c r="L6" s="14" t="str" cm="1">
        <f t="array" ref="L6">IFERROR(_xlfn.LET(_xlpm.films,Table4[Film],_xlpm.grades,Table4[Grade],_xlpm.pairs,_xlfn._xlws.FILTER(_xlfn.HSTACK(_xlpm.films,_xlpm.grades),(_xlpm.films&lt;&gt;"")*(TRIM(_xlpm.grades)&lt;&gt;"")),_xlpm.uniquePairs,_xlfn.UNIQUE(_xlpm.pairs),_xlpm.sortedPairs,_xlfn._xlws.SORT(_xlpm.uniquePairs,1,1),INDEX(_xlpm.sortedPairs,ROWS($L$2:L6),1)),"")</f>
        <v>PL202.1</v>
      </c>
      <c r="M6" s="15" t="str" cm="1">
        <f t="array" ref="M6">IFERROR(_xlfn.LET(_xlpm.films,Table4[Film],_xlpm.grades,Table4[Grade],_xlpm.pairs,_xlfn._xlws.FILTER(_xlfn.HSTACK(_xlpm.films,_xlpm.grades),(_xlpm.films&lt;&gt;"")*(TRIM(_xlpm.grades)&lt;&gt;"")),_xlpm.uniquePairs,_xlfn.UNIQUE(_xlpm.pairs),_xlpm.sortedPairs,_xlfn._xlws.SORT(_xlpm.uniquePairs,1,1),INDEX(_xlpm.sortedPairs,ROWS($M$2:M6),2)),"")</f>
        <v>KAB59A</v>
      </c>
      <c r="N6" s="15" t="str" cm="1">
        <f t="array" ref="N6">IF(OR(Table2[[#This Row],[Film]]="",Table2[[#This Row],[Grade]]=""),"",IFERROR(INDEX(Table4[Serial Number],MATCH(1,(Table4[Film]=Table2[[#This Row],[Film]])*(Table4[Grade]=Table2[[#This Row],[Grade]]),0)),""))</f>
        <v>RM A KAB59A</v>
      </c>
      <c r="O6" s="52">
        <f>IF(OR(Table2[[#This Row],[Film]]="",Table2[[#This Row],[Grade]]=""),"",SUMIFS(Table4[Price Calculated(€) Thickness &amp; QTY related],Table4[Film],Table2[[#This Row],[Film]],Table4[Grade],Table2[[#This Row],[Grade]]))</f>
        <v>6.7949999999999983E-2</v>
      </c>
      <c r="P6" s="6"/>
      <c r="Q6" s="19" t="str" cm="1">
        <f t="array" ref="Q6">IFERROR(INDEX(Table2[Film],MATCH(0,COUNTIF($Q$1:Q5,Table2[Film])+IF(Table2[Film]="",1,0),0)),"")</f>
        <v>TIPA 302FG W</v>
      </c>
      <c r="R6" s="57">
        <f>SUMIF(Table2[Film],"TIPA 312 MFG",Table2[Price Calculated(€) Thickness &amp; QTY related])+_xlfn.XLOOKUP("MET LUX ",HELPER!$A:$A,HELPER!$E:$E,0)</f>
        <v>5.3805880000000004</v>
      </c>
      <c r="S6" s="59">
        <f>IFERROR(R6*HELPER!$AK$2," ")</f>
        <v>6.2414820799999999</v>
      </c>
      <c r="T6" s="6"/>
      <c r="U6" s="2" t="s">
        <v>47</v>
      </c>
      <c r="V6" s="2" t="s">
        <v>17</v>
      </c>
      <c r="W6" s="2" t="s">
        <v>11</v>
      </c>
      <c r="X6" s="2" t="s">
        <v>82</v>
      </c>
      <c r="Y6" s="2" t="s">
        <v>39</v>
      </c>
      <c r="Z6" s="808" cm="1">
        <f t="array" ref="Z6">SUMPRODUCT((BOM!$A$2:$A$391=U6)*(BOM!$F$2:$F$391=Y6)*BOM!$H$2:$H$391*BOM!$G$2:$G$391)/SUMPRODUCT((BOM!$A$2:$A$391=U6)*BOM!$H$2:$H$391*BOM!$G$2:$G$391)</f>
        <v>1.2000000000000002E-2</v>
      </c>
      <c r="AA6" s="811">
        <f>SUMIF(tblResinWeightedQty12[Film],tblResinWeightedQty12[[#This Row],[Film]],tblResinWeightedQty12[Weighted QTY %])</f>
        <v>1.0000000000000002</v>
      </c>
    </row>
    <row r="7" spans="1:27">
      <c r="A7" s="25" t="s">
        <v>0</v>
      </c>
      <c r="B7" s="26" t="s">
        <v>5</v>
      </c>
      <c r="C7" s="28"/>
      <c r="D7" s="28" t="str">
        <f>IF(C7="","",IFERROR(_xlfn.XLOOKUP(C7,HELPER!$A$2:$A$81,HELPER!$B$2:$B$81,""),D7))</f>
        <v/>
      </c>
      <c r="E7" s="28" t="str">
        <f>IFERROR(_xlfn.XLOOKUP(D7,HELPER!$B:$B,HELPER!$C:$C,""),"")</f>
        <v/>
      </c>
      <c r="F7" s="27" t="str">
        <f>IFERROR(_xlfn.XLOOKUP(D7,HELPER!$B:$B,HELPER!$D:$D,""),"")</f>
        <v/>
      </c>
      <c r="G7" s="27">
        <v>8</v>
      </c>
      <c r="H7" s="31"/>
      <c r="I7" s="21" t="str">
        <f>IF(AND(H7&lt;&gt;"",IFERROR(_xlfn.XLOOKUP(D7,HELPER!$B:$B,HELPER!$E:$E,""),"")=""),"Missing price",IFERROR(_xlfn.XLOOKUP(D7,HELPER!$B:$B,HELPER!$E:$E,"")," "))</f>
        <v/>
      </c>
      <c r="J7" s="54" t="str">
        <f>IFERROR(H7*(IF(G7=8,I7*HELPER!$G$2,BOM!I7*HELPER!$G$3))," ")</f>
        <v xml:space="preserve"> </v>
      </c>
      <c r="K7" s="6"/>
      <c r="L7" s="14" t="str" cm="1">
        <f t="array" ref="L7">IFERROR(_xlfn.LET(_xlpm.films,Table4[Film],_xlpm.grades,Table4[Grade],_xlpm.pairs,_xlfn._xlws.FILTER(_xlfn.HSTACK(_xlpm.films,_xlpm.grades),(_xlpm.films&lt;&gt;"")*(TRIM(_xlpm.grades)&lt;&gt;"")),_xlpm.uniquePairs,_xlfn.UNIQUE(_xlpm.pairs),_xlpm.sortedPairs,_xlfn._xlws.SORT(_xlpm.uniquePairs,1,1),INDEX(_xlpm.sortedPairs,ROWS($L$2:L7),1)),"")</f>
        <v>PL202.1</v>
      </c>
      <c r="M7" s="15" t="str" cm="1">
        <f t="array" ref="M7">IFERROR(_xlfn.LET(_xlpm.films,Table4[Film],_xlpm.grades,Table4[Grade],_xlpm.pairs,_xlfn._xlws.FILTER(_xlfn.HSTACK(_xlpm.films,_xlpm.grades),(_xlpm.films&lt;&gt;"")*(TRIM(_xlpm.grades)&lt;&gt;"")),_xlpm.uniquePairs,_xlfn.UNIQUE(_xlpm.pairs),_xlpm.sortedPairs,_xlfn._xlws.SORT(_xlpm.uniquePairs,1,1),INDEX(_xlpm.sortedPairs,ROWS($M$2:M7),2)),"")</f>
        <v>BVE8049P</v>
      </c>
      <c r="N7" s="15" t="str" cm="1">
        <f t="array" ref="N7">IF(OR(Table2[[#This Row],[Film]]="",Table2[[#This Row],[Grade]]=""),"",IFERROR(INDEX(Table4[Serial Number],MATCH(1,(Table4[Film]=Table2[[#This Row],[Film]])*(Table4[Grade]=Table2[[#This Row],[Grade]]),0)),""))</f>
        <v>BVE8049P</v>
      </c>
      <c r="O7" s="52">
        <f>IF(OR(Table2[[#This Row],[Film]]="",Table2[[#This Row],[Grade]]=""),"",SUMIFS(Table4[Price Calculated(€) Thickness &amp; QTY related],Table4[Film],Table2[[#This Row],[Film]],Table4[Grade],Table2[[#This Row],[Grade]]))</f>
        <v>4.6989999999999998</v>
      </c>
      <c r="P7" s="6"/>
      <c r="Q7" s="20" t="str" cm="1">
        <f t="array" ref="Q7">IFERROR(INDEX(Table2[Film],MATCH(0,COUNTIF($Q$1:Q6,Table2[Film])+IF(Table2[Film]="",1,0),0)),"")</f>
        <v>TIPA 306M</v>
      </c>
      <c r="R7" s="58">
        <f>SUMIF(Table2[Film],"TIPA 312 MFG",Table2[Price Calculated(€) Thickness &amp; QTY related])+_xlfn.XLOOKUP("MET LUX ",HELPER!$A:$A,HELPER!$E:$E,0)</f>
        <v>5.3805880000000004</v>
      </c>
      <c r="S7" s="60">
        <f>IFERROR(R7*HELPER!$AK$2," ")</f>
        <v>6.2414820799999999</v>
      </c>
      <c r="T7" s="6"/>
      <c r="U7" s="2" t="s">
        <v>47</v>
      </c>
      <c r="V7" s="2" t="s">
        <v>18</v>
      </c>
      <c r="W7" s="2" t="s">
        <v>9</v>
      </c>
      <c r="X7" s="2" t="s">
        <v>83</v>
      </c>
      <c r="Y7" s="2" t="s">
        <v>40</v>
      </c>
      <c r="Z7" s="808" cm="1">
        <f t="array" ref="Z7">SUMPRODUCT((BOM!$A$2:$A$391=U7)*(BOM!$F$2:$F$391=Y7)*BOM!$H$2:$H$391*BOM!$G$2:$G$391)/SUMPRODUCT((BOM!$A$2:$A$391=U7)*BOM!$H$2:$H$391*BOM!$G$2:$G$391)</f>
        <v>9.0000000000000011E-3</v>
      </c>
      <c r="AA7" s="811">
        <f>SUMIF(tblResinWeightedQty12[Film],tblResinWeightedQty12[[#This Row],[Film]],tblResinWeightedQty12[Weighted QTY %])</f>
        <v>1.0000000000000002</v>
      </c>
    </row>
    <row r="8" spans="1:27">
      <c r="A8" s="25" t="s">
        <v>0</v>
      </c>
      <c r="B8" s="26" t="s">
        <v>5</v>
      </c>
      <c r="C8" s="28"/>
      <c r="D8" s="28" t="str">
        <f>IF(C8="","",IFERROR(_xlfn.XLOOKUP(C8,HELPER!$A$2:$A$81,HELPER!$B$2:$B$81,""),D8))</f>
        <v/>
      </c>
      <c r="E8" s="28" t="str">
        <f>IFERROR(_xlfn.XLOOKUP(D8,HELPER!$B:$B,HELPER!$C:$C,""),"")</f>
        <v/>
      </c>
      <c r="F8" s="27" t="str">
        <f>IFERROR(_xlfn.XLOOKUP(D8,HELPER!$B:$B,HELPER!$D:$D,""),"")</f>
        <v/>
      </c>
      <c r="G8" s="27">
        <v>8</v>
      </c>
      <c r="H8" s="31"/>
      <c r="I8" s="21" t="str">
        <f>IF(AND(H8&lt;&gt;"",IFERROR(_xlfn.XLOOKUP(D8,HELPER!$B:$B,HELPER!$E:$E,""),"")=""),"Missing price",IFERROR(_xlfn.XLOOKUP(D8,HELPER!$B:$B,HELPER!$E:$E,"")," "))</f>
        <v/>
      </c>
      <c r="J8" s="54" t="str">
        <f>IFERROR(H8*(IF(G8=8,I8*HELPER!$G$2,BOM!I8*HELPER!$G$3))," ")</f>
        <v xml:space="preserve"> </v>
      </c>
      <c r="K8" s="6"/>
      <c r="L8" s="16" t="str" cm="1">
        <f t="array" ref="L8">IFERROR(_xlfn.LET(_xlpm.films,Table4[Film],_xlpm.grades,Table4[Grade],_xlpm.pairs,_xlfn._xlws.FILTER(_xlfn.HSTACK(_xlpm.films,_xlpm.grades),(_xlpm.films&lt;&gt;"")*(TRIM(_xlpm.grades)&lt;&gt;"")),_xlpm.uniquePairs,_xlfn.UNIQUE(_xlpm.pairs),_xlpm.sortedPairs,_xlfn._xlws.SORT(_xlpm.uniquePairs,1,1),INDEX(_xlpm.sortedPairs,ROWS($L$2:L8),1)),"")</f>
        <v>PL202.1</v>
      </c>
      <c r="M8" s="17" t="str" cm="1">
        <f t="array" ref="M8">IFERROR(_xlfn.LET(_xlpm.films,Table4[Film],_xlpm.grades,Table4[Grade],_xlpm.pairs,_xlfn._xlws.FILTER(_xlfn.HSTACK(_xlpm.films,_xlpm.grades),(_xlpm.films&lt;&gt;"")*(TRIM(_xlpm.grades)&lt;&gt;"")),_xlpm.uniquePairs,_xlfn.UNIQUE(_xlpm.pairs),_xlpm.sortedPairs,_xlfn._xlws.SORT(_xlpm.uniquePairs,1,1),INDEX(_xlpm.sortedPairs,ROWS($M$2:M8),2)),"")</f>
        <v>B12</v>
      </c>
      <c r="N8" s="17" t="str" cm="1">
        <f t="array" ref="N8">IF(OR(Table2[[#This Row],[Film]]="",Table2[[#This Row],[Grade]]=""),"",IFERROR(INDEX(Table4[Serial Number],MATCH(1,(Table4[Film]=Table2[[#This Row],[Film]])*(Table4[Grade]=Table2[[#This Row],[Grade]]),0)),""))</f>
        <v>RMB12</v>
      </c>
      <c r="O8" s="53">
        <f>IF(OR(Table2[[#This Row],[Film]]="",Table2[[#This Row],[Grade]]=""),"",SUMIFS(Table4[Price Calculated(€) Thickness &amp; QTY related],Table4[Film],Table2[[#This Row],[Film]],Table4[Grade],Table2[[#This Row],[Grade]]))</f>
        <v>0.24978</v>
      </c>
      <c r="P8" s="6"/>
      <c r="Q8" s="19" t="str" cm="1">
        <f t="array" ref="Q8">IFERROR(INDEX(Table2[Film],MATCH(0,COUNTIF($Q$1:Q7,Table2[Film])+IF(Table2[Film]="",1,0),0)),"")</f>
        <v>TIPA 306W</v>
      </c>
      <c r="R8" s="57">
        <f>SUMIF(Table2[Film],"TIPA 312 MFG",Table2[Price Calculated(€) Thickness &amp; QTY related])+_xlfn.XLOOKUP("MET LUX ",HELPER!$A:$A,HELPER!$E:$E,0)</f>
        <v>5.3805880000000004</v>
      </c>
      <c r="S8" s="59">
        <f>IFERROR(R8*HELPER!$AK$2," ")</f>
        <v>6.2414820799999999</v>
      </c>
      <c r="T8" s="6"/>
      <c r="U8" s="2" t="s">
        <v>47</v>
      </c>
      <c r="V8" s="2" t="s">
        <v>12</v>
      </c>
      <c r="W8" s="2" t="s">
        <v>8</v>
      </c>
      <c r="X8" s="2" t="s">
        <v>84</v>
      </c>
      <c r="Y8" s="2" t="s">
        <v>42</v>
      </c>
      <c r="Z8" s="808" cm="1">
        <f t="array" ref="Z8">SUMPRODUCT((BOM!$A$2:$A$391=U8)*(BOM!$F$2:$F$391=Y8)*BOM!$H$2:$H$391*BOM!$G$2:$G$391)/SUMPRODUCT((BOM!$A$2:$A$391=U8)*BOM!$H$2:$H$391*BOM!$G$2:$G$391)</f>
        <v>0.48180000000000012</v>
      </c>
      <c r="AA8" s="811">
        <f>SUMIF(tblResinWeightedQty12[Film],tblResinWeightedQty12[[#This Row],[Film]],tblResinWeightedQty12[Weighted QTY %])</f>
        <v>1.0000000000000002</v>
      </c>
    </row>
    <row r="9" spans="1:27">
      <c r="A9" s="25" t="s">
        <v>0</v>
      </c>
      <c r="B9" s="26" t="s">
        <v>5</v>
      </c>
      <c r="C9" s="28"/>
      <c r="D9" s="28" t="str">
        <f>IF(C9="","",IFERROR(_xlfn.XLOOKUP(C9,HELPER!$A$2:$A$81,HELPER!$B$2:$B$81,""),D9))</f>
        <v/>
      </c>
      <c r="E9" s="28" t="str">
        <f>IFERROR(_xlfn.XLOOKUP(D9,HELPER!$B:$B,HELPER!$C:$C,""),"")</f>
        <v/>
      </c>
      <c r="F9" s="27" t="str">
        <f>IFERROR(_xlfn.XLOOKUP(D9,HELPER!$B:$B,HELPER!$D:$D,""),"")</f>
        <v/>
      </c>
      <c r="G9" s="27">
        <v>8</v>
      </c>
      <c r="H9" s="31"/>
      <c r="I9" s="21" t="str">
        <f>IF(AND(H9&lt;&gt;"",IFERROR(_xlfn.XLOOKUP(D9,HELPER!$B:$B,HELPER!$E:$E,""),"")=""),"Missing price",IFERROR(_xlfn.XLOOKUP(D9,HELPER!$B:$B,HELPER!$E:$E,"")," "))</f>
        <v/>
      </c>
      <c r="J9" s="54" t="str">
        <f>IFERROR(H9*(IF(G9=8,I9*HELPER!$G$2,BOM!I9*HELPER!$G$3))," ")</f>
        <v xml:space="preserve"> </v>
      </c>
      <c r="K9" s="6"/>
      <c r="L9" s="14" t="str" cm="1">
        <f t="array" ref="L9">IFERROR(_xlfn.LET(_xlpm.films,Table4[Film],_xlpm.grades,Table4[Grade],_xlpm.pairs,_xlfn._xlws.FILTER(_xlfn.HSTACK(_xlpm.films,_xlpm.grades),(_xlpm.films&lt;&gt;"")*(TRIM(_xlpm.grades)&lt;&gt;"")),_xlpm.uniquePairs,_xlfn.UNIQUE(_xlpm.pairs),_xlpm.sortedPairs,_xlfn._xlws.SORT(_xlpm.uniquePairs,1,1),INDEX(_xlpm.sortedPairs,ROWS($L$2:L9),1)),"")</f>
        <v>PL202.2</v>
      </c>
      <c r="M9" s="15" t="str" cm="1">
        <f t="array" ref="M9">IFERROR(_xlfn.LET(_xlpm.films,Table4[Film],_xlpm.grades,Table4[Grade],_xlpm.pairs,_xlfn._xlws.FILTER(_xlfn.HSTACK(_xlpm.films,_xlpm.grades),(_xlpm.films&lt;&gt;"")*(TRIM(_xlpm.grades)&lt;&gt;"")),_xlpm.uniquePairs,_xlfn.UNIQUE(_xlpm.pairs),_xlpm.sortedPairs,_xlfn._xlws.SORT(_xlpm.uniquePairs,1,1),INDEX(_xlpm.sortedPairs,ROWS($M$2:M9),2)),"")</f>
        <v>LX175</v>
      </c>
      <c r="N9" s="15" t="str" cm="1">
        <f t="array" ref="N9">IF(OR(Table2[[#This Row],[Film]]="",Table2[[#This Row],[Grade]]=""),"",IFERROR(INDEX(Table4[Serial Number],MATCH(1,(Table4[Film]=Table2[[#This Row],[Film]])*(Table4[Grade]=Table2[[#This Row],[Grade]]),0)),""))</f>
        <v>RMLX175</v>
      </c>
      <c r="O9" s="52">
        <f>IF(OR(Table2[[#This Row],[Film]]="",Table2[[#This Row],[Grade]]=""),"",SUMIFS(Table4[Price Calculated(€) Thickness &amp; QTY related],Table4[Film],Table2[[#This Row],[Film]],Table4[Grade],Table2[[#This Row],[Grade]]))</f>
        <v>1.50258</v>
      </c>
      <c r="P9" s="6"/>
      <c r="Q9" s="20" t="str" cm="1">
        <f t="array" ref="Q9">IFERROR(INDEX(Table2[Film],MATCH(0,COUNTIF($Q$1:Q8,Table2[Film])+IF(Table2[Film]="",1,0),0)),"")</f>
        <v>TIPA 312 MFG</v>
      </c>
      <c r="R9" s="58">
        <f>SUMIF(Table2[Film],"TIPA 312 MFG",Table2[Price Calculated(€) Thickness &amp; QTY related])+_xlfn.XLOOKUP("MET LUX ",HELPER!$A:$A,HELPER!$E:$E,0)</f>
        <v>5.3805880000000004</v>
      </c>
      <c r="S9" s="60">
        <f>IFERROR(R9*HELPER!$AK$2," ")</f>
        <v>6.2414820799999999</v>
      </c>
      <c r="T9" s="6"/>
      <c r="U9" s="2" t="s">
        <v>48</v>
      </c>
      <c r="V9" s="2" t="s">
        <v>19</v>
      </c>
      <c r="W9" s="2" t="s">
        <v>30</v>
      </c>
      <c r="X9" s="2" t="s">
        <v>30</v>
      </c>
      <c r="Y9" s="2" t="s">
        <v>30</v>
      </c>
      <c r="Z9" s="808" cm="1">
        <f t="array" ref="Z9">SUMPRODUCT((BOM!$A$2:$A$391=U9)*(BOM!$F$2:$F$391=Y9)*BOM!$H$2:$H$391*BOM!$G$2:$G$391)/SUMPRODUCT((BOM!$A$2:$A$391=U9)*BOM!$H$2:$H$391*BOM!$G$2:$G$391)</f>
        <v>0.25400000000000006</v>
      </c>
      <c r="AA9" s="811">
        <f>SUMIF(tblResinWeightedQty12[Film],tblResinWeightedQty12[[#This Row],[Film]],tblResinWeightedQty12[Weighted QTY %])</f>
        <v>1.0000000000000002</v>
      </c>
    </row>
    <row r="10" spans="1:27">
      <c r="A10" s="25" t="s">
        <v>0</v>
      </c>
      <c r="B10" s="26" t="s">
        <v>5</v>
      </c>
      <c r="C10" s="28"/>
      <c r="D10" s="28" t="str">
        <f>IF(C10="","",IFERROR(_xlfn.XLOOKUP(C10,HELPER!$A$2:$A$81,HELPER!$B$2:$B$81,""),D10))</f>
        <v/>
      </c>
      <c r="E10" s="28" t="str">
        <f>IFERROR(_xlfn.XLOOKUP(D10,HELPER!$B:$B,HELPER!$C:$C,""),"")</f>
        <v/>
      </c>
      <c r="F10" s="27" t="str">
        <f>IFERROR(_xlfn.XLOOKUP(D10,HELPER!$B:$B,HELPER!$D:$D,""),"")</f>
        <v/>
      </c>
      <c r="G10" s="27">
        <v>8</v>
      </c>
      <c r="H10" s="31"/>
      <c r="I10" s="21" t="str">
        <f>IF(AND(H10&lt;&gt;"",IFERROR(_xlfn.XLOOKUP(D10,HELPER!$B:$B,HELPER!$E:$E,""),"")=""),"Missing price",IFERROR(_xlfn.XLOOKUP(D10,HELPER!$B:$B,HELPER!$E:$E,"")," "))</f>
        <v/>
      </c>
      <c r="J10" s="54" t="str">
        <f>IFERROR(H10*(IF(G10=8,I10*HELPER!$G$2,BOM!I10*HELPER!$G$3))," ")</f>
        <v xml:space="preserve"> </v>
      </c>
      <c r="K10" s="6"/>
      <c r="L10" s="16" t="str" cm="1">
        <f t="array" ref="L10">IFERROR(_xlfn.LET(_xlpm.films,Table4[Film],_xlpm.grades,Table4[Grade],_xlpm.pairs,_xlfn._xlws.FILTER(_xlfn.HSTACK(_xlpm.films,_xlpm.grades),(_xlpm.films&lt;&gt;"")*(TRIM(_xlpm.grades)&lt;&gt;"")),_xlpm.uniquePairs,_xlfn.UNIQUE(_xlpm.pairs),_xlpm.sortedPairs,_xlfn._xlws.SORT(_xlpm.uniquePairs,1,1),INDEX(_xlpm.sortedPairs,ROWS($L$2:L10),1)),"")</f>
        <v>PL202.2</v>
      </c>
      <c r="M10" s="17" t="str" cm="1">
        <f t="array" ref="M10">IFERROR(_xlfn.LET(_xlpm.films,Table4[Film],_xlpm.grades,Table4[Grade],_xlpm.pairs,_xlfn._xlws.FILTER(_xlfn.HSTACK(_xlpm.films,_xlpm.grades),(_xlpm.films&lt;&gt;"")*(TRIM(_xlpm.grades)&lt;&gt;"")),_xlpm.uniquePairs,_xlfn.UNIQUE(_xlpm.pairs),_xlpm.sortedPairs,_xlfn._xlws.SORT(_xlpm.uniquePairs,1,1),INDEX(_xlpm.sortedPairs,ROWS($M$2:M10),2)),"")</f>
        <v>P65D</v>
      </c>
      <c r="N10" s="17" t="str" cm="1">
        <f t="array" ref="N10">IF(OR(Table2[[#This Row],[Film]]="",Table2[[#This Row],[Grade]]=""),"",IFERROR(INDEX(Table4[Serial Number],MATCH(1,(Table4[Film]=Table2[[#This Row],[Film]])*(Table4[Grade]=Table2[[#This Row],[Grade]]),0)),""))</f>
        <v>RMP65D</v>
      </c>
      <c r="O10" s="53">
        <f>IF(OR(Table2[[#This Row],[Film]]="",Table2[[#This Row],[Grade]]=""),"",SUMIFS(Table4[Price Calculated(€) Thickness &amp; QTY related],Table4[Film],Table2[[#This Row],[Film]],Table4[Grade],Table2[[#This Row],[Grade]]))</f>
        <v>0.83219999999999994</v>
      </c>
      <c r="P10" s="6"/>
      <c r="Q10" s="19" t="str" cm="1">
        <f t="array" ref="Q10">IFERROR(INDEX(Table2[Film],MATCH(0,COUNTIF($Q$1:Q9,Table2[Film])+IF(Table2[Film]="",1,0),0)),"")</f>
        <v>TIPA 312MFGW</v>
      </c>
      <c r="R10" s="57">
        <f>SUMIF(Table2[Film],"TIPA 312 MFG",Table2[Price Calculated(€) Thickness &amp; QTY related])+_xlfn.XLOOKUP("MET LUX ",HELPER!$A:$A,HELPER!$E:$E,0)</f>
        <v>5.3805880000000004</v>
      </c>
      <c r="S10" s="59">
        <f>IFERROR(R10*HELPER!$AK$2," ")</f>
        <v>6.2414820799999999</v>
      </c>
      <c r="T10" s="6"/>
      <c r="U10" s="2" t="s">
        <v>48</v>
      </c>
      <c r="V10" s="2" t="s">
        <v>13</v>
      </c>
      <c r="W10" s="2" t="s">
        <v>74</v>
      </c>
      <c r="X10" s="2" t="s">
        <v>75</v>
      </c>
      <c r="Y10" s="2" t="s">
        <v>33</v>
      </c>
      <c r="Z10" s="808" cm="1">
        <f t="array" ref="Z10">SUMPRODUCT((BOM!$A$2:$A$391=U10)*(BOM!$F$2:$F$391=Y10)*BOM!$H$2:$H$391*BOM!$G$2:$G$391)/SUMPRODUCT((BOM!$A$2:$A$391=U10)*BOM!$H$2:$H$391*BOM!$G$2:$G$391)</f>
        <v>0.47400000000000009</v>
      </c>
      <c r="AA10" s="811">
        <f>SUMIF(tblResinWeightedQty12[Film],tblResinWeightedQty12[[#This Row],[Film]],tblResinWeightedQty12[Weighted QTY %])</f>
        <v>1.0000000000000002</v>
      </c>
    </row>
    <row r="11" spans="1:27">
      <c r="A11" s="25" t="s">
        <v>0</v>
      </c>
      <c r="B11" s="26" t="s">
        <v>5</v>
      </c>
      <c r="C11" s="28"/>
      <c r="D11" s="28" t="str">
        <f>IF(C11="","",IFERROR(_xlfn.XLOOKUP(C11,HELPER!$A$2:$A$81,HELPER!$B$2:$B$81,""),D11))</f>
        <v/>
      </c>
      <c r="E11" s="28" t="str">
        <f>IFERROR(_xlfn.XLOOKUP(D11,HELPER!$B:$B,HELPER!$C:$C,""),"")</f>
        <v/>
      </c>
      <c r="F11" s="27" t="str">
        <f>IFERROR(_xlfn.XLOOKUP(D11,HELPER!$B:$B,HELPER!$D:$D,""),"")</f>
        <v/>
      </c>
      <c r="G11" s="27">
        <v>8</v>
      </c>
      <c r="H11" s="31"/>
      <c r="I11" s="21" t="str">
        <f>IF(AND(H11&lt;&gt;"",IFERROR(_xlfn.XLOOKUP(D11,HELPER!$B:$B,HELPER!$E:$E,""),"")=""),"Missing price",IFERROR(_xlfn.XLOOKUP(D11,HELPER!$B:$B,HELPER!$E:$E,"")," "))</f>
        <v/>
      </c>
      <c r="J11" s="54" t="str">
        <f>IFERROR(H11*(IF(G11=8,I11*HELPER!$G$2,BOM!I11*HELPER!$G$3))," ")</f>
        <v xml:space="preserve"> </v>
      </c>
      <c r="K11" s="6"/>
      <c r="L11" s="14" t="str" cm="1">
        <f t="array" ref="L11">IFERROR(_xlfn.LET(_xlpm.films,Table4[Film],_xlpm.grades,Table4[Grade],_xlpm.pairs,_xlfn._xlws.FILTER(_xlfn.HSTACK(_xlpm.films,_xlpm.grades),(_xlpm.films&lt;&gt;"")*(TRIM(_xlpm.grades)&lt;&gt;"")),_xlpm.uniquePairs,_xlfn.UNIQUE(_xlpm.pairs),_xlpm.sortedPairs,_xlfn._xlws.SORT(_xlpm.uniquePairs,1,1),INDEX(_xlpm.sortedPairs,ROWS($L$2:L11),1)),"")</f>
        <v>PL202.2</v>
      </c>
      <c r="M11" s="15" t="str" cm="1">
        <f t="array" ref="M11">IFERROR(_xlfn.LET(_xlpm.films,Table4[Film],_xlpm.grades,Table4[Grade],_xlpm.pairs,_xlfn._xlws.FILTER(_xlfn.HSTACK(_xlpm.films,_xlpm.grades),(_xlpm.films&lt;&gt;"")*(TRIM(_xlpm.grades)&lt;&gt;"")),_xlpm.uniquePairs,_xlfn.UNIQUE(_xlpm.pairs),_xlpm.sortedPairs,_xlfn._xlws.SORT(_xlpm.uniquePairs,1,1),INDEX(_xlpm.sortedPairs,ROWS($M$2:M11),2)),"")</f>
        <v>S723</v>
      </c>
      <c r="N11" s="15" t="str" cm="1">
        <f t="array" ref="N11">IF(OR(Table2[[#This Row],[Film]]="",Table2[[#This Row],[Grade]]=""),"",IFERROR(INDEX(Table4[Serial Number],MATCH(1,(Table4[Film]=Table2[[#This Row],[Film]])*(Table4[Grade]=Table2[[#This Row],[Grade]]),0)),""))</f>
        <v>RM TA45-08 S723</v>
      </c>
      <c r="O11" s="52">
        <f>IF(OR(Table2[[#This Row],[Film]]="",Table2[[#This Row],[Grade]]=""),"",SUMIFS(Table4[Price Calculated(€) Thickness &amp; QTY related],Table4[Film],Table2[[#This Row],[Film]],Table4[Grade],Table2[[#This Row],[Grade]]))</f>
        <v>0.32320000000000004</v>
      </c>
      <c r="P11" s="6"/>
      <c r="Q11" s="858" t="s">
        <v>202</v>
      </c>
      <c r="R11" s="859">
        <f>SUMIF(Table2[Film],"TIPA 312 MFG",Table2[Price Calculated(€) Thickness &amp; QTY related])+_xlfn.XLOOKUP("MET LUX ",HELPER!$A:$A,HELPER!$E:$E,0)</f>
        <v>5.3805880000000004</v>
      </c>
      <c r="S11" s="860">
        <f>IFERROR(R11*HELPER!$AK$2," ")</f>
        <v>6.2414820799999999</v>
      </c>
      <c r="T11" s="6"/>
      <c r="U11" s="2" t="s">
        <v>48</v>
      </c>
      <c r="V11" s="2" t="s">
        <v>14</v>
      </c>
      <c r="W11" s="2" t="s">
        <v>23</v>
      </c>
      <c r="X11" s="2" t="s">
        <v>77</v>
      </c>
      <c r="Y11" s="2" t="s">
        <v>35</v>
      </c>
      <c r="Z11" s="808" cm="1">
        <f t="array" ref="Z11">SUMPRODUCT((BOM!$A$2:$A$391=U11)*(BOM!$F$2:$F$391=Y11)*BOM!$H$2:$H$391*BOM!$G$2:$G$391)/SUMPRODUCT((BOM!$A$2:$A$391=U11)*BOM!$H$2:$H$391*BOM!$G$2:$G$391)</f>
        <v>0.13800000000000001</v>
      </c>
      <c r="AA11" s="811">
        <f>SUMIF(tblResinWeightedQty12[Film],tblResinWeightedQty12[[#This Row],[Film]],tblResinWeightedQty12[Weighted QTY %])</f>
        <v>1.0000000000000002</v>
      </c>
    </row>
    <row r="12" spans="1:27">
      <c r="A12" s="25" t="s">
        <v>0</v>
      </c>
      <c r="B12" s="26" t="s">
        <v>6</v>
      </c>
      <c r="C12" s="28"/>
      <c r="D12" s="28" t="str">
        <f>IF(C12="","",IFERROR(_xlfn.XLOOKUP(C12,HELPER!$A$2:$A$81,HELPER!$B$2:$B$81,""),D12))</f>
        <v/>
      </c>
      <c r="E12" s="28" t="str">
        <f>IFERROR(_xlfn.XLOOKUP(D12,HELPER!$B:$B,HELPER!$C:$C,""),"")</f>
        <v/>
      </c>
      <c r="F12" s="27" t="str">
        <f>IFERROR(_xlfn.XLOOKUP(D12,HELPER!$B:$B,HELPER!$D:$D,""),"")</f>
        <v/>
      </c>
      <c r="G12" s="27">
        <v>8</v>
      </c>
      <c r="H12" s="31"/>
      <c r="I12" s="21" t="str">
        <f>IF(AND(H12&lt;&gt;"",IFERROR(_xlfn.XLOOKUP(D12,HELPER!$B:$B,HELPER!$E:$E,""),"")=""),"Missing price",IFERROR(_xlfn.XLOOKUP(D12,HELPER!$B:$B,HELPER!$E:$E,"")," "))</f>
        <v/>
      </c>
      <c r="J12" s="54" t="str">
        <f>IFERROR(H12*(IF(G12=8,I12*HELPER!$G$2,BOM!I12*HELPER!$G$3))," ")</f>
        <v xml:space="preserve"> </v>
      </c>
      <c r="K12" s="6"/>
      <c r="L12" s="16" t="str" cm="1">
        <f t="array" ref="L12">IFERROR(_xlfn.LET(_xlpm.films,Table4[Film],_xlpm.grades,Table4[Grade],_xlpm.pairs,_xlfn._xlws.FILTER(_xlfn.HSTACK(_xlpm.films,_xlpm.grades),(_xlpm.films&lt;&gt;"")*(TRIM(_xlpm.grades)&lt;&gt;"")),_xlpm.uniquePairs,_xlfn.UNIQUE(_xlpm.pairs),_xlpm.sortedPairs,_xlfn._xlws.SORT(_xlpm.uniquePairs,1,1),INDEX(_xlpm.sortedPairs,ROWS($L$2:L12),1)),"")</f>
        <v>PL202.2</v>
      </c>
      <c r="M12" s="17" t="str" cm="1">
        <f t="array" ref="M12">IFERROR(_xlfn.LET(_xlpm.films,Table4[Film],_xlpm.grades,Table4[Grade],_xlpm.pairs,_xlfn._xlws.FILTER(_xlfn.HSTACK(_xlpm.films,_xlpm.grades),(_xlpm.films&lt;&gt;"")*(TRIM(_xlpm.grades)&lt;&gt;"")),_xlpm.uniquePairs,_xlfn.UNIQUE(_xlpm.pairs),_xlpm.sortedPairs,_xlfn._xlws.SORT(_xlpm.uniquePairs,1,1),INDEX(_xlpm.sortedPairs,ROWS($M$2:M12),2)),"")</f>
        <v>BVE8049P</v>
      </c>
      <c r="N12" s="17" t="str" cm="1">
        <f t="array" ref="N12">IF(OR(Table2[[#This Row],[Film]]="",Table2[[#This Row],[Grade]]=""),"",IFERROR(INDEX(Table4[Serial Number],MATCH(1,(Table4[Film]=Table2[[#This Row],[Film]])*(Table4[Grade]=Table2[[#This Row],[Grade]]),0)),""))</f>
        <v>BVE8049P</v>
      </c>
      <c r="O12" s="53">
        <f>IF(OR(Table2[[#This Row],[Film]]="",Table2[[#This Row],[Grade]]=""),"",SUMIFS(Table4[Price Calculated(€) Thickness &amp; QTY related],Table4[Film],Table2[[#This Row],[Film]],Table4[Grade],Table2[[#This Row],[Grade]]))</f>
        <v>4.6989999999999998</v>
      </c>
      <c r="P12" s="6"/>
      <c r="Q12" s="19" t="str" cm="1">
        <f t="array" ref="Q12">IFERROR(INDEX(Table2[Film],MATCH(0,COUNTIF($Q$1:Q11,Table2[Film])+IF(Table2[Film]="",1,0),0)),"")</f>
        <v/>
      </c>
      <c r="R12" s="57">
        <f>SUMIF(Table2[Film],"TIPA 312 MFG",Table2[Price Calculated(€) Thickness &amp; QTY related])+_xlfn.XLOOKUP("MET LUX ",HELPER!$A:$A,HELPER!$E:$E,0)</f>
        <v>5.3805880000000004</v>
      </c>
      <c r="S12" s="59">
        <f>IFERROR(R12*HELPER!$AK$2," ")</f>
        <v>6.2414820799999999</v>
      </c>
      <c r="T12" s="6"/>
      <c r="U12" s="2" t="s">
        <v>48</v>
      </c>
      <c r="V12" s="2" t="s">
        <v>15</v>
      </c>
      <c r="W12" s="2" t="s">
        <v>24</v>
      </c>
      <c r="X12" s="2" t="s">
        <v>80</v>
      </c>
      <c r="Y12" s="2" t="s">
        <v>37</v>
      </c>
      <c r="Z12" s="808" cm="1">
        <f t="array" ref="Z12">SUMPRODUCT((BOM!$A$2:$A$391=U12)*(BOM!$F$2:$F$391=Y12)*BOM!$H$2:$H$391*BOM!$G$2:$G$391)/SUMPRODUCT((BOM!$A$2:$A$391=U12)*BOM!$H$2:$H$391*BOM!$G$2:$G$391)</f>
        <v>0.11400000000000003</v>
      </c>
      <c r="AA12" s="811">
        <f>SUMIF(tblResinWeightedQty12[Film],tblResinWeightedQty12[[#This Row],[Film]],tblResinWeightedQty12[Weighted QTY %])</f>
        <v>1.0000000000000002</v>
      </c>
    </row>
    <row r="13" spans="1:27">
      <c r="A13" s="25" t="s">
        <v>0</v>
      </c>
      <c r="B13" s="26" t="s">
        <v>6</v>
      </c>
      <c r="C13" s="28"/>
      <c r="D13" s="28" t="str">
        <f>IF(C13="","",IFERROR(_xlfn.XLOOKUP(C13,HELPER!$A$2:$A$81,HELPER!$B$2:$B$81,""),D13))</f>
        <v/>
      </c>
      <c r="E13" s="28" t="str">
        <f>IFERROR(_xlfn.XLOOKUP(D13,HELPER!$B:$B,HELPER!$C:$C,""),"")</f>
        <v/>
      </c>
      <c r="F13" s="27" t="str">
        <f>IFERROR(_xlfn.XLOOKUP(D13,HELPER!$B:$B,HELPER!$D:$D,""),"")</f>
        <v/>
      </c>
      <c r="G13" s="27">
        <v>24</v>
      </c>
      <c r="H13" s="31"/>
      <c r="I13" s="21" t="str">
        <f>IF(AND(H13&lt;&gt;"",IFERROR(_xlfn.XLOOKUP(D13,HELPER!$B:$B,HELPER!$E:$E,""),"")=""),"Missing price",IFERROR(_xlfn.XLOOKUP(D13,HELPER!$B:$B,HELPER!$E:$E,"")," "))</f>
        <v/>
      </c>
      <c r="J13" s="54" t="str">
        <f>IFERROR(H13*(IF(G13=8,I13*HELPER!$G$2,BOM!I13*HELPER!$G$3))," ")</f>
        <v xml:space="preserve"> </v>
      </c>
      <c r="K13" s="6"/>
      <c r="L13" s="14" t="str" cm="1">
        <f t="array" ref="L13">IFERROR(_xlfn.LET(_xlpm.films,Table4[Film],_xlpm.grades,Table4[Grade],_xlpm.pairs,_xlfn._xlws.FILTER(_xlfn.HSTACK(_xlpm.films,_xlpm.grades),(_xlpm.films&lt;&gt;"")*(TRIM(_xlpm.grades)&lt;&gt;"")),_xlpm.uniquePairs,_xlfn.UNIQUE(_xlpm.pairs),_xlpm.sortedPairs,_xlfn._xlws.SORT(_xlpm.uniquePairs,1,1),INDEX(_xlpm.sortedPairs,ROWS($L$2:L13),1)),"")</f>
        <v>PL202.2</v>
      </c>
      <c r="M13" s="15" t="str" cm="1">
        <f t="array" ref="M13">IFERROR(_xlfn.LET(_xlpm.films,Table4[Film],_xlpm.grades,Table4[Grade],_xlpm.pairs,_xlfn._xlws.FILTER(_xlfn.HSTACK(_xlpm.films,_xlpm.grades),(_xlpm.films&lt;&gt;"")*(TRIM(_xlpm.grades)&lt;&gt;"")),_xlpm.uniquePairs,_xlfn.UNIQUE(_xlpm.pairs),_xlpm.sortedPairs,_xlfn._xlws.SORT(_xlpm.uniquePairs,1,1),INDEX(_xlpm.sortedPairs,ROWS($M$2:M13),2)),"")</f>
        <v>B12</v>
      </c>
      <c r="N13" s="15" t="str" cm="1">
        <f t="array" ref="N13">IF(OR(Table2[[#This Row],[Film]]="",Table2[[#This Row],[Grade]]=""),"",IFERROR(INDEX(Table4[Serial Number],MATCH(1,(Table4[Film]=Table2[[#This Row],[Film]])*(Table4[Grade]=Table2[[#This Row],[Grade]]),0)),""))</f>
        <v>RMB12</v>
      </c>
      <c r="O13" s="52">
        <f>IF(OR(Table2[[#This Row],[Film]]="",Table2[[#This Row],[Grade]]=""),"",SUMIFS(Table4[Price Calculated(€) Thickness &amp; QTY related],Table4[Film],Table2[[#This Row],[Film]],Table4[Grade],Table2[[#This Row],[Grade]]))</f>
        <v>0.24978</v>
      </c>
      <c r="P13" s="6"/>
      <c r="Q13" s="20" t="str" cm="1">
        <f t="array" ref="Q13">IFERROR(INDEX(Table2[Film],MATCH(0,COUNTIF($Q$1:Q12,Table2[Film])+IF(Table2[Film]="",1,0),0)),"")</f>
        <v/>
      </c>
      <c r="R13" s="58">
        <f>SUMIF(Table2[Film],"TIPA 312 MFG",Table2[Price Calculated(€) Thickness &amp; QTY related])+_xlfn.XLOOKUP("MET LUX ",HELPER!$A:$A,HELPER!$E:$E,0)</f>
        <v>5.3805880000000004</v>
      </c>
      <c r="S13" s="60">
        <f>IFERROR(R13*HELPER!$AK$2," ")</f>
        <v>6.2414820799999999</v>
      </c>
      <c r="T13" s="6"/>
      <c r="U13" s="2" t="s">
        <v>48</v>
      </c>
      <c r="V13" s="2" t="s">
        <v>16</v>
      </c>
      <c r="W13" s="2" t="s">
        <v>10</v>
      </c>
      <c r="X13" s="2" t="s">
        <v>81</v>
      </c>
      <c r="Y13" s="2" t="s">
        <v>38</v>
      </c>
      <c r="Z13" s="808" cm="1">
        <f t="array" ref="Z13">SUMPRODUCT((BOM!$A$2:$A$391=U13)*(BOM!$F$2:$F$391=Y13)*BOM!$H$2:$H$391*BOM!$G$2:$G$391)/SUMPRODUCT((BOM!$A$2:$A$391=U13)*BOM!$H$2:$H$391*BOM!$G$2:$G$391)</f>
        <v>2.0000000000000004E-2</v>
      </c>
      <c r="AA13" s="811">
        <f>SUMIF(tblResinWeightedQty12[Film],tblResinWeightedQty12[[#This Row],[Film]],tblResinWeightedQty12[Weighted QTY %])</f>
        <v>1.0000000000000002</v>
      </c>
    </row>
    <row r="14" spans="1:27">
      <c r="A14" s="25" t="s">
        <v>0</v>
      </c>
      <c r="B14" s="26" t="s">
        <v>6</v>
      </c>
      <c r="C14" s="28"/>
      <c r="D14" s="28" t="str">
        <f>IF(C14="","",IFERROR(_xlfn.XLOOKUP(C14,HELPER!$A$2:$A$81,HELPER!$B$2:$B$81,""),D14))</f>
        <v/>
      </c>
      <c r="E14" s="28" t="str">
        <f>IFERROR(_xlfn.XLOOKUP(D14,HELPER!$B:$B,HELPER!$C:$C,""),"")</f>
        <v/>
      </c>
      <c r="F14" s="27" t="str">
        <f>IFERROR(_xlfn.XLOOKUP(D14,HELPER!$B:$B,HELPER!$D:$D,""),"")</f>
        <v/>
      </c>
      <c r="G14" s="27">
        <v>24</v>
      </c>
      <c r="H14" s="31"/>
      <c r="I14" s="21" t="str">
        <f>IF(AND(H14&lt;&gt;"",IFERROR(_xlfn.XLOOKUP(D14,HELPER!$B:$B,HELPER!$E:$E,""),"")=""),"Missing price",IFERROR(_xlfn.XLOOKUP(D14,HELPER!$B:$B,HELPER!$E:$E,"")," "))</f>
        <v/>
      </c>
      <c r="J14" s="54" t="str">
        <f>IFERROR(H14*(IF(G14=8,I14*HELPER!$G$2,BOM!I14*HELPER!$G$3))," ")</f>
        <v xml:space="preserve"> </v>
      </c>
      <c r="K14" s="6"/>
      <c r="L14" s="16" t="str" cm="1">
        <f t="array" ref="L14">IFERROR(_xlfn.LET(_xlpm.films,Table4[Film],_xlpm.grades,Table4[Grade],_xlpm.pairs,_xlfn._xlws.FILTER(_xlfn.HSTACK(_xlpm.films,_xlpm.grades),(_xlpm.films&lt;&gt;"")*(TRIM(_xlpm.grades)&lt;&gt;"")),_xlpm.uniquePairs,_xlfn.UNIQUE(_xlpm.pairs),_xlpm.sortedPairs,_xlfn._xlws.SORT(_xlpm.uniquePairs,1,1),INDEX(_xlpm.sortedPairs,ROWS($L$2:L14),1)),"")</f>
        <v>PL202.3</v>
      </c>
      <c r="M14" s="17" t="str" cm="1">
        <f t="array" ref="M14">IFERROR(_xlfn.LET(_xlpm.films,Table4[Film],_xlpm.grades,Table4[Grade],_xlpm.pairs,_xlfn._xlws.FILTER(_xlfn.HSTACK(_xlpm.films,_xlpm.grades),(_xlpm.films&lt;&gt;"")*(TRIM(_xlpm.grades)&lt;&gt;"")),_xlpm.uniquePairs,_xlfn.UNIQUE(_xlpm.pairs),_xlpm.sortedPairs,_xlfn._xlws.SORT(_xlpm.uniquePairs,1,1),INDEX(_xlpm.sortedPairs,ROWS($M$2:M14),2)),"")</f>
        <v>LX175</v>
      </c>
      <c r="N14" s="17" t="str" cm="1">
        <f t="array" ref="N14">IF(OR(Table2[[#This Row],[Film]]="",Table2[[#This Row],[Grade]]=""),"",IFERROR(INDEX(Table4[Serial Number],MATCH(1,(Table4[Film]=Table2[[#This Row],[Film]])*(Table4[Grade]=Table2[[#This Row],[Grade]]),0)),""))</f>
        <v>RMLX175</v>
      </c>
      <c r="O14" s="53">
        <f>IF(OR(Table2[[#This Row],[Film]]="",Table2[[#This Row],[Grade]]=""),"",SUMIFS(Table4[Price Calculated(€) Thickness &amp; QTY related],Table4[Film],Table2[[#This Row],[Film]],Table4[Grade],Table2[[#This Row],[Grade]]))</f>
        <v>1.50258</v>
      </c>
      <c r="P14" s="6"/>
      <c r="Q14" s="19" t="str" cm="1">
        <f t="array" ref="Q14">IFERROR(INDEX(Table2[Film],MATCH(0,COUNTIF($Q$1:Q13,Table2[Film])+IF(Table2[Film]="",1,0),0)),"")</f>
        <v/>
      </c>
      <c r="R14" s="57">
        <f>SUMIF(Table2[Film],"TIPA 312 MFG",Table2[Price Calculated(€) Thickness &amp; QTY related])+_xlfn.XLOOKUP("MET LUX ",HELPER!$A:$A,HELPER!$E:$E,0)</f>
        <v>5.3805880000000004</v>
      </c>
      <c r="S14" s="59">
        <f>IFERROR(R14*HELPER!$AK$2," ")</f>
        <v>6.2414820799999999</v>
      </c>
      <c r="T14" s="6"/>
      <c r="U14" s="2" t="s">
        <v>49</v>
      </c>
      <c r="V14" s="2" t="s">
        <v>19</v>
      </c>
      <c r="W14" s="2" t="s">
        <v>30</v>
      </c>
      <c r="X14" s="2" t="s">
        <v>30</v>
      </c>
      <c r="Y14" s="2" t="s">
        <v>30</v>
      </c>
      <c r="Z14" s="808" cm="1">
        <f t="array" ref="Z14">SUMPRODUCT((BOM!$A$2:$A$391=U14)*(BOM!$F$2:$F$391=Y14)*BOM!$H$2:$H$391*BOM!$G$2:$G$391)/SUMPRODUCT((BOM!$A$2:$A$391=U14)*BOM!$H$2:$H$391*BOM!$G$2:$G$391)</f>
        <v>0.19600000000000001</v>
      </c>
      <c r="AA14" s="811">
        <f>SUMIF(tblResinWeightedQty12[Film],tblResinWeightedQty12[[#This Row],[Film]],tblResinWeightedQty12[Weighted QTY %])</f>
        <v>1</v>
      </c>
    </row>
    <row r="15" spans="1:27">
      <c r="A15" s="25" t="s">
        <v>0</v>
      </c>
      <c r="B15" s="26" t="s">
        <v>6</v>
      </c>
      <c r="C15" s="28"/>
      <c r="D15" s="28" t="str">
        <f>IF(C15="","",IFERROR(_xlfn.XLOOKUP(C15,HELPER!$A$2:$A$81,HELPER!$B$2:$B$81,""),D15))</f>
        <v/>
      </c>
      <c r="E15" s="28" t="str">
        <f>IFERROR(_xlfn.XLOOKUP(D15,HELPER!$B:$B,HELPER!$C:$C,""),"")</f>
        <v/>
      </c>
      <c r="F15" s="27" t="str">
        <f>IFERROR(_xlfn.XLOOKUP(D15,HELPER!$B:$B,HELPER!$D:$D,""),"")</f>
        <v/>
      </c>
      <c r="G15" s="27">
        <v>24</v>
      </c>
      <c r="H15" s="31"/>
      <c r="I15" s="21" t="str">
        <f>IF(AND(H15&lt;&gt;"",IFERROR(_xlfn.XLOOKUP(D15,HELPER!$B:$B,HELPER!$E:$E,""),"")=""),"Missing price",IFERROR(_xlfn.XLOOKUP(D15,HELPER!$B:$B,HELPER!$E:$E,"")," "))</f>
        <v/>
      </c>
      <c r="J15" s="54" t="str">
        <f>IFERROR(H15*(IF(G15=8,I15*HELPER!$G$2,BOM!I15*HELPER!$G$3))," ")</f>
        <v xml:space="preserve"> </v>
      </c>
      <c r="K15" s="6"/>
      <c r="L15" s="14" t="str" cm="1">
        <f t="array" ref="L15">IFERROR(_xlfn.LET(_xlpm.films,Table4[Film],_xlpm.grades,Table4[Grade],_xlpm.pairs,_xlfn._xlws.FILTER(_xlfn.HSTACK(_xlpm.films,_xlpm.grades),(_xlpm.films&lt;&gt;"")*(TRIM(_xlpm.grades)&lt;&gt;"")),_xlpm.uniquePairs,_xlfn.UNIQUE(_xlpm.pairs),_xlpm.sortedPairs,_xlfn._xlws.SORT(_xlpm.uniquePairs,1,1),INDEX(_xlpm.sortedPairs,ROWS($L$2:L15),1)),"")</f>
        <v>PL202.3</v>
      </c>
      <c r="M15" s="15" t="str" cm="1">
        <f t="array" ref="M15">IFERROR(_xlfn.LET(_xlpm.films,Table4[Film],_xlpm.grades,Table4[Grade],_xlpm.pairs,_xlfn._xlws.FILTER(_xlfn.HSTACK(_xlpm.films,_xlpm.grades),(_xlpm.films&lt;&gt;"")*(TRIM(_xlpm.grades)&lt;&gt;"")),_xlpm.uniquePairs,_xlfn.UNIQUE(_xlpm.pairs),_xlpm.sortedPairs,_xlfn._xlws.SORT(_xlpm.uniquePairs,1,1),INDEX(_xlpm.sortedPairs,ROWS($M$2:M15),2)),"")</f>
        <v>P65D</v>
      </c>
      <c r="N15" s="15" t="str" cm="1">
        <f t="array" ref="N15">IF(OR(Table2[[#This Row],[Film]]="",Table2[[#This Row],[Grade]]=""),"",IFERROR(INDEX(Table4[Serial Number],MATCH(1,(Table4[Film]=Table2[[#This Row],[Film]])*(Table4[Grade]=Table2[[#This Row],[Grade]]),0)),""))</f>
        <v>RMP65D</v>
      </c>
      <c r="O15" s="52">
        <f>IF(OR(Table2[[#This Row],[Film]]="",Table2[[#This Row],[Grade]]=""),"",SUMIFS(Table4[Price Calculated(€) Thickness &amp; QTY related],Table4[Film],Table2[[#This Row],[Film]],Table4[Grade],Table2[[#This Row],[Grade]]))</f>
        <v>0.83219999999999994</v>
      </c>
      <c r="P15" s="6"/>
      <c r="Q15" s="20" t="str" cm="1">
        <f t="array" ref="Q15">IFERROR(INDEX(Table2[Film],MATCH(0,COUNTIF($Q$1:Q14,Table2[Film])+IF(Table2[Film]="",1,0),0)),"")</f>
        <v/>
      </c>
      <c r="R15" s="58">
        <f>SUMIF(Table2[Film],"TIPA 312 MFG",Table2[Price Calculated(€) Thickness &amp; QTY related])+_xlfn.XLOOKUP("MET LUX ",HELPER!$A:$A,HELPER!$E:$E,0)</f>
        <v>5.3805880000000004</v>
      </c>
      <c r="S15" s="60">
        <f>IFERROR(R15*HELPER!$AK$2," ")</f>
        <v>6.2414820799999999</v>
      </c>
      <c r="T15" s="6"/>
      <c r="U15" s="2" t="s">
        <v>49</v>
      </c>
      <c r="V15" s="2" t="s">
        <v>13</v>
      </c>
      <c r="W15" s="2" t="s">
        <v>74</v>
      </c>
      <c r="X15" s="2" t="s">
        <v>75</v>
      </c>
      <c r="Y15" s="2" t="s">
        <v>33</v>
      </c>
      <c r="Z15" s="808" cm="1">
        <f t="array" ref="Z15">SUMPRODUCT((BOM!$A$2:$A$391=U15)*(BOM!$F$2:$F$391=Y15)*BOM!$H$2:$H$391*BOM!$G$2:$G$391)/SUMPRODUCT((BOM!$A$2:$A$391=U15)*BOM!$H$2:$H$391*BOM!$G$2:$G$391)</f>
        <v>0.47400000000000003</v>
      </c>
      <c r="AA15" s="811">
        <f>SUMIF(tblResinWeightedQty12[Film],tblResinWeightedQty12[[#This Row],[Film]],tblResinWeightedQty12[Weighted QTY %])</f>
        <v>1</v>
      </c>
    </row>
    <row r="16" spans="1:27">
      <c r="A16" s="25" t="s">
        <v>0</v>
      </c>
      <c r="B16" s="26" t="s">
        <v>6</v>
      </c>
      <c r="C16" s="28" t="s">
        <v>16</v>
      </c>
      <c r="D16" s="28" t="str">
        <f>IF(C16="","",IFERROR(_xlfn.XLOOKUP(C16,HELPER!$A$2:$A$81,HELPER!$B$2:$B$81,""),D16))</f>
        <v>S723</v>
      </c>
      <c r="E16" s="28" t="str">
        <f>IFERROR(_xlfn.XLOOKUP(D16,HELPER!$B:$B,HELPER!$C:$C,""),"")</f>
        <v>RM TA45-08 S723</v>
      </c>
      <c r="F16" s="27" t="str">
        <f>IFERROR(_xlfn.XLOOKUP(D16,HELPER!$B:$B,HELPER!$D:$D,""),"")</f>
        <v>Resin 6</v>
      </c>
      <c r="G16" s="27">
        <v>24</v>
      </c>
      <c r="H16" s="31">
        <v>1.4999999999999999E-2</v>
      </c>
      <c r="I16" s="21">
        <f>IF(AND(H16&lt;&gt;"",IFERROR(_xlfn.XLOOKUP(D16,HELPER!$B:$B,HELPER!$E:$E,""),"")=""),"Missing price",IFERROR(_xlfn.XLOOKUP(D16,HELPER!$B:$B,HELPER!$E:$E,"")," "))</f>
        <v>16.16</v>
      </c>
      <c r="J16" s="54">
        <f>IFERROR(H16*(IF(G16=8,I16*HELPER!$G$2,BOM!I16*HELPER!$G$3))," ")</f>
        <v>0.14543999999999999</v>
      </c>
      <c r="K16" s="6"/>
      <c r="L16" s="16" t="str" cm="1">
        <f t="array" ref="L16">IFERROR(_xlfn.LET(_xlpm.films,Table4[Film],_xlpm.grades,Table4[Grade],_xlpm.pairs,_xlfn._xlws.FILTER(_xlfn.HSTACK(_xlpm.films,_xlpm.grades),(_xlpm.films&lt;&gt;"")*(TRIM(_xlpm.grades)&lt;&gt;"")),_xlpm.uniquePairs,_xlfn.UNIQUE(_xlpm.pairs),_xlpm.sortedPairs,_xlfn._xlws.SORT(_xlpm.uniquePairs,1,1),INDEX(_xlpm.sortedPairs,ROWS($L$2:L16),1)),"")</f>
        <v>PL202.3</v>
      </c>
      <c r="M16" s="17" t="str" cm="1">
        <f t="array" ref="M16">IFERROR(_xlfn.LET(_xlpm.films,Table4[Film],_xlpm.grades,Table4[Grade],_xlpm.pairs,_xlfn._xlws.FILTER(_xlfn.HSTACK(_xlpm.films,_xlpm.grades),(_xlpm.films&lt;&gt;"")*(TRIM(_xlpm.grades)&lt;&gt;"")),_xlpm.uniquePairs,_xlfn.UNIQUE(_xlpm.pairs),_xlpm.sortedPairs,_xlfn._xlws.SORT(_xlpm.uniquePairs,1,1),INDEX(_xlpm.sortedPairs,ROWS($M$2:M16),2)),"")</f>
        <v>S723</v>
      </c>
      <c r="N16" s="17" t="str" cm="1">
        <f t="array" ref="N16">IF(OR(Table2[[#This Row],[Film]]="",Table2[[#This Row],[Grade]]=""),"",IFERROR(INDEX(Table4[Serial Number],MATCH(1,(Table4[Film]=Table2[[#This Row],[Film]])*(Table4[Grade]=Table2[[#This Row],[Grade]]),0)),""))</f>
        <v>RM TA45-08 S723</v>
      </c>
      <c r="O16" s="53">
        <f>IF(OR(Table2[[#This Row],[Film]]="",Table2[[#This Row],[Grade]]=""),"",SUMIFS(Table4[Price Calculated(€) Thickness &amp; QTY related],Table4[Film],Table2[[#This Row],[Film]],Table4[Grade],Table2[[#This Row],[Grade]]))</f>
        <v>0.32320000000000004</v>
      </c>
      <c r="P16" s="6"/>
      <c r="Q16" s="19" t="str" cm="1">
        <f t="array" ref="Q16">IFERROR(INDEX(Table2[Film],MATCH(0,COUNTIF($Q$1:Q15,Table2[Film])+IF(Table2[Film]="",1,0),0)),"")</f>
        <v/>
      </c>
      <c r="R16" s="57">
        <f>SUMIF(Table2[Film],"TIPA 312 MFG",Table2[Price Calculated(€) Thickness &amp; QTY related])+_xlfn.XLOOKUP("MET LUX ",HELPER!$A:$A,HELPER!$E:$E,0)</f>
        <v>5.3805880000000004</v>
      </c>
      <c r="S16" s="59">
        <f>IFERROR(R16*HELPER!$AK$2," ")</f>
        <v>6.2414820799999999</v>
      </c>
      <c r="T16" s="6"/>
      <c r="U16" s="2" t="s">
        <v>49</v>
      </c>
      <c r="V16" s="2" t="s">
        <v>14</v>
      </c>
      <c r="W16" s="2" t="s">
        <v>23</v>
      </c>
      <c r="X16" s="2" t="s">
        <v>77</v>
      </c>
      <c r="Y16" s="2" t="s">
        <v>35</v>
      </c>
      <c r="Z16" s="808" cm="1">
        <f t="array" ref="Z16">SUMPRODUCT((BOM!$A$2:$A$391=U16)*(BOM!$F$2:$F$391=Y16)*BOM!$H$2:$H$391*BOM!$G$2:$G$391)/SUMPRODUCT((BOM!$A$2:$A$391=U16)*BOM!$H$2:$H$391*BOM!$G$2:$G$391)</f>
        <v>0.19600000000000001</v>
      </c>
      <c r="AA16" s="811">
        <f>SUMIF(tblResinWeightedQty12[Film],tblResinWeightedQty12[[#This Row],[Film]],tblResinWeightedQty12[Weighted QTY %])</f>
        <v>1</v>
      </c>
    </row>
    <row r="17" spans="1:27">
      <c r="A17" s="25" t="s">
        <v>0</v>
      </c>
      <c r="B17" s="26" t="s">
        <v>6</v>
      </c>
      <c r="C17" s="28"/>
      <c r="D17" s="28" t="str">
        <f>IF(C17="","",IFERROR(_xlfn.XLOOKUP(C17,HELPER!$A$2:$A$81,HELPER!$B$2:$B$81,""),D17))</f>
        <v/>
      </c>
      <c r="E17" s="28" t="str">
        <f>IFERROR(_xlfn.XLOOKUP(D17,HELPER!$B:$B,HELPER!$C:$C,""),"")</f>
        <v/>
      </c>
      <c r="F17" s="27" t="str">
        <f>IFERROR(_xlfn.XLOOKUP(D17,HELPER!$B:$B,HELPER!$D:$D,""),"")</f>
        <v/>
      </c>
      <c r="G17" s="27">
        <v>24</v>
      </c>
      <c r="H17" s="31"/>
      <c r="I17" s="21" t="str">
        <f>IF(AND(H17&lt;&gt;"",IFERROR(_xlfn.XLOOKUP(D17,HELPER!$B:$B,HELPER!$E:$E,""),"")=""),"Missing price",IFERROR(_xlfn.XLOOKUP(D17,HELPER!$B:$B,HELPER!$E:$E,"")," "))</f>
        <v/>
      </c>
      <c r="J17" s="54" t="str">
        <f>IFERROR(H17*(IF(G17=8,I17*HELPER!$G$2,BOM!I17*HELPER!$G$3))," ")</f>
        <v xml:space="preserve"> </v>
      </c>
      <c r="K17" s="6"/>
      <c r="L17" s="14" t="str" cm="1">
        <f t="array" ref="L17">IFERROR(_xlfn.LET(_xlpm.films,Table4[Film],_xlpm.grades,Table4[Grade],_xlpm.pairs,_xlfn._xlws.FILTER(_xlfn.HSTACK(_xlpm.films,_xlpm.grades),(_xlpm.films&lt;&gt;"")*(TRIM(_xlpm.grades)&lt;&gt;"")),_xlpm.uniquePairs,_xlfn.UNIQUE(_xlpm.pairs),_xlpm.sortedPairs,_xlfn._xlws.SORT(_xlpm.uniquePairs,1,1),INDEX(_xlpm.sortedPairs,ROWS($L$2:L17),1)),"")</f>
        <v>PL202.3</v>
      </c>
      <c r="M17" s="15" t="str" cm="1">
        <f t="array" ref="M17">IFERROR(_xlfn.LET(_xlpm.films,Table4[Film],_xlpm.grades,Table4[Grade],_xlpm.pairs,_xlfn._xlws.FILTER(_xlfn.HSTACK(_xlpm.films,_xlpm.grades),(_xlpm.films&lt;&gt;"")*(TRIM(_xlpm.grades)&lt;&gt;"")),_xlpm.uniquePairs,_xlfn.UNIQUE(_xlpm.pairs),_xlpm.sortedPairs,_xlfn._xlws.SORT(_xlpm.uniquePairs,1,1),INDEX(_xlpm.sortedPairs,ROWS($M$2:M17),2)),"")</f>
        <v>BVE8049P</v>
      </c>
      <c r="N17" s="15" t="str" cm="1">
        <f t="array" ref="N17">IF(OR(Table2[[#This Row],[Film]]="",Table2[[#This Row],[Grade]]=""),"",IFERROR(INDEX(Table4[Serial Number],MATCH(1,(Table4[Film]=Table2[[#This Row],[Film]])*(Table4[Grade]=Table2[[#This Row],[Grade]]),0)),""))</f>
        <v>BVE8049P</v>
      </c>
      <c r="O17" s="52">
        <f>IF(OR(Table2[[#This Row],[Film]]="",Table2[[#This Row],[Grade]]=""),"",SUMIFS(Table4[Price Calculated(€) Thickness &amp; QTY related],Table4[Film],Table2[[#This Row],[Film]],Table4[Grade],Table2[[#This Row],[Grade]]))</f>
        <v>3.6259999999999999</v>
      </c>
      <c r="P17" s="6"/>
      <c r="Q17" s="20" t="str" cm="1">
        <f t="array" ref="Q17">IFERROR(INDEX(Table2[Film],MATCH(0,COUNTIF($Q$1:Q16,Table2[Film])+IF(Table2[Film]="",1,0),0)),"")</f>
        <v/>
      </c>
      <c r="R17" s="58">
        <f>SUMIF(Table2[Film],"TIPA 312 MFG",Table2[Price Calculated(€) Thickness &amp; QTY related])+_xlfn.XLOOKUP("MET LUX ",HELPER!$A:$A,HELPER!$E:$E,0)</f>
        <v>5.3805880000000004</v>
      </c>
      <c r="S17" s="60">
        <f>IFERROR(R17*HELPER!$AK$2," ")</f>
        <v>6.2414820799999999</v>
      </c>
      <c r="T17" s="6"/>
      <c r="U17" s="2" t="s">
        <v>49</v>
      </c>
      <c r="V17" s="2" t="s">
        <v>15</v>
      </c>
      <c r="W17" s="2" t="s">
        <v>24</v>
      </c>
      <c r="X17" s="2" t="s">
        <v>80</v>
      </c>
      <c r="Y17" s="2" t="s">
        <v>37</v>
      </c>
      <c r="Z17" s="808" cm="1">
        <f t="array" ref="Z17">SUMPRODUCT((BOM!$A$2:$A$391=U17)*(BOM!$F$2:$F$391=Y17)*BOM!$H$2:$H$391*BOM!$G$2:$G$391)/SUMPRODUCT((BOM!$A$2:$A$391=U17)*BOM!$H$2:$H$391*BOM!$G$2:$G$391)</f>
        <v>0.11400000000000002</v>
      </c>
      <c r="AA17" s="811">
        <f>SUMIF(tblResinWeightedQty12[Film],tblResinWeightedQty12[[#This Row],[Film]],tblResinWeightedQty12[Weighted QTY %])</f>
        <v>1</v>
      </c>
    </row>
    <row r="18" spans="1:27">
      <c r="A18" s="25" t="s">
        <v>0</v>
      </c>
      <c r="B18" s="26" t="s">
        <v>6</v>
      </c>
      <c r="C18" s="28" t="s">
        <v>14</v>
      </c>
      <c r="D18" s="28" t="str">
        <f>IF(C18="","",IFERROR(_xlfn.XLOOKUP(C18,HELPER!$A$2:$A$81,HELPER!$B$2:$B$81,""),D18))</f>
        <v>B12</v>
      </c>
      <c r="E18" s="28" t="str">
        <f>IFERROR(_xlfn.XLOOKUP(D18,HELPER!$B:$B,HELPER!$C:$C,""),"")</f>
        <v>RMB12</v>
      </c>
      <c r="F18" s="27" t="str">
        <f>IFERROR(_xlfn.XLOOKUP(D18,HELPER!$B:$B,HELPER!$D:$D,""),"")</f>
        <v>Resin 2A</v>
      </c>
      <c r="G18" s="27">
        <v>24</v>
      </c>
      <c r="H18" s="31">
        <v>0.98499999999999999</v>
      </c>
      <c r="I18" s="21">
        <f>IF(AND(H18&lt;&gt;"",IFERROR(_xlfn.XLOOKUP(D18,HELPER!$B:$B,HELPER!$E:$E,""),"")=""),"Missing price",IFERROR(_xlfn.XLOOKUP(D18,HELPER!$B:$B,HELPER!$E:$E,"")," "))</f>
        <v>1.81</v>
      </c>
      <c r="J18" s="54">
        <f>IFERROR(H18*(IF(G18=8,I18*HELPER!$G$2,BOM!I18*HELPER!$G$3))," ")</f>
        <v>1.0697100000000002</v>
      </c>
      <c r="K18" s="6"/>
      <c r="L18" s="16" t="str" cm="1">
        <f t="array" ref="L18">IFERROR(_xlfn.LET(_xlpm.films,Table4[Film],_xlpm.grades,Table4[Grade],_xlpm.pairs,_xlfn._xlws.FILTER(_xlfn.HSTACK(_xlpm.films,_xlpm.grades),(_xlpm.films&lt;&gt;"")*(TRIM(_xlpm.grades)&lt;&gt;"")),_xlpm.uniquePairs,_xlfn.UNIQUE(_xlpm.pairs),_xlpm.sortedPairs,_xlfn._xlws.SORT(_xlpm.uniquePairs,1,1),INDEX(_xlpm.sortedPairs,ROWS($L$2:L18),1)),"")</f>
        <v>PL202.3</v>
      </c>
      <c r="M18" s="17" t="str" cm="1">
        <f t="array" ref="M18">IFERROR(_xlfn.LET(_xlpm.films,Table4[Film],_xlpm.grades,Table4[Grade],_xlpm.pairs,_xlfn._xlws.FILTER(_xlfn.HSTACK(_xlpm.films,_xlpm.grades),(_xlpm.films&lt;&gt;"")*(TRIM(_xlpm.grades)&lt;&gt;"")),_xlpm.uniquePairs,_xlfn.UNIQUE(_xlpm.pairs),_xlpm.sortedPairs,_xlfn._xlws.SORT(_xlpm.uniquePairs,1,1),INDEX(_xlpm.sortedPairs,ROWS($M$2:M18),2)),"")</f>
        <v>B12</v>
      </c>
      <c r="N18" s="17" t="str" cm="1">
        <f t="array" ref="N18">IF(OR(Table2[[#This Row],[Film]]="",Table2[[#This Row],[Grade]]=""),"",IFERROR(INDEX(Table4[Serial Number],MATCH(1,(Table4[Film]=Table2[[#This Row],[Film]])*(Table4[Grade]=Table2[[#This Row],[Grade]]),0)),""))</f>
        <v>RMB12</v>
      </c>
      <c r="O18" s="53">
        <f>IF(OR(Table2[[#This Row],[Film]]="",Table2[[#This Row],[Grade]]=""),"",SUMIFS(Table4[Price Calculated(€) Thickness &amp; QTY related],Table4[Film],Table2[[#This Row],[Film]],Table4[Grade],Table2[[#This Row],[Grade]]))</f>
        <v>0.35476000000000002</v>
      </c>
      <c r="P18" s="6"/>
      <c r="Q18" s="19" t="str" cm="1">
        <f t="array" ref="Q18">IFERROR(INDEX(Table2[Film],MATCH(0,COUNTIF($Q$1:Q17,Table2[Film])+IF(Table2[Film]="",1,0),0)),"")</f>
        <v/>
      </c>
      <c r="R18" s="57">
        <f>SUMIF(Table2[Film],"TIPA 312 MFG",Table2[Price Calculated(€) Thickness &amp; QTY related])+_xlfn.XLOOKUP("MET LUX ",HELPER!$A:$A,HELPER!$E:$E,0)</f>
        <v>5.3805880000000004</v>
      </c>
      <c r="S18" s="59">
        <f>IFERROR(R18*HELPER!$AK$2," ")</f>
        <v>6.2414820799999999</v>
      </c>
      <c r="T18" s="6"/>
      <c r="U18" s="2" t="s">
        <v>49</v>
      </c>
      <c r="V18" s="2" t="s">
        <v>16</v>
      </c>
      <c r="W18" s="2" t="s">
        <v>10</v>
      </c>
      <c r="X18" s="2" t="s">
        <v>81</v>
      </c>
      <c r="Y18" s="2" t="s">
        <v>38</v>
      </c>
      <c r="Z18" s="808" cm="1">
        <f t="array" ref="Z18">SUMPRODUCT((BOM!$A$2:$A$391=U18)*(BOM!$F$2:$F$391=Y18)*BOM!$H$2:$H$391*BOM!$G$2:$G$391)/SUMPRODUCT((BOM!$A$2:$A$391=U18)*BOM!$H$2:$H$391*BOM!$G$2:$G$391)</f>
        <v>0.02</v>
      </c>
      <c r="AA18" s="811">
        <f>SUMIF(tblResinWeightedQty12[Film],tblResinWeightedQty12[[#This Row],[Film]],tblResinWeightedQty12[Weighted QTY %])</f>
        <v>1</v>
      </c>
    </row>
    <row r="19" spans="1:27">
      <c r="A19" s="25" t="s">
        <v>0</v>
      </c>
      <c r="B19" s="26" t="s">
        <v>6</v>
      </c>
      <c r="C19" s="28"/>
      <c r="D19" s="28" t="str">
        <f>IF(C19="","",IFERROR(_xlfn.XLOOKUP(C19,HELPER!$A$2:$A$81,HELPER!$B$2:$B$81,""),D19))</f>
        <v/>
      </c>
      <c r="E19" s="28" t="str">
        <f>IFERROR(_xlfn.XLOOKUP(D19,HELPER!$B:$B,HELPER!$C:$C,""),"")</f>
        <v/>
      </c>
      <c r="F19" s="27" t="str">
        <f>IFERROR(_xlfn.XLOOKUP(D19,HELPER!$B:$B,HELPER!$D:$D,""),"")</f>
        <v/>
      </c>
      <c r="G19" s="27">
        <v>24</v>
      </c>
      <c r="H19" s="31"/>
      <c r="I19" s="21" t="str">
        <f>IF(AND(H19&lt;&gt;"",IFERROR(_xlfn.XLOOKUP(D19,HELPER!$B:$B,HELPER!$E:$E,""),"")=""),"Missing price",IFERROR(_xlfn.XLOOKUP(D19,HELPER!$B:$B,HELPER!$E:$E,"")," "))</f>
        <v/>
      </c>
      <c r="J19" s="54" t="str">
        <f>IFERROR(H19*(IF(G19=8,I19*HELPER!$G$2,BOM!I19*HELPER!$G$3))," ")</f>
        <v xml:space="preserve"> </v>
      </c>
      <c r="K19" s="6"/>
      <c r="L19" s="14" t="str" cm="1">
        <f t="array" ref="L19">IFERROR(_xlfn.LET(_xlpm.films,Table4[Film],_xlpm.grades,Table4[Grade],_xlpm.pairs,_xlfn._xlws.FILTER(_xlfn.HSTACK(_xlpm.films,_xlpm.grades),(_xlpm.films&lt;&gt;"")*(TRIM(_xlpm.grades)&lt;&gt;"")),_xlpm.uniquePairs,_xlfn.UNIQUE(_xlpm.pairs),_xlpm.sortedPairs,_xlfn._xlws.SORT(_xlpm.uniquePairs,1,1),INDEX(_xlpm.sortedPairs,ROWS($L$2:L19),1)),"")</f>
        <v>TIPA 302FG</v>
      </c>
      <c r="M19" s="15" t="str" cm="1">
        <f t="array" ref="M19">IFERROR(_xlfn.LET(_xlpm.films,Table4[Film],_xlpm.grades,Table4[Grade],_xlpm.pairs,_xlfn._xlws.FILTER(_xlfn.HSTACK(_xlpm.films,_xlpm.grades),(_xlpm.films&lt;&gt;"")*(TRIM(_xlpm.grades)&lt;&gt;"")),_xlpm.uniquePairs,_xlfn.UNIQUE(_xlpm.pairs),_xlpm.sortedPairs,_xlfn._xlws.SORT(_xlpm.uniquePairs,1,1),INDEX(_xlpm.sortedPairs,ROWS($M$2:M19),2)),"")</f>
        <v>FD92PM</v>
      </c>
      <c r="N19" s="15" t="str" cm="1">
        <f t="array" ref="N19">IF(OR(Table2[[#This Row],[Film]]="",Table2[[#This Row],[Grade]]=""),"",IFERROR(INDEX(Table4[Serial Number],MATCH(1,(Table4[Film]=Table2[[#This Row],[Film]])*(Table4[Grade]=Table2[[#This Row],[Grade]]),0)),""))</f>
        <v>RMPM2</v>
      </c>
      <c r="O19" s="52">
        <f>IF(OR(Table2[[#This Row],[Film]]="",Table2[[#This Row],[Grade]]=""),"",SUMIFS(Table4[Price Calculated(€) Thickness &amp; QTY related],Table4[Film],Table2[[#This Row],[Film]],Table4[Grade],Table2[[#This Row],[Grade]]))</f>
        <v>2.2194000000000003</v>
      </c>
      <c r="P19" s="6"/>
      <c r="Q19" s="20" t="str" cm="1">
        <f t="array" ref="Q19">IFERROR(INDEX(Table2[Film],MATCH(0,COUNTIF($Q$1:Q18,Table2[Film])+IF(Table2[Film]="",1,0),0)),"")</f>
        <v/>
      </c>
      <c r="R19" s="58">
        <f>SUMIF(Table2[Film],"TIPA 312 MFG",Table2[Price Calculated(€) Thickness &amp; QTY related])+_xlfn.XLOOKUP("MET LUX ",HELPER!$A:$A,HELPER!$E:$E,0)</f>
        <v>5.3805880000000004</v>
      </c>
      <c r="S19" s="60">
        <f>IFERROR(R19*HELPER!$AK$2," ")</f>
        <v>6.2414820799999999</v>
      </c>
      <c r="T19" s="6"/>
      <c r="U19" s="2" t="s">
        <v>0</v>
      </c>
      <c r="V19" s="2" t="s">
        <v>13</v>
      </c>
      <c r="W19" s="2" t="s">
        <v>74</v>
      </c>
      <c r="X19" s="2" t="s">
        <v>75</v>
      </c>
      <c r="Y19" s="2" t="s">
        <v>33</v>
      </c>
      <c r="Z19" s="808" cm="1">
        <f t="array" ref="Z19">SUMPRODUCT((BOM!$A$2:$A$391=U19)*(BOM!$F$2:$F$391=Y19)*BOM!$H$2:$H$391*BOM!$G$2:$G$391)/SUMPRODUCT((BOM!$A$2:$A$391=U19)*BOM!$H$2:$H$391*BOM!$G$2:$G$391)</f>
        <v>5.7600000000000005E-2</v>
      </c>
      <c r="AA19" s="811">
        <f>SUMIF(tblResinWeightedQty12[Film],tblResinWeightedQty12[[#This Row],[Film]],tblResinWeightedQty12[Weighted QTY %])</f>
        <v>1.0000000000000002</v>
      </c>
    </row>
    <row r="20" spans="1:27">
      <c r="A20" s="25" t="s">
        <v>0</v>
      </c>
      <c r="B20" s="26" t="s">
        <v>6</v>
      </c>
      <c r="C20" s="28"/>
      <c r="D20" s="28" t="str">
        <f>IF(C20="","",IFERROR(_xlfn.XLOOKUP(C20,HELPER!$A$2:$A$81,HELPER!$B$2:$B$81,""),D20))</f>
        <v/>
      </c>
      <c r="E20" s="28" t="str">
        <f>IFERROR(_xlfn.XLOOKUP(D20,HELPER!$B:$B,HELPER!$C:$C,""),"")</f>
        <v/>
      </c>
      <c r="F20" s="27" t="str">
        <f>IFERROR(_xlfn.XLOOKUP(D20,HELPER!$B:$B,HELPER!$D:$D,""),"")</f>
        <v/>
      </c>
      <c r="G20" s="27">
        <v>24</v>
      </c>
      <c r="H20" s="31"/>
      <c r="I20" s="21" t="str">
        <f>IF(AND(H20&lt;&gt;"",IFERROR(_xlfn.XLOOKUP(D20,HELPER!$B:$B,HELPER!$E:$E,""),"")=""),"Missing price",IFERROR(_xlfn.XLOOKUP(D20,HELPER!$B:$B,HELPER!$E:$E,"")," "))</f>
        <v/>
      </c>
      <c r="J20" s="54" t="str">
        <f>IFERROR(H20*(IF(G20=8,I20*HELPER!$G$2,BOM!I20*HELPER!$G$3))," ")</f>
        <v xml:space="preserve"> </v>
      </c>
      <c r="K20" s="6"/>
      <c r="L20" s="16" t="str" cm="1">
        <f t="array" ref="L20">IFERROR(_xlfn.LET(_xlpm.films,Table4[Film],_xlpm.grades,Table4[Grade],_xlpm.pairs,_xlfn._xlws.FILTER(_xlfn.HSTACK(_xlpm.films,_xlpm.grades),(_xlpm.films&lt;&gt;"")*(TRIM(_xlpm.grades)&lt;&gt;"")),_xlpm.uniquePairs,_xlfn.UNIQUE(_xlpm.pairs),_xlpm.sortedPairs,_xlfn._xlws.SORT(_xlpm.uniquePairs,1,1),INDEX(_xlpm.sortedPairs,ROWS($L$2:L20),1)),"")</f>
        <v>TIPA 302FG</v>
      </c>
      <c r="M20" s="17" t="str" cm="1">
        <f t="array" ref="M20">IFERROR(_xlfn.LET(_xlpm.films,Table4[Film],_xlpm.grades,Table4[Grade],_xlpm.pairs,_xlfn._xlws.FILTER(_xlfn.HSTACK(_xlpm.films,_xlpm.grades),(_xlpm.films&lt;&gt;"")*(TRIM(_xlpm.grades)&lt;&gt;"")),_xlpm.uniquePairs,_xlfn.UNIQUE(_xlpm.pairs),_xlpm.sortedPairs,_xlfn._xlws.SORT(_xlpm.uniquePairs,1,1),INDEX(_xlpm.sortedPairs,ROWS($M$2:M20),2)),"")</f>
        <v>LX175</v>
      </c>
      <c r="N20" s="17" t="str" cm="1">
        <f t="array" ref="N20">IF(OR(Table2[[#This Row],[Film]]="",Table2[[#This Row],[Grade]]=""),"",IFERROR(INDEX(Table4[Serial Number],MATCH(1,(Table4[Film]=Table2[[#This Row],[Film]])*(Table4[Grade]=Table2[[#This Row],[Grade]]),0)),""))</f>
        <v>RMLX175</v>
      </c>
      <c r="O20" s="53">
        <f>IF(OR(Table2[[#This Row],[Film]]="",Table2[[#This Row],[Grade]]=""),"",SUMIFS(Table4[Price Calculated(€) Thickness &amp; QTY related],Table4[Film],Table2[[#This Row],[Film]],Table4[Grade],Table2[[#This Row],[Grade]]))</f>
        <v>0.18259199999999998</v>
      </c>
      <c r="P20" s="6"/>
      <c r="Q20" s="19" t="str" cm="1">
        <f t="array" ref="Q20">IFERROR(INDEX(Table2[Film],MATCH(0,COUNTIF($Q$1:Q19,Table2[Film])+IF(Table2[Film]="",1,0),0)),"")</f>
        <v/>
      </c>
      <c r="R20" s="57">
        <f>SUMIF(Table2[Film],"TIPA 312 MFG",Table2[Price Calculated(€) Thickness &amp; QTY related])+_xlfn.XLOOKUP("MET LUX ",HELPER!$A:$A,HELPER!$E:$E,0)</f>
        <v>5.3805880000000004</v>
      </c>
      <c r="S20" s="59">
        <f>IFERROR(R20*HELPER!$AK$2," ")</f>
        <v>6.2414820799999999</v>
      </c>
      <c r="T20" s="6"/>
      <c r="U20" s="2" t="s">
        <v>0</v>
      </c>
      <c r="V20" s="2" t="s">
        <v>14</v>
      </c>
      <c r="W20" s="2" t="s">
        <v>23</v>
      </c>
      <c r="X20" s="2" t="s">
        <v>77</v>
      </c>
      <c r="Y20" s="2" t="s">
        <v>35</v>
      </c>
      <c r="Z20" s="808" cm="1">
        <f t="array" ref="Z20">SUMPRODUCT((BOM!$A$2:$A$391=U20)*(BOM!$F$2:$F$391=Y20)*BOM!$H$2:$H$391*BOM!$G$2:$G$391)/SUMPRODUCT((BOM!$A$2:$A$391=U20)*BOM!$H$2:$H$391*BOM!$G$2:$G$391)</f>
        <v>0.59100000000000008</v>
      </c>
      <c r="AA20" s="811">
        <f>SUMIF(tblResinWeightedQty12[Film],tblResinWeightedQty12[[#This Row],[Film]],tblResinWeightedQty12[Weighted QTY %])</f>
        <v>1.0000000000000002</v>
      </c>
    </row>
    <row r="21" spans="1:27">
      <c r="A21" s="25" t="s">
        <v>0</v>
      </c>
      <c r="B21" s="26" t="s">
        <v>6</v>
      </c>
      <c r="C21" s="28"/>
      <c r="D21" s="28" t="str">
        <f>IF(C21="","",IFERROR(_xlfn.XLOOKUP(C21,HELPER!$A$2:$A$81,HELPER!$B$2:$B$81,""),D21))</f>
        <v/>
      </c>
      <c r="E21" s="28" t="str">
        <f>IFERROR(_xlfn.XLOOKUP(D21,HELPER!$B:$B,HELPER!$C:$C,""),"")</f>
        <v/>
      </c>
      <c r="F21" s="27" t="str">
        <f>IFERROR(_xlfn.XLOOKUP(D21,HELPER!$B:$B,HELPER!$D:$D,""),"")</f>
        <v/>
      </c>
      <c r="G21" s="27">
        <v>24</v>
      </c>
      <c r="H21" s="31"/>
      <c r="I21" s="21" t="str">
        <f>IF(AND(H21&lt;&gt;"",IFERROR(_xlfn.XLOOKUP(D21,HELPER!$B:$B,HELPER!$E:$E,""),"")=""),"Missing price",IFERROR(_xlfn.XLOOKUP(D21,HELPER!$B:$B,HELPER!$E:$E,"")," "))</f>
        <v/>
      </c>
      <c r="J21" s="54" t="str">
        <f>IFERROR(H21*(IF(G21=8,I21*HELPER!$G$2,BOM!I21*HELPER!$G$3))," ")</f>
        <v xml:space="preserve"> </v>
      </c>
      <c r="K21" s="6"/>
      <c r="L21" s="14" t="str" cm="1">
        <f t="array" ref="L21">IFERROR(_xlfn.LET(_xlpm.films,Table4[Film],_xlpm.grades,Table4[Grade],_xlpm.pairs,_xlfn._xlws.FILTER(_xlfn.HSTACK(_xlpm.films,_xlpm.grades),(_xlpm.films&lt;&gt;"")*(TRIM(_xlpm.grades)&lt;&gt;"")),_xlpm.uniquePairs,_xlfn.UNIQUE(_xlpm.pairs),_xlpm.sortedPairs,_xlfn._xlws.SORT(_xlpm.uniquePairs,1,1),INDEX(_xlpm.sortedPairs,ROWS($L$2:L21),1)),"")</f>
        <v>TIPA 302FG</v>
      </c>
      <c r="M21" s="15" t="str" cm="1">
        <f t="array" ref="M21">IFERROR(_xlfn.LET(_xlpm.films,Table4[Film],_xlpm.grades,Table4[Grade],_xlpm.pairs,_xlfn._xlws.FILTER(_xlfn.HSTACK(_xlpm.films,_xlpm.grades),(_xlpm.films&lt;&gt;"")*(TRIM(_xlpm.grades)&lt;&gt;"")),_xlpm.uniquePairs,_xlfn.UNIQUE(_xlpm.pairs),_xlpm.sortedPairs,_xlfn._xlws.SORT(_xlpm.uniquePairs,1,1),INDEX(_xlpm.sortedPairs,ROWS($M$2:M21),2)),"")</f>
        <v>KAB59A</v>
      </c>
      <c r="N21" s="15" t="str" cm="1">
        <f t="array" ref="N21">IF(OR(Table2[[#This Row],[Film]]="",Table2[[#This Row],[Grade]]=""),"",IFERROR(INDEX(Table4[Serial Number],MATCH(1,(Table4[Film]=Table2[[#This Row],[Film]])*(Table4[Grade]=Table2[[#This Row],[Grade]]),0)),""))</f>
        <v>RM A KAB59A</v>
      </c>
      <c r="O21" s="52">
        <f>IF(OR(Table2[[#This Row],[Film]]="",Table2[[#This Row],[Grade]]=""),"",SUMIFS(Table4[Price Calculated(€) Thickness &amp; QTY related],Table4[Film],Table2[[#This Row],[Film]],Table4[Grade],Table2[[#This Row],[Grade]]))</f>
        <v>4.53E-2</v>
      </c>
      <c r="P21" s="6"/>
      <c r="Q21" s="20" t="str" cm="1">
        <f t="array" ref="Q21">IFERROR(INDEX(Table2[Film],MATCH(0,COUNTIF($Q$1:Q20,Table2[Film])+IF(Table2[Film]="",1,0),0)),"")</f>
        <v/>
      </c>
      <c r="R21" s="58">
        <f>SUMIF(Table2[Film],"TIPA 312 MFG",Table2[Price Calculated(€) Thickness &amp; QTY related])+_xlfn.XLOOKUP("MET LUX ",HELPER!$A:$A,HELPER!$E:$E,0)</f>
        <v>5.3805880000000004</v>
      </c>
      <c r="S21" s="60">
        <f>IFERROR(R21*HELPER!$AK$2," ")</f>
        <v>6.2414820799999999</v>
      </c>
      <c r="T21" s="6"/>
      <c r="U21" s="2" t="s">
        <v>0</v>
      </c>
      <c r="V21" s="2" t="s">
        <v>16</v>
      </c>
      <c r="W21" s="2" t="s">
        <v>10</v>
      </c>
      <c r="X21" s="2" t="s">
        <v>81</v>
      </c>
      <c r="Y21" s="2" t="s">
        <v>38</v>
      </c>
      <c r="Z21" s="808" cm="1">
        <f t="array" ref="Z21">SUMPRODUCT((BOM!$A$2:$A$391=U21)*(BOM!$F$2:$F$391=Y21)*BOM!$H$2:$H$391*BOM!$G$2:$G$391)/SUMPRODUCT((BOM!$A$2:$A$391=U21)*BOM!$H$2:$H$391*BOM!$G$2:$G$391)</f>
        <v>1.5000000000000003E-2</v>
      </c>
      <c r="AA21" s="811">
        <f>SUMIF(tblResinWeightedQty12[Film],tblResinWeightedQty12[[#This Row],[Film]],tblResinWeightedQty12[Weighted QTY %])</f>
        <v>1.0000000000000002</v>
      </c>
    </row>
    <row r="22" spans="1:27">
      <c r="A22" s="25" t="s">
        <v>0</v>
      </c>
      <c r="B22" s="26" t="s">
        <v>7</v>
      </c>
      <c r="C22" s="28" t="s">
        <v>12</v>
      </c>
      <c r="D22" s="28" t="str">
        <f>IF(C22="","",IFERROR(_xlfn.XLOOKUP(C22,HELPER!$A$2:$A$81,HELPER!$B$2:$B$81,""),D22))</f>
        <v>FD92PM</v>
      </c>
      <c r="E22" s="28" t="str">
        <f>IFERROR(_xlfn.XLOOKUP(D22,HELPER!$B:$B,HELPER!$C:$C,""),"")</f>
        <v>RMPM2</v>
      </c>
      <c r="F22" s="27" t="str">
        <f>IFERROR(_xlfn.XLOOKUP(D22,HELPER!$B:$B,HELPER!$D:$D,""),"")</f>
        <v>Resin 9C</v>
      </c>
      <c r="G22" s="27">
        <v>8</v>
      </c>
      <c r="H22" s="31">
        <v>0.81799999999999995</v>
      </c>
      <c r="I22" s="21">
        <f>IF(AND(H22&lt;&gt;"",IFERROR(_xlfn.XLOOKUP(D22,HELPER!$B:$B,HELPER!$E:$E,""),"")=""),"Missing price",IFERROR(_xlfn.XLOOKUP(D22,HELPER!$B:$B,HELPER!$E:$E,"")," "))</f>
        <v>6.75</v>
      </c>
      <c r="J22" s="54">
        <f>IFERROR(H22*(IF(G22=8,I22*HELPER!$G$2,BOM!I22*HELPER!$G$3))," ")</f>
        <v>1.1043000000000001</v>
      </c>
      <c r="K22" s="6"/>
      <c r="L22" s="16" t="str" cm="1">
        <f t="array" ref="L22">IFERROR(_xlfn.LET(_xlpm.films,Table4[Film],_xlpm.grades,Table4[Grade],_xlpm.pairs,_xlfn._xlws.FILTER(_xlfn.HSTACK(_xlpm.films,_xlpm.grades),(_xlpm.films&lt;&gt;"")*(TRIM(_xlpm.grades)&lt;&gt;"")),_xlpm.uniquePairs,_xlfn.UNIQUE(_xlpm.pairs),_xlpm.sortedPairs,_xlfn._xlws.SORT(_xlpm.uniquePairs,1,1),INDEX(_xlpm.sortedPairs,ROWS($L$2:L22),1)),"")</f>
        <v>TIPA 302FG</v>
      </c>
      <c r="M22" s="17" t="str" cm="1">
        <f t="array" ref="M22">IFERROR(_xlfn.LET(_xlpm.films,Table4[Film],_xlpm.grades,Table4[Grade],_xlpm.pairs,_xlfn._xlws.FILTER(_xlfn.HSTACK(_xlpm.films,_xlpm.grades),(_xlpm.films&lt;&gt;"")*(TRIM(_xlpm.grades)&lt;&gt;"")),_xlpm.uniquePairs,_xlfn.UNIQUE(_xlpm.pairs),_xlpm.sortedPairs,_xlfn._xlws.SORT(_xlpm.uniquePairs,1,1),INDEX(_xlpm.sortedPairs,ROWS($M$2:M22),2)),"")</f>
        <v>S723</v>
      </c>
      <c r="N22" s="17" t="str" cm="1">
        <f t="array" ref="N22">IF(OR(Table2[[#This Row],[Film]]="",Table2[[#This Row],[Grade]]=""),"",IFERROR(INDEX(Table4[Serial Number],MATCH(1,(Table4[Film]=Table2[[#This Row],[Film]])*(Table4[Grade]=Table2[[#This Row],[Grade]]),0)),""))</f>
        <v>RM TA45-08 S723</v>
      </c>
      <c r="O22" s="53">
        <f>IF(OR(Table2[[#This Row],[Film]]="",Table2[[#This Row],[Grade]]=""),"",SUMIFS(Table4[Price Calculated(€) Thickness &amp; QTY related],Table4[Film],Table2[[#This Row],[Film]],Table4[Grade],Table2[[#This Row],[Grade]]))</f>
        <v>0.24239999999999998</v>
      </c>
      <c r="P22" s="6"/>
      <c r="Q22" s="19" t="str" cm="1">
        <f t="array" ref="Q22">IFERROR(INDEX(Table2[Film],MATCH(0,COUNTIF($Q$1:Q21,Table2[Film])+IF(Table2[Film]="",1,0),0)),"")</f>
        <v/>
      </c>
      <c r="R22" s="57">
        <f>SUMIF(Table2[Film],"TIPA 312 MFG",Table2[Price Calculated(€) Thickness &amp; QTY related])+_xlfn.XLOOKUP("MET LUX ",HELPER!$A:$A,HELPER!$E:$E,0)</f>
        <v>5.3805880000000004</v>
      </c>
      <c r="S22" s="59">
        <f>IFERROR(R22*HELPER!$AK$2," ")</f>
        <v>6.2414820799999999</v>
      </c>
      <c r="T22" s="6"/>
      <c r="U22" s="2" t="s">
        <v>0</v>
      </c>
      <c r="V22" s="2" t="s">
        <v>17</v>
      </c>
      <c r="W22" s="2" t="s">
        <v>11</v>
      </c>
      <c r="X22" s="2" t="s">
        <v>82</v>
      </c>
      <c r="Y22" s="2" t="s">
        <v>39</v>
      </c>
      <c r="Z22" s="808" cm="1">
        <f t="array" ref="Z22">SUMPRODUCT((BOM!$A$2:$A$391=U22)*(BOM!$F$2:$F$391=Y22)*BOM!$H$2:$H$391*BOM!$G$2:$G$391)/SUMPRODUCT((BOM!$A$2:$A$391=U22)*BOM!$H$2:$H$391*BOM!$G$2:$G$391)</f>
        <v>1.6000000000000003E-3</v>
      </c>
      <c r="AA22" s="811">
        <f>SUMIF(tblResinWeightedQty12[Film],tblResinWeightedQty12[[#This Row],[Film]],tblResinWeightedQty12[Weighted QTY %])</f>
        <v>1.0000000000000002</v>
      </c>
    </row>
    <row r="23" spans="1:27">
      <c r="A23" s="25" t="s">
        <v>0</v>
      </c>
      <c r="B23" s="26" t="s">
        <v>7</v>
      </c>
      <c r="C23" s="28" t="s">
        <v>13</v>
      </c>
      <c r="D23" s="28" t="str">
        <f>IF(C23="","",IFERROR(_xlfn.XLOOKUP(C23,HELPER!$A$2:$A$81,HELPER!$B$2:$B$81,""),D23))</f>
        <v>LX175</v>
      </c>
      <c r="E23" s="28" t="str">
        <f>IFERROR(_xlfn.XLOOKUP(D23,HELPER!$B:$B,HELPER!$C:$C,""),"")</f>
        <v>RMLX175</v>
      </c>
      <c r="F23" s="27" t="str">
        <f>IFERROR(_xlfn.XLOOKUP(D23,HELPER!$B:$B,HELPER!$D:$D,""),"")</f>
        <v>Resin 1A</v>
      </c>
      <c r="G23" s="27">
        <v>8</v>
      </c>
      <c r="H23" s="31">
        <v>0.14399999999999999</v>
      </c>
      <c r="I23" s="21">
        <f>IF(AND(H23&lt;&gt;"",IFERROR(_xlfn.XLOOKUP(D23,HELPER!$B:$B,HELPER!$E:$E,""),"")=""),"Missing price",IFERROR(_xlfn.XLOOKUP(D23,HELPER!$B:$B,HELPER!$E:$E,"")," "))</f>
        <v>3.17</v>
      </c>
      <c r="J23" s="54">
        <f>IFERROR(H23*(IF(G23=8,I23*HELPER!$G$2,BOM!I23*HELPER!$G$3))," ")</f>
        <v>9.1295999999999988E-2</v>
      </c>
      <c r="K23" s="6"/>
      <c r="L23" s="14" t="str" cm="1">
        <f t="array" ref="L23">IFERROR(_xlfn.LET(_xlpm.films,Table4[Film],_xlpm.grades,Table4[Grade],_xlpm.pairs,_xlfn._xlws.FILTER(_xlfn.HSTACK(_xlpm.films,_xlpm.grades),(_xlpm.films&lt;&gt;"")*(TRIM(_xlpm.grades)&lt;&gt;"")),_xlpm.uniquePairs,_xlfn.UNIQUE(_xlpm.pairs),_xlpm.sortedPairs,_xlfn._xlws.SORT(_xlpm.uniquePairs,1,1),INDEX(_xlpm.sortedPairs,ROWS($L$2:L23),1)),"")</f>
        <v>TIPA 302FG</v>
      </c>
      <c r="M23" s="15" t="str" cm="1">
        <f t="array" ref="M23">IFERROR(_xlfn.LET(_xlpm.films,Table4[Film],_xlpm.grades,Table4[Grade],_xlpm.pairs,_xlfn._xlws.FILTER(_xlfn.HSTACK(_xlpm.films,_xlpm.grades),(_xlpm.films&lt;&gt;"")*(TRIM(_xlpm.grades)&lt;&gt;"")),_xlpm.uniquePairs,_xlfn.UNIQUE(_xlpm.pairs),_xlpm.sortedPairs,_xlfn._xlws.SORT(_xlpm.uniquePairs,1,1),INDEX(_xlpm.sortedPairs,ROWS($M$2:M23),2)),"")</f>
        <v>B12</v>
      </c>
      <c r="N23" s="15" t="str" cm="1">
        <f t="array" ref="N23">IF(OR(Table2[[#This Row],[Film]]="",Table2[[#This Row],[Grade]]=""),"",IFERROR(INDEX(Table4[Serial Number],MATCH(1,(Table4[Film]=Table2[[#This Row],[Film]])*(Table4[Grade]=Table2[[#This Row],[Grade]]),0)),""))</f>
        <v>RMB12</v>
      </c>
      <c r="O23" s="52">
        <f>IF(OR(Table2[[#This Row],[Film]]="",Table2[[#This Row],[Grade]]=""),"",SUMIFS(Table4[Price Calculated(€) Thickness &amp; QTY related],Table4[Film],Table2[[#This Row],[Film]],Table4[Grade],Table2[[#This Row],[Grade]]))</f>
        <v>1.0697100000000002</v>
      </c>
      <c r="P23" s="6"/>
      <c r="Q23" s="20" t="str" cm="1">
        <f t="array" ref="Q23">IFERROR(INDEX(Table2[Film],MATCH(0,COUNTIF($Q$1:Q22,Table2[Film])+IF(Table2[Film]="",1,0),0)),"")</f>
        <v/>
      </c>
      <c r="R23" s="58">
        <f>SUMIF(Table2[Film],"TIPA 312 MFG",Table2[Price Calculated(€) Thickness &amp; QTY related])+_xlfn.XLOOKUP("MET LUX ",HELPER!$A:$A,HELPER!$E:$E,0)</f>
        <v>5.3805880000000004</v>
      </c>
      <c r="S23" s="60">
        <f>IFERROR(R23*HELPER!$AK$2," ")</f>
        <v>6.2414820799999999</v>
      </c>
      <c r="T23" s="6"/>
      <c r="U23" s="2" t="s">
        <v>0</v>
      </c>
      <c r="V23" s="2" t="s">
        <v>18</v>
      </c>
      <c r="W23" s="2" t="s">
        <v>9</v>
      </c>
      <c r="X23" s="2" t="s">
        <v>83</v>
      </c>
      <c r="Y23" s="2" t="s">
        <v>40</v>
      </c>
      <c r="Z23" s="808" cm="1">
        <f t="array" ref="Z23">SUMPRODUCT((BOM!$A$2:$A$391=U23)*(BOM!$F$2:$F$391=Y23)*BOM!$H$2:$H$391*BOM!$G$2:$G$391)/SUMPRODUCT((BOM!$A$2:$A$391=U23)*BOM!$H$2:$H$391*BOM!$G$2:$G$391)</f>
        <v>6.000000000000001E-3</v>
      </c>
      <c r="AA23" s="811">
        <f>SUMIF(tblResinWeightedQty12[Film],tblResinWeightedQty12[[#This Row],[Film]],tblResinWeightedQty12[Weighted QTY %])</f>
        <v>1.0000000000000002</v>
      </c>
    </row>
    <row r="24" spans="1:27">
      <c r="A24" s="25" t="s">
        <v>0</v>
      </c>
      <c r="B24" s="26" t="s">
        <v>7</v>
      </c>
      <c r="C24" s="28" t="s">
        <v>18</v>
      </c>
      <c r="D24" s="28" t="str">
        <f>IF(C24="","",IFERROR(_xlfn.XLOOKUP(C24,HELPER!$A$2:$A$81,HELPER!$B$2:$B$81,""),D24))</f>
        <v>KAB59A</v>
      </c>
      <c r="E24" s="28" t="str">
        <f>IFERROR(_xlfn.XLOOKUP(D24,HELPER!$B:$B,HELPER!$C:$C,""),"")</f>
        <v>RM A KAB59A</v>
      </c>
      <c r="F24" s="27" t="str">
        <f>IFERROR(_xlfn.XLOOKUP(D24,HELPER!$B:$B,HELPER!$D:$D,""),"")</f>
        <v>Resin 8</v>
      </c>
      <c r="G24" s="27">
        <v>8</v>
      </c>
      <c r="H24" s="31">
        <v>1.4999999999999999E-2</v>
      </c>
      <c r="I24" s="21">
        <f>IF(AND(H24&lt;&gt;"",IFERROR(_xlfn.XLOOKUP(D24,HELPER!$B:$B,HELPER!$E:$E,""),"")=""),"Missing price",IFERROR(_xlfn.XLOOKUP(D24,HELPER!$B:$B,HELPER!$E:$E,"")," "))</f>
        <v>7.55</v>
      </c>
      <c r="J24" s="54">
        <f>IFERROR(H24*(IF(G24=8,I24*HELPER!$G$2,BOM!I24*HELPER!$G$3))," ")</f>
        <v>2.265E-2</v>
      </c>
      <c r="K24" s="6"/>
      <c r="L24" s="16" t="str" cm="1">
        <f t="array" ref="L24">IFERROR(_xlfn.LET(_xlpm.films,Table4[Film],_xlpm.grades,Table4[Grade],_xlpm.pairs,_xlfn._xlws.FILTER(_xlfn.HSTACK(_xlpm.films,_xlpm.grades),(_xlpm.films&lt;&gt;"")*(TRIM(_xlpm.grades)&lt;&gt;"")),_xlpm.uniquePairs,_xlfn.UNIQUE(_xlpm.pairs),_xlpm.sortedPairs,_xlfn._xlws.SORT(_xlpm.uniquePairs,1,1),INDEX(_xlpm.sortedPairs,ROWS($L$2:L24),1)),"")</f>
        <v>TIPA 302FG</v>
      </c>
      <c r="M24" s="17" t="str" cm="1">
        <f t="array" ref="M24">IFERROR(_xlfn.LET(_xlpm.films,Table4[Film],_xlpm.grades,Table4[Grade],_xlpm.pairs,_xlfn._xlws.FILTER(_xlfn.HSTACK(_xlpm.films,_xlpm.grades),(_xlpm.films&lt;&gt;"")*(TRIM(_xlpm.grades)&lt;&gt;"")),_xlpm.uniquePairs,_xlfn.UNIQUE(_xlpm.pairs),_xlpm.sortedPairs,_xlfn._xlws.SORT(_xlpm.uniquePairs,1,1),INDEX(_xlpm.sortedPairs,ROWS($M$2:M24),2)),"")</f>
        <v>S724</v>
      </c>
      <c r="N24" s="17" t="str" cm="1">
        <f t="array" ref="N24">IF(OR(Table2[[#This Row],[Film]]="",Table2[[#This Row],[Grade]]=""),"",IFERROR(INDEX(Table4[Serial Number],MATCH(1,(Table4[Film]=Table2[[#This Row],[Film]])*(Table4[Grade]=Table2[[#This Row],[Grade]]),0)),""))</f>
        <v>RM TA45-08 S724</v>
      </c>
      <c r="O24" s="53">
        <f>IF(OR(Table2[[#This Row],[Film]]="",Table2[[#This Row],[Grade]]=""),"",SUMIFS(Table4[Price Calculated(€) Thickness &amp; QTY related],Table4[Film],Table2[[#This Row],[Film]],Table4[Grade],Table2[[#This Row],[Grade]]))</f>
        <v>2.3519999999999999E-2</v>
      </c>
      <c r="P24" s="6"/>
      <c r="Q24" s="19" t="str" cm="1">
        <f t="array" ref="Q24">IFERROR(INDEX(Table2[Film],MATCH(0,COUNTIF($Q$1:Q23,Table2[Film])+IF(Table2[Film]="",1,0),0)),"")</f>
        <v/>
      </c>
      <c r="R24" s="57">
        <f>SUMIF(Table2[Film],"TIPA 312 MFG",Table2[Price Calculated(€) Thickness &amp; QTY related])+_xlfn.XLOOKUP("MET LUX ",HELPER!$A:$A,HELPER!$E:$E,0)</f>
        <v>5.3805880000000004</v>
      </c>
      <c r="S24" s="59">
        <f>IFERROR(R24*HELPER!$AK$2," ")</f>
        <v>6.2414820799999999</v>
      </c>
      <c r="T24" s="6"/>
      <c r="U24" s="2" t="s">
        <v>0</v>
      </c>
      <c r="V24" s="2" t="s">
        <v>12</v>
      </c>
      <c r="W24" s="2" t="s">
        <v>8</v>
      </c>
      <c r="X24" s="2" t="s">
        <v>84</v>
      </c>
      <c r="Y24" s="2" t="s">
        <v>42</v>
      </c>
      <c r="Z24" s="808" cm="1">
        <f t="array" ref="Z24">SUMPRODUCT((BOM!$A$2:$A$391=U24)*(BOM!$F$2:$F$391=Y24)*BOM!$H$2:$H$391*BOM!$G$2:$G$391)/SUMPRODUCT((BOM!$A$2:$A$391=U24)*BOM!$H$2:$H$391*BOM!$G$2:$G$391)</f>
        <v>0.32880000000000004</v>
      </c>
      <c r="AA24" s="811">
        <f>SUMIF(tblResinWeightedQty12[Film],tblResinWeightedQty12[[#This Row],[Film]],tblResinWeightedQty12[Weighted QTY %])</f>
        <v>1.0000000000000002</v>
      </c>
    </row>
    <row r="25" spans="1:27">
      <c r="A25" s="25" t="s">
        <v>0</v>
      </c>
      <c r="B25" s="26" t="s">
        <v>7</v>
      </c>
      <c r="C25" s="28" t="s">
        <v>16</v>
      </c>
      <c r="D25" s="28" t="str">
        <f>IF(C25="","",IFERROR(_xlfn.XLOOKUP(C25,HELPER!$A$2:$A$81,HELPER!$B$2:$B$81,""),D25))</f>
        <v>S723</v>
      </c>
      <c r="E25" s="28" t="str">
        <f>IFERROR(_xlfn.XLOOKUP(D25,HELPER!$B:$B,HELPER!$C:$C,""),"")</f>
        <v>RM TA45-08 S723</v>
      </c>
      <c r="F25" s="27" t="str">
        <f>IFERROR(_xlfn.XLOOKUP(D25,HELPER!$B:$B,HELPER!$D:$D,""),"")</f>
        <v>Resin 6</v>
      </c>
      <c r="G25" s="27">
        <v>8</v>
      </c>
      <c r="H25" s="31">
        <v>1.4999999999999999E-2</v>
      </c>
      <c r="I25" s="21">
        <f>IF(AND(H25&lt;&gt;"",IFERROR(_xlfn.XLOOKUP(D25,HELPER!$B:$B,HELPER!$E:$E,""),"")=""),"Missing price",IFERROR(_xlfn.XLOOKUP(D25,HELPER!$B:$B,HELPER!$E:$E,"")," "))</f>
        <v>16.16</v>
      </c>
      <c r="J25" s="54">
        <f>IFERROR(H25*(IF(G25=8,I25*HELPER!$G$2,BOM!I25*HELPER!$G$3))," ")</f>
        <v>4.8480000000000002E-2</v>
      </c>
      <c r="K25" s="6"/>
      <c r="L25" s="14" t="str" cm="1">
        <f t="array" ref="L25">IFERROR(_xlfn.LET(_xlpm.films,Table4[Film],_xlpm.grades,Table4[Grade],_xlpm.pairs,_xlfn._xlws.FILTER(_xlfn.HSTACK(_xlpm.films,_xlpm.grades),(_xlpm.films&lt;&gt;"")*(TRIM(_xlpm.grades)&lt;&gt;"")),_xlpm.uniquePairs,_xlfn.UNIQUE(_xlpm.pairs),_xlpm.sortedPairs,_xlfn._xlws.SORT(_xlpm.uniquePairs,1,1),INDEX(_xlpm.sortedPairs,ROWS($L$2:L25),1)),"")</f>
        <v>TIPA 302FG W</v>
      </c>
      <c r="M25" s="15" t="str" cm="1">
        <f t="array" ref="M25">IFERROR(_xlfn.LET(_xlpm.films,Table4[Film],_xlpm.grades,Table4[Grade],_xlpm.pairs,_xlfn._xlws.FILTER(_xlfn.HSTACK(_xlpm.films,_xlpm.grades),(_xlpm.films&lt;&gt;"")*(TRIM(_xlpm.grades)&lt;&gt;"")),_xlpm.uniquePairs,_xlfn.UNIQUE(_xlpm.pairs),_xlpm.sortedPairs,_xlfn._xlws.SORT(_xlpm.uniquePairs,1,1),INDEX(_xlpm.sortedPairs,ROWS($M$2:M25),2)),"")</f>
        <v>FD92PM</v>
      </c>
      <c r="N25" s="15" t="str" cm="1">
        <f t="array" ref="N25">IF(OR(Table2[[#This Row],[Film]]="",Table2[[#This Row],[Grade]]=""),"",IFERROR(INDEX(Table4[Serial Number],MATCH(1,(Table4[Film]=Table2[[#This Row],[Film]])*(Table4[Grade]=Table2[[#This Row],[Grade]]),0)),""))</f>
        <v>RMPM2</v>
      </c>
      <c r="O25" s="52">
        <f>IF(OR(Table2[[#This Row],[Film]]="",Table2[[#This Row],[Grade]]=""),"",SUMIFS(Table4[Price Calculated(€) Thickness &amp; QTY related],Table4[Film],Table2[[#This Row],[Film]],Table4[Grade],Table2[[#This Row],[Grade]]))</f>
        <v>2.1870000000000003</v>
      </c>
      <c r="P25" s="6"/>
      <c r="Q25" s="20" t="str" cm="1">
        <f t="array" ref="Q25">IFERROR(INDEX(Table2[Film],MATCH(0,COUNTIF($Q$1:Q24,Table2[Film])+IF(Table2[Film]="",1,0),0)),"")</f>
        <v/>
      </c>
      <c r="R25" s="58">
        <f>SUMIF(Table2[Film],"TIPA 312 MFG",Table2[Price Calculated(€) Thickness &amp; QTY related])+_xlfn.XLOOKUP("MET LUX ",HELPER!$A:$A,HELPER!$E:$E,0)</f>
        <v>5.3805880000000004</v>
      </c>
      <c r="S25" s="60">
        <f>IFERROR(R25*HELPER!$AK$2," ")</f>
        <v>6.2414820799999999</v>
      </c>
      <c r="T25" s="6"/>
      <c r="U25" s="2" t="s">
        <v>43</v>
      </c>
      <c r="V25" s="2" t="s">
        <v>41</v>
      </c>
      <c r="W25" s="2" t="s">
        <v>26</v>
      </c>
      <c r="X25" s="2" t="s">
        <v>26</v>
      </c>
      <c r="Y25" s="2" t="s">
        <v>54</v>
      </c>
      <c r="Z25" s="808" cm="1">
        <f t="array" ref="Z25">SUMPRODUCT((BOM!$A$2:$A$391=U25)*(BOM!$F$2:$F$391=Y25)*BOM!$H$2:$H$391*BOM!$G$2:$G$391)/SUMPRODUCT((BOM!$A$2:$A$391=U25)*BOM!$H$2:$H$391*BOM!$G$2:$G$391)</f>
        <v>6.0000000000000012E-2</v>
      </c>
      <c r="AA25" s="811">
        <f>SUMIF(tblResinWeightedQty12[Film],tblResinWeightedQty12[[#This Row],[Film]],tblResinWeightedQty12[Weighted QTY %])</f>
        <v>1</v>
      </c>
    </row>
    <row r="26" spans="1:27">
      <c r="A26" s="25" t="s">
        <v>0</v>
      </c>
      <c r="B26" s="26" t="s">
        <v>7</v>
      </c>
      <c r="C26" s="28" t="s">
        <v>17</v>
      </c>
      <c r="D26" s="28" t="str">
        <f>IF(C26="","",IFERROR(_xlfn.XLOOKUP(C26,HELPER!$A$2:$A$81,HELPER!$B$2:$B$81,""),D26))</f>
        <v>S724</v>
      </c>
      <c r="E26" s="28" t="str">
        <f>IFERROR(_xlfn.XLOOKUP(D26,HELPER!$B:$B,HELPER!$C:$C,""),"")</f>
        <v>RM TA45-08 S724</v>
      </c>
      <c r="F26" s="27" t="str">
        <f>IFERROR(_xlfn.XLOOKUP(D26,HELPER!$B:$B,HELPER!$D:$D,""),"")</f>
        <v>Resin 7</v>
      </c>
      <c r="G26" s="27">
        <v>8</v>
      </c>
      <c r="H26" s="31">
        <v>8.0000000000000002E-3</v>
      </c>
      <c r="I26" s="21">
        <f>IF(AND(H26&lt;&gt;"",IFERROR(_xlfn.XLOOKUP(D26,HELPER!$B:$B,HELPER!$E:$E,""),"")=""),"Missing price",IFERROR(_xlfn.XLOOKUP(D26,HELPER!$B:$B,HELPER!$E:$E,"")," "))</f>
        <v>14.7</v>
      </c>
      <c r="J26" s="54">
        <f>IFERROR(H26*(IF(G26=8,I26*HELPER!$G$2,BOM!I26*HELPER!$G$3))," ")</f>
        <v>2.3519999999999999E-2</v>
      </c>
      <c r="K26" s="6"/>
      <c r="L26" s="16" t="str" cm="1">
        <f t="array" ref="L26">IFERROR(_xlfn.LET(_xlpm.films,Table4[Film],_xlpm.grades,Table4[Grade],_xlpm.pairs,_xlfn._xlws.FILTER(_xlfn.HSTACK(_xlpm.films,_xlpm.grades),(_xlpm.films&lt;&gt;"")*(TRIM(_xlpm.grades)&lt;&gt;"")),_xlpm.uniquePairs,_xlfn.UNIQUE(_xlpm.pairs),_xlpm.sortedPairs,_xlfn._xlws.SORT(_xlpm.uniquePairs,1,1),INDEX(_xlpm.sortedPairs,ROWS($L$2:L26),1)),"")</f>
        <v>TIPA 302FG W</v>
      </c>
      <c r="M26" s="17" t="str" cm="1">
        <f t="array" ref="M26">IFERROR(_xlfn.LET(_xlpm.films,Table4[Film],_xlpm.grades,Table4[Grade],_xlpm.pairs,_xlfn._xlws.FILTER(_xlfn.HSTACK(_xlpm.films,_xlpm.grades),(_xlpm.films&lt;&gt;"")*(TRIM(_xlpm.grades)&lt;&gt;"")),_xlpm.uniquePairs,_xlfn.UNIQUE(_xlpm.pairs),_xlpm.sortedPairs,_xlfn._xlws.SORT(_xlpm.uniquePairs,1,1),INDEX(_xlpm.sortedPairs,ROWS($M$2:M26),2)),"")</f>
        <v>LX175</v>
      </c>
      <c r="N26" s="17" t="str" cm="1">
        <f t="array" ref="N26">IF(OR(Table2[[#This Row],[Film]]="",Table2[[#This Row],[Grade]]=""),"",IFERROR(INDEX(Table4[Serial Number],MATCH(1,(Table4[Film]=Table2[[#This Row],[Film]])*(Table4[Grade]=Table2[[#This Row],[Grade]]),0)),""))</f>
        <v>RMLX175</v>
      </c>
      <c r="O26" s="53">
        <f>IF(OR(Table2[[#This Row],[Film]]="",Table2[[#This Row],[Grade]]=""),"",SUMIFS(Table4[Price Calculated(€) Thickness &amp; QTY related],Table4[Film],Table2[[#This Row],[Film]],Table4[Grade],Table2[[#This Row],[Grade]]))</f>
        <v>0.18259199999999998</v>
      </c>
      <c r="P26" s="6"/>
      <c r="Q26" s="19" t="str" cm="1">
        <f t="array" ref="Q26">IFERROR(INDEX(Table2[Film],MATCH(0,COUNTIF($Q$1:Q25,Table2[Film])+IF(Table2[Film]="",1,0),0)),"")</f>
        <v/>
      </c>
      <c r="R26" s="57">
        <f>SUMIF(Table2[Film],"TIPA 312 MFG",Table2[Price Calculated(€) Thickness &amp; QTY related])+_xlfn.XLOOKUP("MET LUX ",HELPER!$A:$A,HELPER!$E:$E,0)</f>
        <v>5.3805880000000004</v>
      </c>
      <c r="S26" s="59">
        <f>IFERROR(R26*HELPER!$AK$2," ")</f>
        <v>6.2414820799999999</v>
      </c>
      <c r="T26" s="6"/>
      <c r="U26" s="2" t="s">
        <v>43</v>
      </c>
      <c r="V26" s="2" t="s">
        <v>13</v>
      </c>
      <c r="W26" s="2" t="s">
        <v>74</v>
      </c>
      <c r="X26" s="2" t="s">
        <v>75</v>
      </c>
      <c r="Y26" s="2" t="s">
        <v>33</v>
      </c>
      <c r="Z26" s="808" cm="1">
        <f t="array" ref="Z26">SUMPRODUCT((BOM!$A$2:$A$391=U26)*(BOM!$F$2:$F$391=Y26)*BOM!$H$2:$H$391*BOM!$G$2:$G$391)/SUMPRODUCT((BOM!$A$2:$A$391=U26)*BOM!$H$2:$H$391*BOM!$G$2:$G$391)</f>
        <v>5.7599999999999998E-2</v>
      </c>
      <c r="AA26" s="811">
        <f>SUMIF(tblResinWeightedQty12[Film],tblResinWeightedQty12[[#This Row],[Film]],tblResinWeightedQty12[Weighted QTY %])</f>
        <v>1</v>
      </c>
    </row>
    <row r="27" spans="1:27">
      <c r="A27" s="25" t="s">
        <v>0</v>
      </c>
      <c r="B27" s="26" t="s">
        <v>7</v>
      </c>
      <c r="C27" s="28"/>
      <c r="D27" s="28" t="str">
        <f>IF(C27="","",IFERROR(_xlfn.XLOOKUP(C27,HELPER!$A$2:$A$81,HELPER!$B$2:$B$81,""),D27))</f>
        <v/>
      </c>
      <c r="E27" s="28" t="str">
        <f>IFERROR(_xlfn.XLOOKUP(D27,HELPER!$B:$B,HELPER!$C:$C,""),"")</f>
        <v/>
      </c>
      <c r="F27" s="27" t="str">
        <f>IFERROR(_xlfn.XLOOKUP(D27,HELPER!$B:$B,HELPER!$D:$D,""),"")</f>
        <v/>
      </c>
      <c r="G27" s="27">
        <v>8</v>
      </c>
      <c r="H27" s="31"/>
      <c r="I27" s="21" t="str">
        <f>IF(AND(H27&lt;&gt;"",IFERROR(_xlfn.XLOOKUP(D27,HELPER!$B:$B,HELPER!$E:$E,""),"")=""),"Missing price",IFERROR(_xlfn.XLOOKUP(D27,HELPER!$B:$B,HELPER!$E:$E,"")," "))</f>
        <v/>
      </c>
      <c r="J27" s="54" t="str">
        <f>IFERROR(H27*(IF(G27=8,I27*HELPER!$G$2,BOM!I27*HELPER!$G$3))," ")</f>
        <v xml:space="preserve"> </v>
      </c>
      <c r="K27" s="6"/>
      <c r="L27" s="14" t="str" cm="1">
        <f t="array" ref="L27">IFERROR(_xlfn.LET(_xlpm.films,Table4[Film],_xlpm.grades,Table4[Grade],_xlpm.pairs,_xlfn._xlws.FILTER(_xlfn.HSTACK(_xlpm.films,_xlpm.grades),(_xlpm.films&lt;&gt;"")*(TRIM(_xlpm.grades)&lt;&gt;"")),_xlpm.uniquePairs,_xlfn.UNIQUE(_xlpm.pairs),_xlpm.sortedPairs,_xlfn._xlws.SORT(_xlpm.uniquePairs,1,1),INDEX(_xlpm.sortedPairs,ROWS($L$2:L27),1)),"")</f>
        <v>TIPA 302FG W</v>
      </c>
      <c r="M27" s="15" t="str" cm="1">
        <f t="array" ref="M27">IFERROR(_xlfn.LET(_xlpm.films,Table4[Film],_xlpm.grades,Table4[Grade],_xlpm.pairs,_xlfn._xlws.FILTER(_xlfn.HSTACK(_xlpm.films,_xlpm.grades),(_xlpm.films&lt;&gt;"")*(TRIM(_xlpm.grades)&lt;&gt;"")),_xlpm.uniquePairs,_xlfn.UNIQUE(_xlpm.pairs),_xlpm.sortedPairs,_xlfn._xlws.SORT(_xlpm.uniquePairs,1,1),INDEX(_xlpm.sortedPairs,ROWS($M$2:M27),2)),"")</f>
        <v>KAB59A</v>
      </c>
      <c r="N27" s="15" t="str" cm="1">
        <f t="array" ref="N27">IF(OR(Table2[[#This Row],[Film]]="",Table2[[#This Row],[Grade]]=""),"",IFERROR(INDEX(Table4[Serial Number],MATCH(1,(Table4[Film]=Table2[[#This Row],[Film]])*(Table4[Grade]=Table2[[#This Row],[Grade]]),0)),""))</f>
        <v>RM A KAB59A</v>
      </c>
      <c r="O27" s="52">
        <f>IF(OR(Table2[[#This Row],[Film]]="",Table2[[#This Row],[Grade]]=""),"",SUMIFS(Table4[Price Calculated(€) Thickness &amp; QTY related],Table4[Film],Table2[[#This Row],[Film]],Table4[Grade],Table2[[#This Row],[Grade]]))</f>
        <v>4.53E-2</v>
      </c>
      <c r="P27" s="6"/>
      <c r="Q27" s="20" t="str" cm="1">
        <f t="array" ref="Q27">IFERROR(INDEX(Table2[Film],MATCH(0,COUNTIF($Q$1:Q26,Table2[Film])+IF(Table2[Film]="",1,0),0)),"")</f>
        <v/>
      </c>
      <c r="R27" s="58">
        <f>SUMIF(Table2[Film],"TIPA 312 MFG",Table2[Price Calculated(€) Thickness &amp; QTY related])+_xlfn.XLOOKUP("MET LUX ",HELPER!$A:$A,HELPER!$E:$E,0)</f>
        <v>5.3805880000000004</v>
      </c>
      <c r="S27" s="60">
        <f>IFERROR(R27*HELPER!$AK$2," ")</f>
        <v>6.2414820799999999</v>
      </c>
      <c r="T27" s="6"/>
      <c r="U27" s="2" t="s">
        <v>43</v>
      </c>
      <c r="V27" s="2" t="s">
        <v>14</v>
      </c>
      <c r="W27" s="2" t="s">
        <v>23</v>
      </c>
      <c r="X27" s="2" t="s">
        <v>77</v>
      </c>
      <c r="Y27" s="2" t="s">
        <v>35</v>
      </c>
      <c r="Z27" s="808" cm="1">
        <f t="array" ref="Z27">SUMPRODUCT((BOM!$A$2:$A$391=U27)*(BOM!$F$2:$F$391=Y27)*BOM!$H$2:$H$391*BOM!$G$2:$G$391)/SUMPRODUCT((BOM!$A$2:$A$391=U27)*BOM!$H$2:$H$391*BOM!$G$2:$G$391)</f>
        <v>0.53100000000000003</v>
      </c>
      <c r="AA27" s="811">
        <f>SUMIF(tblResinWeightedQty12[Film],tblResinWeightedQty12[[#This Row],[Film]],tblResinWeightedQty12[Weighted QTY %])</f>
        <v>1</v>
      </c>
    </row>
    <row r="28" spans="1:27">
      <c r="A28" s="25" t="s">
        <v>0</v>
      </c>
      <c r="B28" s="26" t="s">
        <v>7</v>
      </c>
      <c r="C28" s="28"/>
      <c r="D28" s="28" t="str">
        <f>IF(C28="","",IFERROR(_xlfn.XLOOKUP(C28,HELPER!$A$2:$A$81,HELPER!$B$2:$B$81,""),D28))</f>
        <v/>
      </c>
      <c r="E28" s="28" t="str">
        <f>IFERROR(_xlfn.XLOOKUP(D28,HELPER!$B:$B,HELPER!$C:$C,""),"")</f>
        <v/>
      </c>
      <c r="F28" s="27" t="str">
        <f>IFERROR(_xlfn.XLOOKUP(D28,HELPER!$B:$B,HELPER!$D:$D,""),"")</f>
        <v/>
      </c>
      <c r="G28" s="27">
        <v>8</v>
      </c>
      <c r="H28" s="31"/>
      <c r="I28" s="21" t="str">
        <f>IF(AND(H28&lt;&gt;"",IFERROR(_xlfn.XLOOKUP(D28,HELPER!$B:$B,HELPER!$E:$E,""),"")=""),"Missing price",IFERROR(_xlfn.XLOOKUP(D28,HELPER!$B:$B,HELPER!$E:$E,"")," "))</f>
        <v/>
      </c>
      <c r="J28" s="54" t="str">
        <f>IFERROR(H28*(IF(G28=8,I28*HELPER!$G$2,BOM!I28*HELPER!$G$3))," ")</f>
        <v xml:space="preserve"> </v>
      </c>
      <c r="K28" s="6"/>
      <c r="L28" s="16" t="str" cm="1">
        <f t="array" ref="L28">IFERROR(_xlfn.LET(_xlpm.films,Table4[Film],_xlpm.grades,Table4[Grade],_xlpm.pairs,_xlfn._xlws.FILTER(_xlfn.HSTACK(_xlpm.films,_xlpm.grades),(_xlpm.films&lt;&gt;"")*(TRIM(_xlpm.grades)&lt;&gt;"")),_xlpm.uniquePairs,_xlfn.UNIQUE(_xlpm.pairs),_xlpm.sortedPairs,_xlfn._xlws.SORT(_xlpm.uniquePairs,1,1),INDEX(_xlpm.sortedPairs,ROWS($L$2:L28),1)),"")</f>
        <v>TIPA 302FG W</v>
      </c>
      <c r="M28" s="17" t="str" cm="1">
        <f t="array" ref="M28">IFERROR(_xlfn.LET(_xlpm.films,Table4[Film],_xlpm.grades,Table4[Grade],_xlpm.pairs,_xlfn._xlws.FILTER(_xlfn.HSTACK(_xlpm.films,_xlpm.grades),(_xlpm.films&lt;&gt;"")*(TRIM(_xlpm.grades)&lt;&gt;"")),_xlpm.uniquePairs,_xlfn.UNIQUE(_xlpm.pairs),_xlpm.sortedPairs,_xlfn._xlws.SORT(_xlpm.uniquePairs,1,1),INDEX(_xlpm.sortedPairs,ROWS($M$2:M28),2)),"")</f>
        <v>S723</v>
      </c>
      <c r="N28" s="17" t="str" cm="1">
        <f t="array" ref="N28">IF(OR(Table2[[#This Row],[Film]]="",Table2[[#This Row],[Grade]]=""),"",IFERROR(INDEX(Table4[Serial Number],MATCH(1,(Table4[Film]=Table2[[#This Row],[Film]])*(Table4[Grade]=Table2[[#This Row],[Grade]]),0)),""))</f>
        <v>RM TA45-08 S723</v>
      </c>
      <c r="O28" s="53">
        <f>IF(OR(Table2[[#This Row],[Film]]="",Table2[[#This Row],[Grade]]=""),"",SUMIFS(Table4[Price Calculated(€) Thickness &amp; QTY related],Table4[Film],Table2[[#This Row],[Film]],Table4[Grade],Table2[[#This Row],[Grade]]))</f>
        <v>0.24239999999999998</v>
      </c>
      <c r="P28" s="6"/>
      <c r="Q28" s="19" t="str" cm="1">
        <f t="array" ref="Q28">IFERROR(INDEX(Table2[Film],MATCH(0,COUNTIF($Q$1:Q27,Table2[Film])+IF(Table2[Film]="",1,0),0)),"")</f>
        <v/>
      </c>
      <c r="R28" s="57">
        <f>SUMIF(Table2[Film],"TIPA 312 MFG",Table2[Price Calculated(€) Thickness &amp; QTY related])+_xlfn.XLOOKUP("MET LUX ",HELPER!$A:$A,HELPER!$E:$E,0)</f>
        <v>5.3805880000000004</v>
      </c>
      <c r="S28" s="59">
        <f>IFERROR(R28*HELPER!$AK$2," ")</f>
        <v>6.2414820799999999</v>
      </c>
      <c r="T28" s="6"/>
      <c r="U28" s="2" t="s">
        <v>43</v>
      </c>
      <c r="V28" s="2" t="s">
        <v>16</v>
      </c>
      <c r="W28" s="2" t="s">
        <v>10</v>
      </c>
      <c r="X28" s="2" t="s">
        <v>81</v>
      </c>
      <c r="Y28" s="2" t="s">
        <v>38</v>
      </c>
      <c r="Z28" s="808" cm="1">
        <f t="array" ref="Z28">SUMPRODUCT((BOM!$A$2:$A$391=U28)*(BOM!$F$2:$F$391=Y28)*BOM!$H$2:$H$391*BOM!$G$2:$G$391)/SUMPRODUCT((BOM!$A$2:$A$391=U28)*BOM!$H$2:$H$391*BOM!$G$2:$G$391)</f>
        <v>1.4999999999999999E-2</v>
      </c>
      <c r="AA28" s="811">
        <f>SUMIF(tblResinWeightedQty12[Film],tblResinWeightedQty12[[#This Row],[Film]],tblResinWeightedQty12[Weighted QTY %])</f>
        <v>1</v>
      </c>
    </row>
    <row r="29" spans="1:27">
      <c r="A29" s="25" t="s">
        <v>0</v>
      </c>
      <c r="B29" s="26" t="s">
        <v>7</v>
      </c>
      <c r="C29" s="28"/>
      <c r="D29" s="28" t="str">
        <f>IF(C29="","",IFERROR(_xlfn.XLOOKUP(C29,HELPER!$A$2:$A$81,HELPER!$B$2:$B$81,""),D29))</f>
        <v/>
      </c>
      <c r="E29" s="28" t="str">
        <f>IFERROR(_xlfn.XLOOKUP(D29,HELPER!$B:$B,HELPER!$C:$C,""),"")</f>
        <v/>
      </c>
      <c r="F29" s="27" t="str">
        <f>IFERROR(_xlfn.XLOOKUP(D29,HELPER!$B:$B,HELPER!$D:$D,""),"")</f>
        <v/>
      </c>
      <c r="G29" s="27">
        <v>8</v>
      </c>
      <c r="H29" s="31"/>
      <c r="I29" s="21" t="str">
        <f>IF(AND(H29&lt;&gt;"",IFERROR(_xlfn.XLOOKUP(D29,HELPER!$B:$B,HELPER!$E:$E,""),"")=""),"Missing price",IFERROR(_xlfn.XLOOKUP(D29,HELPER!$B:$B,HELPER!$E:$E,"")," "))</f>
        <v/>
      </c>
      <c r="J29" s="54" t="str">
        <f>IFERROR(H29*(IF(G29=8,I29*HELPER!$G$2,BOM!I29*HELPER!$G$3))," ")</f>
        <v xml:space="preserve"> </v>
      </c>
      <c r="K29" s="6"/>
      <c r="L29" s="14" t="str" cm="1">
        <f t="array" ref="L29">IFERROR(_xlfn.LET(_xlpm.films,Table4[Film],_xlpm.grades,Table4[Grade],_xlpm.pairs,_xlfn._xlws.FILTER(_xlfn.HSTACK(_xlpm.films,_xlpm.grades),(_xlpm.films&lt;&gt;"")*(TRIM(_xlpm.grades)&lt;&gt;"")),_xlpm.uniquePairs,_xlfn.UNIQUE(_xlpm.pairs),_xlpm.sortedPairs,_xlfn._xlws.SORT(_xlpm.uniquePairs,1,1),INDEX(_xlpm.sortedPairs,ROWS($L$2:L29),1)),"")</f>
        <v>TIPA 302FG W</v>
      </c>
      <c r="M29" s="15" t="str" cm="1">
        <f t="array" ref="M29">IFERROR(_xlfn.LET(_xlpm.films,Table4[Film],_xlpm.grades,Table4[Grade],_xlpm.pairs,_xlfn._xlws.FILTER(_xlfn.HSTACK(_xlpm.films,_xlpm.grades),(_xlpm.films&lt;&gt;"")*(TRIM(_xlpm.grades)&lt;&gt;"")),_xlpm.uniquePairs,_xlfn.UNIQUE(_xlpm.pairs),_xlpm.sortedPairs,_xlfn._xlws.SORT(_xlpm.uniquePairs,1,1),INDEX(_xlpm.sortedPairs,ROWS($M$2:M29),2)),"")</f>
        <v>S724</v>
      </c>
      <c r="N29" s="15" t="str" cm="1">
        <f t="array" ref="N29">IF(OR(Table2[[#This Row],[Film]]="",Table2[[#This Row],[Grade]]=""),"",IFERROR(INDEX(Table4[Serial Number],MATCH(1,(Table4[Film]=Table2[[#This Row],[Film]])*(Table4[Grade]=Table2[[#This Row],[Grade]]),0)),""))</f>
        <v>RM TA45-08 S724</v>
      </c>
      <c r="O29" s="52">
        <f>IF(OR(Table2[[#This Row],[Film]]="",Table2[[#This Row],[Grade]]=""),"",SUMIFS(Table4[Price Calculated(€) Thickness &amp; QTY related],Table4[Film],Table2[[#This Row],[Film]],Table4[Grade],Table2[[#This Row],[Grade]]))</f>
        <v>9.4079999999999997E-2</v>
      </c>
      <c r="P29" s="6"/>
      <c r="Q29" s="20" t="str" cm="1">
        <f t="array" ref="Q29">IFERROR(INDEX(Table2[Film],MATCH(0,COUNTIF($Q$1:Q28,Table2[Film])+IF(Table2[Film]="",1,0),0)),"")</f>
        <v/>
      </c>
      <c r="R29" s="58">
        <f>SUMIF(Table2[Film],"TIPA 312 MFG",Table2[Price Calculated(€) Thickness &amp; QTY related])+_xlfn.XLOOKUP("MET LUX ",HELPER!$A:$A,HELPER!$E:$E,0)</f>
        <v>5.3805880000000004</v>
      </c>
      <c r="S29" s="60">
        <f>IFERROR(R29*HELPER!$AK$2," ")</f>
        <v>6.2414820799999999</v>
      </c>
      <c r="T29" s="6"/>
      <c r="U29" s="2" t="s">
        <v>43</v>
      </c>
      <c r="V29" s="2" t="s">
        <v>17</v>
      </c>
      <c r="W29" s="2" t="s">
        <v>11</v>
      </c>
      <c r="X29" s="2" t="s">
        <v>82</v>
      </c>
      <c r="Y29" s="2" t="s">
        <v>39</v>
      </c>
      <c r="Z29" s="808" cm="1">
        <f t="array" ref="Z29">SUMPRODUCT((BOM!$A$2:$A$391=U29)*(BOM!$F$2:$F$391=Y29)*BOM!$H$2:$H$391*BOM!$G$2:$G$391)/SUMPRODUCT((BOM!$A$2:$A$391=U29)*BOM!$H$2:$H$391*BOM!$G$2:$G$391)</f>
        <v>6.4000000000000003E-3</v>
      </c>
      <c r="AA29" s="811">
        <f>SUMIF(tblResinWeightedQty12[Film],tblResinWeightedQty12[[#This Row],[Film]],tblResinWeightedQty12[Weighted QTY %])</f>
        <v>1</v>
      </c>
    </row>
    <row r="30" spans="1:27">
      <c r="A30" s="25" t="s">
        <v>0</v>
      </c>
      <c r="B30" s="26" t="s">
        <v>7</v>
      </c>
      <c r="C30" s="28"/>
      <c r="D30" s="28" t="str">
        <f>IF(C30="","",IFERROR(_xlfn.XLOOKUP(C30,HELPER!$A$2:$A$81,HELPER!$B$2:$B$81,""),D30))</f>
        <v/>
      </c>
      <c r="E30" s="28" t="str">
        <f>IFERROR(_xlfn.XLOOKUP(D30,HELPER!$B:$B,HELPER!$C:$C,""),"")</f>
        <v/>
      </c>
      <c r="F30" s="27" t="str">
        <f>IFERROR(_xlfn.XLOOKUP(D30,HELPER!$B:$B,HELPER!$D:$D,""),"")</f>
        <v/>
      </c>
      <c r="G30" s="27">
        <v>8</v>
      </c>
      <c r="H30" s="31"/>
      <c r="I30" s="21" t="str">
        <f>IF(AND(H30&lt;&gt;"",IFERROR(_xlfn.XLOOKUP(D30,HELPER!$B:$B,HELPER!$E:$E,""),"")=""),"Missing price",IFERROR(_xlfn.XLOOKUP(D30,HELPER!$B:$B,HELPER!$E:$E,"")," "))</f>
        <v/>
      </c>
      <c r="J30" s="54" t="str">
        <f>IFERROR(H30*(IF(G30=8,I30*HELPER!$G$2,BOM!I30*HELPER!$G$3))," ")</f>
        <v xml:space="preserve"> </v>
      </c>
      <c r="K30" s="6"/>
      <c r="L30" s="16" t="str" cm="1">
        <f t="array" ref="L30">IFERROR(_xlfn.LET(_xlpm.films,Table4[Film],_xlpm.grades,Table4[Grade],_xlpm.pairs,_xlfn._xlws.FILTER(_xlfn.HSTACK(_xlpm.films,_xlpm.grades),(_xlpm.films&lt;&gt;"")*(TRIM(_xlpm.grades)&lt;&gt;"")),_xlpm.uniquePairs,_xlfn.UNIQUE(_xlpm.pairs),_xlpm.sortedPairs,_xlfn._xlws.SORT(_xlpm.uniquePairs,1,1),INDEX(_xlpm.sortedPairs,ROWS($L$2:L30),1)),"")</f>
        <v>TIPA 302FG W</v>
      </c>
      <c r="M30" s="17" t="str" cm="1">
        <f t="array" ref="M30">IFERROR(_xlfn.LET(_xlpm.films,Table4[Film],_xlpm.grades,Table4[Grade],_xlpm.pairs,_xlfn._xlws.FILTER(_xlfn.HSTACK(_xlpm.films,_xlpm.grades),(_xlpm.films&lt;&gt;"")*(TRIM(_xlpm.grades)&lt;&gt;"")),_xlpm.uniquePairs,_xlfn.UNIQUE(_xlpm.pairs),_xlpm.sortedPairs,_xlfn._xlws.SORT(_xlpm.uniquePairs,1,1),INDEX(_xlpm.sortedPairs,ROWS($M$2:M30),2)),"")</f>
        <v>RM WHITE BIO8153</v>
      </c>
      <c r="N30" s="17" t="str" cm="1">
        <f t="array" ref="N30">IF(OR(Table2[[#This Row],[Film]]="",Table2[[#This Row],[Grade]]=""),"",IFERROR(INDEX(Table4[Serial Number],MATCH(1,(Table4[Film]=Table2[[#This Row],[Film]])*(Table4[Grade]=Table2[[#This Row],[Grade]]),0)),""))</f>
        <v>RM WHITE BIO8153</v>
      </c>
      <c r="O30" s="53">
        <f>IF(OR(Table2[[#This Row],[Film]]="",Table2[[#This Row],[Grade]]=""),"",SUMIFS(Table4[Price Calculated(€) Thickness &amp; QTY related],Table4[Film],Table2[[#This Row],[Film]],Table4[Grade],Table2[[#This Row],[Grade]]))</f>
        <v>0.36899999999999999</v>
      </c>
      <c r="P30" s="6"/>
      <c r="Q30" s="19" t="str" cm="1">
        <f t="array" ref="Q30">IFERROR(INDEX(Table2[Film],MATCH(0,COUNTIF($Q$1:Q29,Table2[Film])+IF(Table2[Film]="",1,0),0)),"")</f>
        <v/>
      </c>
      <c r="R30" s="57">
        <f>SUMIF(Table2[Film],"TIPA 312 MFG",Table2[Price Calculated(€) Thickness &amp; QTY related])+_xlfn.XLOOKUP("MET LUX ",HELPER!$A:$A,HELPER!$E:$E,0)</f>
        <v>5.3805880000000004</v>
      </c>
      <c r="S30" s="59">
        <f>IFERROR(R30*HELPER!$AK$2," ")</f>
        <v>6.2414820799999999</v>
      </c>
      <c r="T30" s="6"/>
      <c r="U30" s="2" t="s">
        <v>43</v>
      </c>
      <c r="V30" s="2" t="s">
        <v>18</v>
      </c>
      <c r="W30" s="2" t="s">
        <v>9</v>
      </c>
      <c r="X30" s="2" t="s">
        <v>83</v>
      </c>
      <c r="Y30" s="2" t="s">
        <v>40</v>
      </c>
      <c r="Z30" s="808" cm="1">
        <f t="array" ref="Z30">SUMPRODUCT((BOM!$A$2:$A$391=U30)*(BOM!$F$2:$F$391=Y30)*BOM!$H$2:$H$391*BOM!$G$2:$G$391)/SUMPRODUCT((BOM!$A$2:$A$391=U30)*BOM!$H$2:$H$391*BOM!$G$2:$G$391)</f>
        <v>6.0000000000000001E-3</v>
      </c>
      <c r="AA30" s="811">
        <f>SUMIF(tblResinWeightedQty12[Film],tblResinWeightedQty12[[#This Row],[Film]],tblResinWeightedQty12[Weighted QTY %])</f>
        <v>1</v>
      </c>
    </row>
    <row r="31" spans="1:27">
      <c r="A31" s="25" t="s">
        <v>0</v>
      </c>
      <c r="B31" s="26" t="s">
        <v>7</v>
      </c>
      <c r="C31" s="28"/>
      <c r="D31" s="28" t="str">
        <f>IF(C31="","",IFERROR(_xlfn.XLOOKUP(C31,HELPER!$A$2:$A$81,HELPER!$B$2:$B$81,""),D31))</f>
        <v/>
      </c>
      <c r="E31" s="28" t="str">
        <f>IFERROR(_xlfn.XLOOKUP(D31,HELPER!$B:$B,HELPER!$C:$C,""),"")</f>
        <v/>
      </c>
      <c r="F31" s="27" t="str">
        <f>IFERROR(_xlfn.XLOOKUP(D31,HELPER!$B:$B,HELPER!$D:$D,""),"")</f>
        <v/>
      </c>
      <c r="G31" s="27">
        <v>8</v>
      </c>
      <c r="H31" s="31"/>
      <c r="I31" s="21" t="str">
        <f>IF(AND(H31&lt;&gt;"",IFERROR(_xlfn.XLOOKUP(D31,HELPER!$B:$B,HELPER!$E:$E,""),"")=""),"Missing price",IFERROR(_xlfn.XLOOKUP(D31,HELPER!$B:$B,HELPER!$E:$E,"")," "))</f>
        <v/>
      </c>
      <c r="J31" s="54" t="str">
        <f>IFERROR(H31*(IF(G31=8,I31*HELPER!$G$2,BOM!I31*HELPER!$G$3))," ")</f>
        <v xml:space="preserve"> </v>
      </c>
      <c r="K31" s="6"/>
      <c r="L31" s="14" t="str" cm="1">
        <f t="array" ref="L31">IFERROR(_xlfn.LET(_xlpm.films,Table4[Film],_xlpm.grades,Table4[Grade],_xlpm.pairs,_xlfn._xlws.FILTER(_xlfn.HSTACK(_xlpm.films,_xlpm.grades),(_xlpm.films&lt;&gt;"")*(TRIM(_xlpm.grades)&lt;&gt;"")),_xlpm.uniquePairs,_xlfn.UNIQUE(_xlpm.pairs),_xlpm.sortedPairs,_xlfn._xlws.SORT(_xlpm.uniquePairs,1,1),INDEX(_xlpm.sortedPairs,ROWS($L$2:L31),1)),"")</f>
        <v>TIPA 302FG W</v>
      </c>
      <c r="M31" s="15" t="str" cm="1">
        <f t="array" ref="M31">IFERROR(_xlfn.LET(_xlpm.films,Table4[Film],_xlpm.grades,Table4[Grade],_xlpm.pairs,_xlfn._xlws.FILTER(_xlfn.HSTACK(_xlpm.films,_xlpm.grades),(_xlpm.films&lt;&gt;"")*(TRIM(_xlpm.grades)&lt;&gt;"")),_xlpm.uniquePairs,_xlfn.UNIQUE(_xlpm.pairs),_xlpm.sortedPairs,_xlfn._xlws.SORT(_xlpm.uniquePairs,1,1),INDEX(_xlpm.sortedPairs,ROWS($M$2:M31),2)),"")</f>
        <v>B12</v>
      </c>
      <c r="N31" s="15" t="str" cm="1">
        <f t="array" ref="N31">IF(OR(Table2[[#This Row],[Film]]="",Table2[[#This Row],[Grade]]=""),"",IFERROR(INDEX(Table4[Serial Number],MATCH(1,(Table4[Film]=Table2[[#This Row],[Film]])*(Table4[Grade]=Table2[[#This Row],[Grade]]),0)),""))</f>
        <v>RMB12</v>
      </c>
      <c r="O31" s="52">
        <f>IF(OR(Table2[[#This Row],[Film]]="",Table2[[#This Row],[Grade]]=""),"",SUMIFS(Table4[Price Calculated(€) Thickness &amp; QTY related],Table4[Film],Table2[[#This Row],[Film]],Table4[Grade],Table2[[#This Row],[Grade]]))</f>
        <v>0.96111000000000013</v>
      </c>
      <c r="P31" s="6"/>
      <c r="Q31" s="20" t="str" cm="1">
        <f t="array" ref="Q31">IFERROR(INDEX(Table2[Film],MATCH(0,COUNTIF($Q$1:Q30,Table2[Film])+IF(Table2[Film]="",1,0),0)),"")</f>
        <v/>
      </c>
      <c r="R31" s="58">
        <f>SUMIF(Table2[Film],"TIPA 312 MFG",Table2[Price Calculated(€) Thickness &amp; QTY related])+_xlfn.XLOOKUP("MET LUX ",HELPER!$A:$A,HELPER!$E:$E,0)</f>
        <v>5.3805880000000004</v>
      </c>
      <c r="S31" s="60">
        <f>IFERROR(R31*HELPER!$AK$2," ")</f>
        <v>6.2414820799999999</v>
      </c>
      <c r="T31" s="6"/>
      <c r="U31" s="2" t="s">
        <v>43</v>
      </c>
      <c r="V31" s="2" t="s">
        <v>12</v>
      </c>
      <c r="W31" s="2" t="s">
        <v>8</v>
      </c>
      <c r="X31" s="2" t="s">
        <v>84</v>
      </c>
      <c r="Y31" s="2" t="s">
        <v>42</v>
      </c>
      <c r="Z31" s="808" cm="1">
        <f t="array" ref="Z31">SUMPRODUCT((BOM!$A$2:$A$391=U31)*(BOM!$F$2:$F$391=Y31)*BOM!$H$2:$H$391*BOM!$G$2:$G$391)/SUMPRODUCT((BOM!$A$2:$A$391=U31)*BOM!$H$2:$H$391*BOM!$G$2:$G$391)</f>
        <v>0.32400000000000001</v>
      </c>
      <c r="AA31" s="811">
        <f>SUMIF(tblResinWeightedQty12[Film],tblResinWeightedQty12[[#This Row],[Film]],tblResinWeightedQty12[Weighted QTY %])</f>
        <v>1</v>
      </c>
    </row>
    <row r="32" spans="1:27">
      <c r="A32" s="25" t="s">
        <v>43</v>
      </c>
      <c r="B32" s="26" t="s">
        <v>5</v>
      </c>
      <c r="C32" s="28" t="s">
        <v>12</v>
      </c>
      <c r="D32" s="28" t="str">
        <f>IF(C32="","",IFERROR(_xlfn.XLOOKUP(C32,HELPER!$A$2:$A$81,HELPER!$B$2:$B$81,""),D32))</f>
        <v>FD92PM</v>
      </c>
      <c r="E32" s="28" t="str">
        <f>IFERROR(_xlfn.XLOOKUP(D32,HELPER!$B:$B,HELPER!$C:$C,""),"")</f>
        <v>RMPM2</v>
      </c>
      <c r="F32" s="27" t="str">
        <f>IFERROR(_xlfn.XLOOKUP(D32,HELPER!$B:$B,HELPER!$D:$D,""),"")</f>
        <v>Resin 9C</v>
      </c>
      <c r="G32" s="27">
        <v>8</v>
      </c>
      <c r="H32" s="31">
        <v>0.81</v>
      </c>
      <c r="I32" s="21">
        <f>IF(AND(H32&lt;&gt;"",IFERROR(_xlfn.XLOOKUP(D32,HELPER!$B:$B,HELPER!$E:$E,""),"")=""),"Missing price",IFERROR(_xlfn.XLOOKUP(D32,HELPER!$B:$B,HELPER!$E:$E,"")," "))</f>
        <v>6.75</v>
      </c>
      <c r="J32" s="54">
        <f>IFERROR(H32*(IF(G32=8,I32*HELPER!$G$2,BOM!I32*HELPER!$G$3))," ")</f>
        <v>1.0935000000000001</v>
      </c>
      <c r="K32" s="6"/>
      <c r="L32" s="16" t="str" cm="1">
        <f t="array" ref="L32">IFERROR(_xlfn.LET(_xlpm.films,Table4[Film],_xlpm.grades,Table4[Grade],_xlpm.pairs,_xlfn._xlws.FILTER(_xlfn.HSTACK(_xlpm.films,_xlpm.grades),(_xlpm.films&lt;&gt;"")*(TRIM(_xlpm.grades)&lt;&gt;"")),_xlpm.uniquePairs,_xlfn.UNIQUE(_xlpm.pairs),_xlpm.sortedPairs,_xlfn._xlws.SORT(_xlpm.uniquePairs,1,1),INDEX(_xlpm.sortedPairs,ROWS($L$2:L32),1)),"")</f>
        <v>TIPA 306M</v>
      </c>
      <c r="M32" s="17" t="str" cm="1">
        <f t="array" ref="M32">IFERROR(_xlfn.LET(_xlpm.films,Table4[Film],_xlpm.grades,Table4[Grade],_xlpm.pairs,_xlfn._xlws.FILTER(_xlfn.HSTACK(_xlpm.films,_xlpm.grades),(_xlpm.films&lt;&gt;"")*(TRIM(_xlpm.grades)&lt;&gt;"")),_xlpm.uniquePairs,_xlfn.UNIQUE(_xlpm.pairs),_xlpm.sortedPairs,_xlfn._xlws.SORT(_xlpm.uniquePairs,1,1),INDEX(_xlpm.sortedPairs,ROWS($M$2:M32),2)),"")</f>
        <v>LX175</v>
      </c>
      <c r="N32" s="17" t="str" cm="1">
        <f t="array" ref="N32">IF(OR(Table2[[#This Row],[Film]]="",Table2[[#This Row],[Grade]]=""),"",IFERROR(INDEX(Table4[Serial Number],MATCH(1,(Table4[Film]=Table2[[#This Row],[Film]])*(Table4[Grade]=Table2[[#This Row],[Grade]]),0)),""))</f>
        <v>RMLX175</v>
      </c>
      <c r="O32" s="53">
        <f>IF(OR(Table2[[#This Row],[Film]]="",Table2[[#This Row],[Grade]]=""),"",SUMIFS(Table4[Price Calculated(€) Thickness &amp; QTY related],Table4[Film],Table2[[#This Row],[Film]],Table4[Grade],Table2[[#This Row],[Grade]]))</f>
        <v>2.1061480000000001</v>
      </c>
      <c r="P32" s="6"/>
      <c r="Q32" s="19" t="str" cm="1">
        <f t="array" ref="Q32">IFERROR(INDEX(Table2[Film],MATCH(0,COUNTIF($Q$1:Q31,Table2[Film])+IF(Table2[Film]="",1,0),0)),"")</f>
        <v/>
      </c>
      <c r="R32" s="57">
        <f>SUMIF(Table2[Film],"TIPA 312 MFG",Table2[Price Calculated(€) Thickness &amp; QTY related])+_xlfn.XLOOKUP("MET LUX ",HELPER!$A:$A,HELPER!$E:$E,0)</f>
        <v>5.3805880000000004</v>
      </c>
      <c r="S32" s="59">
        <f>IFERROR(R32*HELPER!$AK$2," ")</f>
        <v>6.2414820799999999</v>
      </c>
      <c r="T32" s="6"/>
      <c r="U32" s="2" t="s">
        <v>45</v>
      </c>
      <c r="V32" s="2" t="s">
        <v>13</v>
      </c>
      <c r="W32" s="2" t="s">
        <v>74</v>
      </c>
      <c r="X32" s="2" t="s">
        <v>75</v>
      </c>
      <c r="Y32" s="2" t="s">
        <v>33</v>
      </c>
      <c r="Z32" s="808" cm="1">
        <f t="array" ref="Z32">SUMPRODUCT((BOM!$A$2:$A$391=U32)*(BOM!$F$2:$F$391=Y32)*BOM!$H$2:$H$391*BOM!$G$2:$G$391)/SUMPRODUCT((BOM!$A$2:$A$391=U32)*BOM!$H$2:$H$391*BOM!$G$2:$G$391)</f>
        <v>0.6644000000000001</v>
      </c>
      <c r="AA32" s="811">
        <f>SUMIF(tblResinWeightedQty12[Film],tblResinWeightedQty12[[#This Row],[Film]],tblResinWeightedQty12[Weighted QTY %])</f>
        <v>1.0000000000000002</v>
      </c>
    </row>
    <row r="33" spans="1:27">
      <c r="A33" s="25" t="s">
        <v>43</v>
      </c>
      <c r="B33" s="26" t="s">
        <v>5</v>
      </c>
      <c r="C33" s="28" t="s">
        <v>13</v>
      </c>
      <c r="D33" s="28" t="str">
        <f>IF(C33="","",IFERROR(_xlfn.XLOOKUP(C33,HELPER!$A$2:$A$81,HELPER!$B$2:$B$81,""),D33))</f>
        <v>LX175</v>
      </c>
      <c r="E33" s="28" t="str">
        <f>IFERROR(_xlfn.XLOOKUP(D33,HELPER!$B:$B,HELPER!$C:$C,""),"")</f>
        <v>RMLX175</v>
      </c>
      <c r="F33" s="27" t="str">
        <f>IFERROR(_xlfn.XLOOKUP(D33,HELPER!$B:$B,HELPER!$D:$D,""),"")</f>
        <v>Resin 1A</v>
      </c>
      <c r="G33" s="27">
        <v>8</v>
      </c>
      <c r="H33" s="31">
        <v>0.14399999999999999</v>
      </c>
      <c r="I33" s="21">
        <f>IF(AND(H33&lt;&gt;"",IFERROR(_xlfn.XLOOKUP(D33,HELPER!$B:$B,HELPER!$E:$E,""),"")=""),"Missing price",IFERROR(_xlfn.XLOOKUP(D33,HELPER!$B:$B,HELPER!$E:$E,"")," "))</f>
        <v>3.17</v>
      </c>
      <c r="J33" s="54">
        <f>IFERROR(H33*(IF(G33=8,I33*HELPER!$G$2,BOM!I33*HELPER!$G$3))," ")</f>
        <v>9.1295999999999988E-2</v>
      </c>
      <c r="K33" s="6"/>
      <c r="L33" s="14" t="str" cm="1">
        <f t="array" ref="L33">IFERROR(_xlfn.LET(_xlpm.films,Table4[Film],_xlpm.grades,Table4[Grade],_xlpm.pairs,_xlfn._xlws.FILTER(_xlfn.HSTACK(_xlpm.films,_xlpm.grades),(_xlpm.films&lt;&gt;"")*(TRIM(_xlpm.grades)&lt;&gt;"")),_xlpm.uniquePairs,_xlfn.UNIQUE(_xlpm.pairs),_xlpm.sortedPairs,_xlfn._xlws.SORT(_xlpm.uniquePairs,1,1),INDEX(_xlpm.sortedPairs,ROWS($L$2:L33),1)),"")</f>
        <v>TIPA 306M</v>
      </c>
      <c r="M33" s="15" t="str" cm="1">
        <f t="array" ref="M33">IFERROR(_xlfn.LET(_xlpm.films,Table4[Film],_xlpm.grades,Table4[Grade],_xlpm.pairs,_xlfn._xlws.FILTER(_xlfn.HSTACK(_xlpm.films,_xlpm.grades),(_xlpm.films&lt;&gt;"")*(TRIM(_xlpm.grades)&lt;&gt;"")),_xlpm.uniquePairs,_xlfn.UNIQUE(_xlpm.pairs),_xlpm.sortedPairs,_xlfn._xlws.SORT(_xlpm.uniquePairs,1,1),INDEX(_xlpm.sortedPairs,ROWS($M$2:M33),2)),"")</f>
        <v>P65D</v>
      </c>
      <c r="N33" s="15" t="str" cm="1">
        <f t="array" ref="N33">IF(OR(Table2[[#This Row],[Film]]="",Table2[[#This Row],[Grade]]=""),"",IFERROR(INDEX(Table4[Serial Number],MATCH(1,(Table4[Film]=Table2[[#This Row],[Film]])*(Table4[Grade]=Table2[[#This Row],[Grade]]),0)),""))</f>
        <v>RMP65D</v>
      </c>
      <c r="O33" s="52">
        <f>IF(OR(Table2[[#This Row],[Film]]="",Table2[[#This Row],[Grade]]=""),"",SUMIFS(Table4[Price Calculated(€) Thickness &amp; QTY related],Table4[Film],Table2[[#This Row],[Film]],Table4[Grade],Table2[[#This Row],[Grade]]))</f>
        <v>1.1095999999999999</v>
      </c>
      <c r="P33" s="6"/>
      <c r="Q33" s="20" t="str" cm="1">
        <f t="array" ref="Q33">IFERROR(INDEX(Table2[Film],MATCH(0,COUNTIF($Q$1:Q32,Table2[Film])+IF(Table2[Film]="",1,0),0)),"")</f>
        <v/>
      </c>
      <c r="R33" s="58">
        <f>SUMIF(Table2[Film],"TIPA 312 MFG",Table2[Price Calculated(€) Thickness &amp; QTY related])+_xlfn.XLOOKUP("MET LUX ",HELPER!$A:$A,HELPER!$E:$E,0)</f>
        <v>5.3805880000000004</v>
      </c>
      <c r="S33" s="60">
        <f>IFERROR(R33*HELPER!$AK$2," ")</f>
        <v>6.2414820799999999</v>
      </c>
      <c r="T33" s="6"/>
      <c r="U33" s="2" t="s">
        <v>45</v>
      </c>
      <c r="V33" s="2" t="s">
        <v>15</v>
      </c>
      <c r="W33" s="2" t="s">
        <v>24</v>
      </c>
      <c r="X33" s="2" t="s">
        <v>80</v>
      </c>
      <c r="Y33" s="2" t="s">
        <v>37</v>
      </c>
      <c r="Z33" s="808" cm="1">
        <f t="array" ref="Z33">SUMPRODUCT((BOM!$A$2:$A$391=U33)*(BOM!$F$2:$F$391=Y33)*BOM!$H$2:$H$391*BOM!$G$2:$G$391)/SUMPRODUCT((BOM!$A$2:$A$391=U33)*BOM!$H$2:$H$391*BOM!$G$2:$G$391)</f>
        <v>0.15200000000000002</v>
      </c>
      <c r="AA33" s="811">
        <f>SUMIF(tblResinWeightedQty12[Film],tblResinWeightedQty12[[#This Row],[Film]],tblResinWeightedQty12[Weighted QTY %])</f>
        <v>1.0000000000000002</v>
      </c>
    </row>
    <row r="34" spans="1:27">
      <c r="A34" s="25" t="s">
        <v>43</v>
      </c>
      <c r="B34" s="26" t="s">
        <v>5</v>
      </c>
      <c r="C34" s="28" t="s">
        <v>18</v>
      </c>
      <c r="D34" s="28" t="str">
        <f>IF(C34="","",IFERROR(_xlfn.XLOOKUP(C34,HELPER!$A$2:$A$81,HELPER!$B$2:$B$81,""),D34))</f>
        <v>KAB59A</v>
      </c>
      <c r="E34" s="28" t="str">
        <f>IFERROR(_xlfn.XLOOKUP(D34,HELPER!$B:$B,HELPER!$C:$C,""),"")</f>
        <v>RM A KAB59A</v>
      </c>
      <c r="F34" s="27" t="str">
        <f>IFERROR(_xlfn.XLOOKUP(D34,HELPER!$B:$B,HELPER!$D:$D,""),"")</f>
        <v>Resin 8</v>
      </c>
      <c r="G34" s="27">
        <v>8</v>
      </c>
      <c r="H34" s="31">
        <v>1.4999999999999999E-2</v>
      </c>
      <c r="I34" s="21">
        <f>IF(AND(H34&lt;&gt;"",IFERROR(_xlfn.XLOOKUP(D34,HELPER!$B:$B,HELPER!$E:$E,""),"")=""),"Missing price",IFERROR(_xlfn.XLOOKUP(D34,HELPER!$B:$B,HELPER!$E:$E,"")," "))</f>
        <v>7.55</v>
      </c>
      <c r="J34" s="54">
        <f>IFERROR(H34*(IF(G34=8,I34*HELPER!$G$2,BOM!I34*HELPER!$G$3))," ")</f>
        <v>2.265E-2</v>
      </c>
      <c r="K34" s="6"/>
      <c r="L34" s="16" t="str" cm="1">
        <f t="array" ref="L34">IFERROR(_xlfn.LET(_xlpm.films,Table4[Film],_xlpm.grades,Table4[Grade],_xlpm.pairs,_xlfn._xlws.FILTER(_xlfn.HSTACK(_xlpm.films,_xlpm.grades),(_xlpm.films&lt;&gt;"")*(TRIM(_xlpm.grades)&lt;&gt;"")),_xlpm.uniquePairs,_xlfn.UNIQUE(_xlpm.pairs),_xlpm.sortedPairs,_xlfn._xlws.SORT(_xlpm.uniquePairs,1,1),INDEX(_xlpm.sortedPairs,ROWS($L$2:L34),1)),"")</f>
        <v>TIPA 306M</v>
      </c>
      <c r="M34" s="17" t="str" cm="1">
        <f t="array" ref="M34">IFERROR(_xlfn.LET(_xlpm.films,Table4[Film],_xlpm.grades,Table4[Grade],_xlpm.pairs,_xlfn._xlws.FILTER(_xlfn.HSTACK(_xlpm.films,_xlpm.grades),(_xlpm.films&lt;&gt;"")*(TRIM(_xlpm.grades)&lt;&gt;"")),_xlpm.uniquePairs,_xlfn.UNIQUE(_xlpm.pairs),_xlpm.sortedPairs,_xlfn._xlws.SORT(_xlpm.uniquePairs,1,1),INDEX(_xlpm.sortedPairs,ROWS($M$2:M34),2)),"")</f>
        <v>S723</v>
      </c>
      <c r="N34" s="17" t="str" cm="1">
        <f t="array" ref="N34">IF(OR(Table2[[#This Row],[Film]]="",Table2[[#This Row],[Grade]]=""),"",IFERROR(INDEX(Table4[Serial Number],MATCH(1,(Table4[Film]=Table2[[#This Row],[Film]])*(Table4[Grade]=Table2[[#This Row],[Grade]]),0)),""))</f>
        <v>RM TA45-08 S723</v>
      </c>
      <c r="O34" s="53">
        <f>IF(OR(Table2[[#This Row],[Film]]="",Table2[[#This Row],[Grade]]=""),"",SUMIFS(Table4[Price Calculated(€) Thickness &amp; QTY related],Table4[Film],Table2[[#This Row],[Film]],Table4[Grade],Table2[[#This Row],[Grade]]))</f>
        <v>0.24239999999999998</v>
      </c>
      <c r="P34" s="6"/>
      <c r="Q34" s="19" t="str" cm="1">
        <f t="array" ref="Q34">IFERROR(INDEX(Table2[Film],MATCH(0,COUNTIF($Q$1:Q33,Table2[Film])+IF(Table2[Film]="",1,0),0)),"")</f>
        <v/>
      </c>
      <c r="R34" s="57">
        <f>SUMIF(Table2[Film],"TIPA 312 MFG",Table2[Price Calculated(€) Thickness &amp; QTY related])+_xlfn.XLOOKUP("MET LUX ",HELPER!$A:$A,HELPER!$E:$E,0)</f>
        <v>5.3805880000000004</v>
      </c>
      <c r="S34" s="59">
        <f>IFERROR(R34*HELPER!$AK$2," ")</f>
        <v>6.2414820799999999</v>
      </c>
      <c r="T34" s="6"/>
      <c r="U34" s="2" t="s">
        <v>45</v>
      </c>
      <c r="V34" s="2" t="s">
        <v>16</v>
      </c>
      <c r="W34" s="2" t="s">
        <v>10</v>
      </c>
      <c r="X34" s="2" t="s">
        <v>81</v>
      </c>
      <c r="Y34" s="2" t="s">
        <v>38</v>
      </c>
      <c r="Z34" s="808" cm="1">
        <f t="array" ref="Z34">SUMPRODUCT((BOM!$A$2:$A$391=U34)*(BOM!$F$2:$F$391=Y34)*BOM!$H$2:$H$391*BOM!$G$2:$G$391)/SUMPRODUCT((BOM!$A$2:$A$391=U34)*BOM!$H$2:$H$391*BOM!$G$2:$G$391)</f>
        <v>1.5000000000000003E-2</v>
      </c>
      <c r="AA34" s="811">
        <f>SUMIF(tblResinWeightedQty12[Film],tblResinWeightedQty12[[#This Row],[Film]],tblResinWeightedQty12[Weighted QTY %])</f>
        <v>1.0000000000000002</v>
      </c>
    </row>
    <row r="35" spans="1:27">
      <c r="A35" s="25" t="s">
        <v>43</v>
      </c>
      <c r="B35" s="26" t="s">
        <v>5</v>
      </c>
      <c r="C35" s="28" t="s">
        <v>16</v>
      </c>
      <c r="D35" s="28" t="str">
        <f>IF(C35="","",IFERROR(_xlfn.XLOOKUP(C35,HELPER!$A$2:$A$81,HELPER!$B$2:$B$81,""),D35))</f>
        <v>S723</v>
      </c>
      <c r="E35" s="28" t="str">
        <f>IFERROR(_xlfn.XLOOKUP(D35,HELPER!$B:$B,HELPER!$C:$C,""),"")</f>
        <v>RM TA45-08 S723</v>
      </c>
      <c r="F35" s="27" t="str">
        <f>IFERROR(_xlfn.XLOOKUP(D35,HELPER!$B:$B,HELPER!$D:$D,""),"")</f>
        <v>Resin 6</v>
      </c>
      <c r="G35" s="27">
        <v>8</v>
      </c>
      <c r="H35" s="31">
        <v>1.4999999999999999E-2</v>
      </c>
      <c r="I35" s="21">
        <f>IF(AND(H35&lt;&gt;"",IFERROR(_xlfn.XLOOKUP(D35,HELPER!$B:$B,HELPER!$E:$E,""),"")=""),"Missing price",IFERROR(_xlfn.XLOOKUP(D35,HELPER!$B:$B,HELPER!$E:$E,"")," "))</f>
        <v>16.16</v>
      </c>
      <c r="J35" s="54">
        <f>IFERROR(H35*(IF(G35=8,I35*HELPER!$G$2,BOM!I35*HELPER!$G$3))," ")</f>
        <v>4.8480000000000002E-2</v>
      </c>
      <c r="K35" s="6"/>
      <c r="L35" s="14" t="str" cm="1">
        <f t="array" ref="L35">IFERROR(_xlfn.LET(_xlpm.films,Table4[Film],_xlpm.grades,Table4[Grade],_xlpm.pairs,_xlfn._xlws.FILTER(_xlfn.HSTACK(_xlpm.films,_xlpm.grades),(_xlpm.films&lt;&gt;"")*(TRIM(_xlpm.grades)&lt;&gt;"")),_xlpm.uniquePairs,_xlfn.UNIQUE(_xlpm.pairs),_xlpm.sortedPairs,_xlfn._xlws.SORT(_xlpm.uniquePairs,1,1),INDEX(_xlpm.sortedPairs,ROWS($L$2:L35),1)),"")</f>
        <v>TIPA 306M</v>
      </c>
      <c r="M35" s="15" t="str" cm="1">
        <f t="array" ref="M35">IFERROR(_xlfn.LET(_xlpm.films,Table4[Film],_xlpm.grades,Table4[Grade],_xlpm.pairs,_xlfn._xlws.FILTER(_xlfn.HSTACK(_xlpm.films,_xlpm.grades),(_xlpm.films&lt;&gt;"")*(TRIM(_xlpm.grades)&lt;&gt;"")),_xlpm.uniquePairs,_xlfn.UNIQUE(_xlpm.pairs),_xlpm.sortedPairs,_xlfn._xlws.SORT(_xlpm.uniquePairs,1,1),INDEX(_xlpm.sortedPairs,ROWS($M$2:M35),2)),"")</f>
        <v>FD92PM</v>
      </c>
      <c r="N35" s="15" t="str" cm="1">
        <f t="array" ref="N35">IF(OR(Table2[[#This Row],[Film]]="",Table2[[#This Row],[Grade]]=""),"",IFERROR(INDEX(Table4[Serial Number],MATCH(1,(Table4[Film]=Table2[[#This Row],[Film]])*(Table4[Grade]=Table2[[#This Row],[Grade]]),0)),""))</f>
        <v>RMPM2</v>
      </c>
      <c r="O35" s="52">
        <f>IF(OR(Table2[[#This Row],[Film]]="",Table2[[#This Row],[Grade]]=""),"",SUMIFS(Table4[Price Calculated(€) Thickness &amp; QTY related],Table4[Film],Table2[[#This Row],[Film]],Table4[Grade],Table2[[#This Row],[Grade]]))</f>
        <v>1.0908000000000002</v>
      </c>
      <c r="P35" s="6"/>
      <c r="Q35" s="20" t="str" cm="1">
        <f t="array" ref="Q35">IFERROR(INDEX(Table2[Film],MATCH(0,COUNTIF($Q$1:Q34,Table2[Film])+IF(Table2[Film]="",1,0),0)),"")</f>
        <v/>
      </c>
      <c r="R35" s="58">
        <f>SUMIF(Table2[Film],"TIPA 312 MFG",Table2[Price Calculated(€) Thickness &amp; QTY related])+_xlfn.XLOOKUP("MET LUX ",HELPER!$A:$A,HELPER!$E:$E,0)</f>
        <v>5.3805880000000004</v>
      </c>
      <c r="S35" s="60">
        <f>IFERROR(R35*HELPER!$AK$2," ")</f>
        <v>6.2414820799999999</v>
      </c>
      <c r="T35" s="6"/>
      <c r="U35" s="2" t="s">
        <v>45</v>
      </c>
      <c r="V35" s="2" t="s">
        <v>17</v>
      </c>
      <c r="W35" s="2" t="s">
        <v>11</v>
      </c>
      <c r="X35" s="2" t="s">
        <v>82</v>
      </c>
      <c r="Y35" s="2" t="s">
        <v>39</v>
      </c>
      <c r="Z35" s="808" cm="1">
        <f t="array" ref="Z35">SUMPRODUCT((BOM!$A$2:$A$391=U35)*(BOM!$F$2:$F$391=Y35)*BOM!$H$2:$H$391*BOM!$G$2:$G$391)/SUMPRODUCT((BOM!$A$2:$A$391=U35)*BOM!$H$2:$H$391*BOM!$G$2:$G$391)</f>
        <v>4.000000000000001E-3</v>
      </c>
      <c r="AA35" s="811">
        <f>SUMIF(tblResinWeightedQty12[Film],tblResinWeightedQty12[[#This Row],[Film]],tblResinWeightedQty12[Weighted QTY %])</f>
        <v>1.0000000000000002</v>
      </c>
    </row>
    <row r="36" spans="1:27">
      <c r="A36" s="25" t="s">
        <v>43</v>
      </c>
      <c r="B36" s="26" t="s">
        <v>5</v>
      </c>
      <c r="C36" s="28" t="s">
        <v>17</v>
      </c>
      <c r="D36" s="28" t="str">
        <f>IF(C36="","",IFERROR(_xlfn.XLOOKUP(C36,HELPER!$A$2:$A$81,HELPER!$B$2:$B$81,""),D36))</f>
        <v>S724</v>
      </c>
      <c r="E36" s="28" t="str">
        <f>IFERROR(_xlfn.XLOOKUP(D36,HELPER!$B:$B,HELPER!$C:$C,""),"")</f>
        <v>RM TA45-08 S724</v>
      </c>
      <c r="F36" s="27" t="str">
        <f>IFERROR(_xlfn.XLOOKUP(D36,HELPER!$B:$B,HELPER!$D:$D,""),"")</f>
        <v>Resin 7</v>
      </c>
      <c r="G36" s="27">
        <v>8</v>
      </c>
      <c r="H36" s="31">
        <v>1.6E-2</v>
      </c>
      <c r="I36" s="21">
        <f>IF(AND(H36&lt;&gt;"",IFERROR(_xlfn.XLOOKUP(D36,HELPER!$B:$B,HELPER!$E:$E,""),"")=""),"Missing price",IFERROR(_xlfn.XLOOKUP(D36,HELPER!$B:$B,HELPER!$E:$E,"")," "))</f>
        <v>14.7</v>
      </c>
      <c r="J36" s="54">
        <f>IFERROR(H36*(IF(G36=8,I36*HELPER!$G$2,BOM!I36*HELPER!$G$3))," ")</f>
        <v>4.7039999999999998E-2</v>
      </c>
      <c r="K36" s="6"/>
      <c r="L36" s="16" t="str" cm="1">
        <f t="array" ref="L36">IFERROR(_xlfn.LET(_xlpm.films,Table4[Film],_xlpm.grades,Table4[Grade],_xlpm.pairs,_xlfn._xlws.FILTER(_xlfn.HSTACK(_xlpm.films,_xlpm.grades),(_xlpm.films&lt;&gt;"")*(TRIM(_xlpm.grades)&lt;&gt;"")),_xlpm.uniquePairs,_xlfn.UNIQUE(_xlpm.pairs),_xlpm.sortedPairs,_xlfn._xlws.SORT(_xlpm.uniquePairs,1,1),INDEX(_xlpm.sortedPairs,ROWS($L$2:L36),1)),"")</f>
        <v>TIPA 306M</v>
      </c>
      <c r="M36" s="17" t="str" cm="1">
        <f t="array" ref="M36">IFERROR(_xlfn.LET(_xlpm.films,Table4[Film],_xlpm.grades,Table4[Grade],_xlpm.pairs,_xlfn._xlws.FILTER(_xlfn.HSTACK(_xlpm.films,_xlpm.grades),(_xlpm.films&lt;&gt;"")*(TRIM(_xlpm.grades)&lt;&gt;"")),_xlpm.uniquePairs,_xlfn.UNIQUE(_xlpm.pairs),_xlpm.sortedPairs,_xlfn._xlws.SORT(_xlpm.uniquePairs,1,1),INDEX(_xlpm.sortedPairs,ROWS($M$2:M36),2)),"")</f>
        <v>KAB59A</v>
      </c>
      <c r="N36" s="17" t="str" cm="1">
        <f t="array" ref="N36">IF(OR(Table2[[#This Row],[Film]]="",Table2[[#This Row],[Grade]]=""),"",IFERROR(INDEX(Table4[Serial Number],MATCH(1,(Table4[Film]=Table2[[#This Row],[Film]])*(Table4[Grade]=Table2[[#This Row],[Grade]]),0)),""))</f>
        <v>RM A KAB59A</v>
      </c>
      <c r="O36" s="53">
        <f>IF(OR(Table2[[#This Row],[Film]]="",Table2[[#This Row],[Grade]]=""),"",SUMIFS(Table4[Price Calculated(€) Thickness &amp; QTY related],Table4[Film],Table2[[#This Row],[Film]],Table4[Grade],Table2[[#This Row],[Grade]]))</f>
        <v>2.265E-2</v>
      </c>
      <c r="P36" s="6"/>
      <c r="Q36" s="19" t="str" cm="1">
        <f t="array" ref="Q36">IFERROR(INDEX(Table2[Film],MATCH(0,COUNTIF($Q$1:Q35,Table2[Film])+IF(Table2[Film]="",1,0),0)),"")</f>
        <v/>
      </c>
      <c r="R36" s="57">
        <f>SUMIF(Table2[Film],"TIPA 312 MFG",Table2[Price Calculated(€) Thickness &amp; QTY related])+_xlfn.XLOOKUP("MET LUX ",HELPER!$A:$A,HELPER!$E:$E,0)</f>
        <v>5.3805880000000004</v>
      </c>
      <c r="S36" s="59">
        <f>IFERROR(R36*HELPER!$AK$2," ")</f>
        <v>6.2414820799999999</v>
      </c>
      <c r="T36" s="6"/>
      <c r="U36" s="2" t="s">
        <v>45</v>
      </c>
      <c r="V36" s="2" t="s">
        <v>18</v>
      </c>
      <c r="W36" s="2" t="s">
        <v>9</v>
      </c>
      <c r="X36" s="2" t="s">
        <v>83</v>
      </c>
      <c r="Y36" s="2" t="s">
        <v>40</v>
      </c>
      <c r="Z36" s="808" cm="1">
        <f t="array" ref="Z36">SUMPRODUCT((BOM!$A$2:$A$391=U36)*(BOM!$F$2:$F$391=Y36)*BOM!$H$2:$H$391*BOM!$G$2:$G$391)/SUMPRODUCT((BOM!$A$2:$A$391=U36)*BOM!$H$2:$H$391*BOM!$G$2:$G$391)</f>
        <v>3.0000000000000005E-3</v>
      </c>
      <c r="AA36" s="811">
        <f>SUMIF(tblResinWeightedQty12[Film],tblResinWeightedQty12[[#This Row],[Film]],tblResinWeightedQty12[Weighted QTY %])</f>
        <v>1.0000000000000002</v>
      </c>
    </row>
    <row r="37" spans="1:27">
      <c r="A37" s="25" t="s">
        <v>43</v>
      </c>
      <c r="B37" s="26" t="s">
        <v>5</v>
      </c>
      <c r="C37" s="28"/>
      <c r="D37" s="28" t="str">
        <f>IF(C37="","",IFERROR(_xlfn.XLOOKUP(C37,HELPER!$A$2:$A$81,HELPER!$B$2:$B$81,""),D37))</f>
        <v/>
      </c>
      <c r="E37" s="28" t="str">
        <f>IFERROR(_xlfn.XLOOKUP(D37,HELPER!$B:$B,HELPER!$C:$C,""),"")</f>
        <v/>
      </c>
      <c r="F37" s="27" t="str">
        <f>IFERROR(_xlfn.XLOOKUP(D37,HELPER!$B:$B,HELPER!$D:$D,""),"")</f>
        <v/>
      </c>
      <c r="G37" s="27">
        <v>8</v>
      </c>
      <c r="H37" s="31"/>
      <c r="I37" s="21" t="str">
        <f>IF(AND(H37&lt;&gt;"",IFERROR(_xlfn.XLOOKUP(D37,HELPER!$B:$B,HELPER!$E:$E,""),"")=""),"Missing price",IFERROR(_xlfn.XLOOKUP(D37,HELPER!$B:$B,HELPER!$E:$E,"")," "))</f>
        <v/>
      </c>
      <c r="J37" s="54" t="str">
        <f>IFERROR(H37*(IF(G37=8,I37*HELPER!$G$2,BOM!I37*HELPER!$G$3))," ")</f>
        <v xml:space="preserve"> </v>
      </c>
      <c r="K37" s="6"/>
      <c r="L37" s="14" t="str" cm="1">
        <f t="array" ref="L37">IFERROR(_xlfn.LET(_xlpm.films,Table4[Film],_xlpm.grades,Table4[Grade],_xlpm.pairs,_xlfn._xlws.FILTER(_xlfn.HSTACK(_xlpm.films,_xlpm.grades),(_xlpm.films&lt;&gt;"")*(TRIM(_xlpm.grades)&lt;&gt;"")),_xlpm.uniquePairs,_xlfn.UNIQUE(_xlpm.pairs),_xlpm.sortedPairs,_xlfn._xlws.SORT(_xlpm.uniquePairs,1,1),INDEX(_xlpm.sortedPairs,ROWS($L$2:L37),1)),"")</f>
        <v>TIPA 306M</v>
      </c>
      <c r="M37" s="15" t="str" cm="1">
        <f t="array" ref="M37">IFERROR(_xlfn.LET(_xlpm.films,Table4[Film],_xlpm.grades,Table4[Grade],_xlpm.pairs,_xlfn._xlws.FILTER(_xlfn.HSTACK(_xlpm.films,_xlpm.grades),(_xlpm.films&lt;&gt;"")*(TRIM(_xlpm.grades)&lt;&gt;"")),_xlpm.uniquePairs,_xlfn.UNIQUE(_xlpm.pairs),_xlpm.sortedPairs,_xlfn._xlws.SORT(_xlpm.uniquePairs,1,1),INDEX(_xlpm.sortedPairs,ROWS($M$2:M37),2)),"")</f>
        <v>S724</v>
      </c>
      <c r="N37" s="15" t="str" cm="1">
        <f t="array" ref="N37">IF(OR(Table2[[#This Row],[Film]]="",Table2[[#This Row],[Grade]]=""),"",IFERROR(INDEX(Table4[Serial Number],MATCH(1,(Table4[Film]=Table2[[#This Row],[Film]])*(Table4[Grade]=Table2[[#This Row],[Grade]]),0)),""))</f>
        <v>RM TA45-08 S724</v>
      </c>
      <c r="O37" s="52">
        <f>IF(OR(Table2[[#This Row],[Film]]="",Table2[[#This Row],[Grade]]=""),"",SUMIFS(Table4[Price Calculated(€) Thickness &amp; QTY related],Table4[Film],Table2[[#This Row],[Film]],Table4[Grade],Table2[[#This Row],[Grade]]))</f>
        <v>5.8799999999999998E-2</v>
      </c>
      <c r="P37" s="6"/>
      <c r="Q37" s="20" t="str" cm="1">
        <f t="array" ref="Q37">IFERROR(INDEX(Table2[Film],MATCH(0,COUNTIF($Q$1:Q36,Table2[Film])+IF(Table2[Film]="",1,0),0)),"")</f>
        <v/>
      </c>
      <c r="R37" s="58">
        <f>SUMIF(Table2[Film],"TIPA 312 MFG",Table2[Price Calculated(€) Thickness &amp; QTY related])+_xlfn.XLOOKUP("MET LUX ",HELPER!$A:$A,HELPER!$E:$E,0)</f>
        <v>5.3805880000000004</v>
      </c>
      <c r="S37" s="60">
        <f>IFERROR(R37*HELPER!$AK$2," ")</f>
        <v>6.2414820799999999</v>
      </c>
      <c r="T37" s="6"/>
      <c r="U37" s="2" t="s">
        <v>45</v>
      </c>
      <c r="V37" s="2" t="s">
        <v>12</v>
      </c>
      <c r="W37" s="2" t="s">
        <v>8</v>
      </c>
      <c r="X37" s="2" t="s">
        <v>84</v>
      </c>
      <c r="Y37" s="2" t="s">
        <v>42</v>
      </c>
      <c r="Z37" s="808" cm="1">
        <f t="array" ref="Z37">SUMPRODUCT((BOM!$A$2:$A$391=U37)*(BOM!$F$2:$F$391=Y37)*BOM!$H$2:$H$391*BOM!$G$2:$G$391)/SUMPRODUCT((BOM!$A$2:$A$391=U37)*BOM!$H$2:$H$391*BOM!$G$2:$G$391)</f>
        <v>0.16160000000000005</v>
      </c>
      <c r="AA37" s="811">
        <f>SUMIF(tblResinWeightedQty12[Film],tblResinWeightedQty12[[#This Row],[Film]],tblResinWeightedQty12[Weighted QTY %])</f>
        <v>1.0000000000000002</v>
      </c>
    </row>
    <row r="38" spans="1:27">
      <c r="A38" s="25" t="s">
        <v>43</v>
      </c>
      <c r="B38" s="26" t="s">
        <v>5</v>
      </c>
      <c r="C38" s="28"/>
      <c r="D38" s="28" t="str">
        <f>IF(C38="","",IFERROR(_xlfn.XLOOKUP(C38,HELPER!$A$2:$A$81,HELPER!$B$2:$B$81,""),D38))</f>
        <v/>
      </c>
      <c r="E38" s="28" t="str">
        <f>IFERROR(_xlfn.XLOOKUP(D38,HELPER!$B:$B,HELPER!$C:$C,""),"")</f>
        <v/>
      </c>
      <c r="F38" s="27" t="str">
        <f>IFERROR(_xlfn.XLOOKUP(D38,HELPER!$B:$B,HELPER!$D:$D,""),"")</f>
        <v/>
      </c>
      <c r="G38" s="27">
        <v>8</v>
      </c>
      <c r="H38" s="31"/>
      <c r="I38" s="21" t="str">
        <f>IF(AND(H38&lt;&gt;"",IFERROR(_xlfn.XLOOKUP(D38,HELPER!$B:$B,HELPER!$E:$E,""),"")=""),"Missing price",IFERROR(_xlfn.XLOOKUP(D38,HELPER!$B:$B,HELPER!$E:$E,"")," "))</f>
        <v/>
      </c>
      <c r="J38" s="54" t="str">
        <f>IFERROR(H38*(IF(G38=8,I38*HELPER!$G$2,BOM!I38*HELPER!$G$3))," ")</f>
        <v xml:space="preserve"> </v>
      </c>
      <c r="K38" s="6"/>
      <c r="L38" s="16" t="str" cm="1">
        <f t="array" ref="L38">IFERROR(_xlfn.LET(_xlpm.films,Table4[Film],_xlpm.grades,Table4[Grade],_xlpm.pairs,_xlfn._xlws.FILTER(_xlfn.HSTACK(_xlpm.films,_xlpm.grades),(_xlpm.films&lt;&gt;"")*(TRIM(_xlpm.grades)&lt;&gt;"")),_xlpm.uniquePairs,_xlfn.UNIQUE(_xlpm.pairs),_xlpm.sortedPairs,_xlfn._xlws.SORT(_xlpm.uniquePairs,1,1),INDEX(_xlpm.sortedPairs,ROWS($L$2:L38),1)),"")</f>
        <v>TIPA 306W</v>
      </c>
      <c r="M38" s="17" t="str" cm="1">
        <f t="array" ref="M38">IFERROR(_xlfn.LET(_xlpm.films,Table4[Film],_xlpm.grades,Table4[Grade],_xlpm.pairs,_xlfn._xlws.FILTER(_xlfn.HSTACK(_xlpm.films,_xlpm.grades),(_xlpm.films&lt;&gt;"")*(TRIM(_xlpm.grades)&lt;&gt;"")),_xlpm.uniquePairs,_xlfn.UNIQUE(_xlpm.pairs),_xlpm.sortedPairs,_xlfn._xlws.SORT(_xlpm.uniquePairs,1,1),INDEX(_xlpm.sortedPairs,ROWS($M$2:M38),2)),"")</f>
        <v>LX175</v>
      </c>
      <c r="N38" s="17" t="str" cm="1">
        <f t="array" ref="N38">IF(OR(Table2[[#This Row],[Film]]="",Table2[[#This Row],[Grade]]=""),"",IFERROR(INDEX(Table4[Serial Number],MATCH(1,(Table4[Film]=Table2[[#This Row],[Film]])*(Table4[Grade]=Table2[[#This Row],[Grade]]),0)),""))</f>
        <v>RMLX175</v>
      </c>
      <c r="O38" s="53">
        <f>IF(OR(Table2[[#This Row],[Film]]="",Table2[[#This Row],[Grade]]=""),"",SUMIFS(Table4[Price Calculated(€) Thickness &amp; QTY related],Table4[Film],Table2[[#This Row],[Film]],Table4[Grade],Table2[[#This Row],[Grade]]))</f>
        <v>1.9406739999999998</v>
      </c>
      <c r="P38" s="6"/>
      <c r="Q38" s="19" t="str" cm="1">
        <f t="array" ref="Q38">IFERROR(INDEX(Table2[Film],MATCH(0,COUNTIF($Q$1:Q37,Table2[Film])+IF(Table2[Film]="",1,0),0)),"")</f>
        <v/>
      </c>
      <c r="R38" s="57">
        <f>SUMIF(Table2[Film],"TIPA 312 MFG",Table2[Price Calculated(€) Thickness &amp; QTY related])+_xlfn.XLOOKUP("MET LUX ",HELPER!$A:$A,HELPER!$E:$E,0)</f>
        <v>5.3805880000000004</v>
      </c>
      <c r="S38" s="59">
        <f>IFERROR(R38*HELPER!$AK$2," ")</f>
        <v>6.2414820799999999</v>
      </c>
      <c r="T38" s="6"/>
      <c r="U38" s="2" t="s">
        <v>46</v>
      </c>
      <c r="V38" s="2" t="s">
        <v>41</v>
      </c>
      <c r="W38" s="2" t="s">
        <v>26</v>
      </c>
      <c r="X38" s="2" t="s">
        <v>26</v>
      </c>
      <c r="Y38" s="2" t="s">
        <v>54</v>
      </c>
      <c r="Z38" s="808" cm="1">
        <f t="array" ref="Z38">SUMPRODUCT((BOM!$A$2:$A$391=U38)*(BOM!$F$2:$F$391=Y38)*BOM!$H$2:$H$391*BOM!$G$2:$G$391)/SUMPRODUCT((BOM!$A$2:$A$391=U38)*BOM!$H$2:$H$391*BOM!$G$2:$G$391)</f>
        <v>6.0000000000000019E-2</v>
      </c>
      <c r="AA38" s="811">
        <f>SUMIF(tblResinWeightedQty12[Film],tblResinWeightedQty12[[#This Row],[Film]],tblResinWeightedQty12[Weighted QTY %])</f>
        <v>1.0000000000000002</v>
      </c>
    </row>
    <row r="39" spans="1:27">
      <c r="A39" s="25" t="s">
        <v>43</v>
      </c>
      <c r="B39" s="26" t="s">
        <v>5</v>
      </c>
      <c r="C39" s="28"/>
      <c r="D39" s="28" t="str">
        <f>IF(C39="","",IFERROR(_xlfn.XLOOKUP(C39,HELPER!$A$2:$A$81,HELPER!$B$2:$B$81,""),D39))</f>
        <v/>
      </c>
      <c r="E39" s="28" t="str">
        <f>IFERROR(_xlfn.XLOOKUP(D39,HELPER!$B:$B,HELPER!$C:$C,""),"")</f>
        <v/>
      </c>
      <c r="F39" s="27" t="str">
        <f>IFERROR(_xlfn.XLOOKUP(D39,HELPER!$B:$B,HELPER!$D:$D,""),"")</f>
        <v/>
      </c>
      <c r="G39" s="27">
        <v>8</v>
      </c>
      <c r="H39" s="31"/>
      <c r="I39" s="21" t="str">
        <f>IF(AND(H39&lt;&gt;"",IFERROR(_xlfn.XLOOKUP(D39,HELPER!$B:$B,HELPER!$E:$E,""),"")=""),"Missing price",IFERROR(_xlfn.XLOOKUP(D39,HELPER!$B:$B,HELPER!$E:$E,"")," "))</f>
        <v/>
      </c>
      <c r="J39" s="54" t="str">
        <f>IFERROR(H39*(IF(G39=8,I39*HELPER!$G$2,BOM!I39*HELPER!$G$3))," ")</f>
        <v xml:space="preserve"> </v>
      </c>
      <c r="K39" s="6"/>
      <c r="L39" s="14" t="str" cm="1">
        <f t="array" ref="L39">IFERROR(_xlfn.LET(_xlpm.films,Table4[Film],_xlpm.grades,Table4[Grade],_xlpm.pairs,_xlfn._xlws.FILTER(_xlfn.HSTACK(_xlpm.films,_xlpm.grades),(_xlpm.films&lt;&gt;"")*(TRIM(_xlpm.grades)&lt;&gt;"")),_xlpm.uniquePairs,_xlfn.UNIQUE(_xlpm.pairs),_xlpm.sortedPairs,_xlfn._xlws.SORT(_xlpm.uniquePairs,1,1),INDEX(_xlpm.sortedPairs,ROWS($L$2:L39),1)),"")</f>
        <v>TIPA 306W</v>
      </c>
      <c r="M39" s="15" t="str" cm="1">
        <f t="array" ref="M39">IFERROR(_xlfn.LET(_xlpm.films,Table4[Film],_xlpm.grades,Table4[Grade],_xlpm.pairs,_xlfn._xlws.FILTER(_xlfn.HSTACK(_xlpm.films,_xlpm.grades),(_xlpm.films&lt;&gt;"")*(TRIM(_xlpm.grades)&lt;&gt;"")),_xlpm.uniquePairs,_xlfn.UNIQUE(_xlpm.pairs),_xlpm.sortedPairs,_xlfn._xlws.SORT(_xlpm.uniquePairs,1,1),INDEX(_xlpm.sortedPairs,ROWS($M$2:M39),2)),"")</f>
        <v>P65D</v>
      </c>
      <c r="N39" s="15" t="str" cm="1">
        <f t="array" ref="N39">IF(OR(Table2[[#This Row],[Film]]="",Table2[[#This Row],[Grade]]=""),"",IFERROR(INDEX(Table4[Serial Number],MATCH(1,(Table4[Film]=Table2[[#This Row],[Film]])*(Table4[Grade]=Table2[[#This Row],[Grade]]),0)),""))</f>
        <v>RMP65D</v>
      </c>
      <c r="O39" s="52">
        <f>IF(OR(Table2[[#This Row],[Film]]="",Table2[[#This Row],[Grade]]=""),"",SUMIFS(Table4[Price Calculated(€) Thickness &amp; QTY related],Table4[Film],Table2[[#This Row],[Film]],Table4[Grade],Table2[[#This Row],[Grade]]))</f>
        <v>1.00156</v>
      </c>
      <c r="P39" s="6"/>
      <c r="Q39" s="20" t="str" cm="1">
        <f t="array" ref="Q39">IFERROR(INDEX(Table2[Film],MATCH(0,COUNTIF($Q$1:Q38,Table2[Film])+IF(Table2[Film]="",1,0),0)),"")</f>
        <v/>
      </c>
      <c r="R39" s="58">
        <f>SUMIF(Table2[Film],"TIPA 312 MFG",Table2[Price Calculated(€) Thickness &amp; QTY related])+_xlfn.XLOOKUP("MET LUX ",HELPER!$A:$A,HELPER!$E:$E,0)</f>
        <v>5.3805880000000004</v>
      </c>
      <c r="S39" s="60">
        <f>IFERROR(R39*HELPER!$AK$2," ")</f>
        <v>6.2414820799999999</v>
      </c>
      <c r="T39" s="6"/>
      <c r="U39" s="2" t="s">
        <v>46</v>
      </c>
      <c r="V39" s="2" t="s">
        <v>13</v>
      </c>
      <c r="W39" s="2" t="s">
        <v>74</v>
      </c>
      <c r="X39" s="2" t="s">
        <v>75</v>
      </c>
      <c r="Y39" s="2" t="s">
        <v>33</v>
      </c>
      <c r="Z39" s="808" cm="1">
        <f t="array" ref="Z39">SUMPRODUCT((BOM!$A$2:$A$391=U39)*(BOM!$F$2:$F$391=Y39)*BOM!$H$2:$H$391*BOM!$G$2:$G$391)/SUMPRODUCT((BOM!$A$2:$A$391=U39)*BOM!$H$2:$H$391*BOM!$G$2:$G$391)</f>
        <v>0.61220000000000008</v>
      </c>
      <c r="AA39" s="811">
        <f>SUMIF(tblResinWeightedQty12[Film],tblResinWeightedQty12[[#This Row],[Film]],tblResinWeightedQty12[Weighted QTY %])</f>
        <v>1.0000000000000002</v>
      </c>
    </row>
    <row r="40" spans="1:27">
      <c r="A40" s="25" t="s">
        <v>43</v>
      </c>
      <c r="B40" s="26" t="s">
        <v>5</v>
      </c>
      <c r="C40" s="28"/>
      <c r="D40" s="28" t="str">
        <f>IF(C40="","",IFERROR(_xlfn.XLOOKUP(C40,HELPER!$A$2:$A$81,HELPER!$B$2:$B$81,""),D40))</f>
        <v/>
      </c>
      <c r="E40" s="28" t="str">
        <f>IFERROR(_xlfn.XLOOKUP(D40,HELPER!$B:$B,HELPER!$C:$C,""),"")</f>
        <v/>
      </c>
      <c r="F40" s="27" t="str">
        <f>IFERROR(_xlfn.XLOOKUP(D40,HELPER!$B:$B,HELPER!$D:$D,""),"")</f>
        <v/>
      </c>
      <c r="G40" s="27">
        <v>8</v>
      </c>
      <c r="H40" s="31"/>
      <c r="I40" s="21" t="str">
        <f>IF(AND(H40&lt;&gt;"",IFERROR(_xlfn.XLOOKUP(D40,HELPER!$B:$B,HELPER!$E:$E,""),"")=""),"Missing price",IFERROR(_xlfn.XLOOKUP(D40,HELPER!$B:$B,HELPER!$E:$E,"")," "))</f>
        <v/>
      </c>
      <c r="J40" s="54" t="str">
        <f>IFERROR(H40*(IF(G40=8,I40*HELPER!$G$2,BOM!I40*HELPER!$G$3))," ")</f>
        <v xml:space="preserve"> </v>
      </c>
      <c r="K40" s="6"/>
      <c r="L40" s="16" t="str" cm="1">
        <f t="array" ref="L40">IFERROR(_xlfn.LET(_xlpm.films,Table4[Film],_xlpm.grades,Table4[Grade],_xlpm.pairs,_xlfn._xlws.FILTER(_xlfn.HSTACK(_xlpm.films,_xlpm.grades),(_xlpm.films&lt;&gt;"")*(TRIM(_xlpm.grades)&lt;&gt;"")),_xlpm.uniquePairs,_xlfn.UNIQUE(_xlpm.pairs),_xlpm.sortedPairs,_xlfn._xlws.SORT(_xlpm.uniquePairs,1,1),INDEX(_xlpm.sortedPairs,ROWS($L$2:L40),1)),"")</f>
        <v>TIPA 306W</v>
      </c>
      <c r="M40" s="17" t="str" cm="1">
        <f t="array" ref="M40">IFERROR(_xlfn.LET(_xlpm.films,Table4[Film],_xlpm.grades,Table4[Grade],_xlpm.pairs,_xlfn._xlws.FILTER(_xlfn.HSTACK(_xlpm.films,_xlpm.grades),(_xlpm.films&lt;&gt;"")*(TRIM(_xlpm.grades)&lt;&gt;"")),_xlpm.uniquePairs,_xlfn.UNIQUE(_xlpm.pairs),_xlpm.sortedPairs,_xlfn._xlws.SORT(_xlpm.uniquePairs,1,1),INDEX(_xlpm.sortedPairs,ROWS($M$2:M40),2)),"")</f>
        <v>S723</v>
      </c>
      <c r="N40" s="17" t="str" cm="1">
        <f t="array" ref="N40">IF(OR(Table2[[#This Row],[Film]]="",Table2[[#This Row],[Grade]]=""),"",IFERROR(INDEX(Table4[Serial Number],MATCH(1,(Table4[Film]=Table2[[#This Row],[Film]])*(Table4[Grade]=Table2[[#This Row],[Grade]]),0)),""))</f>
        <v>RM TA45-08 S723</v>
      </c>
      <c r="O40" s="53">
        <f>IF(OR(Table2[[#This Row],[Film]]="",Table2[[#This Row],[Grade]]=""),"",SUMIFS(Table4[Price Calculated(€) Thickness &amp; QTY related],Table4[Film],Table2[[#This Row],[Film]],Table4[Grade],Table2[[#This Row],[Grade]]))</f>
        <v>0.24239999999999998</v>
      </c>
      <c r="P40" s="6"/>
      <c r="Q40" s="19" t="str" cm="1">
        <f t="array" ref="Q40">IFERROR(INDEX(Table2[Film],MATCH(0,COUNTIF($Q$1:Q39,Table2[Film])+IF(Table2[Film]="",1,0),0)),"")</f>
        <v/>
      </c>
      <c r="R40" s="57">
        <f>SUMIF(Table2[Film],"TIPA 312 MFG",Table2[Price Calculated(€) Thickness &amp; QTY related])+_xlfn.XLOOKUP("MET LUX ",HELPER!$A:$A,HELPER!$E:$E,0)</f>
        <v>5.3805880000000004</v>
      </c>
      <c r="S40" s="59">
        <f>IFERROR(R40*HELPER!$AK$2," ")</f>
        <v>6.2414820799999999</v>
      </c>
      <c r="T40" s="6"/>
      <c r="U40" s="2" t="s">
        <v>46</v>
      </c>
      <c r="V40" s="2" t="s">
        <v>15</v>
      </c>
      <c r="W40" s="2" t="s">
        <v>24</v>
      </c>
      <c r="X40" s="2" t="s">
        <v>80</v>
      </c>
      <c r="Y40" s="2" t="s">
        <v>37</v>
      </c>
      <c r="Z40" s="808" cm="1">
        <f t="array" ref="Z40">SUMPRODUCT((BOM!$A$2:$A$391=U40)*(BOM!$F$2:$F$391=Y40)*BOM!$H$2:$H$391*BOM!$G$2:$G$391)/SUMPRODUCT((BOM!$A$2:$A$391=U40)*BOM!$H$2:$H$391*BOM!$G$2:$G$391)</f>
        <v>0.13720000000000002</v>
      </c>
      <c r="AA40" s="811">
        <f>SUMIF(tblResinWeightedQty12[Film],tblResinWeightedQty12[[#This Row],[Film]],tblResinWeightedQty12[Weighted QTY %])</f>
        <v>1.0000000000000002</v>
      </c>
    </row>
    <row r="41" spans="1:27">
      <c r="A41" s="25" t="s">
        <v>43</v>
      </c>
      <c r="B41" s="26" t="s">
        <v>5</v>
      </c>
      <c r="C41" s="28"/>
      <c r="D41" s="28" t="str">
        <f>IF(C41="","",IFERROR(_xlfn.XLOOKUP(C41,HELPER!$A$2:$A$81,HELPER!$B$2:$B$81,""),D41))</f>
        <v/>
      </c>
      <c r="E41" s="28" t="str">
        <f>IFERROR(_xlfn.XLOOKUP(D41,HELPER!$B:$B,HELPER!$C:$C,""),"")</f>
        <v/>
      </c>
      <c r="F41" s="27" t="str">
        <f>IFERROR(_xlfn.XLOOKUP(D41,HELPER!$B:$B,HELPER!$D:$D,""),"")</f>
        <v/>
      </c>
      <c r="G41" s="27">
        <v>8</v>
      </c>
      <c r="H41" s="31"/>
      <c r="I41" s="21" t="str">
        <f>IF(AND(H41&lt;&gt;"",IFERROR(_xlfn.XLOOKUP(D41,HELPER!$B:$B,HELPER!$E:$E,""),"")=""),"Missing price",IFERROR(_xlfn.XLOOKUP(D41,HELPER!$B:$B,HELPER!$E:$E,"")," "))</f>
        <v/>
      </c>
      <c r="J41" s="54" t="str">
        <f>IFERROR(H41*(IF(G41=8,I41*HELPER!$G$2,BOM!I41*HELPER!$G$3))," ")</f>
        <v xml:space="preserve"> </v>
      </c>
      <c r="K41" s="6"/>
      <c r="L41" s="14" t="str" cm="1">
        <f t="array" ref="L41">IFERROR(_xlfn.LET(_xlpm.films,Table4[Film],_xlpm.grades,Table4[Grade],_xlpm.pairs,_xlfn._xlws.FILTER(_xlfn.HSTACK(_xlpm.films,_xlpm.grades),(_xlpm.films&lt;&gt;"")*(TRIM(_xlpm.grades)&lt;&gt;"")),_xlpm.uniquePairs,_xlfn.UNIQUE(_xlpm.pairs),_xlpm.sortedPairs,_xlfn._xlws.SORT(_xlpm.uniquePairs,1,1),INDEX(_xlpm.sortedPairs,ROWS($L$2:L41),1)),"")</f>
        <v>TIPA 306W</v>
      </c>
      <c r="M41" s="15" t="str" cm="1">
        <f t="array" ref="M41">IFERROR(_xlfn.LET(_xlpm.films,Table4[Film],_xlpm.grades,Table4[Grade],_xlpm.pairs,_xlfn._xlws.FILTER(_xlfn.HSTACK(_xlpm.films,_xlpm.grades),(_xlpm.films&lt;&gt;"")*(TRIM(_xlpm.grades)&lt;&gt;"")),_xlpm.uniquePairs,_xlfn.UNIQUE(_xlpm.pairs),_xlpm.sortedPairs,_xlfn._xlws.SORT(_xlpm.uniquePairs,1,1),INDEX(_xlpm.sortedPairs,ROWS($M$2:M41),2)),"")</f>
        <v>KAB59A</v>
      </c>
      <c r="N41" s="15" t="str" cm="1">
        <f t="array" ref="N41">IF(OR(Table2[[#This Row],[Film]]="",Table2[[#This Row],[Grade]]=""),"",IFERROR(INDEX(Table4[Serial Number],MATCH(1,(Table4[Film]=Table2[[#This Row],[Film]])*(Table4[Grade]=Table2[[#This Row],[Grade]]),0)),""))</f>
        <v>RM A KAB59A</v>
      </c>
      <c r="O41" s="52">
        <f>IF(OR(Table2[[#This Row],[Film]]="",Table2[[#This Row],[Grade]]=""),"",SUMIFS(Table4[Price Calculated(€) Thickness &amp; QTY related],Table4[Film],Table2[[#This Row],[Film]],Table4[Grade],Table2[[#This Row],[Grade]]))</f>
        <v>4.53E-2</v>
      </c>
      <c r="P41" s="6"/>
      <c r="Q41" s="20" t="str" cm="1">
        <f t="array" ref="Q41">IFERROR(INDEX(Table2[Film],MATCH(0,COUNTIF($Q$1:Q40,Table2[Film])+IF(Table2[Film]="",1,0),0)),"")</f>
        <v/>
      </c>
      <c r="R41" s="58">
        <f>SUMIF(Table2[Film],"TIPA 312 MFG",Table2[Price Calculated(€) Thickness &amp; QTY related])+_xlfn.XLOOKUP("MET LUX ",HELPER!$A:$A,HELPER!$E:$E,0)</f>
        <v>5.3805880000000004</v>
      </c>
      <c r="S41" s="60">
        <f>IFERROR(R41*HELPER!$AK$2," ")</f>
        <v>6.2414820799999999</v>
      </c>
      <c r="T41" s="6"/>
      <c r="U41" s="2" t="s">
        <v>46</v>
      </c>
      <c r="V41" s="2" t="s">
        <v>16</v>
      </c>
      <c r="W41" s="2" t="s">
        <v>10</v>
      </c>
      <c r="X41" s="2" t="s">
        <v>81</v>
      </c>
      <c r="Y41" s="2" t="s">
        <v>38</v>
      </c>
      <c r="Z41" s="808" cm="1">
        <f t="array" ref="Z41">SUMPRODUCT((BOM!$A$2:$A$391=U41)*(BOM!$F$2:$F$391=Y41)*BOM!$H$2:$H$391*BOM!$G$2:$G$391)/SUMPRODUCT((BOM!$A$2:$A$391=U41)*BOM!$H$2:$H$391*BOM!$G$2:$G$391)</f>
        <v>1.5000000000000003E-2</v>
      </c>
      <c r="AA41" s="811">
        <f>SUMIF(tblResinWeightedQty12[Film],tblResinWeightedQty12[[#This Row],[Film]],tblResinWeightedQty12[Weighted QTY %])</f>
        <v>1.0000000000000002</v>
      </c>
    </row>
    <row r="42" spans="1:27">
      <c r="A42" s="25" t="s">
        <v>43</v>
      </c>
      <c r="B42" s="26" t="s">
        <v>6</v>
      </c>
      <c r="C42" s="28"/>
      <c r="D42" s="28" t="str">
        <f>IF(C42="","",IFERROR(_xlfn.XLOOKUP(C42,HELPER!$A$2:$A$81,HELPER!$B$2:$B$81,""),D42))</f>
        <v/>
      </c>
      <c r="E42" s="28" t="str">
        <f>IFERROR(_xlfn.XLOOKUP(D42,HELPER!$B:$B,HELPER!$C:$C,""),"")</f>
        <v/>
      </c>
      <c r="F42" s="27" t="str">
        <f>IFERROR(_xlfn.XLOOKUP(D42,HELPER!$B:$B,HELPER!$D:$D,""),"")</f>
        <v/>
      </c>
      <c r="G42" s="27">
        <v>24</v>
      </c>
      <c r="H42" s="31"/>
      <c r="I42" s="21" t="str">
        <f>IF(AND(H42&lt;&gt;"",IFERROR(_xlfn.XLOOKUP(D42,HELPER!$B:$B,HELPER!$E:$E,""),"")=""),"Missing price",IFERROR(_xlfn.XLOOKUP(D42,HELPER!$B:$B,HELPER!$E:$E,"")," "))</f>
        <v/>
      </c>
      <c r="J42" s="54" t="str">
        <f>IFERROR(H42*(IF(G42=8,I42*HELPER!$G$2,BOM!I42*HELPER!$G$3))," ")</f>
        <v xml:space="preserve"> </v>
      </c>
      <c r="K42" s="6"/>
      <c r="L42" s="16" t="str" cm="1">
        <f t="array" ref="L42">IFERROR(_xlfn.LET(_xlpm.films,Table4[Film],_xlpm.grades,Table4[Grade],_xlpm.pairs,_xlfn._xlws.FILTER(_xlfn.HSTACK(_xlpm.films,_xlpm.grades),(_xlpm.films&lt;&gt;"")*(TRIM(_xlpm.grades)&lt;&gt;"")),_xlpm.uniquePairs,_xlfn.UNIQUE(_xlpm.pairs),_xlpm.sortedPairs,_xlfn._xlws.SORT(_xlpm.uniquePairs,1,1),INDEX(_xlpm.sortedPairs,ROWS($L$2:L42),1)),"")</f>
        <v>TIPA 306W</v>
      </c>
      <c r="M42" s="17" t="str" cm="1">
        <f t="array" ref="M42">IFERROR(_xlfn.LET(_xlpm.films,Table4[Film],_xlpm.grades,Table4[Grade],_xlpm.pairs,_xlfn._xlws.FILTER(_xlfn.HSTACK(_xlpm.films,_xlpm.grades),(_xlpm.films&lt;&gt;"")*(TRIM(_xlpm.grades)&lt;&gt;"")),_xlpm.uniquePairs,_xlfn.UNIQUE(_xlpm.pairs),_xlpm.sortedPairs,_xlfn._xlws.SORT(_xlpm.uniquePairs,1,1),INDEX(_xlpm.sortedPairs,ROWS($M$2:M42),2)),"")</f>
        <v>S724</v>
      </c>
      <c r="N42" s="17" t="str" cm="1">
        <f t="array" ref="N42">IF(OR(Table2[[#This Row],[Film]]="",Table2[[#This Row],[Grade]]=""),"",IFERROR(INDEX(Table4[Serial Number],MATCH(1,(Table4[Film]=Table2[[#This Row],[Film]])*(Table4[Grade]=Table2[[#This Row],[Grade]]),0)),""))</f>
        <v>RM TA45-08 S724</v>
      </c>
      <c r="O42" s="53">
        <f>IF(OR(Table2[[#This Row],[Film]]="",Table2[[#This Row],[Grade]]=""),"",SUMIFS(Table4[Price Calculated(€) Thickness &amp; QTY related],Table4[Film],Table2[[#This Row],[Film]],Table4[Grade],Table2[[#This Row],[Grade]]))</f>
        <v>0.1176</v>
      </c>
      <c r="P42" s="6"/>
      <c r="Q42" s="19" t="str" cm="1">
        <f t="array" ref="Q42">IFERROR(INDEX(Table2[Film],MATCH(0,COUNTIF($Q$1:Q41,Table2[Film])+IF(Table2[Film]="",1,0),0)),"")</f>
        <v/>
      </c>
      <c r="R42" s="57">
        <f>SUMIF(Table2[Film],"TIPA 312 MFG",Table2[Price Calculated(€) Thickness &amp; QTY related])+_xlfn.XLOOKUP("MET LUX ",HELPER!$A:$A,HELPER!$E:$E,0)</f>
        <v>5.3805880000000004</v>
      </c>
      <c r="S42" s="59">
        <f>IFERROR(R42*HELPER!$AK$2," ")</f>
        <v>6.2414820799999999</v>
      </c>
      <c r="T42" s="6"/>
      <c r="U42" s="2" t="s">
        <v>46</v>
      </c>
      <c r="V42" s="2" t="s">
        <v>17</v>
      </c>
      <c r="W42" s="2" t="s">
        <v>11</v>
      </c>
      <c r="X42" s="2" t="s">
        <v>82</v>
      </c>
      <c r="Y42" s="2" t="s">
        <v>39</v>
      </c>
      <c r="Z42" s="808" cm="1">
        <f t="array" ref="Z42">SUMPRODUCT((BOM!$A$2:$A$391=U42)*(BOM!$F$2:$F$391=Y42)*BOM!$H$2:$H$391*BOM!$G$2:$G$391)/SUMPRODUCT((BOM!$A$2:$A$391=U42)*BOM!$H$2:$H$391*BOM!$G$2:$G$391)</f>
        <v>8.0000000000000019E-3</v>
      </c>
      <c r="AA42" s="811">
        <f>SUMIF(tblResinWeightedQty12[Film],tblResinWeightedQty12[[#This Row],[Film]],tblResinWeightedQty12[Weighted QTY %])</f>
        <v>1.0000000000000002</v>
      </c>
    </row>
    <row r="43" spans="1:27">
      <c r="A43" s="25" t="s">
        <v>43</v>
      </c>
      <c r="B43" s="26" t="s">
        <v>6</v>
      </c>
      <c r="C43" s="28"/>
      <c r="D43" s="28" t="str">
        <f>IF(C43="","",IFERROR(_xlfn.XLOOKUP(C43,HELPER!$A$2:$A$81,HELPER!$B$2:$B$81,""),D43))</f>
        <v/>
      </c>
      <c r="E43" s="28" t="str">
        <f>IFERROR(_xlfn.XLOOKUP(D43,HELPER!$B:$B,HELPER!$C:$C,""),"")</f>
        <v/>
      </c>
      <c r="F43" s="27" t="str">
        <f>IFERROR(_xlfn.XLOOKUP(D43,HELPER!$B:$B,HELPER!$D:$D,""),"")</f>
        <v/>
      </c>
      <c r="G43" s="27">
        <v>24</v>
      </c>
      <c r="H43" s="31"/>
      <c r="I43" s="21" t="str">
        <f>IF(AND(H43&lt;&gt;"",IFERROR(_xlfn.XLOOKUP(D43,HELPER!$B:$B,HELPER!$E:$E,""),"")=""),"Missing price",IFERROR(_xlfn.XLOOKUP(D43,HELPER!$B:$B,HELPER!$E:$E,"")," "))</f>
        <v/>
      </c>
      <c r="J43" s="54" t="str">
        <f>IFERROR(H43*(IF(G43=8,I43*HELPER!$G$2,BOM!I43*HELPER!$G$3))," ")</f>
        <v xml:space="preserve"> </v>
      </c>
      <c r="K43" s="6"/>
      <c r="L43" s="14" t="str" cm="1">
        <f t="array" ref="L43">IFERROR(_xlfn.LET(_xlpm.films,Table4[Film],_xlpm.grades,Table4[Grade],_xlpm.pairs,_xlfn._xlws.FILTER(_xlfn.HSTACK(_xlpm.films,_xlpm.grades),(_xlpm.films&lt;&gt;"")*(TRIM(_xlpm.grades)&lt;&gt;"")),_xlpm.uniquePairs,_xlfn.UNIQUE(_xlpm.pairs),_xlpm.sortedPairs,_xlfn._xlws.SORT(_xlpm.uniquePairs,1,1),INDEX(_xlpm.sortedPairs,ROWS($L$2:L43),1)),"")</f>
        <v>TIPA 306W</v>
      </c>
      <c r="M43" s="15" t="str" cm="1">
        <f t="array" ref="M43">IFERROR(_xlfn.LET(_xlpm.films,Table4[Film],_xlpm.grades,Table4[Grade],_xlpm.pairs,_xlfn._xlws.FILTER(_xlfn.HSTACK(_xlpm.films,_xlpm.grades),(_xlpm.films&lt;&gt;"")*(TRIM(_xlpm.grades)&lt;&gt;"")),_xlpm.uniquePairs,_xlfn.UNIQUE(_xlpm.pairs),_xlpm.sortedPairs,_xlfn._xlws.SORT(_xlpm.uniquePairs,1,1),INDEX(_xlpm.sortedPairs,ROWS($M$2:M43),2)),"")</f>
        <v>RM WHITE BIO8153</v>
      </c>
      <c r="N43" s="15" t="str" cm="1">
        <f t="array" ref="N43">IF(OR(Table2[[#This Row],[Film]]="",Table2[[#This Row],[Grade]]=""),"",IFERROR(INDEX(Table4[Serial Number],MATCH(1,(Table4[Film]=Table2[[#This Row],[Film]])*(Table4[Grade]=Table2[[#This Row],[Grade]]),0)),""))</f>
        <v>RM WHITE BIO8153</v>
      </c>
      <c r="O43" s="52">
        <f>IF(OR(Table2[[#This Row],[Film]]="",Table2[[#This Row],[Grade]]=""),"",SUMIFS(Table4[Price Calculated(€) Thickness &amp; QTY related],Table4[Film],Table2[[#This Row],[Film]],Table4[Grade],Table2[[#This Row],[Grade]]))</f>
        <v>0.36899999999999999</v>
      </c>
      <c r="P43" s="6"/>
      <c r="Q43" s="20" t="str" cm="1">
        <f t="array" ref="Q43">IFERROR(INDEX(Table2[Film],MATCH(0,COUNTIF($Q$1:Q42,Table2[Film])+IF(Table2[Film]="",1,0),0)),"")</f>
        <v/>
      </c>
      <c r="R43" s="58">
        <f>SUMIF(Table2[Film],"TIPA 312 MFG",Table2[Price Calculated(€) Thickness &amp; QTY related])+_xlfn.XLOOKUP("MET LUX ",HELPER!$A:$A,HELPER!$E:$E,0)</f>
        <v>5.3805880000000004</v>
      </c>
      <c r="S43" s="60">
        <f>IFERROR(R43*HELPER!$AK$2," ")</f>
        <v>6.2414820799999999</v>
      </c>
      <c r="T43" s="6"/>
      <c r="U43" s="2" t="s">
        <v>46</v>
      </c>
      <c r="V43" s="2" t="s">
        <v>18</v>
      </c>
      <c r="W43" s="2" t="s">
        <v>9</v>
      </c>
      <c r="X43" s="2" t="s">
        <v>83</v>
      </c>
      <c r="Y43" s="2" t="s">
        <v>40</v>
      </c>
      <c r="Z43" s="808" cm="1">
        <f t="array" ref="Z43">SUMPRODUCT((BOM!$A$2:$A$391=U43)*(BOM!$F$2:$F$391=Y43)*BOM!$H$2:$H$391*BOM!$G$2:$G$391)/SUMPRODUCT((BOM!$A$2:$A$391=U43)*BOM!$H$2:$H$391*BOM!$G$2:$G$391)</f>
        <v>6.000000000000001E-3</v>
      </c>
      <c r="AA43" s="811">
        <f>SUMIF(tblResinWeightedQty12[Film],tblResinWeightedQty12[[#This Row],[Film]],tblResinWeightedQty12[Weighted QTY %])</f>
        <v>1.0000000000000002</v>
      </c>
    </row>
    <row r="44" spans="1:27">
      <c r="A44" s="25" t="s">
        <v>43</v>
      </c>
      <c r="B44" s="26" t="s">
        <v>6</v>
      </c>
      <c r="C44" s="28"/>
      <c r="D44" s="28" t="str">
        <f>IF(C44="","",IFERROR(_xlfn.XLOOKUP(C44,HELPER!$A$2:$A$81,HELPER!$B$2:$B$81,""),D44))</f>
        <v/>
      </c>
      <c r="E44" s="28" t="str">
        <f>IFERROR(_xlfn.XLOOKUP(D44,HELPER!$B:$B,HELPER!$C:$C,""),"")</f>
        <v/>
      </c>
      <c r="F44" s="27" t="str">
        <f>IFERROR(_xlfn.XLOOKUP(D44,HELPER!$B:$B,HELPER!$D:$D,""),"")</f>
        <v/>
      </c>
      <c r="G44" s="27">
        <v>24</v>
      </c>
      <c r="H44" s="31"/>
      <c r="I44" s="21" t="str">
        <f>IF(AND(H44&lt;&gt;"",IFERROR(_xlfn.XLOOKUP(D44,HELPER!$B:$B,HELPER!$E:$E,""),"")=""),"Missing price",IFERROR(_xlfn.XLOOKUP(D44,HELPER!$B:$B,HELPER!$E:$E,"")," "))</f>
        <v/>
      </c>
      <c r="J44" s="54" t="str">
        <f>IFERROR(H44*(IF(G44=8,I44*HELPER!$G$2,BOM!I44*HELPER!$G$3))," ")</f>
        <v xml:space="preserve"> </v>
      </c>
      <c r="K44" s="6"/>
      <c r="L44" s="16" t="str" cm="1">
        <f t="array" ref="L44">IFERROR(_xlfn.LET(_xlpm.films,Table4[Film],_xlpm.grades,Table4[Grade],_xlpm.pairs,_xlfn._xlws.FILTER(_xlfn.HSTACK(_xlpm.films,_xlpm.grades),(_xlpm.films&lt;&gt;"")*(TRIM(_xlpm.grades)&lt;&gt;"")),_xlpm.uniquePairs,_xlfn.UNIQUE(_xlpm.pairs),_xlpm.sortedPairs,_xlfn._xlws.SORT(_xlpm.uniquePairs,1,1),INDEX(_xlpm.sortedPairs,ROWS($L$2:L44),1)),"")</f>
        <v>TIPA 306W</v>
      </c>
      <c r="M44" s="17" t="str" cm="1">
        <f t="array" ref="M44">IFERROR(_xlfn.LET(_xlpm.films,Table4[Film],_xlpm.grades,Table4[Grade],_xlpm.pairs,_xlfn._xlws.FILTER(_xlfn.HSTACK(_xlpm.films,_xlpm.grades),(_xlpm.films&lt;&gt;"")*(TRIM(_xlpm.grades)&lt;&gt;"")),_xlpm.uniquePairs,_xlfn.UNIQUE(_xlpm.pairs),_xlpm.sortedPairs,_xlfn._xlws.SORT(_xlpm.uniquePairs,1,1),INDEX(_xlpm.sortedPairs,ROWS($M$2:M44),2)),"")</f>
        <v>FD92PM</v>
      </c>
      <c r="N44" s="17" t="str" cm="1">
        <f t="array" ref="N44">IF(OR(Table2[[#This Row],[Film]]="",Table2[[#This Row],[Grade]]=""),"",IFERROR(INDEX(Table4[Serial Number],MATCH(1,(Table4[Film]=Table2[[#This Row],[Film]])*(Table4[Grade]=Table2[[#This Row],[Grade]]),0)),""))</f>
        <v>RMPM2</v>
      </c>
      <c r="O44" s="53">
        <f>IF(OR(Table2[[#This Row],[Film]]="",Table2[[#This Row],[Grade]]=""),"",SUMIFS(Table4[Price Calculated(€) Thickness &amp; QTY related],Table4[Film],Table2[[#This Row],[Film]],Table4[Grade],Table2[[#This Row],[Grade]]))</f>
        <v>1.0908000000000002</v>
      </c>
      <c r="P44" s="6"/>
      <c r="Q44" s="19" t="str" cm="1">
        <f t="array" ref="Q44">IFERROR(INDEX(Table2[Film],MATCH(0,COUNTIF($Q$1:Q43,Table2[Film])+IF(Table2[Film]="",1,0),0)),"")</f>
        <v/>
      </c>
      <c r="R44" s="57">
        <f>SUMIF(Table2[Film],"TIPA 312 MFG",Table2[Price Calculated(€) Thickness &amp; QTY related])+_xlfn.XLOOKUP("MET LUX ",HELPER!$A:$A,HELPER!$E:$E,0)</f>
        <v>5.3805880000000004</v>
      </c>
      <c r="S44" s="59">
        <f>IFERROR(R44*HELPER!$AK$2," ")</f>
        <v>6.2414820799999999</v>
      </c>
      <c r="T44" s="6"/>
      <c r="U44" s="2" t="s">
        <v>46</v>
      </c>
      <c r="V44" s="2" t="s">
        <v>12</v>
      </c>
      <c r="W44" s="2" t="s">
        <v>8</v>
      </c>
      <c r="X44" s="2" t="s">
        <v>84</v>
      </c>
      <c r="Y44" s="2" t="s">
        <v>42</v>
      </c>
      <c r="Z44" s="808" cm="1">
        <f t="array" ref="Z44">SUMPRODUCT((BOM!$A$2:$A$391=U44)*(BOM!$F$2:$F$391=Y44)*BOM!$H$2:$H$391*BOM!$G$2:$G$391)/SUMPRODUCT((BOM!$A$2:$A$391=U44)*BOM!$H$2:$H$391*BOM!$G$2:$G$391)</f>
        <v>0.16160000000000005</v>
      </c>
      <c r="AA44" s="811">
        <f>SUMIF(tblResinWeightedQty12[Film],tblResinWeightedQty12[[#This Row],[Film]],tblResinWeightedQty12[Weighted QTY %])</f>
        <v>1.0000000000000002</v>
      </c>
    </row>
    <row r="45" spans="1:27">
      <c r="A45" s="25" t="s">
        <v>43</v>
      </c>
      <c r="B45" s="26" t="s">
        <v>6</v>
      </c>
      <c r="C45" s="28" t="s">
        <v>16</v>
      </c>
      <c r="D45" s="28" t="str">
        <f>IF(C45="","",IFERROR(_xlfn.XLOOKUP(C45,HELPER!$A$2:$A$81,HELPER!$B$2:$B$81,""),D45))</f>
        <v>S723</v>
      </c>
      <c r="E45" s="28" t="str">
        <f>IFERROR(_xlfn.XLOOKUP(D45,HELPER!$B:$B,HELPER!$C:$C,""),"")</f>
        <v>RM TA45-08 S723</v>
      </c>
      <c r="F45" s="27" t="str">
        <f>IFERROR(_xlfn.XLOOKUP(D45,HELPER!$B:$B,HELPER!$D:$D,""),"")</f>
        <v>Resin 6</v>
      </c>
      <c r="G45" s="27">
        <v>24</v>
      </c>
      <c r="H45" s="31">
        <v>1.4999999999999999E-2</v>
      </c>
      <c r="I45" s="21">
        <f>IF(AND(H45&lt;&gt;"",IFERROR(_xlfn.XLOOKUP(D45,HELPER!$B:$B,HELPER!$E:$E,""),"")=""),"Missing price",IFERROR(_xlfn.XLOOKUP(D45,HELPER!$B:$B,HELPER!$E:$E,"")," "))</f>
        <v>16.16</v>
      </c>
      <c r="J45" s="54">
        <f>IFERROR(H45*(IF(G45=8,I45*HELPER!$G$2,BOM!I45*HELPER!$G$3))," ")</f>
        <v>0.14543999999999999</v>
      </c>
      <c r="K45" s="6"/>
      <c r="L45" s="14" t="str" cm="1">
        <f t="array" ref="L45">IFERROR(_xlfn.LET(_xlpm.films,Table4[Film],_xlpm.grades,Table4[Grade],_xlpm.pairs,_xlfn._xlws.FILTER(_xlfn.HSTACK(_xlpm.films,_xlpm.grades),(_xlpm.films&lt;&gt;"")*(TRIM(_xlpm.grades)&lt;&gt;"")),_xlpm.uniquePairs,_xlfn.UNIQUE(_xlpm.pairs),_xlpm.sortedPairs,_xlfn._xlws.SORT(_xlpm.uniquePairs,1,1),INDEX(_xlpm.sortedPairs,ROWS($L$2:L45),1)),"")</f>
        <v>TIPA 312 MFG</v>
      </c>
      <c r="M45" s="15" t="str" cm="1">
        <f t="array" ref="M45">IFERROR(_xlfn.LET(_xlpm.films,Table4[Film],_xlpm.grades,Table4[Grade],_xlpm.pairs,_xlfn._xlws.FILTER(_xlfn.HSTACK(_xlpm.films,_xlpm.grades),(_xlpm.films&lt;&gt;"")*(TRIM(_xlpm.grades)&lt;&gt;"")),_xlpm.uniquePairs,_xlfn.UNIQUE(_xlpm.pairs),_xlpm.sortedPairs,_xlfn._xlws.SORT(_xlpm.uniquePairs,1,1),INDEX(_xlpm.sortedPairs,ROWS($M$2:M45),2)),"")</f>
        <v>LX175</v>
      </c>
      <c r="N45" s="15" t="str" cm="1">
        <f t="array" ref="N45">IF(OR(Table2[[#This Row],[Film]]="",Table2[[#This Row],[Grade]]=""),"",IFERROR(INDEX(Table4[Serial Number],MATCH(1,(Table4[Film]=Table2[[#This Row],[Film]])*(Table4[Grade]=Table2[[#This Row],[Grade]]),0)),""))</f>
        <v>RMLX175</v>
      </c>
      <c r="O45" s="52">
        <f>IF(OR(Table2[[#This Row],[Film]]="",Table2[[#This Row],[Grade]]=""),"",SUMIFS(Table4[Price Calculated(€) Thickness &amp; QTY related],Table4[Film],Table2[[#This Row],[Film]],Table4[Grade],Table2[[#This Row],[Grade]]))</f>
        <v>0.59405799999999997</v>
      </c>
      <c r="P45" s="6"/>
      <c r="Q45" s="20" t="str" cm="1">
        <f t="array" ref="Q45">IFERROR(INDEX(Table2[Film],MATCH(0,COUNTIF($Q$1:Q44,Table2[Film])+IF(Table2[Film]="",1,0),0)),"")</f>
        <v/>
      </c>
      <c r="R45" s="58">
        <f>SUMIF(Table2[Film],"TIPA 312 MFG",Table2[Price Calculated(€) Thickness &amp; QTY related])+_xlfn.XLOOKUP("MET LUX ",HELPER!$A:$A,HELPER!$E:$E,0)</f>
        <v>5.3805880000000004</v>
      </c>
      <c r="S45" s="60">
        <f>IFERROR(R45*HELPER!$AK$2," ")</f>
        <v>6.2414820799999999</v>
      </c>
      <c r="T45" s="6"/>
      <c r="U45" s="2" t="s">
        <v>201</v>
      </c>
      <c r="V45" s="2" t="s">
        <v>13</v>
      </c>
      <c r="W45" s="2" t="s">
        <v>74</v>
      </c>
      <c r="X45" s="2" t="s">
        <v>75</v>
      </c>
      <c r="Y45" s="2" t="s">
        <v>33</v>
      </c>
      <c r="Z45" s="808" cm="1">
        <f t="array" ref="Z45">SUMPRODUCT((BOM!$A$2:$A$391=U45)*(BOM!$F$2:$F$391=Y45)*BOM!$H$2:$H$391*BOM!$G$2:$G$391)/SUMPRODUCT((BOM!$A$2:$A$391=U45)*BOM!$H$2:$H$391*BOM!$G$2:$G$391)</f>
        <v>0.18740000000000004</v>
      </c>
      <c r="AA45" s="811">
        <f>SUMIF(tblResinWeightedQty12[Film],tblResinWeightedQty12[[#This Row],[Film]],tblResinWeightedQty12[Weighted QTY %])</f>
        <v>1.0000000000000002</v>
      </c>
    </row>
    <row r="46" spans="1:27">
      <c r="A46" s="25" t="s">
        <v>43</v>
      </c>
      <c r="B46" s="26" t="s">
        <v>6</v>
      </c>
      <c r="C46" s="28" t="s">
        <v>41</v>
      </c>
      <c r="D46" s="28" t="str">
        <f>IF(C46="","",IFERROR(_xlfn.XLOOKUP(C46,HELPER!$A$2:$A$81,HELPER!$B$2:$B$81,""),D46))</f>
        <v>RM WHITE BIO8153</v>
      </c>
      <c r="E46" s="28" t="str">
        <f>IFERROR(_xlfn.XLOOKUP(D46,HELPER!$B:$B,HELPER!$C:$C,""),"")</f>
        <v>RM WHITE BIO8153</v>
      </c>
      <c r="F46" s="27" t="str">
        <f>IFERROR(_xlfn.XLOOKUP(D46,HELPER!$B:$B,HELPER!$D:$D,""),"")</f>
        <v>Resin 13B</v>
      </c>
      <c r="G46" s="27">
        <v>24</v>
      </c>
      <c r="H46" s="31">
        <v>0.1</v>
      </c>
      <c r="I46" s="21">
        <f>IF(AND(H46&lt;&gt;"",IFERROR(_xlfn.XLOOKUP(D46,HELPER!$B:$B,HELPER!$E:$E,""),"")=""),"Missing price",IFERROR(_xlfn.XLOOKUP(D46,HELPER!$B:$B,HELPER!$E:$E,"")," "))</f>
        <v>6.15</v>
      </c>
      <c r="J46" s="54">
        <f>IFERROR(H46*(IF(G46=8,I46*HELPER!$G$2,BOM!I46*HELPER!$G$3))," ")</f>
        <v>0.36899999999999999</v>
      </c>
      <c r="K46" s="6"/>
      <c r="L46" s="16" t="str" cm="1">
        <f t="array" ref="L46">IFERROR(_xlfn.LET(_xlpm.films,Table4[Film],_xlpm.grades,Table4[Grade],_xlpm.pairs,_xlfn._xlws.FILTER(_xlfn.HSTACK(_xlpm.films,_xlpm.grades),(_xlpm.films&lt;&gt;"")*(TRIM(_xlpm.grades)&lt;&gt;"")),_xlpm.uniquePairs,_xlfn.UNIQUE(_xlpm.pairs),_xlpm.sortedPairs,_xlfn._xlws.SORT(_xlpm.uniquePairs,1,1),INDEX(_xlpm.sortedPairs,ROWS($L$2:L46),1)),"")</f>
        <v>TIPA 312 MFG</v>
      </c>
      <c r="M46" s="17" t="str" cm="1">
        <f t="array" ref="M46">IFERROR(_xlfn.LET(_xlpm.films,Table4[Film],_xlpm.grades,Table4[Grade],_xlpm.pairs,_xlfn._xlws.FILTER(_xlfn.HSTACK(_xlpm.films,_xlpm.grades),(_xlpm.films&lt;&gt;"")*(TRIM(_xlpm.grades)&lt;&gt;"")),_xlpm.uniquePairs,_xlfn.UNIQUE(_xlpm.pairs),_xlpm.sortedPairs,_xlfn._xlws.SORT(_xlpm.uniquePairs,1,1),INDEX(_xlpm.sortedPairs,ROWS($M$2:M46),2)),"")</f>
        <v>P65D</v>
      </c>
      <c r="N46" s="17" t="str" cm="1">
        <f t="array" ref="N46">IF(OR(Table2[[#This Row],[Film]]="",Table2[[#This Row],[Grade]]=""),"",IFERROR(INDEX(Table4[Serial Number],MATCH(1,(Table4[Film]=Table2[[#This Row],[Film]])*(Table4[Grade]=Table2[[#This Row],[Grade]]),0)),""))</f>
        <v>RMP65D</v>
      </c>
      <c r="O46" s="53">
        <f>IF(OR(Table2[[#This Row],[Film]]="",Table2[[#This Row],[Grade]]=""),"",SUMIFS(Table4[Price Calculated(€) Thickness &amp; QTY related],Table4[Film],Table2[[#This Row],[Film]],Table4[Grade],Table2[[#This Row],[Grade]]))</f>
        <v>0.27739999999999998</v>
      </c>
      <c r="P46" s="6"/>
      <c r="Q46" s="19" t="str" cm="1">
        <f t="array" ref="Q46">IFERROR(INDEX(Table2[Film],MATCH(0,COUNTIF($Q$1:Q45,Table2[Film])+IF(Table2[Film]="",1,0),0)),"")</f>
        <v/>
      </c>
      <c r="R46" s="57">
        <f>SUMIF(Table2[Film],"TIPA 312 MFG",Table2[Price Calculated(€) Thickness &amp; QTY related])+_xlfn.XLOOKUP("MET LUX ",HELPER!$A:$A,HELPER!$E:$E,0)</f>
        <v>5.3805880000000004</v>
      </c>
      <c r="S46" s="59">
        <f>IFERROR(R46*HELPER!$AK$2," ")</f>
        <v>6.2414820799999999</v>
      </c>
      <c r="T46" s="6"/>
      <c r="U46" s="2" t="s">
        <v>201</v>
      </c>
      <c r="V46" s="2" t="s">
        <v>14</v>
      </c>
      <c r="W46" s="2" t="s">
        <v>23</v>
      </c>
      <c r="X46" s="2" t="s">
        <v>77</v>
      </c>
      <c r="Y46" s="2" t="s">
        <v>35</v>
      </c>
      <c r="Z46" s="808" cm="1">
        <f t="array" ref="Z46">SUMPRODUCT((BOM!$A$2:$A$391=U46)*(BOM!$F$2:$F$391=Y46)*BOM!$H$2:$H$391*BOM!$G$2:$G$391)/SUMPRODUCT((BOM!$A$2:$A$391=U46)*BOM!$H$2:$H$391*BOM!$G$2:$G$391)</f>
        <v>0.59100000000000008</v>
      </c>
      <c r="AA46" s="811">
        <f>SUMIF(tblResinWeightedQty12[Film],tblResinWeightedQty12[[#This Row],[Film]],tblResinWeightedQty12[Weighted QTY %])</f>
        <v>1.0000000000000002</v>
      </c>
    </row>
    <row r="47" spans="1:27">
      <c r="A47" s="25" t="s">
        <v>43</v>
      </c>
      <c r="B47" s="26" t="s">
        <v>6</v>
      </c>
      <c r="C47" s="28" t="s">
        <v>17</v>
      </c>
      <c r="D47" s="28" t="str">
        <f>IF(C47="","",IFERROR(_xlfn.XLOOKUP(C47,HELPER!$A$2:$A$81,HELPER!$B$2:$B$81,""),D47))</f>
        <v>S724</v>
      </c>
      <c r="E47" s="28" t="str">
        <f>IFERROR(_xlfn.XLOOKUP(D47,HELPER!$B:$B,HELPER!$C:$C,""),"")</f>
        <v>RM TA45-08 S724</v>
      </c>
      <c r="F47" s="27" t="str">
        <f>IFERROR(_xlfn.XLOOKUP(D47,HELPER!$B:$B,HELPER!$D:$D,""),"")</f>
        <v>Resin 7</v>
      </c>
      <c r="G47" s="27">
        <v>24</v>
      </c>
      <c r="H47" s="31"/>
      <c r="I47" s="21">
        <f>IF(AND(H47&lt;&gt;"",IFERROR(_xlfn.XLOOKUP(D47,HELPER!$B:$B,HELPER!$E:$E,""),"")=""),"Missing price",IFERROR(_xlfn.XLOOKUP(D47,HELPER!$B:$B,HELPER!$E:$E,"")," "))</f>
        <v>14.7</v>
      </c>
      <c r="J47" s="54">
        <f>IFERROR(H47*(IF(G47=8,I47*HELPER!$G$2,BOM!I47*HELPER!$G$3))," ")</f>
        <v>0</v>
      </c>
      <c r="K47" s="6"/>
      <c r="L47" s="14" t="str" cm="1">
        <f t="array" ref="L47">IFERROR(_xlfn.LET(_xlpm.films,Table4[Film],_xlpm.grades,Table4[Grade],_xlpm.pairs,_xlfn._xlws.FILTER(_xlfn.HSTACK(_xlpm.films,_xlpm.grades),(_xlpm.films&lt;&gt;"")*(TRIM(_xlpm.grades)&lt;&gt;"")),_xlpm.uniquePairs,_xlfn.UNIQUE(_xlpm.pairs),_xlpm.sortedPairs,_xlfn._xlws.SORT(_xlpm.uniquePairs,1,1),INDEX(_xlpm.sortedPairs,ROWS($L$2:L47),1)),"")</f>
        <v>TIPA 312 MFG</v>
      </c>
      <c r="M47" s="15" t="str" cm="1">
        <f t="array" ref="M47">IFERROR(_xlfn.LET(_xlpm.films,Table4[Film],_xlpm.grades,Table4[Grade],_xlpm.pairs,_xlfn._xlws.FILTER(_xlfn.HSTACK(_xlpm.films,_xlpm.grades),(_xlpm.films&lt;&gt;"")*(TRIM(_xlpm.grades)&lt;&gt;"")),_xlpm.uniquePairs,_xlfn.UNIQUE(_xlpm.pairs),_xlpm.sortedPairs,_xlfn._xlws.SORT(_xlpm.uniquePairs,1,1),INDEX(_xlpm.sortedPairs,ROWS($M$2:M47),2)),"")</f>
        <v>S723</v>
      </c>
      <c r="N47" s="15" t="str" cm="1">
        <f t="array" ref="N47">IF(OR(Table2[[#This Row],[Film]]="",Table2[[#This Row],[Grade]]=""),"",IFERROR(INDEX(Table4[Serial Number],MATCH(1,(Table4[Film]=Table2[[#This Row],[Film]])*(Table4[Grade]=Table2[[#This Row],[Grade]]),0)),""))</f>
        <v>RM TA45-08 S723</v>
      </c>
      <c r="O47" s="52">
        <f>IF(OR(Table2[[#This Row],[Film]]="",Table2[[#This Row],[Grade]]=""),"",SUMIFS(Table4[Price Calculated(€) Thickness &amp; QTY related],Table4[Film],Table2[[#This Row],[Film]],Table4[Grade],Table2[[#This Row],[Grade]]))</f>
        <v>0.24239999999999998</v>
      </c>
      <c r="P47" s="6"/>
      <c r="Q47" s="20" t="str" cm="1">
        <f t="array" ref="Q47">IFERROR(INDEX(Table2[Film],MATCH(0,COUNTIF($Q$1:Q46,Table2[Film])+IF(Table2[Film]="",1,0),0)),"")</f>
        <v/>
      </c>
      <c r="R47" s="58">
        <f>SUMIF(Table2[Film],"TIPA 312 MFG",Table2[Price Calculated(€) Thickness &amp; QTY related])+_xlfn.XLOOKUP("MET LUX ",HELPER!$A:$A,HELPER!$E:$E,0)</f>
        <v>5.3805880000000004</v>
      </c>
      <c r="S47" s="60">
        <f>IFERROR(R47*HELPER!$AK$2," ")</f>
        <v>6.2414820799999999</v>
      </c>
      <c r="T47" s="6"/>
      <c r="U47" s="2" t="s">
        <v>201</v>
      </c>
      <c r="V47" s="2" t="s">
        <v>15</v>
      </c>
      <c r="W47" s="2" t="s">
        <v>24</v>
      </c>
      <c r="X47" s="2" t="s">
        <v>80</v>
      </c>
      <c r="Y47" s="2" t="s">
        <v>37</v>
      </c>
      <c r="Z47" s="808" cm="1">
        <f t="array" ref="Z47">SUMPRODUCT((BOM!$A$2:$A$391=U47)*(BOM!$F$2:$F$391=Y47)*BOM!$H$2:$H$391*BOM!$G$2:$G$391)/SUMPRODUCT((BOM!$A$2:$A$391=U47)*BOM!$H$2:$H$391*BOM!$G$2:$G$391)</f>
        <v>3.8000000000000006E-2</v>
      </c>
      <c r="AA47" s="811">
        <f>SUMIF(tblResinWeightedQty12[Film],tblResinWeightedQty12[[#This Row],[Film]],tblResinWeightedQty12[Weighted QTY %])</f>
        <v>1.0000000000000002</v>
      </c>
    </row>
    <row r="48" spans="1:27">
      <c r="A48" s="25" t="s">
        <v>43</v>
      </c>
      <c r="B48" s="26" t="s">
        <v>6</v>
      </c>
      <c r="C48" s="28" t="s">
        <v>14</v>
      </c>
      <c r="D48" s="28" t="str">
        <f>IF(C48="","",IFERROR(_xlfn.XLOOKUP(C48,HELPER!$A$2:$A$81,HELPER!$B$2:$B$81,""),D48))</f>
        <v>B12</v>
      </c>
      <c r="E48" s="28" t="str">
        <f>IFERROR(_xlfn.XLOOKUP(D48,HELPER!$B:$B,HELPER!$C:$C,""),"")</f>
        <v>RMB12</v>
      </c>
      <c r="F48" s="27" t="str">
        <f>IFERROR(_xlfn.XLOOKUP(D48,HELPER!$B:$B,HELPER!$D:$D,""),"")</f>
        <v>Resin 2A</v>
      </c>
      <c r="G48" s="27">
        <v>24</v>
      </c>
      <c r="H48" s="31">
        <v>0.88500000000000001</v>
      </c>
      <c r="I48" s="21">
        <f>IF(AND(H48&lt;&gt;"",IFERROR(_xlfn.XLOOKUP(D48,HELPER!$B:$B,HELPER!$E:$E,""),"")=""),"Missing price",IFERROR(_xlfn.XLOOKUP(D48,HELPER!$B:$B,HELPER!$E:$E,"")," "))</f>
        <v>1.81</v>
      </c>
      <c r="J48" s="54">
        <f>IFERROR(H48*(IF(G48=8,I48*HELPER!$G$2,BOM!I48*HELPER!$G$3))," ")</f>
        <v>0.96111000000000013</v>
      </c>
      <c r="K48" s="6"/>
      <c r="L48" s="16" t="str" cm="1">
        <f t="array" ref="L48">IFERROR(_xlfn.LET(_xlpm.films,Table4[Film],_xlpm.grades,Table4[Grade],_xlpm.pairs,_xlfn._xlws.FILTER(_xlfn.HSTACK(_xlpm.films,_xlpm.grades),(_xlpm.films&lt;&gt;"")*(TRIM(_xlpm.grades)&lt;&gt;"")),_xlpm.uniquePairs,_xlfn.UNIQUE(_xlpm.pairs),_xlpm.sortedPairs,_xlfn._xlws.SORT(_xlpm.uniquePairs,1,1),INDEX(_xlpm.sortedPairs,ROWS($L$2:L48),1)),"")</f>
        <v>TIPA 312 MFG</v>
      </c>
      <c r="M48" s="17" t="str" cm="1">
        <f t="array" ref="M48">IFERROR(_xlfn.LET(_xlpm.films,Table4[Film],_xlpm.grades,Table4[Grade],_xlpm.pairs,_xlfn._xlws.FILTER(_xlfn.HSTACK(_xlpm.films,_xlpm.grades),(_xlpm.films&lt;&gt;"")*(TRIM(_xlpm.grades)&lt;&gt;"")),_xlpm.uniquePairs,_xlfn.UNIQUE(_xlpm.pairs),_xlpm.sortedPairs,_xlfn._xlws.SORT(_xlpm.uniquePairs,1,1),INDEX(_xlpm.sortedPairs,ROWS($M$2:M48),2)),"")</f>
        <v>B12</v>
      </c>
      <c r="N48" s="17" t="str" cm="1">
        <f t="array" ref="N48">IF(OR(Table2[[#This Row],[Film]]="",Table2[[#This Row],[Grade]]=""),"",IFERROR(INDEX(Table4[Serial Number],MATCH(1,(Table4[Film]=Table2[[#This Row],[Film]])*(Table4[Grade]=Table2[[#This Row],[Grade]]),0)),""))</f>
        <v>RMB12</v>
      </c>
      <c r="O48" s="53">
        <f>IF(OR(Table2[[#This Row],[Film]]="",Table2[[#This Row],[Grade]]=""),"",SUMIFS(Table4[Price Calculated(€) Thickness &amp; QTY related],Table4[Film],Table2[[#This Row],[Film]],Table4[Grade],Table2[[#This Row],[Grade]]))</f>
        <v>1.0697100000000002</v>
      </c>
      <c r="P48" s="6"/>
      <c r="Q48" s="19" t="str" cm="1">
        <f t="array" ref="Q48">IFERROR(INDEX(Table2[Film],MATCH(0,COUNTIF($Q$1:Q47,Table2[Film])+IF(Table2[Film]="",1,0),0)),"")</f>
        <v/>
      </c>
      <c r="R48" s="57">
        <f>SUMIF(Table2[Film],"TIPA 312 MFG",Table2[Price Calculated(€) Thickness &amp; QTY related])+_xlfn.XLOOKUP("MET LUX ",HELPER!$A:$A,HELPER!$E:$E,0)</f>
        <v>5.3805880000000004</v>
      </c>
      <c r="S48" s="59">
        <f>IFERROR(R48*HELPER!$AK$2," ")</f>
        <v>6.2414820799999999</v>
      </c>
      <c r="T48" s="6"/>
      <c r="U48" s="2" t="s">
        <v>201</v>
      </c>
      <c r="V48" s="2" t="s">
        <v>16</v>
      </c>
      <c r="W48" s="2" t="s">
        <v>10</v>
      </c>
      <c r="X48" s="2" t="s">
        <v>81</v>
      </c>
      <c r="Y48" s="2" t="s">
        <v>38</v>
      </c>
      <c r="Z48" s="808" cm="1">
        <f t="array" ref="Z48">SUMPRODUCT((BOM!$A$2:$A$391=U48)*(BOM!$F$2:$F$391=Y48)*BOM!$H$2:$H$391*BOM!$G$2:$G$391)/SUMPRODUCT((BOM!$A$2:$A$391=U48)*BOM!$H$2:$H$391*BOM!$G$2:$G$391)</f>
        <v>1.5000000000000003E-2</v>
      </c>
      <c r="AA48" s="811">
        <f>SUMIF(tblResinWeightedQty12[Film],tblResinWeightedQty12[[#This Row],[Film]],tblResinWeightedQty12[Weighted QTY %])</f>
        <v>1.0000000000000002</v>
      </c>
    </row>
    <row r="49" spans="1:27">
      <c r="A49" s="25" t="s">
        <v>43</v>
      </c>
      <c r="B49" s="26" t="s">
        <v>6</v>
      </c>
      <c r="C49" s="28"/>
      <c r="D49" s="28" t="str">
        <f>IF(C49="","",IFERROR(_xlfn.XLOOKUP(C49,HELPER!$A$2:$A$81,HELPER!$B$2:$B$81,""),D49))</f>
        <v/>
      </c>
      <c r="E49" s="28" t="str">
        <f>IFERROR(_xlfn.XLOOKUP(D49,HELPER!$B:$B,HELPER!$C:$C,""),"")</f>
        <v/>
      </c>
      <c r="F49" s="27" t="str">
        <f>IFERROR(_xlfn.XLOOKUP(D49,HELPER!$B:$B,HELPER!$D:$D,""),"")</f>
        <v/>
      </c>
      <c r="G49" s="27">
        <v>24</v>
      </c>
      <c r="H49" s="31"/>
      <c r="I49" s="21" t="str">
        <f>IF(AND(H49&lt;&gt;"",IFERROR(_xlfn.XLOOKUP(D49,HELPER!$B:$B,HELPER!$E:$E,""),"")=""),"Missing price",IFERROR(_xlfn.XLOOKUP(D49,HELPER!$B:$B,HELPER!$E:$E,"")," "))</f>
        <v/>
      </c>
      <c r="J49" s="54" t="str">
        <f>IFERROR(H49*(IF(G49=8,I49*HELPER!$G$2,BOM!I49*HELPER!$G$3))," ")</f>
        <v xml:space="preserve"> </v>
      </c>
      <c r="K49" s="6"/>
      <c r="L49" s="14" t="str" cm="1">
        <f t="array" ref="L49">IFERROR(_xlfn.LET(_xlpm.films,Table4[Film],_xlpm.grades,Table4[Grade],_xlpm.pairs,_xlfn._xlws.FILTER(_xlfn.HSTACK(_xlpm.films,_xlpm.grades),(_xlpm.films&lt;&gt;"")*(TRIM(_xlpm.grades)&lt;&gt;"")),_xlpm.uniquePairs,_xlfn.UNIQUE(_xlpm.pairs),_xlpm.sortedPairs,_xlfn._xlws.SORT(_xlpm.uniquePairs,1,1),INDEX(_xlpm.sortedPairs,ROWS($L$2:L49),1)),"")</f>
        <v>TIPA 312 MFG</v>
      </c>
      <c r="M49" s="15" t="str" cm="1">
        <f t="array" ref="M49">IFERROR(_xlfn.LET(_xlpm.films,Table4[Film],_xlpm.grades,Table4[Grade],_xlpm.pairs,_xlfn._xlws.FILTER(_xlfn.HSTACK(_xlpm.films,_xlpm.grades),(_xlpm.films&lt;&gt;"")*(TRIM(_xlpm.grades)&lt;&gt;"")),_xlpm.uniquePairs,_xlfn.UNIQUE(_xlpm.pairs),_xlpm.sortedPairs,_xlfn._xlws.SORT(_xlpm.uniquePairs,1,1),INDEX(_xlpm.sortedPairs,ROWS($M$2:M49),2)),"")</f>
        <v>FD92PM</v>
      </c>
      <c r="N49" s="15" t="str" cm="1">
        <f t="array" ref="N49">IF(OR(Table2[[#This Row],[Film]]="",Table2[[#This Row],[Grade]]=""),"",IFERROR(INDEX(Table4[Serial Number],MATCH(1,(Table4[Film]=Table2[[#This Row],[Film]])*(Table4[Grade]=Table2[[#This Row],[Grade]]),0)),""))</f>
        <v>RMPM2</v>
      </c>
      <c r="O49" s="52">
        <f>IF(OR(Table2[[#This Row],[Film]]="",Table2[[#This Row],[Grade]]=""),"",SUMIFS(Table4[Price Calculated(€) Thickness &amp; QTY related],Table4[Film],Table2[[#This Row],[Film]],Table4[Grade],Table2[[#This Row],[Grade]]))</f>
        <v>1.0867500000000001</v>
      </c>
      <c r="P49" s="6"/>
      <c r="Q49" s="20" t="str" cm="1">
        <f t="array" ref="Q49">IFERROR(INDEX(Table2[Film],MATCH(0,COUNTIF($Q$1:Q48,Table2[Film])+IF(Table2[Film]="",1,0),0)),"")</f>
        <v/>
      </c>
      <c r="R49" s="58">
        <f>SUMIF(Table2[Film],"TIPA 312 MFG",Table2[Price Calculated(€) Thickness &amp; QTY related])+_xlfn.XLOOKUP("MET LUX ",HELPER!$A:$A,HELPER!$E:$E,0)</f>
        <v>5.3805880000000004</v>
      </c>
      <c r="S49" s="60">
        <f>IFERROR(R49*HELPER!$AK$2," ")</f>
        <v>6.2414820799999999</v>
      </c>
      <c r="T49" s="6"/>
      <c r="U49" s="2" t="s">
        <v>201</v>
      </c>
      <c r="V49" s="2" t="s">
        <v>17</v>
      </c>
      <c r="W49" s="2" t="s">
        <v>11</v>
      </c>
      <c r="X49" s="2" t="s">
        <v>82</v>
      </c>
      <c r="Y49" s="2" t="s">
        <v>39</v>
      </c>
      <c r="Z49" s="808" cm="1">
        <f t="array" ref="Z49">SUMPRODUCT((BOM!$A$2:$A$391=U49)*(BOM!$F$2:$F$391=Y49)*BOM!$H$2:$H$391*BOM!$G$2:$G$391)/SUMPRODUCT((BOM!$A$2:$A$391=U49)*BOM!$H$2:$H$391*BOM!$G$2:$G$391)</f>
        <v>4.6000000000000008E-3</v>
      </c>
      <c r="AA49" s="811">
        <f>SUMIF(tblResinWeightedQty12[Film],tblResinWeightedQty12[[#This Row],[Film]],tblResinWeightedQty12[Weighted QTY %])</f>
        <v>1.0000000000000002</v>
      </c>
    </row>
    <row r="50" spans="1:27">
      <c r="A50" s="25" t="s">
        <v>43</v>
      </c>
      <c r="B50" s="26" t="s">
        <v>6</v>
      </c>
      <c r="C50" s="28"/>
      <c r="D50" s="28" t="str">
        <f>IF(C50="","",IFERROR(_xlfn.XLOOKUP(C50,HELPER!$A$2:$A$81,HELPER!$B$2:$B$81,""),D50))</f>
        <v/>
      </c>
      <c r="E50" s="28" t="str">
        <f>IFERROR(_xlfn.XLOOKUP(D50,HELPER!$B:$B,HELPER!$C:$C,""),"")</f>
        <v/>
      </c>
      <c r="F50" s="27" t="str">
        <f>IFERROR(_xlfn.XLOOKUP(D50,HELPER!$B:$B,HELPER!$D:$D,""),"")</f>
        <v/>
      </c>
      <c r="G50" s="27">
        <v>24</v>
      </c>
      <c r="H50" s="31"/>
      <c r="I50" s="21" t="str">
        <f>IF(AND(H50&lt;&gt;"",IFERROR(_xlfn.XLOOKUP(D50,HELPER!$B:$B,HELPER!$E:$E,""),"")=""),"Missing price",IFERROR(_xlfn.XLOOKUP(D50,HELPER!$B:$B,HELPER!$E:$E,"")," "))</f>
        <v/>
      </c>
      <c r="J50" s="54" t="str">
        <f>IFERROR(H50*(IF(G50=8,I50*HELPER!$G$2,BOM!I50*HELPER!$G$3))," ")</f>
        <v xml:space="preserve"> </v>
      </c>
      <c r="K50" s="6"/>
      <c r="L50" s="16" t="str" cm="1">
        <f t="array" ref="L50">IFERROR(_xlfn.LET(_xlpm.films,Table4[Film],_xlpm.grades,Table4[Grade],_xlpm.pairs,_xlfn._xlws.FILTER(_xlfn.HSTACK(_xlpm.films,_xlpm.grades),(_xlpm.films&lt;&gt;"")*(TRIM(_xlpm.grades)&lt;&gt;"")),_xlpm.uniquePairs,_xlfn.UNIQUE(_xlpm.pairs),_xlpm.sortedPairs,_xlfn._xlws.SORT(_xlpm.uniquePairs,1,1),INDEX(_xlpm.sortedPairs,ROWS($L$2:L50),1)),"")</f>
        <v>TIPA 312 MFG</v>
      </c>
      <c r="M50" s="17" t="str" cm="1">
        <f t="array" ref="M50">IFERROR(_xlfn.LET(_xlpm.films,Table4[Film],_xlpm.grades,Table4[Grade],_xlpm.pairs,_xlfn._xlws.FILTER(_xlfn.HSTACK(_xlpm.films,_xlpm.grades),(_xlpm.films&lt;&gt;"")*(TRIM(_xlpm.grades)&lt;&gt;"")),_xlpm.uniquePairs,_xlfn.UNIQUE(_xlpm.pairs),_xlpm.sortedPairs,_xlfn._xlws.SORT(_xlpm.uniquePairs,1,1),INDEX(_xlpm.sortedPairs,ROWS($M$2:M50),2)),"")</f>
        <v>KAB59A</v>
      </c>
      <c r="N50" s="17" t="str" cm="1">
        <f t="array" ref="N50">IF(OR(Table2[[#This Row],[Film]]="",Table2[[#This Row],[Grade]]=""),"",IFERROR(INDEX(Table4[Serial Number],MATCH(1,(Table4[Film]=Table2[[#This Row],[Film]])*(Table4[Grade]=Table2[[#This Row],[Grade]]),0)),""))</f>
        <v>RM A KAB59A</v>
      </c>
      <c r="O50" s="53">
        <f>IF(OR(Table2[[#This Row],[Film]]="",Table2[[#This Row],[Grade]]=""),"",SUMIFS(Table4[Price Calculated(€) Thickness &amp; QTY related],Table4[Film],Table2[[#This Row],[Film]],Table4[Grade],Table2[[#This Row],[Grade]]))</f>
        <v>2.265E-2</v>
      </c>
      <c r="P50" s="6"/>
      <c r="Q50" s="19" t="str" cm="1">
        <f t="array" ref="Q50">IFERROR(INDEX(Table2[Film],MATCH(0,COUNTIF($Q$1:Q49,Table2[Film])+IF(Table2[Film]="",1,0),0)),"")</f>
        <v/>
      </c>
      <c r="R50" s="57">
        <f>SUMIF(Table2[Film],"TIPA 312 MFG",Table2[Price Calculated(€) Thickness &amp; QTY related])+_xlfn.XLOOKUP("MET LUX ",HELPER!$A:$A,HELPER!$E:$E,0)</f>
        <v>5.3805880000000004</v>
      </c>
      <c r="S50" s="59">
        <f>IFERROR(R50*HELPER!$AK$2," ")</f>
        <v>6.2414820799999999</v>
      </c>
      <c r="T50" s="6"/>
      <c r="U50" s="2" t="s">
        <v>201</v>
      </c>
      <c r="V50" s="2" t="s">
        <v>18</v>
      </c>
      <c r="W50" s="2" t="s">
        <v>9</v>
      </c>
      <c r="X50" s="2" t="s">
        <v>83</v>
      </c>
      <c r="Y50" s="2" t="s">
        <v>40</v>
      </c>
      <c r="Z50" s="808" cm="1">
        <f t="array" ref="Z50">SUMPRODUCT((BOM!$A$2:$A$391=U50)*(BOM!$F$2:$F$391=Y50)*BOM!$H$2:$H$391*BOM!$G$2:$G$391)/SUMPRODUCT((BOM!$A$2:$A$391=U50)*BOM!$H$2:$H$391*BOM!$G$2:$G$391)</f>
        <v>3.0000000000000005E-3</v>
      </c>
      <c r="AA50" s="811">
        <f>SUMIF(tblResinWeightedQty12[Film],tblResinWeightedQty12[[#This Row],[Film]],tblResinWeightedQty12[Weighted QTY %])</f>
        <v>1.0000000000000002</v>
      </c>
    </row>
    <row r="51" spans="1:27">
      <c r="A51" s="29" t="s">
        <v>43</v>
      </c>
      <c r="B51" s="29" t="s">
        <v>6</v>
      </c>
      <c r="C51" s="43"/>
      <c r="D51" s="28" t="str">
        <f>IF(C51="","",IFERROR(_xlfn.XLOOKUP(C51,HELPER!$A$2:$A$81,HELPER!$B$2:$B$81,""),D51))</f>
        <v/>
      </c>
      <c r="E51" s="28" t="str">
        <f>IFERROR(_xlfn.XLOOKUP(D51,HELPER!$B:$B,HELPER!$C:$C,""),"")</f>
        <v/>
      </c>
      <c r="F51" s="27" t="str">
        <f>IFERROR(_xlfn.XLOOKUP(D51,HELPER!$B:$B,HELPER!$D:$D,""),"")</f>
        <v/>
      </c>
      <c r="G51" s="44">
        <v>24</v>
      </c>
      <c r="H51" s="45"/>
      <c r="I51" s="46" t="str">
        <f>IF(AND(H51&lt;&gt;"",IFERROR(_xlfn.XLOOKUP(D51,HELPER!$B:$B,HELPER!$E:$E,""),"")=""),"Missing price",IFERROR(_xlfn.XLOOKUP(D51,HELPER!$B:$B,HELPER!$E:$E,"")," "))</f>
        <v/>
      </c>
      <c r="J51" s="55" t="str">
        <f>IFERROR(H51*(IF(G51=8,I51*HELPER!$G$2,BOM!I51*HELPER!$G$3))," ")</f>
        <v xml:space="preserve"> </v>
      </c>
      <c r="K51" s="6"/>
      <c r="L51" s="14" t="str" cm="1">
        <f t="array" ref="L51">IFERROR(_xlfn.LET(_xlpm.films,Table4[Film],_xlpm.grades,Table4[Grade],_xlpm.pairs,_xlfn._xlws.FILTER(_xlfn.HSTACK(_xlpm.films,_xlpm.grades),(_xlpm.films&lt;&gt;"")*(TRIM(_xlpm.grades)&lt;&gt;"")),_xlpm.uniquePairs,_xlfn.UNIQUE(_xlpm.pairs),_xlpm.sortedPairs,_xlfn._xlws.SORT(_xlpm.uniquePairs,1,1),INDEX(_xlpm.sortedPairs,ROWS($L$2:L51),1)),"")</f>
        <v>TIPA 312 MFG</v>
      </c>
      <c r="M51" s="15" t="str" cm="1">
        <f t="array" ref="M51">IFERROR(_xlfn.LET(_xlpm.films,Table4[Film],_xlpm.grades,Table4[Grade],_xlpm.pairs,_xlfn._xlws.FILTER(_xlfn.HSTACK(_xlpm.films,_xlpm.grades),(_xlpm.films&lt;&gt;"")*(TRIM(_xlpm.grades)&lt;&gt;"")),_xlpm.uniquePairs,_xlfn.UNIQUE(_xlpm.pairs),_xlpm.sortedPairs,_xlfn._xlws.SORT(_xlpm.uniquePairs,1,1),INDEX(_xlpm.sortedPairs,ROWS($M$2:M51),2)),"")</f>
        <v>S724</v>
      </c>
      <c r="N51" s="15" t="str" cm="1">
        <f t="array" ref="N51">IF(OR(Table2[[#This Row],[Film]]="",Table2[[#This Row],[Grade]]=""),"",IFERROR(INDEX(Table4[Serial Number],MATCH(1,(Table4[Film]=Table2[[#This Row],[Film]])*(Table4[Grade]=Table2[[#This Row],[Grade]]),0)),""))</f>
        <v>RM TA45-08 S724</v>
      </c>
      <c r="O51" s="52">
        <f>IF(OR(Table2[[#This Row],[Film]]="",Table2[[#This Row],[Grade]]=""),"",SUMIFS(Table4[Price Calculated(€) Thickness &amp; QTY related],Table4[Film],Table2[[#This Row],[Film]],Table4[Grade],Table2[[#This Row],[Grade]]))</f>
        <v>6.762E-2</v>
      </c>
      <c r="P51" s="6"/>
      <c r="T51" s="6"/>
      <c r="U51" s="2" t="s">
        <v>201</v>
      </c>
      <c r="V51" s="2" t="s">
        <v>12</v>
      </c>
      <c r="W51" s="2" t="s">
        <v>8</v>
      </c>
      <c r="X51" s="2" t="s">
        <v>84</v>
      </c>
      <c r="Y51" s="2" t="s">
        <v>42</v>
      </c>
      <c r="Z51" s="808" cm="1">
        <f t="array" ref="Z51">SUMPRODUCT((BOM!$A$2:$A$391=U51)*(BOM!$F$2:$F$391=Y51)*BOM!$H$2:$H$391*BOM!$G$2:$G$391)/SUMPRODUCT((BOM!$A$2:$A$391=U51)*BOM!$H$2:$H$391*BOM!$G$2:$G$391)</f>
        <v>0.16100000000000003</v>
      </c>
      <c r="AA51" s="811">
        <f>SUMIF(tblResinWeightedQty12[Film],tblResinWeightedQty12[[#This Row],[Film]],tblResinWeightedQty12[Weighted QTY %])</f>
        <v>1.0000000000000002</v>
      </c>
    </row>
    <row r="52" spans="1:27">
      <c r="A52" s="29" t="s">
        <v>43</v>
      </c>
      <c r="B52" s="29" t="s">
        <v>7</v>
      </c>
      <c r="C52" s="28" t="s">
        <v>12</v>
      </c>
      <c r="D52" s="28" t="str">
        <f>IF(C52="","",IFERROR(_xlfn.XLOOKUP(C52,HELPER!$A$2:$A$81,HELPER!$B$2:$B$81,""),D52))</f>
        <v>FD92PM</v>
      </c>
      <c r="E52" s="28" t="str">
        <f>IFERROR(_xlfn.XLOOKUP(D52,HELPER!$B:$B,HELPER!$C:$C,""),"")</f>
        <v>RMPM2</v>
      </c>
      <c r="F52" s="27" t="str">
        <f>IFERROR(_xlfn.XLOOKUP(D52,HELPER!$B:$B,HELPER!$D:$D,""),"")</f>
        <v>Resin 9C</v>
      </c>
      <c r="G52" s="27">
        <v>8</v>
      </c>
      <c r="H52" s="32">
        <v>0.81</v>
      </c>
      <c r="I52" s="8">
        <f>IF(AND(H52&lt;&gt;"",IFERROR(_xlfn.XLOOKUP(D52,HELPER!$B:$B,HELPER!$E:$E,""),"")=""),"Missing price",IFERROR(_xlfn.XLOOKUP(D52,HELPER!$B:$B,HELPER!$E:$E,"")," "))</f>
        <v>6.75</v>
      </c>
      <c r="J52" s="48">
        <f>IFERROR(H52*(IF(G52=8,I52*HELPER!$G$2,BOM!I52*HELPER!$G$3))," ")</f>
        <v>1.0935000000000001</v>
      </c>
      <c r="K52" s="6"/>
      <c r="L52" s="16" t="str" cm="1">
        <f t="array" ref="L52">IFERROR(_xlfn.LET(_xlpm.films,Table4[Film],_xlpm.grades,Table4[Grade],_xlpm.pairs,_xlfn._xlws.FILTER(_xlfn.HSTACK(_xlpm.films,_xlpm.grades),(_xlpm.films&lt;&gt;"")*(TRIM(_xlpm.grades)&lt;&gt;"")),_xlpm.uniquePairs,_xlfn.UNIQUE(_xlpm.pairs),_xlpm.sortedPairs,_xlfn._xlws.SORT(_xlpm.uniquePairs,1,1),INDEX(_xlpm.sortedPairs,ROWS($L$2:L52),1)),"")</f>
        <v>TIPA 312MFGW</v>
      </c>
      <c r="M52" s="17" t="str" cm="1">
        <f t="array" ref="M52">IFERROR(_xlfn.LET(_xlpm.films,Table4[Film],_xlpm.grades,Table4[Grade],_xlpm.pairs,_xlfn._xlws.FILTER(_xlfn.HSTACK(_xlpm.films,_xlpm.grades),(_xlpm.films&lt;&gt;"")*(TRIM(_xlpm.grades)&lt;&gt;"")),_xlpm.uniquePairs,_xlfn.UNIQUE(_xlpm.pairs),_xlpm.sortedPairs,_xlfn._xlws.SORT(_xlpm.uniquePairs,1,1),INDEX(_xlpm.sortedPairs,ROWS($M$2:M52),2)),"")</f>
        <v>LX175</v>
      </c>
      <c r="N52" s="17" t="str" cm="1">
        <f t="array" ref="N52">IF(OR(Table2[[#This Row],[Film]]="",Table2[[#This Row],[Grade]]=""),"",IFERROR(INDEX(Table4[Serial Number],MATCH(1,(Table4[Film]=Table2[[#This Row],[Film]])*(Table4[Grade]=Table2[[#This Row],[Grade]]),0)),""))</f>
        <v>RMLX175</v>
      </c>
      <c r="O52" s="53">
        <f>IF(OR(Table2[[#This Row],[Film]]="",Table2[[#This Row],[Grade]]=""),"",SUMIFS(Table4[Price Calculated(€) Thickness &amp; QTY related],Table4[Film],Table2[[#This Row],[Film]],Table4[Grade],Table2[[#This Row],[Grade]]))</f>
        <v>0.59405799999999997</v>
      </c>
      <c r="P52" s="6"/>
      <c r="T52" s="6"/>
      <c r="U52" s="2" t="s">
        <v>52</v>
      </c>
      <c r="V52" s="2" t="s">
        <v>41</v>
      </c>
      <c r="W52" s="2" t="s">
        <v>26</v>
      </c>
      <c r="X52" s="2" t="s">
        <v>26</v>
      </c>
      <c r="Y52" s="2" t="s">
        <v>54</v>
      </c>
      <c r="Z52" s="808" cm="1">
        <f t="array" ref="Z52">SUMPRODUCT((BOM!$A$2:$A$391=U52)*(BOM!$F$2:$F$391=Y52)*BOM!$H$2:$H$391*BOM!$G$2:$G$391)/SUMPRODUCT((BOM!$A$2:$A$391=U52)*BOM!$H$2:$H$391*BOM!$G$2:$G$391)</f>
        <v>6.0000000000000019E-2</v>
      </c>
      <c r="AA52" s="811">
        <f>SUMIF(tblResinWeightedQty12[Film],tblResinWeightedQty12[[#This Row],[Film]],tblResinWeightedQty12[Weighted QTY %])</f>
        <v>1.0000000000000004</v>
      </c>
    </row>
    <row r="53" spans="1:27">
      <c r="A53" s="29" t="s">
        <v>43</v>
      </c>
      <c r="B53" s="29" t="s">
        <v>7</v>
      </c>
      <c r="C53" s="28" t="s">
        <v>13</v>
      </c>
      <c r="D53" s="28" t="str">
        <f>IF(C53="","",IFERROR(_xlfn.XLOOKUP(C53,HELPER!$A$2:$A$81,HELPER!$B$2:$B$81,""),D53))</f>
        <v>LX175</v>
      </c>
      <c r="E53" s="28" t="str">
        <f>IFERROR(_xlfn.XLOOKUP(D53,HELPER!$B:$B,HELPER!$C:$C,""),"")</f>
        <v>RMLX175</v>
      </c>
      <c r="F53" s="27" t="str">
        <f>IFERROR(_xlfn.XLOOKUP(D53,HELPER!$B:$B,HELPER!$D:$D,""),"")</f>
        <v>Resin 1A</v>
      </c>
      <c r="G53" s="27">
        <v>8</v>
      </c>
      <c r="H53" s="32">
        <v>0.14399999999999999</v>
      </c>
      <c r="I53" s="8">
        <f>IF(AND(H53&lt;&gt;"",IFERROR(_xlfn.XLOOKUP(D53,HELPER!$B:$B,HELPER!$E:$E,""),"")=""),"Missing price",IFERROR(_xlfn.XLOOKUP(D53,HELPER!$B:$B,HELPER!$E:$E,"")," "))</f>
        <v>3.17</v>
      </c>
      <c r="J53" s="48">
        <f>IFERROR(H53*(IF(G53=8,I53*HELPER!$G$2,BOM!I53*HELPER!$G$3))," ")</f>
        <v>9.1295999999999988E-2</v>
      </c>
      <c r="K53" s="6"/>
      <c r="L53" s="14" t="str" cm="1">
        <f t="array" ref="L53">IFERROR(_xlfn.LET(_xlpm.films,Table4[Film],_xlpm.grades,Table4[Grade],_xlpm.pairs,_xlfn._xlws.FILTER(_xlfn.HSTACK(_xlpm.films,_xlpm.grades),(_xlpm.films&lt;&gt;"")*(TRIM(_xlpm.grades)&lt;&gt;"")),_xlpm.uniquePairs,_xlfn.UNIQUE(_xlpm.pairs),_xlpm.sortedPairs,_xlfn._xlws.SORT(_xlpm.uniquePairs,1,1),INDEX(_xlpm.sortedPairs,ROWS($L$2:L53),1)),"")</f>
        <v>TIPA 312MFGW</v>
      </c>
      <c r="M53" s="15" t="str" cm="1">
        <f t="array" ref="M53">IFERROR(_xlfn.LET(_xlpm.films,Table4[Film],_xlpm.grades,Table4[Grade],_xlpm.pairs,_xlfn._xlws.FILTER(_xlfn.HSTACK(_xlpm.films,_xlpm.grades),(_xlpm.films&lt;&gt;"")*(TRIM(_xlpm.grades)&lt;&gt;"")),_xlpm.uniquePairs,_xlfn.UNIQUE(_xlpm.pairs),_xlpm.sortedPairs,_xlfn._xlws.SORT(_xlpm.uniquePairs,1,1),INDEX(_xlpm.sortedPairs,ROWS($M$2:M53),2)),"")</f>
        <v>P65D</v>
      </c>
      <c r="N53" s="15" t="str" cm="1">
        <f t="array" ref="N53">IF(OR(Table2[[#This Row],[Film]]="",Table2[[#This Row],[Grade]]=""),"",IFERROR(INDEX(Table4[Serial Number],MATCH(1,(Table4[Film]=Table2[[#This Row],[Film]])*(Table4[Grade]=Table2[[#This Row],[Grade]]),0)),""))</f>
        <v>RMP65D</v>
      </c>
      <c r="O53" s="52">
        <f>IF(OR(Table2[[#This Row],[Film]]="",Table2[[#This Row],[Grade]]=""),"",SUMIFS(Table4[Price Calculated(€) Thickness &amp; QTY related],Table4[Film],Table2[[#This Row],[Film]],Table4[Grade],Table2[[#This Row],[Grade]]))</f>
        <v>0.27739999999999998</v>
      </c>
      <c r="P53" s="6"/>
      <c r="T53" s="6"/>
      <c r="U53" s="2" t="s">
        <v>52</v>
      </c>
      <c r="V53" s="2" t="s">
        <v>13</v>
      </c>
      <c r="W53" s="2" t="s">
        <v>74</v>
      </c>
      <c r="X53" s="2" t="s">
        <v>75</v>
      </c>
      <c r="Y53" s="2" t="s">
        <v>33</v>
      </c>
      <c r="Z53" s="808" cm="1">
        <f t="array" ref="Z53">SUMPRODUCT((BOM!$A$2:$A$391=U53)*(BOM!$F$2:$F$391=Y53)*BOM!$H$2:$H$391*BOM!$G$2:$G$391)/SUMPRODUCT((BOM!$A$2:$A$391=U53)*BOM!$H$2:$H$391*BOM!$G$2:$G$391)</f>
        <v>0.18740000000000004</v>
      </c>
      <c r="AA53" s="811">
        <f>SUMIF(tblResinWeightedQty12[Film],tblResinWeightedQty12[[#This Row],[Film]],tblResinWeightedQty12[Weighted QTY %])</f>
        <v>1.0000000000000004</v>
      </c>
    </row>
    <row r="54" spans="1:27">
      <c r="A54" s="29" t="s">
        <v>43</v>
      </c>
      <c r="B54" s="29" t="s">
        <v>7</v>
      </c>
      <c r="C54" s="28" t="s">
        <v>18</v>
      </c>
      <c r="D54" s="28" t="str">
        <f>IF(C54="","",IFERROR(_xlfn.XLOOKUP(C54,HELPER!$A$2:$A$81,HELPER!$B$2:$B$81,""),D54))</f>
        <v>KAB59A</v>
      </c>
      <c r="E54" s="28" t="str">
        <f>IFERROR(_xlfn.XLOOKUP(D54,HELPER!$B:$B,HELPER!$C:$C,""),"")</f>
        <v>RM A KAB59A</v>
      </c>
      <c r="F54" s="27" t="str">
        <f>IFERROR(_xlfn.XLOOKUP(D54,HELPER!$B:$B,HELPER!$D:$D,""),"")</f>
        <v>Resin 8</v>
      </c>
      <c r="G54" s="27">
        <v>8</v>
      </c>
      <c r="H54" s="32">
        <v>1.4999999999999999E-2</v>
      </c>
      <c r="I54" s="8">
        <f>IF(AND(H54&lt;&gt;"",IFERROR(_xlfn.XLOOKUP(D54,HELPER!$B:$B,HELPER!$E:$E,""),"")=""),"Missing price",IFERROR(_xlfn.XLOOKUP(D54,HELPER!$B:$B,HELPER!$E:$E,"")," "))</f>
        <v>7.55</v>
      </c>
      <c r="J54" s="48">
        <f>IFERROR(H54*(IF(G54=8,I54*HELPER!$G$2,BOM!I54*HELPER!$G$3))," ")</f>
        <v>2.265E-2</v>
      </c>
      <c r="K54" s="6"/>
      <c r="L54" s="16" t="str" cm="1">
        <f t="array" ref="L54">IFERROR(_xlfn.LET(_xlpm.films,Table4[Film],_xlpm.grades,Table4[Grade],_xlpm.pairs,_xlfn._xlws.FILTER(_xlfn.HSTACK(_xlpm.films,_xlpm.grades),(_xlpm.films&lt;&gt;"")*(TRIM(_xlpm.grades)&lt;&gt;"")),_xlpm.uniquePairs,_xlfn.UNIQUE(_xlpm.pairs),_xlpm.sortedPairs,_xlfn._xlws.SORT(_xlpm.uniquePairs,1,1),INDEX(_xlpm.sortedPairs,ROWS($L$2:L54),1)),"")</f>
        <v>TIPA 312MFGW</v>
      </c>
      <c r="M54" s="17" t="str" cm="1">
        <f t="array" ref="M54">IFERROR(_xlfn.LET(_xlpm.films,Table4[Film],_xlpm.grades,Table4[Grade],_xlpm.pairs,_xlfn._xlws.FILTER(_xlfn.HSTACK(_xlpm.films,_xlpm.grades),(_xlpm.films&lt;&gt;"")*(TRIM(_xlpm.grades)&lt;&gt;"")),_xlpm.uniquePairs,_xlfn.UNIQUE(_xlpm.pairs),_xlpm.sortedPairs,_xlfn._xlws.SORT(_xlpm.uniquePairs,1,1),INDEX(_xlpm.sortedPairs,ROWS($M$2:M54),2)),"")</f>
        <v>S723</v>
      </c>
      <c r="N54" s="17" t="str" cm="1">
        <f t="array" ref="N54">IF(OR(Table2[[#This Row],[Film]]="",Table2[[#This Row],[Grade]]=""),"",IFERROR(INDEX(Table4[Serial Number],MATCH(1,(Table4[Film]=Table2[[#This Row],[Film]])*(Table4[Grade]=Table2[[#This Row],[Grade]]),0)),""))</f>
        <v>RM TA45-08 S723</v>
      </c>
      <c r="O54" s="53">
        <f>IF(OR(Table2[[#This Row],[Film]]="",Table2[[#This Row],[Grade]]=""),"",SUMIFS(Table4[Price Calculated(€) Thickness &amp; QTY related],Table4[Film],Table2[[#This Row],[Film]],Table4[Grade],Table2[[#This Row],[Grade]]))</f>
        <v>0.24239999999999998</v>
      </c>
      <c r="P54" s="6"/>
      <c r="T54" s="6"/>
      <c r="U54" s="2" t="s">
        <v>52</v>
      </c>
      <c r="V54" s="2" t="s">
        <v>14</v>
      </c>
      <c r="W54" s="2" t="s">
        <v>23</v>
      </c>
      <c r="X54" s="2" t="s">
        <v>77</v>
      </c>
      <c r="Y54" s="2" t="s">
        <v>35</v>
      </c>
      <c r="Z54" s="808" cm="1">
        <f t="array" ref="Z54">SUMPRODUCT((BOM!$A$2:$A$391=U54)*(BOM!$F$2:$F$391=Y54)*BOM!$H$2:$H$391*BOM!$G$2:$G$391)/SUMPRODUCT((BOM!$A$2:$A$391=U54)*BOM!$H$2:$H$391*BOM!$G$2:$G$391)</f>
        <v>0.53100000000000014</v>
      </c>
      <c r="AA54" s="811">
        <f>SUMIF(tblResinWeightedQty12[Film],tblResinWeightedQty12[[#This Row],[Film]],tblResinWeightedQty12[Weighted QTY %])</f>
        <v>1.0000000000000004</v>
      </c>
    </row>
    <row r="55" spans="1:27">
      <c r="A55" s="29" t="s">
        <v>43</v>
      </c>
      <c r="B55" s="29" t="s">
        <v>7</v>
      </c>
      <c r="C55" s="28" t="s">
        <v>16</v>
      </c>
      <c r="D55" s="28" t="str">
        <f>IF(C55="","",IFERROR(_xlfn.XLOOKUP(C55,HELPER!$A$2:$A$81,HELPER!$B$2:$B$81,""),D55))</f>
        <v>S723</v>
      </c>
      <c r="E55" s="28" t="str">
        <f>IFERROR(_xlfn.XLOOKUP(D55,HELPER!$B:$B,HELPER!$C:$C,""),"")</f>
        <v>RM TA45-08 S723</v>
      </c>
      <c r="F55" s="27" t="str">
        <f>IFERROR(_xlfn.XLOOKUP(D55,HELPER!$B:$B,HELPER!$D:$D,""),"")</f>
        <v>Resin 6</v>
      </c>
      <c r="G55" s="27">
        <v>8</v>
      </c>
      <c r="H55" s="32">
        <v>1.4999999999999999E-2</v>
      </c>
      <c r="I55" s="8">
        <f>IF(AND(H55&lt;&gt;"",IFERROR(_xlfn.XLOOKUP(D55,HELPER!$B:$B,HELPER!$E:$E,""),"")=""),"Missing price",IFERROR(_xlfn.XLOOKUP(D55,HELPER!$B:$B,HELPER!$E:$E,"")," "))</f>
        <v>16.16</v>
      </c>
      <c r="J55" s="48">
        <f>IFERROR(H55*(IF(G55=8,I55*HELPER!$G$2,BOM!I55*HELPER!$G$3))," ")</f>
        <v>4.8480000000000002E-2</v>
      </c>
      <c r="K55" s="6"/>
      <c r="L55" s="14" t="str" cm="1">
        <f t="array" ref="L55">IFERROR(_xlfn.LET(_xlpm.films,Table4[Film],_xlpm.grades,Table4[Grade],_xlpm.pairs,_xlfn._xlws.FILTER(_xlfn.HSTACK(_xlpm.films,_xlpm.grades),(_xlpm.films&lt;&gt;"")*(TRIM(_xlpm.grades)&lt;&gt;"")),_xlpm.uniquePairs,_xlfn.UNIQUE(_xlpm.pairs),_xlpm.sortedPairs,_xlfn._xlws.SORT(_xlpm.uniquePairs,1,1),INDEX(_xlpm.sortedPairs,ROWS($L$2:L55),1)),"")</f>
        <v>TIPA 312MFGW</v>
      </c>
      <c r="M55" s="15" t="str" cm="1">
        <f t="array" ref="M55">IFERROR(_xlfn.LET(_xlpm.films,Table4[Film],_xlpm.grades,Table4[Grade],_xlpm.pairs,_xlfn._xlws.FILTER(_xlfn.HSTACK(_xlpm.films,_xlpm.grades),(_xlpm.films&lt;&gt;"")*(TRIM(_xlpm.grades)&lt;&gt;"")),_xlpm.uniquePairs,_xlfn.UNIQUE(_xlpm.pairs),_xlpm.sortedPairs,_xlfn._xlws.SORT(_xlpm.uniquePairs,1,1),INDEX(_xlpm.sortedPairs,ROWS($M$2:M55),2)),"")</f>
        <v>RM WHITE BIO8153</v>
      </c>
      <c r="N55" s="15" t="str" cm="1">
        <f t="array" ref="N55">IF(OR(Table2[[#This Row],[Film]]="",Table2[[#This Row],[Grade]]=""),"",IFERROR(INDEX(Table4[Serial Number],MATCH(1,(Table4[Film]=Table2[[#This Row],[Film]])*(Table4[Grade]=Table2[[#This Row],[Grade]]),0)),""))</f>
        <v>RM WHITE BIO8153</v>
      </c>
      <c r="O55" s="52">
        <f>IF(OR(Table2[[#This Row],[Film]]="",Table2[[#This Row],[Grade]]=""),"",SUMIFS(Table4[Price Calculated(€) Thickness &amp; QTY related],Table4[Film],Table2[[#This Row],[Film]],Table4[Grade],Table2[[#This Row],[Grade]]))</f>
        <v>0.36899999999999999</v>
      </c>
      <c r="P55" s="6"/>
      <c r="T55" s="6"/>
      <c r="U55" s="2" t="s">
        <v>52</v>
      </c>
      <c r="V55" s="2" t="s">
        <v>15</v>
      </c>
      <c r="W55" s="2" t="s">
        <v>24</v>
      </c>
      <c r="X55" s="2" t="s">
        <v>80</v>
      </c>
      <c r="Y55" s="2" t="s">
        <v>37</v>
      </c>
      <c r="Z55" s="808" cm="1">
        <f t="array" ref="Z55">SUMPRODUCT((BOM!$A$2:$A$391=U55)*(BOM!$F$2:$F$391=Y55)*BOM!$H$2:$H$391*BOM!$G$2:$G$391)/SUMPRODUCT((BOM!$A$2:$A$391=U55)*BOM!$H$2:$H$391*BOM!$G$2:$G$391)</f>
        <v>3.8000000000000006E-2</v>
      </c>
      <c r="AA55" s="811">
        <f>SUMIF(tblResinWeightedQty12[Film],tblResinWeightedQty12[[#This Row],[Film]],tblResinWeightedQty12[Weighted QTY %])</f>
        <v>1.0000000000000004</v>
      </c>
    </row>
    <row r="56" spans="1:27">
      <c r="A56" s="29" t="s">
        <v>43</v>
      </c>
      <c r="B56" s="29" t="s">
        <v>7</v>
      </c>
      <c r="C56" s="28" t="s">
        <v>17</v>
      </c>
      <c r="D56" s="28" t="str">
        <f>IF(C56="","",IFERROR(_xlfn.XLOOKUP(C56,HELPER!$A$2:$A$81,HELPER!$B$2:$B$81,""),D56))</f>
        <v>S724</v>
      </c>
      <c r="E56" s="28" t="str">
        <f>IFERROR(_xlfn.XLOOKUP(D56,HELPER!$B:$B,HELPER!$C:$C,""),"")</f>
        <v>RM TA45-08 S724</v>
      </c>
      <c r="F56" s="27" t="str">
        <f>IFERROR(_xlfn.XLOOKUP(D56,HELPER!$B:$B,HELPER!$D:$D,""),"")</f>
        <v>Resin 7</v>
      </c>
      <c r="G56" s="27">
        <v>8</v>
      </c>
      <c r="H56" s="32">
        <v>1.6E-2</v>
      </c>
      <c r="I56" s="8">
        <f>IF(AND(H56&lt;&gt;"",IFERROR(_xlfn.XLOOKUP(D56,HELPER!$B:$B,HELPER!$E:$E,""),"")=""),"Missing price",IFERROR(_xlfn.XLOOKUP(D56,HELPER!$B:$B,HELPER!$E:$E,"")," "))</f>
        <v>14.7</v>
      </c>
      <c r="J56" s="48">
        <f>IFERROR(H56*(IF(G56=8,I56*HELPER!$G$2,BOM!I56*HELPER!$G$3))," ")</f>
        <v>4.7039999999999998E-2</v>
      </c>
      <c r="K56" s="6"/>
      <c r="L56" s="16" t="str" cm="1">
        <f t="array" ref="L56">IFERROR(_xlfn.LET(_xlpm.films,Table4[Film],_xlpm.grades,Table4[Grade],_xlpm.pairs,_xlfn._xlws.FILTER(_xlfn.HSTACK(_xlpm.films,_xlpm.grades),(_xlpm.films&lt;&gt;"")*(TRIM(_xlpm.grades)&lt;&gt;"")),_xlpm.uniquePairs,_xlfn.UNIQUE(_xlpm.pairs),_xlpm.sortedPairs,_xlfn._xlws.SORT(_xlpm.uniquePairs,1,1),INDEX(_xlpm.sortedPairs,ROWS($L$2:L56),1)),"")</f>
        <v>TIPA 312MFGW</v>
      </c>
      <c r="M56" s="17" t="str" cm="1">
        <f t="array" ref="M56">IFERROR(_xlfn.LET(_xlpm.films,Table4[Film],_xlpm.grades,Table4[Grade],_xlpm.pairs,_xlfn._xlws.FILTER(_xlfn.HSTACK(_xlpm.films,_xlpm.grades),(_xlpm.films&lt;&gt;"")*(TRIM(_xlpm.grades)&lt;&gt;"")),_xlpm.uniquePairs,_xlfn.UNIQUE(_xlpm.pairs),_xlpm.sortedPairs,_xlfn._xlws.SORT(_xlpm.uniquePairs,1,1),INDEX(_xlpm.sortedPairs,ROWS($M$2:M56),2)),"")</f>
        <v>B12</v>
      </c>
      <c r="N56" s="17" t="str" cm="1">
        <f t="array" ref="N56">IF(OR(Table2[[#This Row],[Film]]="",Table2[[#This Row],[Grade]]=""),"",IFERROR(INDEX(Table4[Serial Number],MATCH(1,(Table4[Film]=Table2[[#This Row],[Film]])*(Table4[Grade]=Table2[[#This Row],[Grade]]),0)),""))</f>
        <v>RMB12</v>
      </c>
      <c r="O56" s="53">
        <f>IF(OR(Table2[[#This Row],[Film]]="",Table2[[#This Row],[Grade]]=""),"",SUMIFS(Table4[Price Calculated(€) Thickness &amp; QTY related],Table4[Film],Table2[[#This Row],[Film]],Table4[Grade],Table2[[#This Row],[Grade]]))</f>
        <v>0.96111000000000013</v>
      </c>
      <c r="P56" s="6"/>
      <c r="T56" s="6"/>
      <c r="U56" s="2" t="s">
        <v>52</v>
      </c>
      <c r="V56" s="2" t="s">
        <v>16</v>
      </c>
      <c r="W56" s="2" t="s">
        <v>10</v>
      </c>
      <c r="X56" s="2" t="s">
        <v>81</v>
      </c>
      <c r="Y56" s="2" t="s">
        <v>38</v>
      </c>
      <c r="Z56" s="808" cm="1">
        <f t="array" ref="Z56">SUMPRODUCT((BOM!$A$2:$A$391=U56)*(BOM!$F$2:$F$391=Y56)*BOM!$H$2:$H$391*BOM!$G$2:$G$391)/SUMPRODUCT((BOM!$A$2:$A$391=U56)*BOM!$H$2:$H$391*BOM!$G$2:$G$391)</f>
        <v>1.5000000000000003E-2</v>
      </c>
      <c r="AA56" s="811">
        <f>SUMIF(tblResinWeightedQty12[Film],tblResinWeightedQty12[[#This Row],[Film]],tblResinWeightedQty12[Weighted QTY %])</f>
        <v>1.0000000000000004</v>
      </c>
    </row>
    <row r="57" spans="1:27">
      <c r="A57" s="29" t="s">
        <v>43</v>
      </c>
      <c r="B57" s="29" t="s">
        <v>7</v>
      </c>
      <c r="C57" s="28"/>
      <c r="D57" s="28" t="str">
        <f>IF(C57="","",IFERROR(_xlfn.XLOOKUP(C57,HELPER!$A$2:$A$81,HELPER!$B$2:$B$81,""),D57))</f>
        <v/>
      </c>
      <c r="E57" s="28" t="str">
        <f>IFERROR(_xlfn.XLOOKUP(D57,HELPER!$B:$B,HELPER!$C:$C,""),"")</f>
        <v/>
      </c>
      <c r="F57" s="27" t="str">
        <f>IFERROR(_xlfn.XLOOKUP(D57,HELPER!$B:$B,HELPER!$D:$D,""),"")</f>
        <v/>
      </c>
      <c r="G57" s="27">
        <v>8</v>
      </c>
      <c r="I57" s="8" t="str">
        <f>IF(AND(H57&lt;&gt;"",IFERROR(_xlfn.XLOOKUP(D57,HELPER!$B:$B,HELPER!$E:$E,""),"")=""),"Missing price",IFERROR(_xlfn.XLOOKUP(D57,HELPER!$B:$B,HELPER!$E:$E,"")," "))</f>
        <v/>
      </c>
      <c r="J57" s="48" t="str">
        <f>IFERROR(H57*(IF(G57=8,I57*HELPER!$G$2,BOM!I57*HELPER!$G$3))," ")</f>
        <v xml:space="preserve"> </v>
      </c>
      <c r="K57" s="6"/>
      <c r="L57" s="14" t="str" cm="1">
        <f t="array" ref="L57">IFERROR(_xlfn.LET(_xlpm.films,Table4[Film],_xlpm.grades,Table4[Grade],_xlpm.pairs,_xlfn._xlws.FILTER(_xlfn.HSTACK(_xlpm.films,_xlpm.grades),(_xlpm.films&lt;&gt;"")*(TRIM(_xlpm.grades)&lt;&gt;"")),_xlpm.uniquePairs,_xlfn.UNIQUE(_xlpm.pairs),_xlpm.sortedPairs,_xlfn._xlws.SORT(_xlpm.uniquePairs,1,1),INDEX(_xlpm.sortedPairs,ROWS($L$2:L57),1)),"")</f>
        <v>TIPA 312MFGW</v>
      </c>
      <c r="M57" s="15" t="str" cm="1">
        <f t="array" ref="M57">IFERROR(_xlfn.LET(_xlpm.films,Table4[Film],_xlpm.grades,Table4[Grade],_xlpm.pairs,_xlfn._xlws.FILTER(_xlfn.HSTACK(_xlpm.films,_xlpm.grades),(_xlpm.films&lt;&gt;"")*(TRIM(_xlpm.grades)&lt;&gt;"")),_xlpm.uniquePairs,_xlfn.UNIQUE(_xlpm.pairs),_xlpm.sortedPairs,_xlfn._xlws.SORT(_xlpm.uniquePairs,1,1),INDEX(_xlpm.sortedPairs,ROWS($M$2:M57),2)),"")</f>
        <v>FD92PM</v>
      </c>
      <c r="N57" s="15" t="str" cm="1">
        <f t="array" ref="N57">IF(OR(Table2[[#This Row],[Film]]="",Table2[[#This Row],[Grade]]=""),"",IFERROR(INDEX(Table4[Serial Number],MATCH(1,(Table4[Film]=Table2[[#This Row],[Film]])*(Table4[Grade]=Table2[[#This Row],[Grade]]),0)),""))</f>
        <v>RMPM2</v>
      </c>
      <c r="O57" s="52">
        <f>IF(OR(Table2[[#This Row],[Film]]="",Table2[[#This Row],[Grade]]=""),"",SUMIFS(Table4[Price Calculated(€) Thickness &amp; QTY related],Table4[Film],Table2[[#This Row],[Film]],Table4[Grade],Table2[[#This Row],[Grade]]))</f>
        <v>1.0867500000000001</v>
      </c>
      <c r="P57" s="6"/>
      <c r="T57" s="6"/>
      <c r="U57" s="2" t="s">
        <v>52</v>
      </c>
      <c r="V57" s="2" t="s">
        <v>17</v>
      </c>
      <c r="W57" s="2" t="s">
        <v>11</v>
      </c>
      <c r="X57" s="2" t="s">
        <v>82</v>
      </c>
      <c r="Y57" s="2" t="s">
        <v>39</v>
      </c>
      <c r="Z57" s="808" cm="1">
        <f t="array" ref="Z57">SUMPRODUCT((BOM!$A$2:$A$391=U57)*(BOM!$F$2:$F$391=Y57)*BOM!$H$2:$H$391*BOM!$G$2:$G$391)/SUMPRODUCT((BOM!$A$2:$A$391=U57)*BOM!$H$2:$H$391*BOM!$G$2:$G$391)</f>
        <v>4.6000000000000008E-3</v>
      </c>
      <c r="AA57" s="811">
        <f>SUMIF(tblResinWeightedQty12[Film],tblResinWeightedQty12[[#This Row],[Film]],tblResinWeightedQty12[Weighted QTY %])</f>
        <v>1.0000000000000004</v>
      </c>
    </row>
    <row r="58" spans="1:27">
      <c r="A58" s="29" t="s">
        <v>43</v>
      </c>
      <c r="B58" s="29" t="s">
        <v>7</v>
      </c>
      <c r="C58" s="28"/>
      <c r="D58" s="28" t="str">
        <f>IF(C58="","",IFERROR(_xlfn.XLOOKUP(C58,HELPER!$A$2:$A$81,HELPER!$B$2:$B$81,""),D58))</f>
        <v/>
      </c>
      <c r="E58" s="28" t="str">
        <f>IFERROR(_xlfn.XLOOKUP(D58,HELPER!$B:$B,HELPER!$C:$C,""),"")</f>
        <v/>
      </c>
      <c r="F58" s="27" t="str">
        <f>IFERROR(_xlfn.XLOOKUP(D58,HELPER!$B:$B,HELPER!$D:$D,""),"")</f>
        <v/>
      </c>
      <c r="G58" s="27">
        <v>8</v>
      </c>
      <c r="I58" s="8" t="str">
        <f>IF(AND(H58&lt;&gt;"",IFERROR(_xlfn.XLOOKUP(D58,HELPER!$B:$B,HELPER!$E:$E,""),"")=""),"Missing price",IFERROR(_xlfn.XLOOKUP(D58,HELPER!$B:$B,HELPER!$E:$E,"")," "))</f>
        <v/>
      </c>
      <c r="J58" s="48" t="str">
        <f>IFERROR(H58*(IF(G58=8,I58*HELPER!$G$2,BOM!I58*HELPER!$G$3))," ")</f>
        <v xml:space="preserve"> </v>
      </c>
      <c r="K58" s="6"/>
      <c r="L58" s="16" t="str" cm="1">
        <f t="array" ref="L58">IFERROR(_xlfn.LET(_xlpm.films,Table4[Film],_xlpm.grades,Table4[Grade],_xlpm.pairs,_xlfn._xlws.FILTER(_xlfn.HSTACK(_xlpm.films,_xlpm.grades),(_xlpm.films&lt;&gt;"")*(TRIM(_xlpm.grades)&lt;&gt;"")),_xlpm.uniquePairs,_xlfn.UNIQUE(_xlpm.pairs),_xlpm.sortedPairs,_xlfn._xlws.SORT(_xlpm.uniquePairs,1,1),INDEX(_xlpm.sortedPairs,ROWS($L$2:L58),1)),"")</f>
        <v>TIPA 312MFGW</v>
      </c>
      <c r="M58" s="17" t="str" cm="1">
        <f t="array" ref="M58">IFERROR(_xlfn.LET(_xlpm.films,Table4[Film],_xlpm.grades,Table4[Grade],_xlpm.pairs,_xlfn._xlws.FILTER(_xlfn.HSTACK(_xlpm.films,_xlpm.grades),(_xlpm.films&lt;&gt;"")*(TRIM(_xlpm.grades)&lt;&gt;"")),_xlpm.uniquePairs,_xlfn.UNIQUE(_xlpm.pairs),_xlpm.sortedPairs,_xlfn._xlws.SORT(_xlpm.uniquePairs,1,1),INDEX(_xlpm.sortedPairs,ROWS($M$2:M58),2)),"")</f>
        <v>KAB59A</v>
      </c>
      <c r="N58" s="17" t="str" cm="1">
        <f t="array" ref="N58">IF(OR(Table2[[#This Row],[Film]]="",Table2[[#This Row],[Grade]]=""),"",IFERROR(INDEX(Table4[Serial Number],MATCH(1,(Table4[Film]=Table2[[#This Row],[Film]])*(Table4[Grade]=Table2[[#This Row],[Grade]]),0)),""))</f>
        <v>RM A KAB59A</v>
      </c>
      <c r="O58" s="53">
        <f>IF(OR(Table2[[#This Row],[Film]]="",Table2[[#This Row],[Grade]]=""),"",SUMIFS(Table4[Price Calculated(€) Thickness &amp; QTY related],Table4[Film],Table2[[#This Row],[Film]],Table4[Grade],Table2[[#This Row],[Grade]]))</f>
        <v>2.265E-2</v>
      </c>
      <c r="P58" s="6"/>
      <c r="T58" s="6"/>
      <c r="U58" s="2" t="s">
        <v>52</v>
      </c>
      <c r="V58" s="2" t="s">
        <v>18</v>
      </c>
      <c r="W58" s="2" t="s">
        <v>9</v>
      </c>
      <c r="X58" s="2" t="s">
        <v>83</v>
      </c>
      <c r="Y58" s="2" t="s">
        <v>40</v>
      </c>
      <c r="Z58" s="808" cm="1">
        <f t="array" ref="Z58">SUMPRODUCT((BOM!$A$2:$A$391=U58)*(BOM!$F$2:$F$391=Y58)*BOM!$H$2:$H$391*BOM!$G$2:$G$391)/SUMPRODUCT((BOM!$A$2:$A$391=U58)*BOM!$H$2:$H$391*BOM!$G$2:$G$391)</f>
        <v>3.0000000000000005E-3</v>
      </c>
      <c r="AA58" s="811">
        <f>SUMIF(tblResinWeightedQty12[Film],tblResinWeightedQty12[[#This Row],[Film]],tblResinWeightedQty12[Weighted QTY %])</f>
        <v>1.0000000000000004</v>
      </c>
    </row>
    <row r="59" spans="1:27">
      <c r="A59" s="29" t="s">
        <v>43</v>
      </c>
      <c r="B59" s="29" t="s">
        <v>7</v>
      </c>
      <c r="C59" s="28"/>
      <c r="D59" s="28" t="str">
        <f>IF(C59="","",IFERROR(_xlfn.XLOOKUP(C59,HELPER!$A$2:$A$81,HELPER!$B$2:$B$81,""),D59))</f>
        <v/>
      </c>
      <c r="E59" s="28" t="str">
        <f>IFERROR(_xlfn.XLOOKUP(D59,HELPER!$B:$B,HELPER!$C:$C,""),"")</f>
        <v/>
      </c>
      <c r="F59" s="27" t="str">
        <f>IFERROR(_xlfn.XLOOKUP(D59,HELPER!$B:$B,HELPER!$D:$D,""),"")</f>
        <v/>
      </c>
      <c r="G59" s="27">
        <v>8</v>
      </c>
      <c r="I59" s="8" t="str">
        <f>IF(AND(H59&lt;&gt;"",IFERROR(_xlfn.XLOOKUP(D59,HELPER!$B:$B,HELPER!$E:$E,""),"")=""),"Missing price",IFERROR(_xlfn.XLOOKUP(D59,HELPER!$B:$B,HELPER!$E:$E,"")," "))</f>
        <v/>
      </c>
      <c r="J59" s="48" t="str">
        <f>IFERROR(H59*(IF(G59=8,I59*HELPER!$G$2,BOM!I59*HELPER!$G$3))," ")</f>
        <v xml:space="preserve"> </v>
      </c>
      <c r="K59" s="6"/>
      <c r="L59" s="14" t="str" cm="1">
        <f t="array" ref="L59">IFERROR(_xlfn.LET(_xlpm.films,Table4[Film],_xlpm.grades,Table4[Grade],_xlpm.pairs,_xlfn._xlws.FILTER(_xlfn.HSTACK(_xlpm.films,_xlpm.grades),(_xlpm.films&lt;&gt;"")*(TRIM(_xlpm.grades)&lt;&gt;"")),_xlpm.uniquePairs,_xlfn.UNIQUE(_xlpm.pairs),_xlpm.sortedPairs,_xlfn._xlws.SORT(_xlpm.uniquePairs,1,1),INDEX(_xlpm.sortedPairs,ROWS($L$2:L59),1)),"")</f>
        <v>TIPA 312MFGW</v>
      </c>
      <c r="M59" s="15" t="str" cm="1">
        <f t="array" ref="M59">IFERROR(_xlfn.LET(_xlpm.films,Table4[Film],_xlpm.grades,Table4[Grade],_xlpm.pairs,_xlfn._xlws.FILTER(_xlfn.HSTACK(_xlpm.films,_xlpm.grades),(_xlpm.films&lt;&gt;"")*(TRIM(_xlpm.grades)&lt;&gt;"")),_xlpm.uniquePairs,_xlfn.UNIQUE(_xlpm.pairs),_xlpm.sortedPairs,_xlfn._xlws.SORT(_xlpm.uniquePairs,1,1),INDEX(_xlpm.sortedPairs,ROWS($M$2:M59),2)),"")</f>
        <v>S724</v>
      </c>
      <c r="N59" s="15" t="str" cm="1">
        <f t="array" ref="N59">IF(OR(Table2[[#This Row],[Film]]="",Table2[[#This Row],[Grade]]=""),"",IFERROR(INDEX(Table4[Serial Number],MATCH(1,(Table4[Film]=Table2[[#This Row],[Film]])*(Table4[Grade]=Table2[[#This Row],[Grade]]),0)),""))</f>
        <v>RM TA45-08 S724</v>
      </c>
      <c r="O59" s="52">
        <f>IF(OR(Table2[[#This Row],[Film]]="",Table2[[#This Row],[Grade]]=""),"",SUMIFS(Table4[Price Calculated(€) Thickness &amp; QTY related],Table4[Film],Table2[[#This Row],[Film]],Table4[Grade],Table2[[#This Row],[Grade]]))</f>
        <v>6.762E-2</v>
      </c>
      <c r="P59" s="6"/>
      <c r="T59" s="6"/>
      <c r="U59" s="2" t="s">
        <v>52</v>
      </c>
      <c r="V59" s="2" t="s">
        <v>12</v>
      </c>
      <c r="W59" s="2" t="s">
        <v>8</v>
      </c>
      <c r="X59" s="2" t="s">
        <v>84</v>
      </c>
      <c r="Y59" s="2" t="s">
        <v>42</v>
      </c>
      <c r="Z59" s="808" cm="1">
        <f t="array" ref="Z59">SUMPRODUCT((BOM!$A$2:$A$391=U59)*(BOM!$F$2:$F$391=Y59)*BOM!$H$2:$H$391*BOM!$G$2:$G$391)/SUMPRODUCT((BOM!$A$2:$A$391=U59)*BOM!$H$2:$H$391*BOM!$G$2:$G$391)</f>
        <v>0.16100000000000003</v>
      </c>
      <c r="AA59" s="811">
        <f>SUMIF(tblResinWeightedQty12[Film],tblResinWeightedQty12[[#This Row],[Film]],tblResinWeightedQty12[Weighted QTY %])</f>
        <v>1.0000000000000004</v>
      </c>
    </row>
    <row r="60" spans="1:27">
      <c r="A60" s="29" t="s">
        <v>43</v>
      </c>
      <c r="B60" s="29" t="s">
        <v>7</v>
      </c>
      <c r="C60" s="28"/>
      <c r="D60" s="28" t="str">
        <f>IF(C60="","",IFERROR(_xlfn.XLOOKUP(C60,HELPER!$A$2:$A$81,HELPER!$B$2:$B$81,""),D60))</f>
        <v/>
      </c>
      <c r="E60" s="28" t="str">
        <f>IFERROR(_xlfn.XLOOKUP(D60,HELPER!$B:$B,HELPER!$C:$C,""),"")</f>
        <v/>
      </c>
      <c r="F60" s="27" t="str">
        <f>IFERROR(_xlfn.XLOOKUP(D60,HELPER!$B:$B,HELPER!$D:$D,""),"")</f>
        <v/>
      </c>
      <c r="G60" s="27">
        <v>8</v>
      </c>
      <c r="I60" s="8" t="str">
        <f>IF(AND(H60&lt;&gt;"",IFERROR(_xlfn.XLOOKUP(D60,HELPER!$B:$B,HELPER!$E:$E,""),"")=""),"Missing price",IFERROR(_xlfn.XLOOKUP(D60,HELPER!$B:$B,HELPER!$E:$E,"")," "))</f>
        <v/>
      </c>
      <c r="J60" s="48" t="str">
        <f>IFERROR(H60*(IF(G60=8,I60*HELPER!$G$2,BOM!I60*HELPER!$G$3))," ")</f>
        <v xml:space="preserve"> </v>
      </c>
      <c r="K60" s="6"/>
      <c r="L60" s="14" t="str" cm="1">
        <f t="array" ref="L60">IFERROR(_xlfn.LET(_xlpm.films,Table4[Film],_xlpm.grades,Table4[Grade],_xlpm.pairs,_xlfn._xlws.FILTER(_xlfn.HSTACK(_xlpm.films,_xlpm.grades),(_xlpm.films&lt;&gt;"")*(TRIM(_xlpm.grades)&lt;&gt;"")),_xlpm.uniquePairs,_xlfn.UNIQUE(_xlpm.pairs),_xlpm.sortedPairs,_xlfn._xlws.SORT(_xlpm.uniquePairs,1,1),INDEX(_xlpm.sortedPairs,ROWS($L$2:L60),1)),"")</f>
        <v/>
      </c>
      <c r="M60" s="15" t="str" cm="1">
        <f t="array" ref="M60">IFERROR(_xlfn.LET(_xlpm.films,Table4[Film],_xlpm.grades,Table4[Grade],_xlpm.pairs,_xlfn._xlws.FILTER(_xlfn.HSTACK(_xlpm.films,_xlpm.grades),(_xlpm.films&lt;&gt;"")*(TRIM(_xlpm.grades)&lt;&gt;"")),_xlpm.uniquePairs,_xlfn.UNIQUE(_xlpm.pairs),_xlpm.sortedPairs,_xlfn._xlws.SORT(_xlpm.uniquePairs,1,1),INDEX(_xlpm.sortedPairs,ROWS($M$2:M60),2)),"")</f>
        <v/>
      </c>
      <c r="N60" s="15" t="str" cm="1">
        <f t="array" ref="N60">IF(OR(Table2[[#This Row],[Film]]="",Table2[[#This Row],[Grade]]=""),"",IFERROR(INDEX(Table4[Serial Number],MATCH(1,(Table4[Film]=Table2[[#This Row],[Film]])*(Table4[Grade]=Table2[[#This Row],[Grade]]),0)),""))</f>
        <v/>
      </c>
      <c r="O60" s="52" t="str">
        <f>IF(OR(Table2[[#This Row],[Film]]="",Table2[[#This Row],[Grade]]=""),"",SUMIFS(Table4[Price Calculated(€) Thickness &amp; QTY related],Table4[Film],Table2[[#This Row],[Film]],Table4[Grade],Table2[[#This Row],[Grade]]))</f>
        <v/>
      </c>
      <c r="P60" s="6"/>
      <c r="T60" s="6"/>
    </row>
    <row r="61" spans="1:27">
      <c r="A61" s="29" t="s">
        <v>43</v>
      </c>
      <c r="B61" s="29" t="s">
        <v>7</v>
      </c>
      <c r="C61" s="28"/>
      <c r="D61" s="28" t="str">
        <f>IF(C61="","",IFERROR(_xlfn.XLOOKUP(C61,HELPER!$A$2:$A$81,HELPER!$B$2:$B$81,""),D61))</f>
        <v/>
      </c>
      <c r="E61" s="28" t="str">
        <f>IFERROR(_xlfn.XLOOKUP(D61,HELPER!$B:$B,HELPER!$C:$C,""),"")</f>
        <v/>
      </c>
      <c r="F61" s="27" t="str">
        <f>IFERROR(_xlfn.XLOOKUP(D61,HELPER!$B:$B,HELPER!$D:$D,""),"")</f>
        <v/>
      </c>
      <c r="G61" s="27">
        <v>8</v>
      </c>
      <c r="I61" s="8" t="str">
        <f>IF(AND(H61&lt;&gt;"",IFERROR(_xlfn.XLOOKUP(D61,HELPER!$B:$B,HELPER!$E:$E,""),"")=""),"Missing price",IFERROR(_xlfn.XLOOKUP(D61,HELPER!$B:$B,HELPER!$E:$E,"")," "))</f>
        <v/>
      </c>
      <c r="J61" s="48" t="str">
        <f>IFERROR(H61*(IF(G61=8,I61*HELPER!$G$2,BOM!I61*HELPER!$G$3))," ")</f>
        <v xml:space="preserve"> </v>
      </c>
      <c r="K61" s="6"/>
      <c r="L61" s="14" t="str" cm="1">
        <f t="array" ref="L61">IFERROR(_xlfn.LET(_xlpm.films,Table4[Film],_xlpm.grades,Table4[Grade],_xlpm.pairs,_xlfn._xlws.FILTER(_xlfn.HSTACK(_xlpm.films,_xlpm.grades),(_xlpm.films&lt;&gt;"")*(TRIM(_xlpm.grades)&lt;&gt;"")),_xlpm.uniquePairs,_xlfn.UNIQUE(_xlpm.pairs),_xlpm.sortedPairs,_xlfn._xlws.SORT(_xlpm.uniquePairs,1,1),INDEX(_xlpm.sortedPairs,ROWS($L$2:L61),1)),"")</f>
        <v/>
      </c>
      <c r="M61" s="15" t="str" cm="1">
        <f t="array" ref="M61">IFERROR(_xlfn.LET(_xlpm.films,Table4[Film],_xlpm.grades,Table4[Grade],_xlpm.pairs,_xlfn._xlws.FILTER(_xlfn.HSTACK(_xlpm.films,_xlpm.grades),(_xlpm.films&lt;&gt;"")*(TRIM(_xlpm.grades)&lt;&gt;"")),_xlpm.uniquePairs,_xlfn.UNIQUE(_xlpm.pairs),_xlpm.sortedPairs,_xlfn._xlws.SORT(_xlpm.uniquePairs,1,1),INDEX(_xlpm.sortedPairs,ROWS($M$2:M61),2)),"")</f>
        <v/>
      </c>
      <c r="N61" s="15" t="str" cm="1">
        <f t="array" ref="N61">IF(OR(Table2[[#This Row],[Film]]="",Table2[[#This Row],[Grade]]=""),"",IFERROR(INDEX(Table4[Serial Number],MATCH(1,(Table4[Film]=Table2[[#This Row],[Film]])*(Table4[Grade]=Table2[[#This Row],[Grade]]),0)),""))</f>
        <v/>
      </c>
      <c r="O61" s="52" t="str">
        <f>IF(OR(Table2[[#This Row],[Film]]="",Table2[[#This Row],[Grade]]=""),"",SUMIFS(Table4[Price Calculated(€) Thickness &amp; QTY related],Table4[Film],Table2[[#This Row],[Film]],Table4[Grade],Table2[[#This Row],[Grade]]))</f>
        <v/>
      </c>
      <c r="P61" s="6"/>
      <c r="T61" s="6"/>
    </row>
    <row r="62" spans="1:27">
      <c r="A62" s="29" t="s">
        <v>201</v>
      </c>
      <c r="B62" s="29" t="s">
        <v>5</v>
      </c>
      <c r="C62" s="28" t="s">
        <v>13</v>
      </c>
      <c r="D62" s="28" t="str">
        <f>IF(C62="","",IFERROR(_xlfn.XLOOKUP(C62,HELPER!$A$2:$A$81,HELPER!$B$2:$B$81,""),D62))</f>
        <v>LX175</v>
      </c>
      <c r="E62" s="28" t="str">
        <f>IFERROR(_xlfn.XLOOKUP(D62,HELPER!$B:$B,HELPER!$C:$C,""),"")</f>
        <v>RMLX175</v>
      </c>
      <c r="F62" s="27" t="str">
        <f>IFERROR(_xlfn.XLOOKUP(D62,HELPER!$B:$B,HELPER!$D:$D,""),"")</f>
        <v>Resin 1A</v>
      </c>
      <c r="G62" s="27">
        <v>8</v>
      </c>
      <c r="H62" s="32">
        <v>0.79500000000000004</v>
      </c>
      <c r="I62" s="8">
        <f>IF(AND(H62&lt;&gt;"",IFERROR(_xlfn.XLOOKUP(D62,HELPER!$B:$B,HELPER!$E:$E,""),"")=""),"Missing price",IFERROR(_xlfn.XLOOKUP(D62,HELPER!$B:$B,HELPER!$E:$E,"")," "))</f>
        <v>3.17</v>
      </c>
      <c r="J62" s="48">
        <f>IFERROR(H62*(IF(G62=8,I62*HELPER!$G$2,BOM!I62*HELPER!$G$3))," ")</f>
        <v>0.50402999999999998</v>
      </c>
      <c r="K62" s="6"/>
      <c r="L62" s="14" t="str" cm="1">
        <f t="array" ref="L62">IFERROR(_xlfn.LET(_xlpm.films,Table4[Film],_xlpm.grades,Table4[Grade],_xlpm.pairs,_xlfn._xlws.FILTER(_xlfn.HSTACK(_xlpm.films,_xlpm.grades),(_xlpm.films&lt;&gt;"")*(TRIM(_xlpm.grades)&lt;&gt;"")),_xlpm.uniquePairs,_xlfn.UNIQUE(_xlpm.pairs),_xlpm.sortedPairs,_xlfn._xlws.SORT(_xlpm.uniquePairs,1,1),INDEX(_xlpm.sortedPairs,ROWS($L$2:L62),1)),"")</f>
        <v/>
      </c>
      <c r="M62" s="15" t="str" cm="1">
        <f t="array" ref="M62">IFERROR(_xlfn.LET(_xlpm.films,Table4[Film],_xlpm.grades,Table4[Grade],_xlpm.pairs,_xlfn._xlws.FILTER(_xlfn.HSTACK(_xlpm.films,_xlpm.grades),(_xlpm.films&lt;&gt;"")*(TRIM(_xlpm.grades)&lt;&gt;"")),_xlpm.uniquePairs,_xlfn.UNIQUE(_xlpm.pairs),_xlpm.sortedPairs,_xlfn._xlws.SORT(_xlpm.uniquePairs,1,1),INDEX(_xlpm.sortedPairs,ROWS($M$2:M62),2)),"")</f>
        <v/>
      </c>
      <c r="N62" s="15" t="str" cm="1">
        <f t="array" ref="N62">IF(OR(Table2[[#This Row],[Film]]="",Table2[[#This Row],[Grade]]=""),"",IFERROR(INDEX(Table4[Serial Number],MATCH(1,(Table4[Film]=Table2[[#This Row],[Film]])*(Table4[Grade]=Table2[[#This Row],[Grade]]),0)),""))</f>
        <v/>
      </c>
      <c r="O62" s="52" t="str">
        <f>IF(OR(Table2[[#This Row],[Film]]="",Table2[[#This Row],[Grade]]=""),"",SUMIFS(Table4[Price Calculated(€) Thickness &amp; QTY related],Table4[Film],Table2[[#This Row],[Film]],Table4[Grade],Table2[[#This Row],[Grade]]))</f>
        <v/>
      </c>
      <c r="P62" s="6"/>
      <c r="T62" s="6"/>
    </row>
    <row r="63" spans="1:27">
      <c r="A63" s="29" t="s">
        <v>201</v>
      </c>
      <c r="B63" s="29" t="s">
        <v>5</v>
      </c>
      <c r="C63" s="28" t="s">
        <v>15</v>
      </c>
      <c r="D63" s="28" t="str">
        <f>IF(C63="","",IFERROR(_xlfn.XLOOKUP(C63,HELPER!$A$2:$A$81,HELPER!$B$2:$B$81,""),D63))</f>
        <v>P65D</v>
      </c>
      <c r="E63" s="28" t="str">
        <f>IFERROR(_xlfn.XLOOKUP(D63,HELPER!$B:$B,HELPER!$C:$C,""),"")</f>
        <v>RMP65D</v>
      </c>
      <c r="F63" s="27" t="str">
        <f>IFERROR(_xlfn.XLOOKUP(D63,HELPER!$B:$B,HELPER!$D:$D,""),"")</f>
        <v>Resin 4A</v>
      </c>
      <c r="G63" s="27">
        <v>8</v>
      </c>
      <c r="H63" s="32">
        <v>0.19</v>
      </c>
      <c r="I63" s="8">
        <f>IF(AND(H63&lt;&gt;"",IFERROR(_xlfn.XLOOKUP(D63,HELPER!$B:$B,HELPER!$E:$E,""),"")=""),"Missing price",IFERROR(_xlfn.XLOOKUP(D63,HELPER!$B:$B,HELPER!$E:$E,"")," "))</f>
        <v>7.3</v>
      </c>
      <c r="J63" s="48">
        <f>IFERROR(H63*(IF(G63=8,I63*HELPER!$G$2,BOM!I63*HELPER!$G$3))," ")</f>
        <v>0.27739999999999998</v>
      </c>
      <c r="K63" s="6"/>
      <c r="L63" s="14" t="str" cm="1">
        <f t="array" ref="L63">IFERROR(_xlfn.LET(_xlpm.films,Table4[Film],_xlpm.grades,Table4[Grade],_xlpm.pairs,_xlfn._xlws.FILTER(_xlfn.HSTACK(_xlpm.films,_xlpm.grades),(_xlpm.films&lt;&gt;"")*(TRIM(_xlpm.grades)&lt;&gt;"")),_xlpm.uniquePairs,_xlfn.UNIQUE(_xlpm.pairs),_xlpm.sortedPairs,_xlfn._xlws.SORT(_xlpm.uniquePairs,1,1),INDEX(_xlpm.sortedPairs,ROWS($L$2:L63),1)),"")</f>
        <v/>
      </c>
      <c r="M63" s="15" t="str" cm="1">
        <f t="array" ref="M63">IFERROR(_xlfn.LET(_xlpm.films,Table4[Film],_xlpm.grades,Table4[Grade],_xlpm.pairs,_xlfn._xlws.FILTER(_xlfn.HSTACK(_xlpm.films,_xlpm.grades),(_xlpm.films&lt;&gt;"")*(TRIM(_xlpm.grades)&lt;&gt;"")),_xlpm.uniquePairs,_xlfn.UNIQUE(_xlpm.pairs),_xlpm.sortedPairs,_xlfn._xlws.SORT(_xlpm.uniquePairs,1,1),INDEX(_xlpm.sortedPairs,ROWS($M$2:M63),2)),"")</f>
        <v/>
      </c>
      <c r="N63" s="15" t="str" cm="1">
        <f t="array" ref="N63">IF(OR(Table2[[#This Row],[Film]]="",Table2[[#This Row],[Grade]]=""),"",IFERROR(INDEX(Table4[Serial Number],MATCH(1,(Table4[Film]=Table2[[#This Row],[Film]])*(Table4[Grade]=Table2[[#This Row],[Grade]]),0)),""))</f>
        <v/>
      </c>
      <c r="O63" s="52" t="str">
        <f>IF(OR(Table2[[#This Row],[Film]]="",Table2[[#This Row],[Grade]]=""),"",SUMIFS(Table4[Price Calculated(€) Thickness &amp; QTY related],Table4[Film],Table2[[#This Row],[Film]],Table4[Grade],Table2[[#This Row],[Grade]]))</f>
        <v/>
      </c>
      <c r="P63" s="6"/>
      <c r="T63" s="6"/>
    </row>
    <row r="64" spans="1:27">
      <c r="A64" s="29" t="s">
        <v>201</v>
      </c>
      <c r="B64" s="29" t="s">
        <v>5</v>
      </c>
      <c r="C64" s="28" t="s">
        <v>16</v>
      </c>
      <c r="D64" s="28" t="str">
        <f>IF(C64="","",IFERROR(_xlfn.XLOOKUP(C64,HELPER!$A$2:$A$81,HELPER!$B$2:$B$81,""),D64))</f>
        <v>S723</v>
      </c>
      <c r="E64" s="28" t="str">
        <f>IFERROR(_xlfn.XLOOKUP(D64,HELPER!$B:$B,HELPER!$C:$C,""),"")</f>
        <v>RM TA45-08 S723</v>
      </c>
      <c r="F64" s="27" t="str">
        <f>IFERROR(_xlfn.XLOOKUP(D64,HELPER!$B:$B,HELPER!$D:$D,""),"")</f>
        <v>Resin 6</v>
      </c>
      <c r="G64" s="27">
        <v>8</v>
      </c>
      <c r="H64" s="32">
        <v>1.4999999999999999E-2</v>
      </c>
      <c r="I64" s="8">
        <f>IF(AND(H64&lt;&gt;"",IFERROR(_xlfn.XLOOKUP(D64,HELPER!$B:$B,HELPER!$E:$E,""),"")=""),"Missing price",IFERROR(_xlfn.XLOOKUP(D64,HELPER!$B:$B,HELPER!$E:$E,"")," "))</f>
        <v>16.16</v>
      </c>
      <c r="J64" s="48">
        <f>IFERROR(H64*(IF(G64=8,I64*HELPER!$G$2,BOM!I64*HELPER!$G$3))," ")</f>
        <v>4.8480000000000002E-2</v>
      </c>
      <c r="K64" s="6"/>
      <c r="L64" s="14" t="str" cm="1">
        <f t="array" ref="L64">IFERROR(_xlfn.LET(_xlpm.films,Table4[Film],_xlpm.grades,Table4[Grade],_xlpm.pairs,_xlfn._xlws.FILTER(_xlfn.HSTACK(_xlpm.films,_xlpm.grades),(_xlpm.films&lt;&gt;"")*(TRIM(_xlpm.grades)&lt;&gt;"")),_xlpm.uniquePairs,_xlfn.UNIQUE(_xlpm.pairs),_xlpm.sortedPairs,_xlfn._xlws.SORT(_xlpm.uniquePairs,1,1),INDEX(_xlpm.sortedPairs,ROWS($L$2:L64),1)),"")</f>
        <v/>
      </c>
      <c r="M64" s="15" t="str" cm="1">
        <f t="array" ref="M64">IFERROR(_xlfn.LET(_xlpm.films,Table4[Film],_xlpm.grades,Table4[Grade],_xlpm.pairs,_xlfn._xlws.FILTER(_xlfn.HSTACK(_xlpm.films,_xlpm.grades),(_xlpm.films&lt;&gt;"")*(TRIM(_xlpm.grades)&lt;&gt;"")),_xlpm.uniquePairs,_xlfn.UNIQUE(_xlpm.pairs),_xlpm.sortedPairs,_xlfn._xlws.SORT(_xlpm.uniquePairs,1,1),INDEX(_xlpm.sortedPairs,ROWS($M$2:M64),2)),"")</f>
        <v/>
      </c>
      <c r="N64" s="15" t="str" cm="1">
        <f t="array" ref="N64">IF(OR(Table2[[#This Row],[Film]]="",Table2[[#This Row],[Grade]]=""),"",IFERROR(INDEX(Table4[Serial Number],MATCH(1,(Table4[Film]=Table2[[#This Row],[Film]])*(Table4[Grade]=Table2[[#This Row],[Grade]]),0)),""))</f>
        <v/>
      </c>
      <c r="O64" s="52" t="str">
        <f>IF(OR(Table2[[#This Row],[Film]]="",Table2[[#This Row],[Grade]]=""),"",SUMIFS(Table4[Price Calculated(€) Thickness &amp; QTY related],Table4[Film],Table2[[#This Row],[Film]],Table4[Grade],Table2[[#This Row],[Grade]]))</f>
        <v/>
      </c>
      <c r="P64" s="6"/>
      <c r="T64" s="6"/>
    </row>
    <row r="65" spans="1:20">
      <c r="A65" s="29" t="s">
        <v>201</v>
      </c>
      <c r="B65" s="29" t="s">
        <v>5</v>
      </c>
      <c r="C65" s="28"/>
      <c r="D65" s="28" t="str">
        <f>IF(C65="","",IFERROR(_xlfn.XLOOKUP(C65,HELPER!$A$2:$A$81,HELPER!$B$2:$B$81,""),D65))</f>
        <v/>
      </c>
      <c r="E65" s="28" t="str">
        <f>IFERROR(_xlfn.XLOOKUP(D65,HELPER!$B:$B,HELPER!$C:$C,""),"")</f>
        <v/>
      </c>
      <c r="F65" s="27" t="str">
        <f>IFERROR(_xlfn.XLOOKUP(D65,HELPER!$B:$B,HELPER!$D:$D,""),"")</f>
        <v/>
      </c>
      <c r="G65" s="27">
        <v>8</v>
      </c>
      <c r="I65" s="8" t="str">
        <f>IF(AND(H65&lt;&gt;"",IFERROR(_xlfn.XLOOKUP(D65,HELPER!$B:$B,HELPER!$E:$E,""),"")=""),"Missing price",IFERROR(_xlfn.XLOOKUP(D65,HELPER!$B:$B,HELPER!$E:$E,"")," "))</f>
        <v/>
      </c>
      <c r="J65" s="48" t="str">
        <f>IFERROR(H65*(IF(G65=8,I65*HELPER!$G$2,BOM!I65*HELPER!$G$3))," ")</f>
        <v xml:space="preserve"> </v>
      </c>
      <c r="K65" s="6"/>
      <c r="L65" s="14" t="str" cm="1">
        <f t="array" ref="L65">IFERROR(_xlfn.LET(_xlpm.films,Table4[Film],_xlpm.grades,Table4[Grade],_xlpm.pairs,_xlfn._xlws.FILTER(_xlfn.HSTACK(_xlpm.films,_xlpm.grades),(_xlpm.films&lt;&gt;"")*(TRIM(_xlpm.grades)&lt;&gt;"")),_xlpm.uniquePairs,_xlfn.UNIQUE(_xlpm.pairs),_xlpm.sortedPairs,_xlfn._xlws.SORT(_xlpm.uniquePairs,1,1),INDEX(_xlpm.sortedPairs,ROWS($L$2:L65),1)),"")</f>
        <v/>
      </c>
      <c r="M65" s="15" t="str" cm="1">
        <f t="array" ref="M65">IFERROR(_xlfn.LET(_xlpm.films,Table4[Film],_xlpm.grades,Table4[Grade],_xlpm.pairs,_xlfn._xlws.FILTER(_xlfn.HSTACK(_xlpm.films,_xlpm.grades),(_xlpm.films&lt;&gt;"")*(TRIM(_xlpm.grades)&lt;&gt;"")),_xlpm.uniquePairs,_xlfn.UNIQUE(_xlpm.pairs),_xlpm.sortedPairs,_xlfn._xlws.SORT(_xlpm.uniquePairs,1,1),INDEX(_xlpm.sortedPairs,ROWS($M$2:M65),2)),"")</f>
        <v/>
      </c>
      <c r="N65" s="15" t="str" cm="1">
        <f t="array" ref="N65">IF(OR(Table2[[#This Row],[Film]]="",Table2[[#This Row],[Grade]]=""),"",IFERROR(INDEX(Table4[Serial Number],MATCH(1,(Table4[Film]=Table2[[#This Row],[Film]])*(Table4[Grade]=Table2[[#This Row],[Grade]]),0)),""))</f>
        <v/>
      </c>
      <c r="O65" s="52" t="str">
        <f>IF(OR(Table2[[#This Row],[Film]]="",Table2[[#This Row],[Grade]]=""),"",SUMIFS(Table4[Price Calculated(€) Thickness &amp; QTY related],Table4[Film],Table2[[#This Row],[Film]],Table4[Grade],Table2[[#This Row],[Grade]]))</f>
        <v/>
      </c>
      <c r="P65" s="6"/>
      <c r="T65" s="6"/>
    </row>
    <row r="66" spans="1:20">
      <c r="A66" s="29" t="s">
        <v>201</v>
      </c>
      <c r="B66" s="29" t="s">
        <v>5</v>
      </c>
      <c r="C66" s="28"/>
      <c r="D66" s="28" t="str">
        <f>IF(C66="","",IFERROR(_xlfn.XLOOKUP(C66,HELPER!$A$2:$A$81,HELPER!$B$2:$B$81,""),D66))</f>
        <v/>
      </c>
      <c r="E66" s="28" t="str">
        <f>IFERROR(_xlfn.XLOOKUP(D66,HELPER!$B:$B,HELPER!$C:$C,""),"")</f>
        <v/>
      </c>
      <c r="F66" s="27" t="str">
        <f>IFERROR(_xlfn.XLOOKUP(D66,HELPER!$B:$B,HELPER!$D:$D,""),"")</f>
        <v/>
      </c>
      <c r="G66" s="27">
        <v>8</v>
      </c>
      <c r="I66" s="8" t="str">
        <f>IF(AND(H66&lt;&gt;"",IFERROR(_xlfn.XLOOKUP(D66,HELPER!$B:$B,HELPER!$E:$E,""),"")=""),"Missing price",IFERROR(_xlfn.XLOOKUP(D66,HELPER!$B:$B,HELPER!$E:$E,"")," "))</f>
        <v/>
      </c>
      <c r="J66" s="48" t="str">
        <f>IFERROR(H66*(IF(G66=8,I66*HELPER!$G$2,BOM!I66*HELPER!$G$3))," ")</f>
        <v xml:space="preserve"> </v>
      </c>
      <c r="K66" s="6"/>
      <c r="L66" s="14" t="str" cm="1">
        <f t="array" ref="L66">IFERROR(_xlfn.LET(_xlpm.films,Table4[Film],_xlpm.grades,Table4[Grade],_xlpm.pairs,_xlfn._xlws.FILTER(_xlfn.HSTACK(_xlpm.films,_xlpm.grades),(_xlpm.films&lt;&gt;"")*(TRIM(_xlpm.grades)&lt;&gt;"")),_xlpm.uniquePairs,_xlfn.UNIQUE(_xlpm.pairs),_xlpm.sortedPairs,_xlfn._xlws.SORT(_xlpm.uniquePairs,1,1),INDEX(_xlpm.sortedPairs,ROWS($L$2:L66),1)),"")</f>
        <v/>
      </c>
      <c r="M66" s="15" t="str" cm="1">
        <f t="array" ref="M66">IFERROR(_xlfn.LET(_xlpm.films,Table4[Film],_xlpm.grades,Table4[Grade],_xlpm.pairs,_xlfn._xlws.FILTER(_xlfn.HSTACK(_xlpm.films,_xlpm.grades),(_xlpm.films&lt;&gt;"")*(TRIM(_xlpm.grades)&lt;&gt;"")),_xlpm.uniquePairs,_xlfn.UNIQUE(_xlpm.pairs),_xlpm.sortedPairs,_xlfn._xlws.SORT(_xlpm.uniquePairs,1,1),INDEX(_xlpm.sortedPairs,ROWS($M$2:M66),2)),"")</f>
        <v/>
      </c>
      <c r="N66" s="15" t="str" cm="1">
        <f t="array" ref="N66">IF(OR(Table2[[#This Row],[Film]]="",Table2[[#This Row],[Grade]]=""),"",IFERROR(INDEX(Table4[Serial Number],MATCH(1,(Table4[Film]=Table2[[#This Row],[Film]])*(Table4[Grade]=Table2[[#This Row],[Grade]]),0)),""))</f>
        <v/>
      </c>
      <c r="O66" s="52" t="str">
        <f>IF(OR(Table2[[#This Row],[Film]]="",Table2[[#This Row],[Grade]]=""),"",SUMIFS(Table4[Price Calculated(€) Thickness &amp; QTY related],Table4[Film],Table2[[#This Row],[Film]],Table4[Grade],Table2[[#This Row],[Grade]]))</f>
        <v/>
      </c>
      <c r="P66" s="6"/>
      <c r="T66" s="6"/>
    </row>
    <row r="67" spans="1:20">
      <c r="A67" s="29" t="s">
        <v>201</v>
      </c>
      <c r="B67" s="29" t="s">
        <v>5</v>
      </c>
      <c r="C67" s="28"/>
      <c r="D67" s="28" t="str">
        <f>IF(C67="","",IFERROR(_xlfn.XLOOKUP(C67,HELPER!$A$2:$A$81,HELPER!$B$2:$B$81,""),D67))</f>
        <v/>
      </c>
      <c r="E67" s="28" t="str">
        <f>IFERROR(_xlfn.XLOOKUP(D67,HELPER!$B:$B,HELPER!$C:$C,""),"")</f>
        <v/>
      </c>
      <c r="F67" s="27" t="str">
        <f>IFERROR(_xlfn.XLOOKUP(D67,HELPER!$B:$B,HELPER!$D:$D,""),"")</f>
        <v/>
      </c>
      <c r="G67" s="27">
        <v>8</v>
      </c>
      <c r="I67" s="8" t="str">
        <f>IF(AND(H67&lt;&gt;"",IFERROR(_xlfn.XLOOKUP(D67,HELPER!$B:$B,HELPER!$E:$E,""),"")=""),"Missing price",IFERROR(_xlfn.XLOOKUP(D67,HELPER!$B:$B,HELPER!$E:$E,"")," "))</f>
        <v/>
      </c>
      <c r="J67" s="48" t="str">
        <f>IFERROR(H67*(IF(G67=8,I67*HELPER!$G$2,BOM!I67*HELPER!$G$3))," ")</f>
        <v xml:space="preserve"> </v>
      </c>
      <c r="K67" s="6"/>
      <c r="L67" s="14" t="str" cm="1">
        <f t="array" ref="L67">IFERROR(_xlfn.LET(_xlpm.films,Table4[Film],_xlpm.grades,Table4[Grade],_xlpm.pairs,_xlfn._xlws.FILTER(_xlfn.HSTACK(_xlpm.films,_xlpm.grades),(_xlpm.films&lt;&gt;"")*(TRIM(_xlpm.grades)&lt;&gt;"")),_xlpm.uniquePairs,_xlfn.UNIQUE(_xlpm.pairs),_xlpm.sortedPairs,_xlfn._xlws.SORT(_xlpm.uniquePairs,1,1),INDEX(_xlpm.sortedPairs,ROWS($L$2:L67),1)),"")</f>
        <v/>
      </c>
      <c r="M67" s="15" t="str" cm="1">
        <f t="array" ref="M67">IFERROR(_xlfn.LET(_xlpm.films,Table4[Film],_xlpm.grades,Table4[Grade],_xlpm.pairs,_xlfn._xlws.FILTER(_xlfn.HSTACK(_xlpm.films,_xlpm.grades),(_xlpm.films&lt;&gt;"")*(TRIM(_xlpm.grades)&lt;&gt;"")),_xlpm.uniquePairs,_xlfn.UNIQUE(_xlpm.pairs),_xlpm.sortedPairs,_xlfn._xlws.SORT(_xlpm.uniquePairs,1,1),INDEX(_xlpm.sortedPairs,ROWS($M$2:M67),2)),"")</f>
        <v/>
      </c>
      <c r="N67" s="15" t="str" cm="1">
        <f t="array" ref="N67">IF(OR(Table2[[#This Row],[Film]]="",Table2[[#This Row],[Grade]]=""),"",IFERROR(INDEX(Table4[Serial Number],MATCH(1,(Table4[Film]=Table2[[#This Row],[Film]])*(Table4[Grade]=Table2[[#This Row],[Grade]]),0)),""))</f>
        <v/>
      </c>
      <c r="O67" s="52" t="str">
        <f>IF(OR(Table2[[#This Row],[Film]]="",Table2[[#This Row],[Grade]]=""),"",SUMIFS(Table4[Price Calculated(€) Thickness &amp; QTY related],Table4[Film],Table2[[#This Row],[Film]],Table4[Grade],Table2[[#This Row],[Grade]]))</f>
        <v/>
      </c>
      <c r="P67" s="6"/>
      <c r="T67" s="6"/>
    </row>
    <row r="68" spans="1:20">
      <c r="A68" s="29" t="s">
        <v>201</v>
      </c>
      <c r="B68" s="29" t="s">
        <v>5</v>
      </c>
      <c r="C68" s="28"/>
      <c r="D68" s="28" t="str">
        <f>IF(C68="","",IFERROR(_xlfn.XLOOKUP(C68,HELPER!$A$2:$A$81,HELPER!$B$2:$B$81,""),D68))</f>
        <v/>
      </c>
      <c r="E68" s="28" t="str">
        <f>IFERROR(_xlfn.XLOOKUP(D68,HELPER!$B:$B,HELPER!$C:$C,""),"")</f>
        <v/>
      </c>
      <c r="F68" s="27" t="str">
        <f>IFERROR(_xlfn.XLOOKUP(D68,HELPER!$B:$B,HELPER!$D:$D,""),"")</f>
        <v/>
      </c>
      <c r="G68" s="27">
        <v>8</v>
      </c>
      <c r="I68" s="8" t="str">
        <f>IF(AND(H68&lt;&gt;"",IFERROR(_xlfn.XLOOKUP(D68,HELPER!$B:$B,HELPER!$E:$E,""),"")=""),"Missing price",IFERROR(_xlfn.XLOOKUP(D68,HELPER!$B:$B,HELPER!$E:$E,"")," "))</f>
        <v/>
      </c>
      <c r="J68" s="48" t="str">
        <f>IFERROR(H68*(IF(G68=8,I68*HELPER!$G$2,BOM!I68*HELPER!$G$3))," ")</f>
        <v xml:space="preserve"> </v>
      </c>
      <c r="K68" s="6"/>
      <c r="L68" s="14" t="str" cm="1">
        <f t="array" ref="L68">IFERROR(_xlfn.LET(_xlpm.films,Table4[Film],_xlpm.grades,Table4[Grade],_xlpm.pairs,_xlfn._xlws.FILTER(_xlfn.HSTACK(_xlpm.films,_xlpm.grades),(_xlpm.films&lt;&gt;"")*(TRIM(_xlpm.grades)&lt;&gt;"")),_xlpm.uniquePairs,_xlfn.UNIQUE(_xlpm.pairs),_xlpm.sortedPairs,_xlfn._xlws.SORT(_xlpm.uniquePairs,1,1),INDEX(_xlpm.sortedPairs,ROWS($L$2:L68),1)),"")</f>
        <v/>
      </c>
      <c r="M68" s="15" t="str" cm="1">
        <f t="array" ref="M68">IFERROR(_xlfn.LET(_xlpm.films,Table4[Film],_xlpm.grades,Table4[Grade],_xlpm.pairs,_xlfn._xlws.FILTER(_xlfn.HSTACK(_xlpm.films,_xlpm.grades),(_xlpm.films&lt;&gt;"")*(TRIM(_xlpm.grades)&lt;&gt;"")),_xlpm.uniquePairs,_xlfn.UNIQUE(_xlpm.pairs),_xlpm.sortedPairs,_xlfn._xlws.SORT(_xlpm.uniquePairs,1,1),INDEX(_xlpm.sortedPairs,ROWS($M$2:M68),2)),"")</f>
        <v/>
      </c>
      <c r="N68" s="15" t="str" cm="1">
        <f t="array" ref="N68">IF(OR(Table2[[#This Row],[Film]]="",Table2[[#This Row],[Grade]]=""),"",IFERROR(INDEX(Table4[Serial Number],MATCH(1,(Table4[Film]=Table2[[#This Row],[Film]])*(Table4[Grade]=Table2[[#This Row],[Grade]]),0)),""))</f>
        <v/>
      </c>
      <c r="O68" s="52" t="str">
        <f>IF(OR(Table2[[#This Row],[Film]]="",Table2[[#This Row],[Grade]]=""),"",SUMIFS(Table4[Price Calculated(€) Thickness &amp; QTY related],Table4[Film],Table2[[#This Row],[Film]],Table4[Grade],Table2[[#This Row],[Grade]]))</f>
        <v/>
      </c>
      <c r="P68" s="6"/>
      <c r="T68" s="6"/>
    </row>
    <row r="69" spans="1:20">
      <c r="A69" s="29" t="s">
        <v>201</v>
      </c>
      <c r="B69" s="29" t="s">
        <v>5</v>
      </c>
      <c r="C69" s="28"/>
      <c r="D69" s="28" t="str">
        <f>IF(C69="","",IFERROR(_xlfn.XLOOKUP(C69,HELPER!$A$2:$A$81,HELPER!$B$2:$B$81,""),D69))</f>
        <v/>
      </c>
      <c r="E69" s="28" t="str">
        <f>IFERROR(_xlfn.XLOOKUP(D69,HELPER!$B:$B,HELPER!$C:$C,""),"")</f>
        <v/>
      </c>
      <c r="F69" s="27" t="str">
        <f>IFERROR(_xlfn.XLOOKUP(D69,HELPER!$B:$B,HELPER!$D:$D,""),"")</f>
        <v/>
      </c>
      <c r="G69" s="27">
        <v>8</v>
      </c>
      <c r="I69" s="8" t="str">
        <f>IF(AND(H69&lt;&gt;"",IFERROR(_xlfn.XLOOKUP(D69,HELPER!$B:$B,HELPER!$E:$E,""),"")=""),"Missing price",IFERROR(_xlfn.XLOOKUP(D69,HELPER!$B:$B,HELPER!$E:$E,"")," "))</f>
        <v/>
      </c>
      <c r="J69" s="48" t="str">
        <f>IFERROR(H69*(IF(G69=8,I69*HELPER!$G$2,BOM!I69*HELPER!$G$3))," ")</f>
        <v xml:space="preserve"> </v>
      </c>
      <c r="K69" s="6"/>
      <c r="L69" s="14" t="str" cm="1">
        <f t="array" ref="L69">IFERROR(_xlfn.LET(_xlpm.films,Table4[Film],_xlpm.grades,Table4[Grade],_xlpm.pairs,_xlfn._xlws.FILTER(_xlfn.HSTACK(_xlpm.films,_xlpm.grades),(_xlpm.films&lt;&gt;"")*(TRIM(_xlpm.grades)&lt;&gt;"")),_xlpm.uniquePairs,_xlfn.UNIQUE(_xlpm.pairs),_xlpm.sortedPairs,_xlfn._xlws.SORT(_xlpm.uniquePairs,1,1),INDEX(_xlpm.sortedPairs,ROWS($L$2:L69),1)),"")</f>
        <v/>
      </c>
      <c r="M69" s="15" t="str" cm="1">
        <f t="array" ref="M69">IFERROR(_xlfn.LET(_xlpm.films,Table4[Film],_xlpm.grades,Table4[Grade],_xlpm.pairs,_xlfn._xlws.FILTER(_xlfn.HSTACK(_xlpm.films,_xlpm.grades),(_xlpm.films&lt;&gt;"")*(TRIM(_xlpm.grades)&lt;&gt;"")),_xlpm.uniquePairs,_xlfn.UNIQUE(_xlpm.pairs),_xlpm.sortedPairs,_xlfn._xlws.SORT(_xlpm.uniquePairs,1,1),INDEX(_xlpm.sortedPairs,ROWS($M$2:M69),2)),"")</f>
        <v/>
      </c>
      <c r="N69" s="15" t="str" cm="1">
        <f t="array" ref="N69">IF(OR(Table2[[#This Row],[Film]]="",Table2[[#This Row],[Grade]]=""),"",IFERROR(INDEX(Table4[Serial Number],MATCH(1,(Table4[Film]=Table2[[#This Row],[Film]])*(Table4[Grade]=Table2[[#This Row],[Grade]]),0)),""))</f>
        <v/>
      </c>
      <c r="O69" s="52" t="str">
        <f>IF(OR(Table2[[#This Row],[Film]]="",Table2[[#This Row],[Grade]]=""),"",SUMIFS(Table4[Price Calculated(€) Thickness &amp; QTY related],Table4[Film],Table2[[#This Row],[Film]],Table4[Grade],Table2[[#This Row],[Grade]]))</f>
        <v/>
      </c>
      <c r="P69" s="6"/>
      <c r="T69" s="6"/>
    </row>
    <row r="70" spans="1:20">
      <c r="A70" s="29" t="s">
        <v>201</v>
      </c>
      <c r="B70" s="29" t="s">
        <v>5</v>
      </c>
      <c r="C70" s="28"/>
      <c r="D70" s="28" t="str">
        <f>IF(C70="","",IFERROR(_xlfn.XLOOKUP(C70,HELPER!$A$2:$A$81,HELPER!$B$2:$B$81,""),D70))</f>
        <v/>
      </c>
      <c r="E70" s="28" t="str">
        <f>IFERROR(_xlfn.XLOOKUP(D70,HELPER!$B:$B,HELPER!$C:$C,""),"")</f>
        <v/>
      </c>
      <c r="F70" s="27" t="str">
        <f>IFERROR(_xlfn.XLOOKUP(D70,HELPER!$B:$B,HELPER!$D:$D,""),"")</f>
        <v/>
      </c>
      <c r="G70" s="27">
        <v>8</v>
      </c>
      <c r="I70" s="8" t="str">
        <f>IF(AND(H70&lt;&gt;"",IFERROR(_xlfn.XLOOKUP(D70,HELPER!$B:$B,HELPER!$E:$E,""),"")=""),"Missing price",IFERROR(_xlfn.XLOOKUP(D70,HELPER!$B:$B,HELPER!$E:$E,"")," "))</f>
        <v/>
      </c>
      <c r="J70" s="48" t="str">
        <f>IFERROR(H70*(IF(G70=8,I70*HELPER!$G$2,BOM!I70*HELPER!$G$3))," ")</f>
        <v xml:space="preserve"> </v>
      </c>
      <c r="K70" s="6"/>
      <c r="L70" s="14" t="str" cm="1">
        <f t="array" ref="L70">IFERROR(_xlfn.LET(_xlpm.films,Table4[Film],_xlpm.grades,Table4[Grade],_xlpm.pairs,_xlfn._xlws.FILTER(_xlfn.HSTACK(_xlpm.films,_xlpm.grades),(_xlpm.films&lt;&gt;"")*(TRIM(_xlpm.grades)&lt;&gt;"")),_xlpm.uniquePairs,_xlfn.UNIQUE(_xlpm.pairs),_xlpm.sortedPairs,_xlfn._xlws.SORT(_xlpm.uniquePairs,1,1),INDEX(_xlpm.sortedPairs,ROWS($L$2:L70),1)),"")</f>
        <v/>
      </c>
      <c r="M70" s="15" t="str" cm="1">
        <f t="array" ref="M70">IFERROR(_xlfn.LET(_xlpm.films,Table4[Film],_xlpm.grades,Table4[Grade],_xlpm.pairs,_xlfn._xlws.FILTER(_xlfn.HSTACK(_xlpm.films,_xlpm.grades),(_xlpm.films&lt;&gt;"")*(TRIM(_xlpm.grades)&lt;&gt;"")),_xlpm.uniquePairs,_xlfn.UNIQUE(_xlpm.pairs),_xlpm.sortedPairs,_xlfn._xlws.SORT(_xlpm.uniquePairs,1,1),INDEX(_xlpm.sortedPairs,ROWS($M$2:M70),2)),"")</f>
        <v/>
      </c>
      <c r="N70" s="15" t="str" cm="1">
        <f t="array" ref="N70">IF(OR(Table2[[#This Row],[Film]]="",Table2[[#This Row],[Grade]]=""),"",IFERROR(INDEX(Table4[Serial Number],MATCH(1,(Table4[Film]=Table2[[#This Row],[Film]])*(Table4[Grade]=Table2[[#This Row],[Grade]]),0)),""))</f>
        <v/>
      </c>
      <c r="O70" s="52" t="str">
        <f>IF(OR(Table2[[#This Row],[Film]]="",Table2[[#This Row],[Grade]]=""),"",SUMIFS(Table4[Price Calculated(€) Thickness &amp; QTY related],Table4[Film],Table2[[#This Row],[Film]],Table4[Grade],Table2[[#This Row],[Grade]]))</f>
        <v/>
      </c>
      <c r="P70" s="6"/>
      <c r="T70" s="6"/>
    </row>
    <row r="71" spans="1:20">
      <c r="A71" s="29" t="s">
        <v>201</v>
      </c>
      <c r="B71" s="29" t="s">
        <v>5</v>
      </c>
      <c r="C71" s="28"/>
      <c r="D71" s="28" t="str">
        <f>IF(C71="","",IFERROR(_xlfn.XLOOKUP(C71,HELPER!$A$2:$A$81,HELPER!$B$2:$B$81,""),D71))</f>
        <v/>
      </c>
      <c r="E71" s="28" t="str">
        <f>IFERROR(_xlfn.XLOOKUP(D71,HELPER!$B:$B,HELPER!$C:$C,""),"")</f>
        <v/>
      </c>
      <c r="F71" s="27" t="str">
        <f>IFERROR(_xlfn.XLOOKUP(D71,HELPER!$B:$B,HELPER!$D:$D,""),"")</f>
        <v/>
      </c>
      <c r="G71" s="27">
        <v>8</v>
      </c>
      <c r="I71" s="8" t="str">
        <f>IF(AND(H71&lt;&gt;"",IFERROR(_xlfn.XLOOKUP(D71,HELPER!$B:$B,HELPER!$E:$E,""),"")=""),"Missing price",IFERROR(_xlfn.XLOOKUP(D71,HELPER!$B:$B,HELPER!$E:$E,"")," "))</f>
        <v/>
      </c>
      <c r="J71" s="48" t="str">
        <f>IFERROR(H71*(IF(G71=8,I71*HELPER!$G$2,BOM!I71*HELPER!$G$3))," ")</f>
        <v xml:space="preserve"> </v>
      </c>
      <c r="K71" s="6"/>
      <c r="L71" s="14" t="str" cm="1">
        <f t="array" ref="L71">IFERROR(_xlfn.LET(_xlpm.films,Table4[Film],_xlpm.grades,Table4[Grade],_xlpm.pairs,_xlfn._xlws.FILTER(_xlfn.HSTACK(_xlpm.films,_xlpm.grades),(_xlpm.films&lt;&gt;"")*(TRIM(_xlpm.grades)&lt;&gt;"")),_xlpm.uniquePairs,_xlfn.UNIQUE(_xlpm.pairs),_xlpm.sortedPairs,_xlfn._xlws.SORT(_xlpm.uniquePairs,1,1),INDEX(_xlpm.sortedPairs,ROWS($L$2:L71),1)),"")</f>
        <v/>
      </c>
      <c r="M71" s="15" t="str" cm="1">
        <f t="array" ref="M71">IFERROR(_xlfn.LET(_xlpm.films,Table4[Film],_xlpm.grades,Table4[Grade],_xlpm.pairs,_xlfn._xlws.FILTER(_xlfn.HSTACK(_xlpm.films,_xlpm.grades),(_xlpm.films&lt;&gt;"")*(TRIM(_xlpm.grades)&lt;&gt;"")),_xlpm.uniquePairs,_xlfn.UNIQUE(_xlpm.pairs),_xlpm.sortedPairs,_xlfn._xlws.SORT(_xlpm.uniquePairs,1,1),INDEX(_xlpm.sortedPairs,ROWS($M$2:M71),2)),"")</f>
        <v/>
      </c>
      <c r="N71" s="15" t="str" cm="1">
        <f t="array" ref="N71">IF(OR(Table2[[#This Row],[Film]]="",Table2[[#This Row],[Grade]]=""),"",IFERROR(INDEX(Table4[Serial Number],MATCH(1,(Table4[Film]=Table2[[#This Row],[Film]])*(Table4[Grade]=Table2[[#This Row],[Grade]]),0)),""))</f>
        <v/>
      </c>
      <c r="O71" s="52" t="str">
        <f>IF(OR(Table2[[#This Row],[Film]]="",Table2[[#This Row],[Grade]]=""),"",SUMIFS(Table4[Price Calculated(€) Thickness &amp; QTY related],Table4[Film],Table2[[#This Row],[Film]],Table4[Grade],Table2[[#This Row],[Grade]]))</f>
        <v/>
      </c>
      <c r="P71" s="6"/>
      <c r="T71" s="6"/>
    </row>
    <row r="72" spans="1:20">
      <c r="A72" s="29" t="s">
        <v>201</v>
      </c>
      <c r="B72" s="29" t="s">
        <v>6</v>
      </c>
      <c r="C72" s="28"/>
      <c r="D72" s="28" t="str">
        <f>IF(C72="","",IFERROR(_xlfn.XLOOKUP(C72,HELPER!$A$2:$A$81,HELPER!$B$2:$B$81,""),D72))</f>
        <v/>
      </c>
      <c r="E72" s="28" t="str">
        <f>IFERROR(_xlfn.XLOOKUP(D72,HELPER!$B:$B,HELPER!$C:$C,""),"")</f>
        <v/>
      </c>
      <c r="F72" s="27" t="str">
        <f>IFERROR(_xlfn.XLOOKUP(D72,HELPER!$B:$B,HELPER!$D:$D,""),"")</f>
        <v/>
      </c>
      <c r="G72" s="27">
        <v>24</v>
      </c>
      <c r="I72" s="8" t="str">
        <f>IF(AND(H72&lt;&gt;"",IFERROR(_xlfn.XLOOKUP(D72,HELPER!$B:$B,HELPER!$E:$E,""),"")=""),"Missing price",IFERROR(_xlfn.XLOOKUP(D72,HELPER!$B:$B,HELPER!$E:$E,"")," "))</f>
        <v/>
      </c>
      <c r="J72" s="48" t="str">
        <f>IFERROR(H72*(IF(G72=8,I72*HELPER!$G$2,BOM!I72*HELPER!$G$3))," ")</f>
        <v xml:space="preserve"> </v>
      </c>
      <c r="K72" s="6"/>
      <c r="L72" s="14" t="str" cm="1">
        <f t="array" ref="L72">IFERROR(_xlfn.LET(_xlpm.films,Table4[Film],_xlpm.grades,Table4[Grade],_xlpm.pairs,_xlfn._xlws.FILTER(_xlfn.HSTACK(_xlpm.films,_xlpm.grades),(_xlpm.films&lt;&gt;"")*(TRIM(_xlpm.grades)&lt;&gt;"")),_xlpm.uniquePairs,_xlfn.UNIQUE(_xlpm.pairs),_xlpm.sortedPairs,_xlfn._xlws.SORT(_xlpm.uniquePairs,1,1),INDEX(_xlpm.sortedPairs,ROWS($L$2:L72),1)),"")</f>
        <v/>
      </c>
      <c r="M72" s="15" t="str" cm="1">
        <f t="array" ref="M72">IFERROR(_xlfn.LET(_xlpm.films,Table4[Film],_xlpm.grades,Table4[Grade],_xlpm.pairs,_xlfn._xlws.FILTER(_xlfn.HSTACK(_xlpm.films,_xlpm.grades),(_xlpm.films&lt;&gt;"")*(TRIM(_xlpm.grades)&lt;&gt;"")),_xlpm.uniquePairs,_xlfn.UNIQUE(_xlpm.pairs),_xlpm.sortedPairs,_xlfn._xlws.SORT(_xlpm.uniquePairs,1,1),INDEX(_xlpm.sortedPairs,ROWS($M$2:M72),2)),"")</f>
        <v/>
      </c>
      <c r="N72" s="15" t="str" cm="1">
        <f t="array" ref="N72">IF(OR(Table2[[#This Row],[Film]]="",Table2[[#This Row],[Grade]]=""),"",IFERROR(INDEX(Table4[Serial Number],MATCH(1,(Table4[Film]=Table2[[#This Row],[Film]])*(Table4[Grade]=Table2[[#This Row],[Grade]]),0)),""))</f>
        <v/>
      </c>
      <c r="O72" s="52" t="str">
        <f>IF(OR(Table2[[#This Row],[Film]]="",Table2[[#This Row],[Grade]]=""),"",SUMIFS(Table4[Price Calculated(€) Thickness &amp; QTY related],Table4[Film],Table2[[#This Row],[Film]],Table4[Grade],Table2[[#This Row],[Grade]]))</f>
        <v/>
      </c>
      <c r="P72" s="6"/>
      <c r="T72" s="6"/>
    </row>
    <row r="73" spans="1:20">
      <c r="A73" s="29" t="s">
        <v>201</v>
      </c>
      <c r="B73" s="29" t="s">
        <v>6</v>
      </c>
      <c r="C73" s="28"/>
      <c r="D73" s="28" t="str">
        <f>IF(C73="","",IFERROR(_xlfn.XLOOKUP(C73,HELPER!$A$2:$A$81,HELPER!$B$2:$B$81,""),D73))</f>
        <v/>
      </c>
      <c r="E73" s="28" t="str">
        <f>IFERROR(_xlfn.XLOOKUP(D73,HELPER!$B:$B,HELPER!$C:$C,""),"")</f>
        <v/>
      </c>
      <c r="F73" s="27" t="str">
        <f>IFERROR(_xlfn.XLOOKUP(D73,HELPER!$B:$B,HELPER!$D:$D,""),"")</f>
        <v/>
      </c>
      <c r="G73" s="27">
        <v>24</v>
      </c>
      <c r="I73" s="8" t="str">
        <f>IF(AND(H73&lt;&gt;"",IFERROR(_xlfn.XLOOKUP(D73,HELPER!$B:$B,HELPER!$E:$E,""),"")=""),"Missing price",IFERROR(_xlfn.XLOOKUP(D73,HELPER!$B:$B,HELPER!$E:$E,"")," "))</f>
        <v/>
      </c>
      <c r="J73" s="48" t="str">
        <f>IFERROR(H73*(IF(G73=8,I73*HELPER!$G$2,BOM!I73*HELPER!$G$3))," ")</f>
        <v xml:space="preserve"> </v>
      </c>
      <c r="K73" s="6"/>
      <c r="L73" s="14" t="str" cm="1">
        <f t="array" ref="L73">IFERROR(_xlfn.LET(_xlpm.films,Table4[Film],_xlpm.grades,Table4[Grade],_xlpm.pairs,_xlfn._xlws.FILTER(_xlfn.HSTACK(_xlpm.films,_xlpm.grades),(_xlpm.films&lt;&gt;"")*(TRIM(_xlpm.grades)&lt;&gt;"")),_xlpm.uniquePairs,_xlfn.UNIQUE(_xlpm.pairs),_xlpm.sortedPairs,_xlfn._xlws.SORT(_xlpm.uniquePairs,1,1),INDEX(_xlpm.sortedPairs,ROWS($L$2:L73),1)),"")</f>
        <v/>
      </c>
      <c r="M73" s="15" t="str" cm="1">
        <f t="array" ref="M73">IFERROR(_xlfn.LET(_xlpm.films,Table4[Film],_xlpm.grades,Table4[Grade],_xlpm.pairs,_xlfn._xlws.FILTER(_xlfn.HSTACK(_xlpm.films,_xlpm.grades),(_xlpm.films&lt;&gt;"")*(TRIM(_xlpm.grades)&lt;&gt;"")),_xlpm.uniquePairs,_xlfn.UNIQUE(_xlpm.pairs),_xlpm.sortedPairs,_xlfn._xlws.SORT(_xlpm.uniquePairs,1,1),INDEX(_xlpm.sortedPairs,ROWS($M$2:M73),2)),"")</f>
        <v/>
      </c>
      <c r="N73" s="15" t="str" cm="1">
        <f t="array" ref="N73">IF(OR(Table2[[#This Row],[Film]]="",Table2[[#This Row],[Grade]]=""),"",IFERROR(INDEX(Table4[Serial Number],MATCH(1,(Table4[Film]=Table2[[#This Row],[Film]])*(Table4[Grade]=Table2[[#This Row],[Grade]]),0)),""))</f>
        <v/>
      </c>
      <c r="O73" s="52" t="str">
        <f>IF(OR(Table2[[#This Row],[Film]]="",Table2[[#This Row],[Grade]]=""),"",SUMIFS(Table4[Price Calculated(€) Thickness &amp; QTY related],Table4[Film],Table2[[#This Row],[Film]],Table4[Grade],Table2[[#This Row],[Grade]]))</f>
        <v/>
      </c>
      <c r="P73" s="6"/>
      <c r="T73" s="6"/>
    </row>
    <row r="74" spans="1:20">
      <c r="A74" s="29" t="s">
        <v>201</v>
      </c>
      <c r="B74" s="29" t="s">
        <v>6</v>
      </c>
      <c r="C74" s="28"/>
      <c r="D74" s="28" t="str">
        <f>IF(C74="","",IFERROR(_xlfn.XLOOKUP(C74,HELPER!$A$2:$A$81,HELPER!$B$2:$B$81,""),D74))</f>
        <v/>
      </c>
      <c r="E74" s="28" t="str">
        <f>IFERROR(_xlfn.XLOOKUP(D74,HELPER!$B:$B,HELPER!$C:$C,""),"")</f>
        <v/>
      </c>
      <c r="F74" s="27" t="str">
        <f>IFERROR(_xlfn.XLOOKUP(D74,HELPER!$B:$B,HELPER!$D:$D,""),"")</f>
        <v/>
      </c>
      <c r="G74" s="27">
        <v>24</v>
      </c>
      <c r="I74" s="8" t="str">
        <f>IF(AND(H74&lt;&gt;"",IFERROR(_xlfn.XLOOKUP(D74,HELPER!$B:$B,HELPER!$E:$E,""),"")=""),"Missing price",IFERROR(_xlfn.XLOOKUP(D74,HELPER!$B:$B,HELPER!$E:$E,"")," "))</f>
        <v/>
      </c>
      <c r="J74" s="48" t="str">
        <f>IFERROR(H74*(IF(G74=8,I74*HELPER!$G$2,BOM!I74*HELPER!$G$3))," ")</f>
        <v xml:space="preserve"> </v>
      </c>
      <c r="K74" s="6"/>
      <c r="L74" s="14" t="str" cm="1">
        <f t="array" ref="L74">IFERROR(_xlfn.LET(_xlpm.films,Table4[Film],_xlpm.grades,Table4[Grade],_xlpm.pairs,_xlfn._xlws.FILTER(_xlfn.HSTACK(_xlpm.films,_xlpm.grades),(_xlpm.films&lt;&gt;"")*(TRIM(_xlpm.grades)&lt;&gt;"")),_xlpm.uniquePairs,_xlfn.UNIQUE(_xlpm.pairs),_xlpm.sortedPairs,_xlfn._xlws.SORT(_xlpm.uniquePairs,1,1),INDEX(_xlpm.sortedPairs,ROWS($L$2:L74),1)),"")</f>
        <v/>
      </c>
      <c r="M74" s="15" t="str" cm="1">
        <f t="array" ref="M74">IFERROR(_xlfn.LET(_xlpm.films,Table4[Film],_xlpm.grades,Table4[Grade],_xlpm.pairs,_xlfn._xlws.FILTER(_xlfn.HSTACK(_xlpm.films,_xlpm.grades),(_xlpm.films&lt;&gt;"")*(TRIM(_xlpm.grades)&lt;&gt;"")),_xlpm.uniquePairs,_xlfn.UNIQUE(_xlpm.pairs),_xlpm.sortedPairs,_xlfn._xlws.SORT(_xlpm.uniquePairs,1,1),INDEX(_xlpm.sortedPairs,ROWS($M$2:M74),2)),"")</f>
        <v/>
      </c>
      <c r="N74" s="15" t="str" cm="1">
        <f t="array" ref="N74">IF(OR(Table2[[#This Row],[Film]]="",Table2[[#This Row],[Grade]]=""),"",IFERROR(INDEX(Table4[Serial Number],MATCH(1,(Table4[Film]=Table2[[#This Row],[Film]])*(Table4[Grade]=Table2[[#This Row],[Grade]]),0)),""))</f>
        <v/>
      </c>
      <c r="O74" s="52" t="str">
        <f>IF(OR(Table2[[#This Row],[Film]]="",Table2[[#This Row],[Grade]]=""),"",SUMIFS(Table4[Price Calculated(€) Thickness &amp; QTY related],Table4[Film],Table2[[#This Row],[Film]],Table4[Grade],Table2[[#This Row],[Grade]]))</f>
        <v/>
      </c>
      <c r="P74" s="6"/>
      <c r="T74" s="6"/>
    </row>
    <row r="75" spans="1:20">
      <c r="A75" s="29" t="s">
        <v>201</v>
      </c>
      <c r="B75" s="29" t="s">
        <v>6</v>
      </c>
      <c r="C75" s="28"/>
      <c r="D75" s="28" t="str">
        <f>IF(C75="","",IFERROR(_xlfn.XLOOKUP(C75,HELPER!$A$2:$A$81,HELPER!$B$2:$B$81,""),D75))</f>
        <v/>
      </c>
      <c r="E75" s="28" t="str">
        <f>IFERROR(_xlfn.XLOOKUP(D75,HELPER!$B:$B,HELPER!$C:$C,""),"")</f>
        <v/>
      </c>
      <c r="F75" s="27" t="str">
        <f>IFERROR(_xlfn.XLOOKUP(D75,HELPER!$B:$B,HELPER!$D:$D,""),"")</f>
        <v/>
      </c>
      <c r="G75" s="27">
        <v>24</v>
      </c>
      <c r="I75" s="8" t="str">
        <f>IF(AND(H75&lt;&gt;"",IFERROR(_xlfn.XLOOKUP(D75,HELPER!$B:$B,HELPER!$E:$E,""),"")=""),"Missing price",IFERROR(_xlfn.XLOOKUP(D75,HELPER!$B:$B,HELPER!$E:$E,"")," "))</f>
        <v/>
      </c>
      <c r="J75" s="48" t="str">
        <f>IFERROR(H75*(IF(G75=8,I75*HELPER!$G$2,BOM!I75*HELPER!$G$3))," ")</f>
        <v xml:space="preserve"> </v>
      </c>
      <c r="K75" s="6"/>
      <c r="L75" s="14" t="str" cm="1">
        <f t="array" ref="L75">IFERROR(_xlfn.LET(_xlpm.films,Table4[Film],_xlpm.grades,Table4[Grade],_xlpm.pairs,_xlfn._xlws.FILTER(_xlfn.HSTACK(_xlpm.films,_xlpm.grades),(_xlpm.films&lt;&gt;"")*(TRIM(_xlpm.grades)&lt;&gt;"")),_xlpm.uniquePairs,_xlfn.UNIQUE(_xlpm.pairs),_xlpm.sortedPairs,_xlfn._xlws.SORT(_xlpm.uniquePairs,1,1),INDEX(_xlpm.sortedPairs,ROWS($L$2:L75),1)),"")</f>
        <v/>
      </c>
      <c r="M75" s="15" t="str" cm="1">
        <f t="array" ref="M75">IFERROR(_xlfn.LET(_xlpm.films,Table4[Film],_xlpm.grades,Table4[Grade],_xlpm.pairs,_xlfn._xlws.FILTER(_xlfn.HSTACK(_xlpm.films,_xlpm.grades),(_xlpm.films&lt;&gt;"")*(TRIM(_xlpm.grades)&lt;&gt;"")),_xlpm.uniquePairs,_xlfn.UNIQUE(_xlpm.pairs),_xlpm.sortedPairs,_xlfn._xlws.SORT(_xlpm.uniquePairs,1,1),INDEX(_xlpm.sortedPairs,ROWS($M$2:M75),2)),"")</f>
        <v/>
      </c>
      <c r="N75" s="15" t="str" cm="1">
        <f t="array" ref="N75">IF(OR(Table2[[#This Row],[Film]]="",Table2[[#This Row],[Grade]]=""),"",IFERROR(INDEX(Table4[Serial Number],MATCH(1,(Table4[Film]=Table2[[#This Row],[Film]])*(Table4[Grade]=Table2[[#This Row],[Grade]]),0)),""))</f>
        <v/>
      </c>
      <c r="O75" s="52" t="str">
        <f>IF(OR(Table2[[#This Row],[Film]]="",Table2[[#This Row],[Grade]]=""),"",SUMIFS(Table4[Price Calculated(€) Thickness &amp; QTY related],Table4[Film],Table2[[#This Row],[Film]],Table4[Grade],Table2[[#This Row],[Grade]]))</f>
        <v/>
      </c>
      <c r="P75" s="6"/>
      <c r="T75" s="6"/>
    </row>
    <row r="76" spans="1:20">
      <c r="A76" s="29" t="s">
        <v>201</v>
      </c>
      <c r="B76" s="29" t="s">
        <v>6</v>
      </c>
      <c r="C76" s="28" t="s">
        <v>16</v>
      </c>
      <c r="D76" s="28" t="str">
        <f>IF(C76="","",IFERROR(_xlfn.XLOOKUP(C76,HELPER!$A$2:$A$81,HELPER!$B$2:$B$81,""),D76))</f>
        <v>S723</v>
      </c>
      <c r="E76" s="28" t="str">
        <f>IFERROR(_xlfn.XLOOKUP(D76,HELPER!$B:$B,HELPER!$C:$C,""),"")</f>
        <v>RM TA45-08 S723</v>
      </c>
      <c r="F76" s="27" t="str">
        <f>IFERROR(_xlfn.XLOOKUP(D76,HELPER!$B:$B,HELPER!$D:$D,""),"")</f>
        <v>Resin 6</v>
      </c>
      <c r="G76" s="27">
        <v>24</v>
      </c>
      <c r="H76" s="32">
        <v>1.4999999999999999E-2</v>
      </c>
      <c r="I76" s="8">
        <f>IF(AND(H76&lt;&gt;"",IFERROR(_xlfn.XLOOKUP(D76,HELPER!$B:$B,HELPER!$E:$E,""),"")=""),"Missing price",IFERROR(_xlfn.XLOOKUP(D76,HELPER!$B:$B,HELPER!$E:$E,"")," "))</f>
        <v>16.16</v>
      </c>
      <c r="J76" s="48">
        <f>IFERROR(H76*(IF(G76=8,I76*HELPER!$G$2,BOM!I76*HELPER!$G$3))," ")</f>
        <v>0.14543999999999999</v>
      </c>
      <c r="K76" s="6"/>
      <c r="L76" s="14" t="str" cm="1">
        <f t="array" ref="L76">IFERROR(_xlfn.LET(_xlpm.films,Table4[Film],_xlpm.grades,Table4[Grade],_xlpm.pairs,_xlfn._xlws.FILTER(_xlfn.HSTACK(_xlpm.films,_xlpm.grades),(_xlpm.films&lt;&gt;"")*(TRIM(_xlpm.grades)&lt;&gt;"")),_xlpm.uniquePairs,_xlfn.UNIQUE(_xlpm.pairs),_xlpm.sortedPairs,_xlfn._xlws.SORT(_xlpm.uniquePairs,1,1),INDEX(_xlpm.sortedPairs,ROWS($L$2:L76),1)),"")</f>
        <v/>
      </c>
      <c r="M76" s="15" t="str" cm="1">
        <f t="array" ref="M76">IFERROR(_xlfn.LET(_xlpm.films,Table4[Film],_xlpm.grades,Table4[Grade],_xlpm.pairs,_xlfn._xlws.FILTER(_xlfn.HSTACK(_xlpm.films,_xlpm.grades),(_xlpm.films&lt;&gt;"")*(TRIM(_xlpm.grades)&lt;&gt;"")),_xlpm.uniquePairs,_xlfn.UNIQUE(_xlpm.pairs),_xlpm.sortedPairs,_xlfn._xlws.SORT(_xlpm.uniquePairs,1,1),INDEX(_xlpm.sortedPairs,ROWS($M$2:M76),2)),"")</f>
        <v/>
      </c>
      <c r="N76" s="15" t="str" cm="1">
        <f t="array" ref="N76">IF(OR(Table2[[#This Row],[Film]]="",Table2[[#This Row],[Grade]]=""),"",IFERROR(INDEX(Table4[Serial Number],MATCH(1,(Table4[Film]=Table2[[#This Row],[Film]])*(Table4[Grade]=Table2[[#This Row],[Grade]]),0)),""))</f>
        <v/>
      </c>
      <c r="O76" s="52" t="str">
        <f>IF(OR(Table2[[#This Row],[Film]]="",Table2[[#This Row],[Grade]]=""),"",SUMIFS(Table4[Price Calculated(€) Thickness &amp; QTY related],Table4[Film],Table2[[#This Row],[Film]],Table4[Grade],Table2[[#This Row],[Grade]]))</f>
        <v/>
      </c>
      <c r="P76" s="6"/>
      <c r="T76" s="6"/>
    </row>
    <row r="77" spans="1:20">
      <c r="A77" s="29" t="s">
        <v>201</v>
      </c>
      <c r="B77" s="29" t="s">
        <v>6</v>
      </c>
      <c r="C77" s="28"/>
      <c r="D77" s="28" t="str">
        <f>IF(C77="","",IFERROR(_xlfn.XLOOKUP(C77,HELPER!$A$2:$A$81,HELPER!$B$2:$B$81,""),D77))</f>
        <v/>
      </c>
      <c r="E77" s="28" t="str">
        <f>IFERROR(_xlfn.XLOOKUP(D77,HELPER!$B:$B,HELPER!$C:$C,""),"")</f>
        <v/>
      </c>
      <c r="F77" s="27" t="str">
        <f>IFERROR(_xlfn.XLOOKUP(D77,HELPER!$B:$B,HELPER!$D:$D,""),"")</f>
        <v/>
      </c>
      <c r="G77" s="27">
        <v>24</v>
      </c>
      <c r="I77" s="8" t="str">
        <f>IF(AND(H77&lt;&gt;"",IFERROR(_xlfn.XLOOKUP(D77,HELPER!$B:$B,HELPER!$E:$E,""),"")=""),"Missing price",IFERROR(_xlfn.XLOOKUP(D77,HELPER!$B:$B,HELPER!$E:$E,"")," "))</f>
        <v/>
      </c>
      <c r="J77" s="48" t="str">
        <f>IFERROR(H77*(IF(G77=8,I77*HELPER!$G$2,BOM!I77*HELPER!$G$3))," ")</f>
        <v xml:space="preserve"> </v>
      </c>
      <c r="K77" s="6"/>
      <c r="L77" s="14" t="str" cm="1">
        <f t="array" ref="L77">IFERROR(_xlfn.LET(_xlpm.films,Table4[Film],_xlpm.grades,Table4[Grade],_xlpm.pairs,_xlfn._xlws.FILTER(_xlfn.HSTACK(_xlpm.films,_xlpm.grades),(_xlpm.films&lt;&gt;"")*(TRIM(_xlpm.grades)&lt;&gt;"")),_xlpm.uniquePairs,_xlfn.UNIQUE(_xlpm.pairs),_xlpm.sortedPairs,_xlfn._xlws.SORT(_xlpm.uniquePairs,1,1),INDEX(_xlpm.sortedPairs,ROWS($L$2:L77),1)),"")</f>
        <v/>
      </c>
      <c r="M77" s="15" t="str" cm="1">
        <f t="array" ref="M77">IFERROR(_xlfn.LET(_xlpm.films,Table4[Film],_xlpm.grades,Table4[Grade],_xlpm.pairs,_xlfn._xlws.FILTER(_xlfn.HSTACK(_xlpm.films,_xlpm.grades),(_xlpm.films&lt;&gt;"")*(TRIM(_xlpm.grades)&lt;&gt;"")),_xlpm.uniquePairs,_xlfn.UNIQUE(_xlpm.pairs),_xlpm.sortedPairs,_xlfn._xlws.SORT(_xlpm.uniquePairs,1,1),INDEX(_xlpm.sortedPairs,ROWS($M$2:M77),2)),"")</f>
        <v/>
      </c>
      <c r="N77" s="15" t="str" cm="1">
        <f t="array" ref="N77">IF(OR(Table2[[#This Row],[Film]]="",Table2[[#This Row],[Grade]]=""),"",IFERROR(INDEX(Table4[Serial Number],MATCH(1,(Table4[Film]=Table2[[#This Row],[Film]])*(Table4[Grade]=Table2[[#This Row],[Grade]]),0)),""))</f>
        <v/>
      </c>
      <c r="O77" s="52" t="str">
        <f>IF(OR(Table2[[#This Row],[Film]]="",Table2[[#This Row],[Grade]]=""),"",SUMIFS(Table4[Price Calculated(€) Thickness &amp; QTY related],Table4[Film],Table2[[#This Row],[Film]],Table4[Grade],Table2[[#This Row],[Grade]]))</f>
        <v/>
      </c>
      <c r="P77" s="6"/>
      <c r="T77" s="6"/>
    </row>
    <row r="78" spans="1:20">
      <c r="A78" s="29" t="s">
        <v>201</v>
      </c>
      <c r="B78" s="29" t="s">
        <v>6</v>
      </c>
      <c r="C78" s="28"/>
      <c r="D78" s="28" t="str">
        <f>IF(C78="","",IFERROR(_xlfn.XLOOKUP(C78,HELPER!$A$2:$A$81,HELPER!$B$2:$B$81,""),D78))</f>
        <v/>
      </c>
      <c r="E78" s="28" t="str">
        <f>IFERROR(_xlfn.XLOOKUP(D78,HELPER!$B:$B,HELPER!$C:$C,""),"")</f>
        <v/>
      </c>
      <c r="F78" s="27" t="str">
        <f>IFERROR(_xlfn.XLOOKUP(D78,HELPER!$B:$B,HELPER!$D:$D,""),"")</f>
        <v/>
      </c>
      <c r="G78" s="27">
        <v>24</v>
      </c>
      <c r="I78" s="8" t="str">
        <f>IF(AND(H78&lt;&gt;"",IFERROR(_xlfn.XLOOKUP(D78,HELPER!$B:$B,HELPER!$E:$E,""),"")=""),"Missing price",IFERROR(_xlfn.XLOOKUP(D78,HELPER!$B:$B,HELPER!$E:$E,"")," "))</f>
        <v/>
      </c>
      <c r="J78" s="48" t="str">
        <f>IFERROR(H78*(IF(G78=8,I78*HELPER!$G$2,BOM!I78*HELPER!$G$3))," ")</f>
        <v xml:space="preserve"> </v>
      </c>
      <c r="K78" s="6"/>
      <c r="L78" s="14" t="str" cm="1">
        <f t="array" ref="L78">IFERROR(_xlfn.LET(_xlpm.films,Table4[Film],_xlpm.grades,Table4[Grade],_xlpm.pairs,_xlfn._xlws.FILTER(_xlfn.HSTACK(_xlpm.films,_xlpm.grades),(_xlpm.films&lt;&gt;"")*(TRIM(_xlpm.grades)&lt;&gt;"")),_xlpm.uniquePairs,_xlfn.UNIQUE(_xlpm.pairs),_xlpm.sortedPairs,_xlfn._xlws.SORT(_xlpm.uniquePairs,1,1),INDEX(_xlpm.sortedPairs,ROWS($L$2:L78),1)),"")</f>
        <v/>
      </c>
      <c r="M78" s="15" t="str" cm="1">
        <f t="array" ref="M78">IFERROR(_xlfn.LET(_xlpm.films,Table4[Film],_xlpm.grades,Table4[Grade],_xlpm.pairs,_xlfn._xlws.FILTER(_xlfn.HSTACK(_xlpm.films,_xlpm.grades),(_xlpm.films&lt;&gt;"")*(TRIM(_xlpm.grades)&lt;&gt;"")),_xlpm.uniquePairs,_xlfn.UNIQUE(_xlpm.pairs),_xlpm.sortedPairs,_xlfn._xlws.SORT(_xlpm.uniquePairs,1,1),INDEX(_xlpm.sortedPairs,ROWS($M$2:M78),2)),"")</f>
        <v/>
      </c>
      <c r="N78" s="15" t="str" cm="1">
        <f t="array" ref="N78">IF(OR(Table2[[#This Row],[Film]]="",Table2[[#This Row],[Grade]]=""),"",IFERROR(INDEX(Table4[Serial Number],MATCH(1,(Table4[Film]=Table2[[#This Row],[Film]])*(Table4[Grade]=Table2[[#This Row],[Grade]]),0)),""))</f>
        <v/>
      </c>
      <c r="O78" s="52" t="str">
        <f>IF(OR(Table2[[#This Row],[Film]]="",Table2[[#This Row],[Grade]]=""),"",SUMIFS(Table4[Price Calculated(€) Thickness &amp; QTY related],Table4[Film],Table2[[#This Row],[Film]],Table4[Grade],Table2[[#This Row],[Grade]]))</f>
        <v/>
      </c>
      <c r="P78" s="6"/>
      <c r="T78" s="6"/>
    </row>
    <row r="79" spans="1:20">
      <c r="A79" s="29" t="s">
        <v>201</v>
      </c>
      <c r="B79" s="29" t="s">
        <v>6</v>
      </c>
      <c r="C79" s="28" t="s">
        <v>14</v>
      </c>
      <c r="D79" s="28" t="str">
        <f>IF(C79="","",IFERROR(_xlfn.XLOOKUP(C79,HELPER!$A$2:$A$81,HELPER!$B$2:$B$81,""),D79))</f>
        <v>B12</v>
      </c>
      <c r="E79" s="28" t="str">
        <f>IFERROR(_xlfn.XLOOKUP(D79,HELPER!$B:$B,HELPER!$C:$C,""),"")</f>
        <v>RMB12</v>
      </c>
      <c r="F79" s="27" t="str">
        <f>IFERROR(_xlfn.XLOOKUP(D79,HELPER!$B:$B,HELPER!$D:$D,""),"")</f>
        <v>Resin 2A</v>
      </c>
      <c r="G79" s="27">
        <v>24</v>
      </c>
      <c r="H79" s="32">
        <v>0.98499999999999999</v>
      </c>
      <c r="I79" s="8">
        <f>IF(AND(H79&lt;&gt;"",IFERROR(_xlfn.XLOOKUP(D79,HELPER!$B:$B,HELPER!$E:$E,""),"")=""),"Missing price",IFERROR(_xlfn.XLOOKUP(D79,HELPER!$B:$B,HELPER!$E:$E,"")," "))</f>
        <v>1.81</v>
      </c>
      <c r="J79" s="48">
        <f>IFERROR(H79*(IF(G79=8,I79*HELPER!$G$2,BOM!I79*HELPER!$G$3))," ")</f>
        <v>1.0697100000000002</v>
      </c>
      <c r="K79" s="6"/>
      <c r="L79" s="14" t="str" cm="1">
        <f t="array" ref="L79">IFERROR(_xlfn.LET(_xlpm.films,Table4[Film],_xlpm.grades,Table4[Grade],_xlpm.pairs,_xlfn._xlws.FILTER(_xlfn.HSTACK(_xlpm.films,_xlpm.grades),(_xlpm.films&lt;&gt;"")*(TRIM(_xlpm.grades)&lt;&gt;"")),_xlpm.uniquePairs,_xlfn.UNIQUE(_xlpm.pairs),_xlpm.sortedPairs,_xlfn._xlws.SORT(_xlpm.uniquePairs,1,1),INDEX(_xlpm.sortedPairs,ROWS($L$2:L79),1)),"")</f>
        <v/>
      </c>
      <c r="M79" s="15" t="str" cm="1">
        <f t="array" ref="M79">IFERROR(_xlfn.LET(_xlpm.films,Table4[Film],_xlpm.grades,Table4[Grade],_xlpm.pairs,_xlfn._xlws.FILTER(_xlfn.HSTACK(_xlpm.films,_xlpm.grades),(_xlpm.films&lt;&gt;"")*(TRIM(_xlpm.grades)&lt;&gt;"")),_xlpm.uniquePairs,_xlfn.UNIQUE(_xlpm.pairs),_xlpm.sortedPairs,_xlfn._xlws.SORT(_xlpm.uniquePairs,1,1),INDEX(_xlpm.sortedPairs,ROWS($M$2:M79),2)),"")</f>
        <v/>
      </c>
      <c r="N79" s="15" t="str" cm="1">
        <f t="array" ref="N79">IF(OR(Table2[[#This Row],[Film]]="",Table2[[#This Row],[Grade]]=""),"",IFERROR(INDEX(Table4[Serial Number],MATCH(1,(Table4[Film]=Table2[[#This Row],[Film]])*(Table4[Grade]=Table2[[#This Row],[Grade]]),0)),""))</f>
        <v/>
      </c>
      <c r="O79" s="52" t="str">
        <f>IF(OR(Table2[[#This Row],[Film]]="",Table2[[#This Row],[Grade]]=""),"",SUMIFS(Table4[Price Calculated(€) Thickness &amp; QTY related],Table4[Film],Table2[[#This Row],[Film]],Table4[Grade],Table2[[#This Row],[Grade]]))</f>
        <v/>
      </c>
      <c r="P79" s="6"/>
      <c r="T79" s="6"/>
    </row>
    <row r="80" spans="1:20">
      <c r="A80" s="29" t="s">
        <v>201</v>
      </c>
      <c r="B80" s="29" t="s">
        <v>6</v>
      </c>
      <c r="C80" s="28"/>
      <c r="D80" s="28" t="str">
        <f>IF(C80="","",IFERROR(_xlfn.XLOOKUP(C80,HELPER!$A$2:$A$81,HELPER!$B$2:$B$81,""),D80))</f>
        <v/>
      </c>
      <c r="E80" s="28" t="str">
        <f>IFERROR(_xlfn.XLOOKUP(D80,HELPER!$B:$B,HELPER!$C:$C,""),"")</f>
        <v/>
      </c>
      <c r="F80" s="27" t="str">
        <f>IFERROR(_xlfn.XLOOKUP(D80,HELPER!$B:$B,HELPER!$D:$D,""),"")</f>
        <v/>
      </c>
      <c r="G80" s="27">
        <v>24</v>
      </c>
      <c r="I80" s="8" t="str">
        <f>IF(AND(H80&lt;&gt;"",IFERROR(_xlfn.XLOOKUP(D80,HELPER!$B:$B,HELPER!$E:$E,""),"")=""),"Missing price",IFERROR(_xlfn.XLOOKUP(D80,HELPER!$B:$B,HELPER!$E:$E,"")," "))</f>
        <v/>
      </c>
      <c r="J80" s="48" t="str">
        <f>IFERROR(H80*(IF(G80=8,I80*HELPER!$G$2,BOM!I80*HELPER!$G$3))," ")</f>
        <v xml:space="preserve"> </v>
      </c>
      <c r="K80" s="6"/>
      <c r="L80" s="14" t="str" cm="1">
        <f t="array" ref="L80">IFERROR(_xlfn.LET(_xlpm.films,Table4[Film],_xlpm.grades,Table4[Grade],_xlpm.pairs,_xlfn._xlws.FILTER(_xlfn.HSTACK(_xlpm.films,_xlpm.grades),(_xlpm.films&lt;&gt;"")*(TRIM(_xlpm.grades)&lt;&gt;"")),_xlpm.uniquePairs,_xlfn.UNIQUE(_xlpm.pairs),_xlpm.sortedPairs,_xlfn._xlws.SORT(_xlpm.uniquePairs,1,1),INDEX(_xlpm.sortedPairs,ROWS($L$2:L80),1)),"")</f>
        <v/>
      </c>
      <c r="M80" s="15" t="str" cm="1">
        <f t="array" ref="M80">IFERROR(_xlfn.LET(_xlpm.films,Table4[Film],_xlpm.grades,Table4[Grade],_xlpm.pairs,_xlfn._xlws.FILTER(_xlfn.HSTACK(_xlpm.films,_xlpm.grades),(_xlpm.films&lt;&gt;"")*(TRIM(_xlpm.grades)&lt;&gt;"")),_xlpm.uniquePairs,_xlfn.UNIQUE(_xlpm.pairs),_xlpm.sortedPairs,_xlfn._xlws.SORT(_xlpm.uniquePairs,1,1),INDEX(_xlpm.sortedPairs,ROWS($M$2:M80),2)),"")</f>
        <v/>
      </c>
      <c r="N80" s="15" t="str" cm="1">
        <f t="array" ref="N80">IF(OR(Table2[[#This Row],[Film]]="",Table2[[#This Row],[Grade]]=""),"",IFERROR(INDEX(Table4[Serial Number],MATCH(1,(Table4[Film]=Table2[[#This Row],[Film]])*(Table4[Grade]=Table2[[#This Row],[Grade]]),0)),""))</f>
        <v/>
      </c>
      <c r="O80" s="52" t="str">
        <f>IF(OR(Table2[[#This Row],[Film]]="",Table2[[#This Row],[Grade]]=""),"",SUMIFS(Table4[Price Calculated(€) Thickness &amp; QTY related],Table4[Film],Table2[[#This Row],[Film]],Table4[Grade],Table2[[#This Row],[Grade]]))</f>
        <v/>
      </c>
      <c r="P80" s="6"/>
      <c r="T80" s="6"/>
    </row>
    <row r="81" spans="1:20">
      <c r="A81" s="29" t="s">
        <v>201</v>
      </c>
      <c r="B81" s="29" t="s">
        <v>6</v>
      </c>
      <c r="C81" s="28"/>
      <c r="D81" s="28" t="str">
        <f>IF(C81="","",IFERROR(_xlfn.XLOOKUP(C81,HELPER!$A$2:$A$81,HELPER!$B$2:$B$81,""),D81))</f>
        <v/>
      </c>
      <c r="E81" s="28" t="str">
        <f>IFERROR(_xlfn.XLOOKUP(D81,HELPER!$B:$B,HELPER!$C:$C,""),"")</f>
        <v/>
      </c>
      <c r="F81" s="27" t="str">
        <f>IFERROR(_xlfn.XLOOKUP(D81,HELPER!$B:$B,HELPER!$D:$D,""),"")</f>
        <v/>
      </c>
      <c r="G81" s="27">
        <v>24</v>
      </c>
      <c r="I81" s="8" t="str">
        <f>IF(AND(H81&lt;&gt;"",IFERROR(_xlfn.XLOOKUP(D81,HELPER!$B:$B,HELPER!$E:$E,""),"")=""),"Missing price",IFERROR(_xlfn.XLOOKUP(D81,HELPER!$B:$B,HELPER!$E:$E,"")," "))</f>
        <v/>
      </c>
      <c r="J81" s="48" t="str">
        <f>IFERROR(H81*(IF(G81=8,I81*HELPER!$G$2,BOM!I81*HELPER!$G$3))," ")</f>
        <v xml:space="preserve"> </v>
      </c>
      <c r="K81" s="6"/>
      <c r="L81" s="14" t="str" cm="1">
        <f t="array" ref="L81">IFERROR(_xlfn.LET(_xlpm.films,Table4[Film],_xlpm.grades,Table4[Grade],_xlpm.pairs,_xlfn._xlws.FILTER(_xlfn.HSTACK(_xlpm.films,_xlpm.grades),(_xlpm.films&lt;&gt;"")*(TRIM(_xlpm.grades)&lt;&gt;"")),_xlpm.uniquePairs,_xlfn.UNIQUE(_xlpm.pairs),_xlpm.sortedPairs,_xlfn._xlws.SORT(_xlpm.uniquePairs,1,1),INDEX(_xlpm.sortedPairs,ROWS($L$2:L81),1)),"")</f>
        <v/>
      </c>
      <c r="M81" s="15" t="str" cm="1">
        <f t="array" ref="M81">IFERROR(_xlfn.LET(_xlpm.films,Table4[Film],_xlpm.grades,Table4[Grade],_xlpm.pairs,_xlfn._xlws.FILTER(_xlfn.HSTACK(_xlpm.films,_xlpm.grades),(_xlpm.films&lt;&gt;"")*(TRIM(_xlpm.grades)&lt;&gt;"")),_xlpm.uniquePairs,_xlfn.UNIQUE(_xlpm.pairs),_xlpm.sortedPairs,_xlfn._xlws.SORT(_xlpm.uniquePairs,1,1),INDEX(_xlpm.sortedPairs,ROWS($M$2:M81),2)),"")</f>
        <v/>
      </c>
      <c r="N81" s="15" t="str" cm="1">
        <f t="array" ref="N81">IF(OR(Table2[[#This Row],[Film]]="",Table2[[#This Row],[Grade]]=""),"",IFERROR(INDEX(Table4[Serial Number],MATCH(1,(Table4[Film]=Table2[[#This Row],[Film]])*(Table4[Grade]=Table2[[#This Row],[Grade]]),0)),""))</f>
        <v/>
      </c>
      <c r="O81" s="52" t="str">
        <f>IF(OR(Table2[[#This Row],[Film]]="",Table2[[#This Row],[Grade]]=""),"",SUMIFS(Table4[Price Calculated(€) Thickness &amp; QTY related],Table4[Film],Table2[[#This Row],[Film]],Table4[Grade],Table2[[#This Row],[Grade]]))</f>
        <v/>
      </c>
      <c r="P81" s="6"/>
      <c r="T81" s="6"/>
    </row>
    <row r="82" spans="1:20">
      <c r="A82" s="29" t="s">
        <v>201</v>
      </c>
      <c r="B82" s="29" t="s">
        <v>7</v>
      </c>
      <c r="C82" s="28" t="s">
        <v>12</v>
      </c>
      <c r="D82" s="28" t="str">
        <f>IF(C82="","",IFERROR(_xlfn.XLOOKUP(C82,HELPER!$A$2:$A$81,HELPER!$B$2:$B$81,""),D82))</f>
        <v>FD92PM</v>
      </c>
      <c r="E82" s="28" t="str">
        <f>IFERROR(_xlfn.XLOOKUP(D82,HELPER!$B:$B,HELPER!$C:$C,""),"")</f>
        <v>RMPM2</v>
      </c>
      <c r="F82" s="27" t="str">
        <f>IFERROR(_xlfn.XLOOKUP(D82,HELPER!$B:$B,HELPER!$D:$D,""),"")</f>
        <v>Resin 9C</v>
      </c>
      <c r="G82" s="27">
        <v>8</v>
      </c>
      <c r="H82" s="32">
        <v>0.80500000000000005</v>
      </c>
      <c r="I82" s="8">
        <f>IF(AND(H82&lt;&gt;"",IFERROR(_xlfn.XLOOKUP(D82,HELPER!$B:$B,HELPER!$E:$E,""),"")=""),"Missing price",IFERROR(_xlfn.XLOOKUP(D82,HELPER!$B:$B,HELPER!$E:$E,"")," "))</f>
        <v>6.75</v>
      </c>
      <c r="J82" s="48">
        <f>IFERROR(H82*(IF(G82=8,I82*HELPER!$G$2,BOM!I82*HELPER!$G$3))," ")</f>
        <v>1.0867500000000001</v>
      </c>
      <c r="K82" s="6"/>
      <c r="L82" s="14" t="str" cm="1">
        <f t="array" ref="L82">IFERROR(_xlfn.LET(_xlpm.films,Table4[Film],_xlpm.grades,Table4[Grade],_xlpm.pairs,_xlfn._xlws.FILTER(_xlfn.HSTACK(_xlpm.films,_xlpm.grades),(_xlpm.films&lt;&gt;"")*(TRIM(_xlpm.grades)&lt;&gt;"")),_xlpm.uniquePairs,_xlfn.UNIQUE(_xlpm.pairs),_xlpm.sortedPairs,_xlfn._xlws.SORT(_xlpm.uniquePairs,1,1),INDEX(_xlpm.sortedPairs,ROWS($L$2:L82),1)),"")</f>
        <v/>
      </c>
      <c r="M82" s="15" t="str" cm="1">
        <f t="array" ref="M82">IFERROR(_xlfn.LET(_xlpm.films,Table4[Film],_xlpm.grades,Table4[Grade],_xlpm.pairs,_xlfn._xlws.FILTER(_xlfn.HSTACK(_xlpm.films,_xlpm.grades),(_xlpm.films&lt;&gt;"")*(TRIM(_xlpm.grades)&lt;&gt;"")),_xlpm.uniquePairs,_xlfn.UNIQUE(_xlpm.pairs),_xlpm.sortedPairs,_xlfn._xlws.SORT(_xlpm.uniquePairs,1,1),INDEX(_xlpm.sortedPairs,ROWS($M$2:M82),2)),"")</f>
        <v/>
      </c>
      <c r="N82" s="15" t="str" cm="1">
        <f t="array" ref="N82">IF(OR(Table2[[#This Row],[Film]]="",Table2[[#This Row],[Grade]]=""),"",IFERROR(INDEX(Table4[Serial Number],MATCH(1,(Table4[Film]=Table2[[#This Row],[Film]])*(Table4[Grade]=Table2[[#This Row],[Grade]]),0)),""))</f>
        <v/>
      </c>
      <c r="O82" s="52" t="str">
        <f>IF(OR(Table2[[#This Row],[Film]]="",Table2[[#This Row],[Grade]]=""),"",SUMIFS(Table4[Price Calculated(€) Thickness &amp; QTY related],Table4[Film],Table2[[#This Row],[Film]],Table4[Grade],Table2[[#This Row],[Grade]]))</f>
        <v/>
      </c>
      <c r="P82" s="6"/>
      <c r="T82" s="6"/>
    </row>
    <row r="83" spans="1:20">
      <c r="A83" s="29" t="s">
        <v>201</v>
      </c>
      <c r="B83" s="29" t="s">
        <v>7</v>
      </c>
      <c r="C83" s="28" t="s">
        <v>13</v>
      </c>
      <c r="D83" s="28" t="str">
        <f>IF(C83="","",IFERROR(_xlfn.XLOOKUP(C83,HELPER!$A$2:$A$81,HELPER!$B$2:$B$81,""),D83))</f>
        <v>LX175</v>
      </c>
      <c r="E83" s="28" t="str">
        <f>IFERROR(_xlfn.XLOOKUP(D83,HELPER!$B:$B,HELPER!$C:$C,""),"")</f>
        <v>RMLX175</v>
      </c>
      <c r="F83" s="27" t="str">
        <f>IFERROR(_xlfn.XLOOKUP(D83,HELPER!$B:$B,HELPER!$D:$D,""),"")</f>
        <v>Resin 1A</v>
      </c>
      <c r="G83" s="27">
        <v>8</v>
      </c>
      <c r="H83" s="32">
        <v>0.14199999999999999</v>
      </c>
      <c r="I83" s="8">
        <f>IF(AND(H83&lt;&gt;"",IFERROR(_xlfn.XLOOKUP(D83,HELPER!$B:$B,HELPER!$E:$E,""),"")=""),"Missing price",IFERROR(_xlfn.XLOOKUP(D83,HELPER!$B:$B,HELPER!$E:$E,"")," "))</f>
        <v>3.17</v>
      </c>
      <c r="J83" s="48">
        <f>IFERROR(H83*(IF(G83=8,I83*HELPER!$G$2,BOM!I83*HELPER!$G$3))," ")</f>
        <v>9.0027999999999997E-2</v>
      </c>
      <c r="K83" s="6"/>
      <c r="L83" s="14" t="str" cm="1">
        <f t="array" ref="L83">IFERROR(_xlfn.LET(_xlpm.films,Table4[Film],_xlpm.grades,Table4[Grade],_xlpm.pairs,_xlfn._xlws.FILTER(_xlfn.HSTACK(_xlpm.films,_xlpm.grades),(_xlpm.films&lt;&gt;"")*(TRIM(_xlpm.grades)&lt;&gt;"")),_xlpm.uniquePairs,_xlfn.UNIQUE(_xlpm.pairs),_xlpm.sortedPairs,_xlfn._xlws.SORT(_xlpm.uniquePairs,1,1),INDEX(_xlpm.sortedPairs,ROWS($L$2:L83),1)),"")</f>
        <v/>
      </c>
      <c r="M83" s="15" t="str" cm="1">
        <f t="array" ref="M83">IFERROR(_xlfn.LET(_xlpm.films,Table4[Film],_xlpm.grades,Table4[Grade],_xlpm.pairs,_xlfn._xlws.FILTER(_xlfn.HSTACK(_xlpm.films,_xlpm.grades),(_xlpm.films&lt;&gt;"")*(TRIM(_xlpm.grades)&lt;&gt;"")),_xlpm.uniquePairs,_xlfn.UNIQUE(_xlpm.pairs),_xlpm.sortedPairs,_xlfn._xlws.SORT(_xlpm.uniquePairs,1,1),INDEX(_xlpm.sortedPairs,ROWS($M$2:M83),2)),"")</f>
        <v/>
      </c>
      <c r="N83" s="15" t="str" cm="1">
        <f t="array" ref="N83">IF(OR(Table2[[#This Row],[Film]]="",Table2[[#This Row],[Grade]]=""),"",IFERROR(INDEX(Table4[Serial Number],MATCH(1,(Table4[Film]=Table2[[#This Row],[Film]])*(Table4[Grade]=Table2[[#This Row],[Grade]]),0)),""))</f>
        <v/>
      </c>
      <c r="O83" s="52" t="str">
        <f>IF(OR(Table2[[#This Row],[Film]]="",Table2[[#This Row],[Grade]]=""),"",SUMIFS(Table4[Price Calculated(€) Thickness &amp; QTY related],Table4[Film],Table2[[#This Row],[Film]],Table4[Grade],Table2[[#This Row],[Grade]]))</f>
        <v/>
      </c>
      <c r="P83" s="6"/>
      <c r="T83" s="6"/>
    </row>
    <row r="84" spans="1:20">
      <c r="A84" s="29" t="s">
        <v>201</v>
      </c>
      <c r="B84" s="29" t="s">
        <v>7</v>
      </c>
      <c r="C84" s="28" t="s">
        <v>18</v>
      </c>
      <c r="D84" s="28" t="str">
        <f>IF(C84="","",IFERROR(_xlfn.XLOOKUP(C84,HELPER!$A$2:$A$81,HELPER!$B$2:$B$81,""),D84))</f>
        <v>KAB59A</v>
      </c>
      <c r="E84" s="28" t="str">
        <f>IFERROR(_xlfn.XLOOKUP(D84,HELPER!$B:$B,HELPER!$C:$C,""),"")</f>
        <v>RM A KAB59A</v>
      </c>
      <c r="F84" s="27" t="str">
        <f>IFERROR(_xlfn.XLOOKUP(D84,HELPER!$B:$B,HELPER!$D:$D,""),"")</f>
        <v>Resin 8</v>
      </c>
      <c r="G84" s="27">
        <v>8</v>
      </c>
      <c r="H84" s="32">
        <v>1.4999999999999999E-2</v>
      </c>
      <c r="I84" s="8">
        <f>IF(AND(H84&lt;&gt;"",IFERROR(_xlfn.XLOOKUP(D84,HELPER!$B:$B,HELPER!$E:$E,""),"")=""),"Missing price",IFERROR(_xlfn.XLOOKUP(D84,HELPER!$B:$B,HELPER!$E:$E,"")," "))</f>
        <v>7.55</v>
      </c>
      <c r="J84" s="48">
        <f>IFERROR(H84*(IF(G84=8,I84*HELPER!$G$2,BOM!I84*HELPER!$G$3))," ")</f>
        <v>2.265E-2</v>
      </c>
      <c r="K84" s="6"/>
      <c r="L84" s="14" t="str" cm="1">
        <f t="array" ref="L84">IFERROR(_xlfn.LET(_xlpm.films,Table4[Film],_xlpm.grades,Table4[Grade],_xlpm.pairs,_xlfn._xlws.FILTER(_xlfn.HSTACK(_xlpm.films,_xlpm.grades),(_xlpm.films&lt;&gt;"")*(TRIM(_xlpm.grades)&lt;&gt;"")),_xlpm.uniquePairs,_xlfn.UNIQUE(_xlpm.pairs),_xlpm.sortedPairs,_xlfn._xlws.SORT(_xlpm.uniquePairs,1,1),INDEX(_xlpm.sortedPairs,ROWS($L$2:L84),1)),"")</f>
        <v/>
      </c>
      <c r="M84" s="15" t="str" cm="1">
        <f t="array" ref="M84">IFERROR(_xlfn.LET(_xlpm.films,Table4[Film],_xlpm.grades,Table4[Grade],_xlpm.pairs,_xlfn._xlws.FILTER(_xlfn.HSTACK(_xlpm.films,_xlpm.grades),(_xlpm.films&lt;&gt;"")*(TRIM(_xlpm.grades)&lt;&gt;"")),_xlpm.uniquePairs,_xlfn.UNIQUE(_xlpm.pairs),_xlpm.sortedPairs,_xlfn._xlws.SORT(_xlpm.uniquePairs,1,1),INDEX(_xlpm.sortedPairs,ROWS($M$2:M84),2)),"")</f>
        <v/>
      </c>
      <c r="N84" s="15" t="str" cm="1">
        <f t="array" ref="N84">IF(OR(Table2[[#This Row],[Film]]="",Table2[[#This Row],[Grade]]=""),"",IFERROR(INDEX(Table4[Serial Number],MATCH(1,(Table4[Film]=Table2[[#This Row],[Film]])*(Table4[Grade]=Table2[[#This Row],[Grade]]),0)),""))</f>
        <v/>
      </c>
      <c r="O84" s="52" t="str">
        <f>IF(OR(Table2[[#This Row],[Film]]="",Table2[[#This Row],[Grade]]=""),"",SUMIFS(Table4[Price Calculated(€) Thickness &amp; QTY related],Table4[Film],Table2[[#This Row],[Film]],Table4[Grade],Table2[[#This Row],[Grade]]))</f>
        <v/>
      </c>
      <c r="P84" s="6"/>
      <c r="T84" s="6"/>
    </row>
    <row r="85" spans="1:20">
      <c r="A85" s="29" t="s">
        <v>201</v>
      </c>
      <c r="B85" s="29" t="s">
        <v>7</v>
      </c>
      <c r="C85" s="28" t="s">
        <v>16</v>
      </c>
      <c r="D85" s="28" t="str">
        <f>IF(C85="","",IFERROR(_xlfn.XLOOKUP(C85,HELPER!$A$2:$A$81,HELPER!$B$2:$B$81,""),D85))</f>
        <v>S723</v>
      </c>
      <c r="E85" s="28" t="str">
        <f>IFERROR(_xlfn.XLOOKUP(D85,HELPER!$B:$B,HELPER!$C:$C,""),"")</f>
        <v>RM TA45-08 S723</v>
      </c>
      <c r="F85" s="27" t="str">
        <f>IFERROR(_xlfn.XLOOKUP(D85,HELPER!$B:$B,HELPER!$D:$D,""),"")</f>
        <v>Resin 6</v>
      </c>
      <c r="G85" s="27">
        <v>8</v>
      </c>
      <c r="H85" s="32">
        <v>1.4999999999999999E-2</v>
      </c>
      <c r="I85" s="8">
        <f>IF(AND(H85&lt;&gt;"",IFERROR(_xlfn.XLOOKUP(D85,HELPER!$B:$B,HELPER!$E:$E,""),"")=""),"Missing price",IFERROR(_xlfn.XLOOKUP(D85,HELPER!$B:$B,HELPER!$E:$E,"")," "))</f>
        <v>16.16</v>
      </c>
      <c r="J85" s="48">
        <f>IFERROR(H85*(IF(G85=8,I85*HELPER!$G$2,BOM!I85*HELPER!$G$3))," ")</f>
        <v>4.8480000000000002E-2</v>
      </c>
      <c r="K85" s="6"/>
      <c r="L85" s="14" t="str" cm="1">
        <f t="array" ref="L85">IFERROR(_xlfn.LET(_xlpm.films,Table4[Film],_xlpm.grades,Table4[Grade],_xlpm.pairs,_xlfn._xlws.FILTER(_xlfn.HSTACK(_xlpm.films,_xlpm.grades),(_xlpm.films&lt;&gt;"")*(TRIM(_xlpm.grades)&lt;&gt;"")),_xlpm.uniquePairs,_xlfn.UNIQUE(_xlpm.pairs),_xlpm.sortedPairs,_xlfn._xlws.SORT(_xlpm.uniquePairs,1,1),INDEX(_xlpm.sortedPairs,ROWS($L$2:L85),1)),"")</f>
        <v/>
      </c>
      <c r="M85" s="15" t="str" cm="1">
        <f t="array" ref="M85">IFERROR(_xlfn.LET(_xlpm.films,Table4[Film],_xlpm.grades,Table4[Grade],_xlpm.pairs,_xlfn._xlws.FILTER(_xlfn.HSTACK(_xlpm.films,_xlpm.grades),(_xlpm.films&lt;&gt;"")*(TRIM(_xlpm.grades)&lt;&gt;"")),_xlpm.uniquePairs,_xlfn.UNIQUE(_xlpm.pairs),_xlpm.sortedPairs,_xlfn._xlws.SORT(_xlpm.uniquePairs,1,1),INDEX(_xlpm.sortedPairs,ROWS($M$2:M85),2)),"")</f>
        <v/>
      </c>
      <c r="N85" s="15" t="str" cm="1">
        <f t="array" ref="N85">IF(OR(Table2[[#This Row],[Film]]="",Table2[[#This Row],[Grade]]=""),"",IFERROR(INDEX(Table4[Serial Number],MATCH(1,(Table4[Film]=Table2[[#This Row],[Film]])*(Table4[Grade]=Table2[[#This Row],[Grade]]),0)),""))</f>
        <v/>
      </c>
      <c r="O85" s="52" t="str">
        <f>IF(OR(Table2[[#This Row],[Film]]="",Table2[[#This Row],[Grade]]=""),"",SUMIFS(Table4[Price Calculated(€) Thickness &amp; QTY related],Table4[Film],Table2[[#This Row],[Film]],Table4[Grade],Table2[[#This Row],[Grade]]))</f>
        <v/>
      </c>
      <c r="P85" s="6"/>
      <c r="T85" s="6"/>
    </row>
    <row r="86" spans="1:20">
      <c r="A86" s="29" t="s">
        <v>201</v>
      </c>
      <c r="B86" s="29" t="s">
        <v>7</v>
      </c>
      <c r="C86" s="28" t="s">
        <v>17</v>
      </c>
      <c r="D86" s="28" t="str">
        <f>IF(C86="","",IFERROR(_xlfn.XLOOKUP(C86,HELPER!$A$2:$A$81,HELPER!$B$2:$B$81,""),D86))</f>
        <v>S724</v>
      </c>
      <c r="E86" s="28" t="str">
        <f>IFERROR(_xlfn.XLOOKUP(D86,HELPER!$B:$B,HELPER!$C:$C,""),"")</f>
        <v>RM TA45-08 S724</v>
      </c>
      <c r="F86" s="27" t="str">
        <f>IFERROR(_xlfn.XLOOKUP(D86,HELPER!$B:$B,HELPER!$D:$D,""),"")</f>
        <v>Resin 7</v>
      </c>
      <c r="G86" s="27">
        <v>8</v>
      </c>
      <c r="H86" s="32">
        <v>2.3E-2</v>
      </c>
      <c r="I86" s="8">
        <f>IF(AND(H86&lt;&gt;"",IFERROR(_xlfn.XLOOKUP(D86,HELPER!$B:$B,HELPER!$E:$E,""),"")=""),"Missing price",IFERROR(_xlfn.XLOOKUP(D86,HELPER!$B:$B,HELPER!$E:$E,"")," "))</f>
        <v>14.7</v>
      </c>
      <c r="J86" s="48">
        <f>IFERROR(H86*(IF(G86=8,I86*HELPER!$G$2,BOM!I86*HELPER!$G$3))," ")</f>
        <v>6.762E-2</v>
      </c>
      <c r="K86" s="6"/>
      <c r="L86" s="14" t="str" cm="1">
        <f t="array" ref="L86">IFERROR(_xlfn.LET(_xlpm.films,Table4[Film],_xlpm.grades,Table4[Grade],_xlpm.pairs,_xlfn._xlws.FILTER(_xlfn.HSTACK(_xlpm.films,_xlpm.grades),(_xlpm.films&lt;&gt;"")*(TRIM(_xlpm.grades)&lt;&gt;"")),_xlpm.uniquePairs,_xlfn.UNIQUE(_xlpm.pairs),_xlpm.sortedPairs,_xlfn._xlws.SORT(_xlpm.uniquePairs,1,1),INDEX(_xlpm.sortedPairs,ROWS($L$2:L86),1)),"")</f>
        <v/>
      </c>
      <c r="M86" s="15" t="str" cm="1">
        <f t="array" ref="M86">IFERROR(_xlfn.LET(_xlpm.films,Table4[Film],_xlpm.grades,Table4[Grade],_xlpm.pairs,_xlfn._xlws.FILTER(_xlfn.HSTACK(_xlpm.films,_xlpm.grades),(_xlpm.films&lt;&gt;"")*(TRIM(_xlpm.grades)&lt;&gt;"")),_xlpm.uniquePairs,_xlfn.UNIQUE(_xlpm.pairs),_xlpm.sortedPairs,_xlfn._xlws.SORT(_xlpm.uniquePairs,1,1),INDEX(_xlpm.sortedPairs,ROWS($M$2:M86),2)),"")</f>
        <v/>
      </c>
      <c r="N86" s="15" t="str" cm="1">
        <f t="array" ref="N86">IF(OR(Table2[[#This Row],[Film]]="",Table2[[#This Row],[Grade]]=""),"",IFERROR(INDEX(Table4[Serial Number],MATCH(1,(Table4[Film]=Table2[[#This Row],[Film]])*(Table4[Grade]=Table2[[#This Row],[Grade]]),0)),""))</f>
        <v/>
      </c>
      <c r="O86" s="52" t="str">
        <f>IF(OR(Table2[[#This Row],[Film]]="",Table2[[#This Row],[Grade]]=""),"",SUMIFS(Table4[Price Calculated(€) Thickness &amp; QTY related],Table4[Film],Table2[[#This Row],[Film]],Table4[Grade],Table2[[#This Row],[Grade]]))</f>
        <v/>
      </c>
      <c r="P86" s="6"/>
      <c r="T86" s="6"/>
    </row>
    <row r="87" spans="1:20">
      <c r="A87" s="29" t="s">
        <v>201</v>
      </c>
      <c r="B87" s="29" t="s">
        <v>7</v>
      </c>
      <c r="C87" s="28"/>
      <c r="D87" s="28" t="str">
        <f>IF(C87="","",IFERROR(_xlfn.XLOOKUP(C87,HELPER!$A$2:$A$81,HELPER!$B$2:$B$81,""),D87))</f>
        <v/>
      </c>
      <c r="E87" s="28" t="str">
        <f>IFERROR(_xlfn.XLOOKUP(D87,HELPER!$B:$B,HELPER!$C:$C,""),"")</f>
        <v/>
      </c>
      <c r="F87" s="27" t="str">
        <f>IFERROR(_xlfn.XLOOKUP(D87,HELPER!$B:$B,HELPER!$D:$D,""),"")</f>
        <v/>
      </c>
      <c r="G87" s="27">
        <v>8</v>
      </c>
      <c r="I87" s="8" t="str">
        <f>IF(AND(H87&lt;&gt;"",IFERROR(_xlfn.XLOOKUP(D87,HELPER!$B:$B,HELPER!$E:$E,""),"")=""),"Missing price",IFERROR(_xlfn.XLOOKUP(D87,HELPER!$B:$B,HELPER!$E:$E,"")," "))</f>
        <v/>
      </c>
      <c r="J87" s="48" t="str">
        <f>IFERROR(H87*(IF(G87=8,I87*HELPER!$G$2,BOM!I87*HELPER!$G$3))," ")</f>
        <v xml:space="preserve"> </v>
      </c>
      <c r="K87" s="6"/>
      <c r="L87" s="14" t="str" cm="1">
        <f t="array" ref="L87">IFERROR(_xlfn.LET(_xlpm.films,Table4[Film],_xlpm.grades,Table4[Grade],_xlpm.pairs,_xlfn._xlws.FILTER(_xlfn.HSTACK(_xlpm.films,_xlpm.grades),(_xlpm.films&lt;&gt;"")*(TRIM(_xlpm.grades)&lt;&gt;"")),_xlpm.uniquePairs,_xlfn.UNIQUE(_xlpm.pairs),_xlpm.sortedPairs,_xlfn._xlws.SORT(_xlpm.uniquePairs,1,1),INDEX(_xlpm.sortedPairs,ROWS($L$2:L87),1)),"")</f>
        <v/>
      </c>
      <c r="M87" s="15" t="str" cm="1">
        <f t="array" ref="M87">IFERROR(_xlfn.LET(_xlpm.films,Table4[Film],_xlpm.grades,Table4[Grade],_xlpm.pairs,_xlfn._xlws.FILTER(_xlfn.HSTACK(_xlpm.films,_xlpm.grades),(_xlpm.films&lt;&gt;"")*(TRIM(_xlpm.grades)&lt;&gt;"")),_xlpm.uniquePairs,_xlfn.UNIQUE(_xlpm.pairs),_xlpm.sortedPairs,_xlfn._xlws.SORT(_xlpm.uniquePairs,1,1),INDEX(_xlpm.sortedPairs,ROWS($M$2:M87),2)),"")</f>
        <v/>
      </c>
      <c r="N87" s="15" t="str" cm="1">
        <f t="array" ref="N87">IF(OR(Table2[[#This Row],[Film]]="",Table2[[#This Row],[Grade]]=""),"",IFERROR(INDEX(Table4[Serial Number],MATCH(1,(Table4[Film]=Table2[[#This Row],[Film]])*(Table4[Grade]=Table2[[#This Row],[Grade]]),0)),""))</f>
        <v/>
      </c>
      <c r="O87" s="52" t="str">
        <f>IF(OR(Table2[[#This Row],[Film]]="",Table2[[#This Row],[Grade]]=""),"",SUMIFS(Table4[Price Calculated(€) Thickness &amp; QTY related],Table4[Film],Table2[[#This Row],[Film]],Table4[Grade],Table2[[#This Row],[Grade]]))</f>
        <v/>
      </c>
      <c r="P87" s="6"/>
      <c r="T87" s="6"/>
    </row>
    <row r="88" spans="1:20">
      <c r="A88" s="29" t="s">
        <v>201</v>
      </c>
      <c r="B88" s="29" t="s">
        <v>7</v>
      </c>
      <c r="C88" s="28"/>
      <c r="D88" s="28" t="str">
        <f>IF(C88="","",IFERROR(_xlfn.XLOOKUP(C88,HELPER!$A$2:$A$81,HELPER!$B$2:$B$81,""),D88))</f>
        <v/>
      </c>
      <c r="E88" s="28" t="str">
        <f>IFERROR(_xlfn.XLOOKUP(D88,HELPER!$B:$B,HELPER!$C:$C,""),"")</f>
        <v/>
      </c>
      <c r="F88" s="27" t="str">
        <f>IFERROR(_xlfn.XLOOKUP(D88,HELPER!$B:$B,HELPER!$D:$D,""),"")</f>
        <v/>
      </c>
      <c r="G88" s="27">
        <v>8</v>
      </c>
      <c r="I88" s="8" t="str">
        <f>IF(AND(H88&lt;&gt;"",IFERROR(_xlfn.XLOOKUP(D88,HELPER!$B:$B,HELPER!$E:$E,""),"")=""),"Missing price",IFERROR(_xlfn.XLOOKUP(D88,HELPER!$B:$B,HELPER!$E:$E,"")," "))</f>
        <v/>
      </c>
      <c r="J88" s="48" t="str">
        <f>IFERROR(H88*(IF(G88=8,I88*HELPER!$G$2,BOM!I88*HELPER!$G$3))," ")</f>
        <v xml:space="preserve"> </v>
      </c>
      <c r="K88" s="6"/>
      <c r="L88" s="14" t="str" cm="1">
        <f t="array" ref="L88">IFERROR(_xlfn.LET(_xlpm.films,Table4[Film],_xlpm.grades,Table4[Grade],_xlpm.pairs,_xlfn._xlws.FILTER(_xlfn.HSTACK(_xlpm.films,_xlpm.grades),(_xlpm.films&lt;&gt;"")*(TRIM(_xlpm.grades)&lt;&gt;"")),_xlpm.uniquePairs,_xlfn.UNIQUE(_xlpm.pairs),_xlpm.sortedPairs,_xlfn._xlws.SORT(_xlpm.uniquePairs,1,1),INDEX(_xlpm.sortedPairs,ROWS($L$2:L88),1)),"")</f>
        <v/>
      </c>
      <c r="M88" s="15" t="str" cm="1">
        <f t="array" ref="M88">IFERROR(_xlfn.LET(_xlpm.films,Table4[Film],_xlpm.grades,Table4[Grade],_xlpm.pairs,_xlfn._xlws.FILTER(_xlfn.HSTACK(_xlpm.films,_xlpm.grades),(_xlpm.films&lt;&gt;"")*(TRIM(_xlpm.grades)&lt;&gt;"")),_xlpm.uniquePairs,_xlfn.UNIQUE(_xlpm.pairs),_xlpm.sortedPairs,_xlfn._xlws.SORT(_xlpm.uniquePairs,1,1),INDEX(_xlpm.sortedPairs,ROWS($M$2:M88),2)),"")</f>
        <v/>
      </c>
      <c r="N88" s="15" t="str" cm="1">
        <f t="array" ref="N88">IF(OR(Table2[[#This Row],[Film]]="",Table2[[#This Row],[Grade]]=""),"",IFERROR(INDEX(Table4[Serial Number],MATCH(1,(Table4[Film]=Table2[[#This Row],[Film]])*(Table4[Grade]=Table2[[#This Row],[Grade]]),0)),""))</f>
        <v/>
      </c>
      <c r="O88" s="52" t="str">
        <f>IF(OR(Table2[[#This Row],[Film]]="",Table2[[#This Row],[Grade]]=""),"",SUMIFS(Table4[Price Calculated(€) Thickness &amp; QTY related],Table4[Film],Table2[[#This Row],[Film]],Table4[Grade],Table2[[#This Row],[Grade]]))</f>
        <v/>
      </c>
      <c r="P88" s="6"/>
      <c r="T88" s="6"/>
    </row>
    <row r="89" spans="1:20">
      <c r="A89" s="29" t="s">
        <v>201</v>
      </c>
      <c r="B89" s="29" t="s">
        <v>7</v>
      </c>
      <c r="C89" s="28"/>
      <c r="D89" s="28" t="str">
        <f>IF(C89="","",IFERROR(_xlfn.XLOOKUP(C89,HELPER!$A$2:$A$81,HELPER!$B$2:$B$81,""),D89))</f>
        <v/>
      </c>
      <c r="E89" s="28" t="str">
        <f>IFERROR(_xlfn.XLOOKUP(D89,HELPER!$B:$B,HELPER!$C:$C,""),"")</f>
        <v/>
      </c>
      <c r="F89" s="27" t="str">
        <f>IFERROR(_xlfn.XLOOKUP(D89,HELPER!$B:$B,HELPER!$D:$D,""),"")</f>
        <v/>
      </c>
      <c r="G89" s="27">
        <v>8</v>
      </c>
      <c r="I89" s="8" t="str">
        <f>IF(AND(H89&lt;&gt;"",IFERROR(_xlfn.XLOOKUP(D89,HELPER!$B:$B,HELPER!$E:$E,""),"")=""),"Missing price",IFERROR(_xlfn.XLOOKUP(D89,HELPER!$B:$B,HELPER!$E:$E,"")," "))</f>
        <v/>
      </c>
      <c r="J89" s="48" t="str">
        <f>IFERROR(H89*(IF(G89=8,I89*HELPER!$G$2,BOM!I89*HELPER!$G$3))," ")</f>
        <v xml:space="preserve"> </v>
      </c>
      <c r="K89" s="6"/>
      <c r="L89" s="14" t="str" cm="1">
        <f t="array" ref="L89">IFERROR(_xlfn.LET(_xlpm.films,Table4[Film],_xlpm.grades,Table4[Grade],_xlpm.pairs,_xlfn._xlws.FILTER(_xlfn.HSTACK(_xlpm.films,_xlpm.grades),(_xlpm.films&lt;&gt;"")*(TRIM(_xlpm.grades)&lt;&gt;"")),_xlpm.uniquePairs,_xlfn.UNIQUE(_xlpm.pairs),_xlpm.sortedPairs,_xlfn._xlws.SORT(_xlpm.uniquePairs,1,1),INDEX(_xlpm.sortedPairs,ROWS($L$2:L89),1)),"")</f>
        <v/>
      </c>
      <c r="M89" s="15" t="str" cm="1">
        <f t="array" ref="M89">IFERROR(_xlfn.LET(_xlpm.films,Table4[Film],_xlpm.grades,Table4[Grade],_xlpm.pairs,_xlfn._xlws.FILTER(_xlfn.HSTACK(_xlpm.films,_xlpm.grades),(_xlpm.films&lt;&gt;"")*(TRIM(_xlpm.grades)&lt;&gt;"")),_xlpm.uniquePairs,_xlfn.UNIQUE(_xlpm.pairs),_xlpm.sortedPairs,_xlfn._xlws.SORT(_xlpm.uniquePairs,1,1),INDEX(_xlpm.sortedPairs,ROWS($M$2:M89),2)),"")</f>
        <v/>
      </c>
      <c r="N89" s="15" t="str" cm="1">
        <f t="array" ref="N89">IF(OR(Table2[[#This Row],[Film]]="",Table2[[#This Row],[Grade]]=""),"",IFERROR(INDEX(Table4[Serial Number],MATCH(1,(Table4[Film]=Table2[[#This Row],[Film]])*(Table4[Grade]=Table2[[#This Row],[Grade]]),0)),""))</f>
        <v/>
      </c>
      <c r="O89" s="52" t="str">
        <f>IF(OR(Table2[[#This Row],[Film]]="",Table2[[#This Row],[Grade]]=""),"",SUMIFS(Table4[Price Calculated(€) Thickness &amp; QTY related],Table4[Film],Table2[[#This Row],[Film]],Table4[Grade],Table2[[#This Row],[Grade]]))</f>
        <v/>
      </c>
      <c r="P89" s="6"/>
      <c r="T89" s="6"/>
    </row>
    <row r="90" spans="1:20">
      <c r="A90" s="29" t="s">
        <v>201</v>
      </c>
      <c r="B90" s="29" t="s">
        <v>7</v>
      </c>
      <c r="C90" s="28"/>
      <c r="D90" s="28" t="str">
        <f>IF(C90="","",IFERROR(_xlfn.XLOOKUP(C90,HELPER!$A$2:$A$81,HELPER!$B$2:$B$81,""),D90))</f>
        <v/>
      </c>
      <c r="E90" s="28" t="str">
        <f>IFERROR(_xlfn.XLOOKUP(D90,HELPER!$B:$B,HELPER!$C:$C,""),"")</f>
        <v/>
      </c>
      <c r="F90" s="27" t="str">
        <f>IFERROR(_xlfn.XLOOKUP(D90,HELPER!$B:$B,HELPER!$D:$D,""),"")</f>
        <v/>
      </c>
      <c r="G90" s="27">
        <v>8</v>
      </c>
      <c r="I90" s="8" t="str">
        <f>IF(AND(H90&lt;&gt;"",IFERROR(_xlfn.XLOOKUP(D90,HELPER!$B:$B,HELPER!$E:$E,""),"")=""),"Missing price",IFERROR(_xlfn.XLOOKUP(D90,HELPER!$B:$B,HELPER!$E:$E,"")," "))</f>
        <v/>
      </c>
      <c r="J90" s="48" t="str">
        <f>IFERROR(H90*(IF(G90=8,I90*HELPER!$G$2,BOM!I90*HELPER!$G$3))," ")</f>
        <v xml:space="preserve"> </v>
      </c>
      <c r="K90" s="6"/>
      <c r="L90" s="14" t="str" cm="1">
        <f t="array" ref="L90">IFERROR(_xlfn.LET(_xlpm.films,Table4[Film],_xlpm.grades,Table4[Grade],_xlpm.pairs,_xlfn._xlws.FILTER(_xlfn.HSTACK(_xlpm.films,_xlpm.grades),(_xlpm.films&lt;&gt;"")*(TRIM(_xlpm.grades)&lt;&gt;"")),_xlpm.uniquePairs,_xlfn.UNIQUE(_xlpm.pairs),_xlpm.sortedPairs,_xlfn._xlws.SORT(_xlpm.uniquePairs,1,1),INDEX(_xlpm.sortedPairs,ROWS($L$2:L90),1)),"")</f>
        <v/>
      </c>
      <c r="M90" s="15" t="str" cm="1">
        <f t="array" ref="M90">IFERROR(_xlfn.LET(_xlpm.films,Table4[Film],_xlpm.grades,Table4[Grade],_xlpm.pairs,_xlfn._xlws.FILTER(_xlfn.HSTACK(_xlpm.films,_xlpm.grades),(_xlpm.films&lt;&gt;"")*(TRIM(_xlpm.grades)&lt;&gt;"")),_xlpm.uniquePairs,_xlfn.UNIQUE(_xlpm.pairs),_xlpm.sortedPairs,_xlfn._xlws.SORT(_xlpm.uniquePairs,1,1),INDEX(_xlpm.sortedPairs,ROWS($M$2:M90),2)),"")</f>
        <v/>
      </c>
      <c r="N90" s="15" t="str" cm="1">
        <f t="array" ref="N90">IF(OR(Table2[[#This Row],[Film]]="",Table2[[#This Row],[Grade]]=""),"",IFERROR(INDEX(Table4[Serial Number],MATCH(1,(Table4[Film]=Table2[[#This Row],[Film]])*(Table4[Grade]=Table2[[#This Row],[Grade]]),0)),""))</f>
        <v/>
      </c>
      <c r="O90" s="52" t="str">
        <f>IF(OR(Table2[[#This Row],[Film]]="",Table2[[#This Row],[Grade]]=""),"",SUMIFS(Table4[Price Calculated(€) Thickness &amp; QTY related],Table4[Film],Table2[[#This Row],[Film]],Table4[Grade],Table2[[#This Row],[Grade]]))</f>
        <v/>
      </c>
      <c r="P90" s="6"/>
      <c r="T90" s="6"/>
    </row>
    <row r="91" spans="1:20">
      <c r="A91" s="29" t="s">
        <v>201</v>
      </c>
      <c r="B91" s="29" t="s">
        <v>7</v>
      </c>
      <c r="C91" s="28"/>
      <c r="D91" s="28" t="str">
        <f>IF(C91="","",IFERROR(_xlfn.XLOOKUP(C91,HELPER!$A$2:$A$81,HELPER!$B$2:$B$81,""),D91))</f>
        <v/>
      </c>
      <c r="E91" s="28" t="str">
        <f>IFERROR(_xlfn.XLOOKUP(D91,HELPER!$B:$B,HELPER!$C:$C,""),"")</f>
        <v/>
      </c>
      <c r="F91" s="27" t="str">
        <f>IFERROR(_xlfn.XLOOKUP(D91,HELPER!$B:$B,HELPER!$D:$D,""),"")</f>
        <v/>
      </c>
      <c r="G91" s="27">
        <v>8</v>
      </c>
      <c r="I91" s="8" t="str">
        <f>IF(AND(H91&lt;&gt;"",IFERROR(_xlfn.XLOOKUP(D91,HELPER!$B:$B,HELPER!$E:$E,""),"")=""),"Missing price",IFERROR(_xlfn.XLOOKUP(D91,HELPER!$B:$B,HELPER!$E:$E,"")," "))</f>
        <v/>
      </c>
      <c r="J91" s="48" t="str">
        <f>IFERROR(H91*(IF(G91=8,I91*HELPER!$G$2,BOM!I91*HELPER!$G$3))," ")</f>
        <v xml:space="preserve"> </v>
      </c>
      <c r="K91" s="6"/>
      <c r="L91" s="14" t="str" cm="1">
        <f t="array" ref="L91">IFERROR(_xlfn.LET(_xlpm.films,Table4[Film],_xlpm.grades,Table4[Grade],_xlpm.pairs,_xlfn._xlws.FILTER(_xlfn.HSTACK(_xlpm.films,_xlpm.grades),(_xlpm.films&lt;&gt;"")*(TRIM(_xlpm.grades)&lt;&gt;"")),_xlpm.uniquePairs,_xlfn.UNIQUE(_xlpm.pairs),_xlpm.sortedPairs,_xlfn._xlws.SORT(_xlpm.uniquePairs,1,1),INDEX(_xlpm.sortedPairs,ROWS($L$2:L91),1)),"")</f>
        <v/>
      </c>
      <c r="M91" s="15" t="str" cm="1">
        <f t="array" ref="M91">IFERROR(_xlfn.LET(_xlpm.films,Table4[Film],_xlpm.grades,Table4[Grade],_xlpm.pairs,_xlfn._xlws.FILTER(_xlfn.HSTACK(_xlpm.films,_xlpm.grades),(_xlpm.films&lt;&gt;"")*(TRIM(_xlpm.grades)&lt;&gt;"")),_xlpm.uniquePairs,_xlfn.UNIQUE(_xlpm.pairs),_xlpm.sortedPairs,_xlfn._xlws.SORT(_xlpm.uniquePairs,1,1),INDEX(_xlpm.sortedPairs,ROWS($M$2:M91),2)),"")</f>
        <v/>
      </c>
      <c r="N91" s="15" t="str" cm="1">
        <f t="array" ref="N91">IF(OR(Table2[[#This Row],[Film]]="",Table2[[#This Row],[Grade]]=""),"",IFERROR(INDEX(Table4[Serial Number],MATCH(1,(Table4[Film]=Table2[[#This Row],[Film]])*(Table4[Grade]=Table2[[#This Row],[Grade]]),0)),""))</f>
        <v/>
      </c>
      <c r="O91" s="52" t="str">
        <f>IF(OR(Table2[[#This Row],[Film]]="",Table2[[#This Row],[Grade]]=""),"",SUMIFS(Table4[Price Calculated(€) Thickness &amp; QTY related],Table4[Film],Table2[[#This Row],[Film]],Table4[Grade],Table2[[#This Row],[Grade]]))</f>
        <v/>
      </c>
      <c r="P91" s="6"/>
      <c r="T91" s="6"/>
    </row>
    <row r="92" spans="1:20">
      <c r="A92" s="29" t="s">
        <v>52</v>
      </c>
      <c r="B92" s="29" t="s">
        <v>5</v>
      </c>
      <c r="C92" s="28" t="s">
        <v>13</v>
      </c>
      <c r="D92" s="28" t="str">
        <f>IF(C92="","",IFERROR(_xlfn.XLOOKUP(C92,HELPER!$A$2:$A$81,HELPER!$B$2:$B$81,""),D92))</f>
        <v>LX175</v>
      </c>
      <c r="E92" s="28" t="str">
        <f>IFERROR(_xlfn.XLOOKUP(D92,HELPER!$B:$B,HELPER!$C:$C,""),"")</f>
        <v>RMLX175</v>
      </c>
      <c r="F92" s="27" t="str">
        <f>IFERROR(_xlfn.XLOOKUP(D92,HELPER!$B:$B,HELPER!$D:$D,""),"")</f>
        <v>Resin 1A</v>
      </c>
      <c r="G92" s="27">
        <v>8</v>
      </c>
      <c r="H92" s="32">
        <v>0.79500000000000004</v>
      </c>
      <c r="I92" s="8">
        <f>IF(AND(H92&lt;&gt;"",IFERROR(_xlfn.XLOOKUP(D92,HELPER!$B:$B,HELPER!$E:$E,""),"")=""),"Missing price",IFERROR(_xlfn.XLOOKUP(D92,HELPER!$B:$B,HELPER!$E:$E,"")," "))</f>
        <v>3.17</v>
      </c>
      <c r="J92" s="48">
        <f>IFERROR(H92*(IF(G92=8,I92*HELPER!$G$2,BOM!I92*HELPER!$G$3))," ")</f>
        <v>0.50402999999999998</v>
      </c>
      <c r="K92" s="6"/>
      <c r="L92" s="14" t="str" cm="1">
        <f t="array" ref="L92">IFERROR(_xlfn.LET(_xlpm.films,Table4[Film],_xlpm.grades,Table4[Grade],_xlpm.pairs,_xlfn._xlws.FILTER(_xlfn.HSTACK(_xlpm.films,_xlpm.grades),(_xlpm.films&lt;&gt;"")*(TRIM(_xlpm.grades)&lt;&gt;"")),_xlpm.uniquePairs,_xlfn.UNIQUE(_xlpm.pairs),_xlpm.sortedPairs,_xlfn._xlws.SORT(_xlpm.uniquePairs,1,1),INDEX(_xlpm.sortedPairs,ROWS($L$2:L92),1)),"")</f>
        <v/>
      </c>
      <c r="M92" s="15" t="str" cm="1">
        <f t="array" ref="M92">IFERROR(_xlfn.LET(_xlpm.films,Table4[Film],_xlpm.grades,Table4[Grade],_xlpm.pairs,_xlfn._xlws.FILTER(_xlfn.HSTACK(_xlpm.films,_xlpm.grades),(_xlpm.films&lt;&gt;"")*(TRIM(_xlpm.grades)&lt;&gt;"")),_xlpm.uniquePairs,_xlfn.UNIQUE(_xlpm.pairs),_xlpm.sortedPairs,_xlfn._xlws.SORT(_xlpm.uniquePairs,1,1),INDEX(_xlpm.sortedPairs,ROWS($M$2:M92),2)),"")</f>
        <v/>
      </c>
      <c r="N92" s="15" t="str" cm="1">
        <f t="array" ref="N92">IF(OR(Table2[[#This Row],[Film]]="",Table2[[#This Row],[Grade]]=""),"",IFERROR(INDEX(Table4[Serial Number],MATCH(1,(Table4[Film]=Table2[[#This Row],[Film]])*(Table4[Grade]=Table2[[#This Row],[Grade]]),0)),""))</f>
        <v/>
      </c>
      <c r="O92" s="52" t="str">
        <f>IF(OR(Table2[[#This Row],[Film]]="",Table2[[#This Row],[Grade]]=""),"",SUMIFS(Table4[Price Calculated(€) Thickness &amp; QTY related],Table4[Film],Table2[[#This Row],[Film]],Table4[Grade],Table2[[#This Row],[Grade]]))</f>
        <v/>
      </c>
      <c r="P92" s="6"/>
      <c r="T92" s="6"/>
    </row>
    <row r="93" spans="1:20">
      <c r="A93" s="29" t="s">
        <v>52</v>
      </c>
      <c r="B93" s="29" t="s">
        <v>5</v>
      </c>
      <c r="C93" s="28" t="s">
        <v>15</v>
      </c>
      <c r="D93" s="28" t="str">
        <f>IF(C93="","",IFERROR(_xlfn.XLOOKUP(C93,HELPER!$A$2:$A$81,HELPER!$B$2:$B$81,""),D93))</f>
        <v>P65D</v>
      </c>
      <c r="E93" s="28" t="str">
        <f>IFERROR(_xlfn.XLOOKUP(D93,HELPER!$B:$B,HELPER!$C:$C,""),"")</f>
        <v>RMP65D</v>
      </c>
      <c r="F93" s="27" t="str">
        <f>IFERROR(_xlfn.XLOOKUP(D93,HELPER!$B:$B,HELPER!$D:$D,""),"")</f>
        <v>Resin 4A</v>
      </c>
      <c r="G93" s="27">
        <v>8</v>
      </c>
      <c r="H93" s="32">
        <v>0.19</v>
      </c>
      <c r="I93" s="8">
        <f>IF(AND(H93&lt;&gt;"",IFERROR(_xlfn.XLOOKUP(D93,HELPER!$B:$B,HELPER!$E:$E,""),"")=""),"Missing price",IFERROR(_xlfn.XLOOKUP(D93,HELPER!$B:$B,HELPER!$E:$E,"")," "))</f>
        <v>7.3</v>
      </c>
      <c r="J93" s="48">
        <f>IFERROR(H93*(IF(G93=8,I93*HELPER!$G$2,BOM!I93*HELPER!$G$3))," ")</f>
        <v>0.27739999999999998</v>
      </c>
      <c r="K93" s="6"/>
      <c r="L93" s="14" t="str" cm="1">
        <f t="array" ref="L93">IFERROR(_xlfn.LET(_xlpm.films,Table4[Film],_xlpm.grades,Table4[Grade],_xlpm.pairs,_xlfn._xlws.FILTER(_xlfn.HSTACK(_xlpm.films,_xlpm.grades),(_xlpm.films&lt;&gt;"")*(TRIM(_xlpm.grades)&lt;&gt;"")),_xlpm.uniquePairs,_xlfn.UNIQUE(_xlpm.pairs),_xlpm.sortedPairs,_xlfn._xlws.SORT(_xlpm.uniquePairs,1,1),INDEX(_xlpm.sortedPairs,ROWS($L$2:L93),1)),"")</f>
        <v/>
      </c>
      <c r="M93" s="15" t="str" cm="1">
        <f t="array" ref="M93">IFERROR(_xlfn.LET(_xlpm.films,Table4[Film],_xlpm.grades,Table4[Grade],_xlpm.pairs,_xlfn._xlws.FILTER(_xlfn.HSTACK(_xlpm.films,_xlpm.grades),(_xlpm.films&lt;&gt;"")*(TRIM(_xlpm.grades)&lt;&gt;"")),_xlpm.uniquePairs,_xlfn.UNIQUE(_xlpm.pairs),_xlpm.sortedPairs,_xlfn._xlws.SORT(_xlpm.uniquePairs,1,1),INDEX(_xlpm.sortedPairs,ROWS($M$2:M93),2)),"")</f>
        <v/>
      </c>
      <c r="N93" s="15" t="str" cm="1">
        <f t="array" ref="N93">IF(OR(Table2[[#This Row],[Film]]="",Table2[[#This Row],[Grade]]=""),"",IFERROR(INDEX(Table4[Serial Number],MATCH(1,(Table4[Film]=Table2[[#This Row],[Film]])*(Table4[Grade]=Table2[[#This Row],[Grade]]),0)),""))</f>
        <v/>
      </c>
      <c r="O93" s="52" t="str">
        <f>IF(OR(Table2[[#This Row],[Film]]="",Table2[[#This Row],[Grade]]=""),"",SUMIFS(Table4[Price Calculated(€) Thickness &amp; QTY related],Table4[Film],Table2[[#This Row],[Film]],Table4[Grade],Table2[[#This Row],[Grade]]))</f>
        <v/>
      </c>
      <c r="P93" s="6"/>
      <c r="T93" s="6"/>
    </row>
    <row r="94" spans="1:20">
      <c r="A94" s="29" t="s">
        <v>52</v>
      </c>
      <c r="B94" s="29" t="s">
        <v>5</v>
      </c>
      <c r="C94" s="28" t="s">
        <v>16</v>
      </c>
      <c r="D94" s="28" t="str">
        <f>IF(C94="","",IFERROR(_xlfn.XLOOKUP(C94,HELPER!$A$2:$A$81,HELPER!$B$2:$B$81,""),D94))</f>
        <v>S723</v>
      </c>
      <c r="E94" s="28" t="str">
        <f>IFERROR(_xlfn.XLOOKUP(D94,HELPER!$B:$B,HELPER!$C:$C,""),"")</f>
        <v>RM TA45-08 S723</v>
      </c>
      <c r="F94" s="27" t="str">
        <f>IFERROR(_xlfn.XLOOKUP(D94,HELPER!$B:$B,HELPER!$D:$D,""),"")</f>
        <v>Resin 6</v>
      </c>
      <c r="G94" s="27">
        <v>8</v>
      </c>
      <c r="H94" s="32">
        <v>1.4999999999999999E-2</v>
      </c>
      <c r="I94" s="8">
        <f>IF(AND(H94&lt;&gt;"",IFERROR(_xlfn.XLOOKUP(D94,HELPER!$B:$B,HELPER!$E:$E,""),"")=""),"Missing price",IFERROR(_xlfn.XLOOKUP(D94,HELPER!$B:$B,HELPER!$E:$E,"")," "))</f>
        <v>16.16</v>
      </c>
      <c r="J94" s="48">
        <f>IFERROR(H94*(IF(G94=8,I94*HELPER!$G$2,BOM!I94*HELPER!$G$3))," ")</f>
        <v>4.8480000000000002E-2</v>
      </c>
      <c r="K94" s="6"/>
      <c r="L94" s="14" t="str" cm="1">
        <f t="array" ref="L94">IFERROR(_xlfn.LET(_xlpm.films,Table4[Film],_xlpm.grades,Table4[Grade],_xlpm.pairs,_xlfn._xlws.FILTER(_xlfn.HSTACK(_xlpm.films,_xlpm.grades),(_xlpm.films&lt;&gt;"")*(TRIM(_xlpm.grades)&lt;&gt;"")),_xlpm.uniquePairs,_xlfn.UNIQUE(_xlpm.pairs),_xlpm.sortedPairs,_xlfn._xlws.SORT(_xlpm.uniquePairs,1,1),INDEX(_xlpm.sortedPairs,ROWS($L$2:L94),1)),"")</f>
        <v/>
      </c>
      <c r="M94" s="15" t="str" cm="1">
        <f t="array" ref="M94">IFERROR(_xlfn.LET(_xlpm.films,Table4[Film],_xlpm.grades,Table4[Grade],_xlpm.pairs,_xlfn._xlws.FILTER(_xlfn.HSTACK(_xlpm.films,_xlpm.grades),(_xlpm.films&lt;&gt;"")*(TRIM(_xlpm.grades)&lt;&gt;"")),_xlpm.uniquePairs,_xlfn.UNIQUE(_xlpm.pairs),_xlpm.sortedPairs,_xlfn._xlws.SORT(_xlpm.uniquePairs,1,1),INDEX(_xlpm.sortedPairs,ROWS($M$2:M94),2)),"")</f>
        <v/>
      </c>
      <c r="N94" s="15" t="str" cm="1">
        <f t="array" ref="N94">IF(OR(Table2[[#This Row],[Film]]="",Table2[[#This Row],[Grade]]=""),"",IFERROR(INDEX(Table4[Serial Number],MATCH(1,(Table4[Film]=Table2[[#This Row],[Film]])*(Table4[Grade]=Table2[[#This Row],[Grade]]),0)),""))</f>
        <v/>
      </c>
      <c r="O94" s="52" t="str">
        <f>IF(OR(Table2[[#This Row],[Film]]="",Table2[[#This Row],[Grade]]=""),"",SUMIFS(Table4[Price Calculated(€) Thickness &amp; QTY related],Table4[Film],Table2[[#This Row],[Film]],Table4[Grade],Table2[[#This Row],[Grade]]))</f>
        <v/>
      </c>
      <c r="P94" s="6"/>
      <c r="T94" s="6"/>
    </row>
    <row r="95" spans="1:20">
      <c r="A95" s="29" t="s">
        <v>52</v>
      </c>
      <c r="B95" s="29" t="s">
        <v>5</v>
      </c>
      <c r="C95" s="28"/>
      <c r="D95" s="28" t="str">
        <f>IF(C95="","",IFERROR(_xlfn.XLOOKUP(C95,HELPER!$A$2:$A$81,HELPER!$B$2:$B$81,""),D95))</f>
        <v/>
      </c>
      <c r="E95" s="28" t="str">
        <f>IFERROR(_xlfn.XLOOKUP(D95,HELPER!$B:$B,HELPER!$C:$C,""),"")</f>
        <v/>
      </c>
      <c r="F95" s="27" t="str">
        <f>IFERROR(_xlfn.XLOOKUP(D95,HELPER!$B:$B,HELPER!$D:$D,""),"")</f>
        <v/>
      </c>
      <c r="G95" s="27">
        <v>8</v>
      </c>
      <c r="I95" s="8" t="str">
        <f>IF(AND(H95&lt;&gt;"",IFERROR(_xlfn.XLOOKUP(D95,HELPER!$B:$B,HELPER!$E:$E,""),"")=""),"Missing price",IFERROR(_xlfn.XLOOKUP(D95,HELPER!$B:$B,HELPER!$E:$E,"")," "))</f>
        <v/>
      </c>
      <c r="J95" s="48" t="str">
        <f>IFERROR(H95*(IF(G95=8,I95*HELPER!$G$2,BOM!I95*HELPER!$G$3))," ")</f>
        <v xml:space="preserve"> </v>
      </c>
      <c r="K95" s="6"/>
      <c r="L95" s="14" t="str" cm="1">
        <f t="array" ref="L95">IFERROR(_xlfn.LET(_xlpm.films,Table4[Film],_xlpm.grades,Table4[Grade],_xlpm.pairs,_xlfn._xlws.FILTER(_xlfn.HSTACK(_xlpm.films,_xlpm.grades),(_xlpm.films&lt;&gt;"")*(TRIM(_xlpm.grades)&lt;&gt;"")),_xlpm.uniquePairs,_xlfn.UNIQUE(_xlpm.pairs),_xlpm.sortedPairs,_xlfn._xlws.SORT(_xlpm.uniquePairs,1,1),INDEX(_xlpm.sortedPairs,ROWS($L$2:L95),1)),"")</f>
        <v/>
      </c>
      <c r="M95" s="15" t="str" cm="1">
        <f t="array" ref="M95">IFERROR(_xlfn.LET(_xlpm.films,Table4[Film],_xlpm.grades,Table4[Grade],_xlpm.pairs,_xlfn._xlws.FILTER(_xlfn.HSTACK(_xlpm.films,_xlpm.grades),(_xlpm.films&lt;&gt;"")*(TRIM(_xlpm.grades)&lt;&gt;"")),_xlpm.uniquePairs,_xlfn.UNIQUE(_xlpm.pairs),_xlpm.sortedPairs,_xlfn._xlws.SORT(_xlpm.uniquePairs,1,1),INDEX(_xlpm.sortedPairs,ROWS($M$2:M95),2)),"")</f>
        <v/>
      </c>
      <c r="N95" s="15" t="str" cm="1">
        <f t="array" ref="N95">IF(OR(Table2[[#This Row],[Film]]="",Table2[[#This Row],[Grade]]=""),"",IFERROR(INDEX(Table4[Serial Number],MATCH(1,(Table4[Film]=Table2[[#This Row],[Film]])*(Table4[Grade]=Table2[[#This Row],[Grade]]),0)),""))</f>
        <v/>
      </c>
      <c r="O95" s="52" t="str">
        <f>IF(OR(Table2[[#This Row],[Film]]="",Table2[[#This Row],[Grade]]=""),"",SUMIFS(Table4[Price Calculated(€) Thickness &amp; QTY related],Table4[Film],Table2[[#This Row],[Film]],Table4[Grade],Table2[[#This Row],[Grade]]))</f>
        <v/>
      </c>
      <c r="P95" s="6"/>
      <c r="T95" s="6"/>
    </row>
    <row r="96" spans="1:20">
      <c r="A96" s="29" t="s">
        <v>52</v>
      </c>
      <c r="B96" s="29" t="s">
        <v>5</v>
      </c>
      <c r="C96" s="28"/>
      <c r="D96" s="28" t="str">
        <f>IF(C96="","",IFERROR(_xlfn.XLOOKUP(C96,HELPER!$A$2:$A$81,HELPER!$B$2:$B$81,""),D96))</f>
        <v/>
      </c>
      <c r="E96" s="28" t="str">
        <f>IFERROR(_xlfn.XLOOKUP(D96,HELPER!$B:$B,HELPER!$C:$C,""),"")</f>
        <v/>
      </c>
      <c r="F96" s="27" t="str">
        <f>IFERROR(_xlfn.XLOOKUP(D96,HELPER!$B:$B,HELPER!$D:$D,""),"")</f>
        <v/>
      </c>
      <c r="G96" s="27">
        <v>8</v>
      </c>
      <c r="I96" s="8" t="str">
        <f>IF(AND(H96&lt;&gt;"",IFERROR(_xlfn.XLOOKUP(D96,HELPER!$B:$B,HELPER!$E:$E,""),"")=""),"Missing price",IFERROR(_xlfn.XLOOKUP(D96,HELPER!$B:$B,HELPER!$E:$E,"")," "))</f>
        <v/>
      </c>
      <c r="J96" s="48" t="str">
        <f>IFERROR(H96*(IF(G96=8,I96*HELPER!$G$2,BOM!I96*HELPER!$G$3))," ")</f>
        <v xml:space="preserve"> </v>
      </c>
      <c r="K96" s="6"/>
      <c r="L96" s="14" t="str" cm="1">
        <f t="array" ref="L96">IFERROR(_xlfn.LET(_xlpm.films,Table4[Film],_xlpm.grades,Table4[Grade],_xlpm.pairs,_xlfn._xlws.FILTER(_xlfn.HSTACK(_xlpm.films,_xlpm.grades),(_xlpm.films&lt;&gt;"")*(TRIM(_xlpm.grades)&lt;&gt;"")),_xlpm.uniquePairs,_xlfn.UNIQUE(_xlpm.pairs),_xlpm.sortedPairs,_xlfn._xlws.SORT(_xlpm.uniquePairs,1,1),INDEX(_xlpm.sortedPairs,ROWS($L$2:L96),1)),"")</f>
        <v/>
      </c>
      <c r="M96" s="15" t="str" cm="1">
        <f t="array" ref="M96">IFERROR(_xlfn.LET(_xlpm.films,Table4[Film],_xlpm.grades,Table4[Grade],_xlpm.pairs,_xlfn._xlws.FILTER(_xlfn.HSTACK(_xlpm.films,_xlpm.grades),(_xlpm.films&lt;&gt;"")*(TRIM(_xlpm.grades)&lt;&gt;"")),_xlpm.uniquePairs,_xlfn.UNIQUE(_xlpm.pairs),_xlpm.sortedPairs,_xlfn._xlws.SORT(_xlpm.uniquePairs,1,1),INDEX(_xlpm.sortedPairs,ROWS($M$2:M96),2)),"")</f>
        <v/>
      </c>
      <c r="N96" s="15" t="str" cm="1">
        <f t="array" ref="N96">IF(OR(Table2[[#This Row],[Film]]="",Table2[[#This Row],[Grade]]=""),"",IFERROR(INDEX(Table4[Serial Number],MATCH(1,(Table4[Film]=Table2[[#This Row],[Film]])*(Table4[Grade]=Table2[[#This Row],[Grade]]),0)),""))</f>
        <v/>
      </c>
      <c r="O96" s="52" t="str">
        <f>IF(OR(Table2[[#This Row],[Film]]="",Table2[[#This Row],[Grade]]=""),"",SUMIFS(Table4[Price Calculated(€) Thickness &amp; QTY related],Table4[Film],Table2[[#This Row],[Film]],Table4[Grade],Table2[[#This Row],[Grade]]))</f>
        <v/>
      </c>
      <c r="P96" s="6"/>
      <c r="T96" s="6"/>
    </row>
    <row r="97" spans="1:20">
      <c r="A97" s="29" t="s">
        <v>52</v>
      </c>
      <c r="B97" s="29" t="s">
        <v>5</v>
      </c>
      <c r="C97" s="28"/>
      <c r="D97" s="28" t="str">
        <f>IF(C97="","",IFERROR(_xlfn.XLOOKUP(C97,HELPER!$A$2:$A$81,HELPER!$B$2:$B$81,""),D97))</f>
        <v/>
      </c>
      <c r="E97" s="28" t="str">
        <f>IFERROR(_xlfn.XLOOKUP(D97,HELPER!$B:$B,HELPER!$C:$C,""),"")</f>
        <v/>
      </c>
      <c r="F97" s="27" t="str">
        <f>IFERROR(_xlfn.XLOOKUP(D97,HELPER!$B:$B,HELPER!$D:$D,""),"")</f>
        <v/>
      </c>
      <c r="G97" s="27">
        <v>8</v>
      </c>
      <c r="I97" s="8" t="str">
        <f>IF(AND(H97&lt;&gt;"",IFERROR(_xlfn.XLOOKUP(D97,HELPER!$B:$B,HELPER!$E:$E,""),"")=""),"Missing price",IFERROR(_xlfn.XLOOKUP(D97,HELPER!$B:$B,HELPER!$E:$E,"")," "))</f>
        <v/>
      </c>
      <c r="J97" s="48" t="str">
        <f>IFERROR(H97*(IF(G97=8,I97*HELPER!$G$2,BOM!I97*HELPER!$G$3))," ")</f>
        <v xml:space="preserve"> </v>
      </c>
      <c r="K97" s="6"/>
      <c r="L97" s="14" t="str" cm="1">
        <f t="array" ref="L97">IFERROR(_xlfn.LET(_xlpm.films,Table4[Film],_xlpm.grades,Table4[Grade],_xlpm.pairs,_xlfn._xlws.FILTER(_xlfn.HSTACK(_xlpm.films,_xlpm.grades),(_xlpm.films&lt;&gt;"")*(TRIM(_xlpm.grades)&lt;&gt;"")),_xlpm.uniquePairs,_xlfn.UNIQUE(_xlpm.pairs),_xlpm.sortedPairs,_xlfn._xlws.SORT(_xlpm.uniquePairs,1,1),INDEX(_xlpm.sortedPairs,ROWS($L$2:L97),1)),"")</f>
        <v/>
      </c>
      <c r="M97" s="15" t="str" cm="1">
        <f t="array" ref="M97">IFERROR(_xlfn.LET(_xlpm.films,Table4[Film],_xlpm.grades,Table4[Grade],_xlpm.pairs,_xlfn._xlws.FILTER(_xlfn.HSTACK(_xlpm.films,_xlpm.grades),(_xlpm.films&lt;&gt;"")*(TRIM(_xlpm.grades)&lt;&gt;"")),_xlpm.uniquePairs,_xlfn.UNIQUE(_xlpm.pairs),_xlpm.sortedPairs,_xlfn._xlws.SORT(_xlpm.uniquePairs,1,1),INDEX(_xlpm.sortedPairs,ROWS($M$2:M97),2)),"")</f>
        <v/>
      </c>
      <c r="N97" s="15" t="str" cm="1">
        <f t="array" ref="N97">IF(OR(Table2[[#This Row],[Film]]="",Table2[[#This Row],[Grade]]=""),"",IFERROR(INDEX(Table4[Serial Number],MATCH(1,(Table4[Film]=Table2[[#This Row],[Film]])*(Table4[Grade]=Table2[[#This Row],[Grade]]),0)),""))</f>
        <v/>
      </c>
      <c r="O97" s="52" t="str">
        <f>IF(OR(Table2[[#This Row],[Film]]="",Table2[[#This Row],[Grade]]=""),"",SUMIFS(Table4[Price Calculated(€) Thickness &amp; QTY related],Table4[Film],Table2[[#This Row],[Film]],Table4[Grade],Table2[[#This Row],[Grade]]))</f>
        <v/>
      </c>
      <c r="P97" s="6"/>
      <c r="T97" s="6"/>
    </row>
    <row r="98" spans="1:20">
      <c r="A98" s="29" t="s">
        <v>52</v>
      </c>
      <c r="B98" s="29" t="s">
        <v>5</v>
      </c>
      <c r="C98" s="28"/>
      <c r="D98" s="28" t="str">
        <f>IF(C98="","",IFERROR(_xlfn.XLOOKUP(C98,HELPER!$A$2:$A$81,HELPER!$B$2:$B$81,""),D98))</f>
        <v/>
      </c>
      <c r="E98" s="28" t="str">
        <f>IFERROR(_xlfn.XLOOKUP(D98,HELPER!$B:$B,HELPER!$C:$C,""),"")</f>
        <v/>
      </c>
      <c r="F98" s="27" t="str">
        <f>IFERROR(_xlfn.XLOOKUP(D98,HELPER!$B:$B,HELPER!$D:$D,""),"")</f>
        <v/>
      </c>
      <c r="G98" s="27">
        <v>8</v>
      </c>
      <c r="I98" s="8" t="str">
        <f>IF(AND(H98&lt;&gt;"",IFERROR(_xlfn.XLOOKUP(D98,HELPER!$B:$B,HELPER!$E:$E,""),"")=""),"Missing price",IFERROR(_xlfn.XLOOKUP(D98,HELPER!$B:$B,HELPER!$E:$E,"")," "))</f>
        <v/>
      </c>
      <c r="J98" s="48" t="str">
        <f>IFERROR(H98*(IF(G98=8,I98*HELPER!$G$2,BOM!I98*HELPER!$G$3))," ")</f>
        <v xml:space="preserve"> </v>
      </c>
      <c r="K98" s="6"/>
      <c r="L98" s="14" t="str" cm="1">
        <f t="array" ref="L98">IFERROR(_xlfn.LET(_xlpm.films,Table4[Film],_xlpm.grades,Table4[Grade],_xlpm.pairs,_xlfn._xlws.FILTER(_xlfn.HSTACK(_xlpm.films,_xlpm.grades),(_xlpm.films&lt;&gt;"")*(TRIM(_xlpm.grades)&lt;&gt;"")),_xlpm.uniquePairs,_xlfn.UNIQUE(_xlpm.pairs),_xlpm.sortedPairs,_xlfn._xlws.SORT(_xlpm.uniquePairs,1,1),INDEX(_xlpm.sortedPairs,ROWS($L$2:L98),1)),"")</f>
        <v/>
      </c>
      <c r="M98" s="15" t="str" cm="1">
        <f t="array" ref="M98">IFERROR(_xlfn.LET(_xlpm.films,Table4[Film],_xlpm.grades,Table4[Grade],_xlpm.pairs,_xlfn._xlws.FILTER(_xlfn.HSTACK(_xlpm.films,_xlpm.grades),(_xlpm.films&lt;&gt;"")*(TRIM(_xlpm.grades)&lt;&gt;"")),_xlpm.uniquePairs,_xlfn.UNIQUE(_xlpm.pairs),_xlpm.sortedPairs,_xlfn._xlws.SORT(_xlpm.uniquePairs,1,1),INDEX(_xlpm.sortedPairs,ROWS($M$2:M98),2)),"")</f>
        <v/>
      </c>
      <c r="N98" s="15" t="str" cm="1">
        <f t="array" ref="N98">IF(OR(Table2[[#This Row],[Film]]="",Table2[[#This Row],[Grade]]=""),"",IFERROR(INDEX(Table4[Serial Number],MATCH(1,(Table4[Film]=Table2[[#This Row],[Film]])*(Table4[Grade]=Table2[[#This Row],[Grade]]),0)),""))</f>
        <v/>
      </c>
      <c r="O98" s="52" t="str">
        <f>IF(OR(Table2[[#This Row],[Film]]="",Table2[[#This Row],[Grade]]=""),"",SUMIFS(Table4[Price Calculated(€) Thickness &amp; QTY related],Table4[Film],Table2[[#This Row],[Film]],Table4[Grade],Table2[[#This Row],[Grade]]))</f>
        <v/>
      </c>
      <c r="P98" s="6"/>
      <c r="T98" s="6"/>
    </row>
    <row r="99" spans="1:20">
      <c r="A99" s="29" t="s">
        <v>52</v>
      </c>
      <c r="B99" s="29" t="s">
        <v>5</v>
      </c>
      <c r="C99" s="28"/>
      <c r="D99" s="28" t="str">
        <f>IF(C99="","",IFERROR(_xlfn.XLOOKUP(C99,HELPER!$A$2:$A$81,HELPER!$B$2:$B$81,""),D99))</f>
        <v/>
      </c>
      <c r="E99" s="28" t="str">
        <f>IFERROR(_xlfn.XLOOKUP(D99,HELPER!$B:$B,HELPER!$C:$C,""),"")</f>
        <v/>
      </c>
      <c r="F99" s="27" t="str">
        <f>IFERROR(_xlfn.XLOOKUP(D99,HELPER!$B:$B,HELPER!$D:$D,""),"")</f>
        <v/>
      </c>
      <c r="G99" s="27">
        <v>8</v>
      </c>
      <c r="I99" s="8" t="str">
        <f>IF(AND(H99&lt;&gt;"",IFERROR(_xlfn.XLOOKUP(D99,HELPER!$B:$B,HELPER!$E:$E,""),"")=""),"Missing price",IFERROR(_xlfn.XLOOKUP(D99,HELPER!$B:$B,HELPER!$E:$E,"")," "))</f>
        <v/>
      </c>
      <c r="J99" s="48" t="str">
        <f>IFERROR(H99*(IF(G99=8,I99*HELPER!$G$2,BOM!I99*HELPER!$G$3))," ")</f>
        <v xml:space="preserve"> </v>
      </c>
      <c r="K99" s="6"/>
      <c r="L99" s="14" t="str" cm="1">
        <f t="array" ref="L99">IFERROR(_xlfn.LET(_xlpm.films,Table4[Film],_xlpm.grades,Table4[Grade],_xlpm.pairs,_xlfn._xlws.FILTER(_xlfn.HSTACK(_xlpm.films,_xlpm.grades),(_xlpm.films&lt;&gt;"")*(TRIM(_xlpm.grades)&lt;&gt;"")),_xlpm.uniquePairs,_xlfn.UNIQUE(_xlpm.pairs),_xlpm.sortedPairs,_xlfn._xlws.SORT(_xlpm.uniquePairs,1,1),INDEX(_xlpm.sortedPairs,ROWS($L$2:L99),1)),"")</f>
        <v/>
      </c>
      <c r="M99" s="15" t="str" cm="1">
        <f t="array" ref="M99">IFERROR(_xlfn.LET(_xlpm.films,Table4[Film],_xlpm.grades,Table4[Grade],_xlpm.pairs,_xlfn._xlws.FILTER(_xlfn.HSTACK(_xlpm.films,_xlpm.grades),(_xlpm.films&lt;&gt;"")*(TRIM(_xlpm.grades)&lt;&gt;"")),_xlpm.uniquePairs,_xlfn.UNIQUE(_xlpm.pairs),_xlpm.sortedPairs,_xlfn._xlws.SORT(_xlpm.uniquePairs,1,1),INDEX(_xlpm.sortedPairs,ROWS($M$2:M99),2)),"")</f>
        <v/>
      </c>
      <c r="N99" s="15" t="str" cm="1">
        <f t="array" ref="N99">IF(OR(Table2[[#This Row],[Film]]="",Table2[[#This Row],[Grade]]=""),"",IFERROR(INDEX(Table4[Serial Number],MATCH(1,(Table4[Film]=Table2[[#This Row],[Film]])*(Table4[Grade]=Table2[[#This Row],[Grade]]),0)),""))</f>
        <v/>
      </c>
      <c r="O99" s="52" t="str">
        <f>IF(OR(Table2[[#This Row],[Film]]="",Table2[[#This Row],[Grade]]=""),"",SUMIFS(Table4[Price Calculated(€) Thickness &amp; QTY related],Table4[Film],Table2[[#This Row],[Film]],Table4[Grade],Table2[[#This Row],[Grade]]))</f>
        <v/>
      </c>
      <c r="P99" s="6"/>
      <c r="T99" s="6"/>
    </row>
    <row r="100" spans="1:20">
      <c r="A100" s="29" t="s">
        <v>52</v>
      </c>
      <c r="B100" s="29" t="s">
        <v>5</v>
      </c>
      <c r="C100" s="28"/>
      <c r="D100" s="28" t="str">
        <f>IF(C100="","",IFERROR(_xlfn.XLOOKUP(C100,HELPER!$A$2:$A$81,HELPER!$B$2:$B$81,""),D100))</f>
        <v/>
      </c>
      <c r="E100" s="28" t="str">
        <f>IFERROR(_xlfn.XLOOKUP(D100,HELPER!$B:$B,HELPER!$C:$C,""),"")</f>
        <v/>
      </c>
      <c r="F100" s="27" t="str">
        <f>IFERROR(_xlfn.XLOOKUP(D100,HELPER!$B:$B,HELPER!$D:$D,""),"")</f>
        <v/>
      </c>
      <c r="G100" s="27">
        <v>8</v>
      </c>
      <c r="I100" s="8" t="str">
        <f>IF(AND(H100&lt;&gt;"",IFERROR(_xlfn.XLOOKUP(D100,HELPER!$B:$B,HELPER!$E:$E,""),"")=""),"Missing price",IFERROR(_xlfn.XLOOKUP(D100,HELPER!$B:$B,HELPER!$E:$E,"")," "))</f>
        <v/>
      </c>
      <c r="J100" s="48" t="str">
        <f>IFERROR(H100*(IF(G100=8,I100*HELPER!$G$2,BOM!I100*HELPER!$G$3))," ")</f>
        <v xml:space="preserve"> </v>
      </c>
      <c r="K100" s="6"/>
      <c r="L100" s="14" t="str" cm="1">
        <f t="array" ref="L100">IFERROR(_xlfn.LET(_xlpm.films,Table4[Film],_xlpm.grades,Table4[Grade],_xlpm.pairs,_xlfn._xlws.FILTER(_xlfn.HSTACK(_xlpm.films,_xlpm.grades),(_xlpm.films&lt;&gt;"")*(TRIM(_xlpm.grades)&lt;&gt;"")),_xlpm.uniquePairs,_xlfn.UNIQUE(_xlpm.pairs),_xlpm.sortedPairs,_xlfn._xlws.SORT(_xlpm.uniquePairs,1,1),INDEX(_xlpm.sortedPairs,ROWS($L$2:L100),1)),"")</f>
        <v/>
      </c>
      <c r="M100" s="15" t="str" cm="1">
        <f t="array" ref="M100">IFERROR(_xlfn.LET(_xlpm.films,Table4[Film],_xlpm.grades,Table4[Grade],_xlpm.pairs,_xlfn._xlws.FILTER(_xlfn.HSTACK(_xlpm.films,_xlpm.grades),(_xlpm.films&lt;&gt;"")*(TRIM(_xlpm.grades)&lt;&gt;"")),_xlpm.uniquePairs,_xlfn.UNIQUE(_xlpm.pairs),_xlpm.sortedPairs,_xlfn._xlws.SORT(_xlpm.uniquePairs,1,1),INDEX(_xlpm.sortedPairs,ROWS($M$2:M100),2)),"")</f>
        <v/>
      </c>
      <c r="N100" s="15" t="str" cm="1">
        <f t="array" ref="N100">IF(OR(Table2[[#This Row],[Film]]="",Table2[[#This Row],[Grade]]=""),"",IFERROR(INDEX(Table4[Serial Number],MATCH(1,(Table4[Film]=Table2[[#This Row],[Film]])*(Table4[Grade]=Table2[[#This Row],[Grade]]),0)),""))</f>
        <v/>
      </c>
      <c r="O100" s="52" t="str">
        <f>IF(OR(Table2[[#This Row],[Film]]="",Table2[[#This Row],[Grade]]=""),"",SUMIFS(Table4[Price Calculated(€) Thickness &amp; QTY related],Table4[Film],Table2[[#This Row],[Film]],Table4[Grade],Table2[[#This Row],[Grade]]))</f>
        <v/>
      </c>
      <c r="P100" s="6"/>
      <c r="T100" s="6"/>
    </row>
    <row r="101" spans="1:20">
      <c r="A101" s="29" t="s">
        <v>52</v>
      </c>
      <c r="B101" s="29" t="s">
        <v>5</v>
      </c>
      <c r="C101" s="28"/>
      <c r="D101" s="28" t="str">
        <f>IF(C101="","",IFERROR(_xlfn.XLOOKUP(C101,HELPER!$A$2:$A$81,HELPER!$B$2:$B$81,""),D101))</f>
        <v/>
      </c>
      <c r="E101" s="28" t="str">
        <f>IFERROR(_xlfn.XLOOKUP(D101,HELPER!$B:$B,HELPER!$C:$C,""),"")</f>
        <v/>
      </c>
      <c r="F101" s="27" t="str">
        <f>IFERROR(_xlfn.XLOOKUP(D101,HELPER!$B:$B,HELPER!$D:$D,""),"")</f>
        <v/>
      </c>
      <c r="G101" s="27">
        <v>8</v>
      </c>
      <c r="I101" s="8" t="str">
        <f>IF(AND(H101&lt;&gt;"",IFERROR(_xlfn.XLOOKUP(D101,HELPER!$B:$B,HELPER!$E:$E,""),"")=""),"Missing price",IFERROR(_xlfn.XLOOKUP(D101,HELPER!$B:$B,HELPER!$E:$E,"")," "))</f>
        <v/>
      </c>
      <c r="J101" s="48" t="str">
        <f>IFERROR(H101*(IF(G101=8,I101*HELPER!$G$2,BOM!I101*HELPER!$G$3))," ")</f>
        <v xml:space="preserve"> </v>
      </c>
      <c r="K101" s="6"/>
      <c r="L101" s="14" t="str" cm="1">
        <f t="array" ref="L101">IFERROR(_xlfn.LET(_xlpm.films,Table4[Film],_xlpm.grades,Table4[Grade],_xlpm.pairs,_xlfn._xlws.FILTER(_xlfn.HSTACK(_xlpm.films,_xlpm.grades),(_xlpm.films&lt;&gt;"")*(TRIM(_xlpm.grades)&lt;&gt;"")),_xlpm.uniquePairs,_xlfn.UNIQUE(_xlpm.pairs),_xlpm.sortedPairs,_xlfn._xlws.SORT(_xlpm.uniquePairs,1,1),INDEX(_xlpm.sortedPairs,ROWS($L$2:L101),1)),"")</f>
        <v/>
      </c>
      <c r="M101" s="15" t="str" cm="1">
        <f t="array" ref="M101">IFERROR(_xlfn.LET(_xlpm.films,Table4[Film],_xlpm.grades,Table4[Grade],_xlpm.pairs,_xlfn._xlws.FILTER(_xlfn.HSTACK(_xlpm.films,_xlpm.grades),(_xlpm.films&lt;&gt;"")*(TRIM(_xlpm.grades)&lt;&gt;"")),_xlpm.uniquePairs,_xlfn.UNIQUE(_xlpm.pairs),_xlpm.sortedPairs,_xlfn._xlws.SORT(_xlpm.uniquePairs,1,1),INDEX(_xlpm.sortedPairs,ROWS($M$2:M101),2)),"")</f>
        <v/>
      </c>
      <c r="N101" s="15" t="str" cm="1">
        <f t="array" ref="N101">IF(OR(Table2[[#This Row],[Film]]="",Table2[[#This Row],[Grade]]=""),"",IFERROR(INDEX(Table4[Serial Number],MATCH(1,(Table4[Film]=Table2[[#This Row],[Film]])*(Table4[Grade]=Table2[[#This Row],[Grade]]),0)),""))</f>
        <v/>
      </c>
      <c r="O101" s="52" t="str">
        <f>IF(OR(Table2[[#This Row],[Film]]="",Table2[[#This Row],[Grade]]=""),"",SUMIFS(Table4[Price Calculated(€) Thickness &amp; QTY related],Table4[Film],Table2[[#This Row],[Film]],Table4[Grade],Table2[[#This Row],[Grade]]))</f>
        <v/>
      </c>
      <c r="P101" s="6"/>
      <c r="T101" s="6"/>
    </row>
    <row r="102" spans="1:20">
      <c r="A102" s="29" t="s">
        <v>52</v>
      </c>
      <c r="B102" s="29" t="s">
        <v>6</v>
      </c>
      <c r="C102" s="28"/>
      <c r="D102" s="28" t="str">
        <f>IF(C102="","",IFERROR(_xlfn.XLOOKUP(C102,HELPER!$A$2:$A$81,HELPER!$B$2:$B$81,""),D102))</f>
        <v/>
      </c>
      <c r="E102" s="28" t="str">
        <f>IFERROR(_xlfn.XLOOKUP(D102,HELPER!$B:$B,HELPER!$C:$C,""),"")</f>
        <v/>
      </c>
      <c r="F102" s="27" t="str">
        <f>IFERROR(_xlfn.XLOOKUP(D102,HELPER!$B:$B,HELPER!$D:$D,""),"")</f>
        <v/>
      </c>
      <c r="G102" s="27">
        <v>24</v>
      </c>
      <c r="I102" s="8" t="str">
        <f>IF(AND(H102&lt;&gt;"",IFERROR(_xlfn.XLOOKUP(D102,HELPER!$B:$B,HELPER!$E:$E,""),"")=""),"Missing price",IFERROR(_xlfn.XLOOKUP(D102,HELPER!$B:$B,HELPER!$E:$E,"")," "))</f>
        <v/>
      </c>
      <c r="J102" s="48" t="str">
        <f>IFERROR(H102*(IF(G102=8,I102*HELPER!$G$2,BOM!I102*HELPER!$G$3))," ")</f>
        <v xml:space="preserve"> </v>
      </c>
      <c r="K102" s="6"/>
      <c r="L102" s="14" t="str" cm="1">
        <f t="array" ref="L102">IFERROR(_xlfn.LET(_xlpm.films,Table4[Film],_xlpm.grades,Table4[Grade],_xlpm.pairs,_xlfn._xlws.FILTER(_xlfn.HSTACK(_xlpm.films,_xlpm.grades),(_xlpm.films&lt;&gt;"")*(TRIM(_xlpm.grades)&lt;&gt;"")),_xlpm.uniquePairs,_xlfn.UNIQUE(_xlpm.pairs),_xlpm.sortedPairs,_xlfn._xlws.SORT(_xlpm.uniquePairs,1,1),INDEX(_xlpm.sortedPairs,ROWS($L$2:L102),1)),"")</f>
        <v/>
      </c>
      <c r="M102" s="15" t="str" cm="1">
        <f t="array" ref="M102">IFERROR(_xlfn.LET(_xlpm.films,Table4[Film],_xlpm.grades,Table4[Grade],_xlpm.pairs,_xlfn._xlws.FILTER(_xlfn.HSTACK(_xlpm.films,_xlpm.grades),(_xlpm.films&lt;&gt;"")*(TRIM(_xlpm.grades)&lt;&gt;"")),_xlpm.uniquePairs,_xlfn.UNIQUE(_xlpm.pairs),_xlpm.sortedPairs,_xlfn._xlws.SORT(_xlpm.uniquePairs,1,1),INDEX(_xlpm.sortedPairs,ROWS($M$2:M102),2)),"")</f>
        <v/>
      </c>
      <c r="N102" s="15" t="str" cm="1">
        <f t="array" ref="N102">IF(OR(Table2[[#This Row],[Film]]="",Table2[[#This Row],[Grade]]=""),"",IFERROR(INDEX(Table4[Serial Number],MATCH(1,(Table4[Film]=Table2[[#This Row],[Film]])*(Table4[Grade]=Table2[[#This Row],[Grade]]),0)),""))</f>
        <v/>
      </c>
      <c r="O102" s="52" t="str">
        <f>IF(OR(Table2[[#This Row],[Film]]="",Table2[[#This Row],[Grade]]=""),"",SUMIFS(Table4[Price Calculated(€) Thickness &amp; QTY related],Table4[Film],Table2[[#This Row],[Film]],Table4[Grade],Table2[[#This Row],[Grade]]))</f>
        <v/>
      </c>
      <c r="P102" s="6"/>
      <c r="T102" s="6"/>
    </row>
    <row r="103" spans="1:20">
      <c r="A103" s="29" t="s">
        <v>52</v>
      </c>
      <c r="B103" s="29" t="s">
        <v>6</v>
      </c>
      <c r="C103" s="28"/>
      <c r="D103" s="28" t="str">
        <f>IF(C103="","",IFERROR(_xlfn.XLOOKUP(C103,HELPER!$A$2:$A$81,HELPER!$B$2:$B$81,""),D103))</f>
        <v/>
      </c>
      <c r="E103" s="28" t="str">
        <f>IFERROR(_xlfn.XLOOKUP(D103,HELPER!$B:$B,HELPER!$C:$C,""),"")</f>
        <v/>
      </c>
      <c r="F103" s="27" t="str">
        <f>IFERROR(_xlfn.XLOOKUP(D103,HELPER!$B:$B,HELPER!$D:$D,""),"")</f>
        <v/>
      </c>
      <c r="G103" s="27">
        <v>24</v>
      </c>
      <c r="I103" s="8" t="str">
        <f>IF(AND(H103&lt;&gt;"",IFERROR(_xlfn.XLOOKUP(D103,HELPER!$B:$B,HELPER!$E:$E,""),"")=""),"Missing price",IFERROR(_xlfn.XLOOKUP(D103,HELPER!$B:$B,HELPER!$E:$E,"")," "))</f>
        <v/>
      </c>
      <c r="J103" s="48" t="str">
        <f>IFERROR(H103*(IF(G103=8,I103*HELPER!$G$2,BOM!I103*HELPER!$G$3))," ")</f>
        <v xml:space="preserve"> </v>
      </c>
      <c r="K103" s="6"/>
      <c r="L103" s="14" t="str" cm="1">
        <f t="array" ref="L103">IFERROR(_xlfn.LET(_xlpm.films,Table4[Film],_xlpm.grades,Table4[Grade],_xlpm.pairs,_xlfn._xlws.FILTER(_xlfn.HSTACK(_xlpm.films,_xlpm.grades),(_xlpm.films&lt;&gt;"")*(TRIM(_xlpm.grades)&lt;&gt;"")),_xlpm.uniquePairs,_xlfn.UNIQUE(_xlpm.pairs),_xlpm.sortedPairs,_xlfn._xlws.SORT(_xlpm.uniquePairs,1,1),INDEX(_xlpm.sortedPairs,ROWS($L$2:L103),1)),"")</f>
        <v/>
      </c>
      <c r="M103" s="15" t="str" cm="1">
        <f t="array" ref="M103">IFERROR(_xlfn.LET(_xlpm.films,Table4[Film],_xlpm.grades,Table4[Grade],_xlpm.pairs,_xlfn._xlws.FILTER(_xlfn.HSTACK(_xlpm.films,_xlpm.grades),(_xlpm.films&lt;&gt;"")*(TRIM(_xlpm.grades)&lt;&gt;"")),_xlpm.uniquePairs,_xlfn.UNIQUE(_xlpm.pairs),_xlpm.sortedPairs,_xlfn._xlws.SORT(_xlpm.uniquePairs,1,1),INDEX(_xlpm.sortedPairs,ROWS($M$2:M103),2)),"")</f>
        <v/>
      </c>
      <c r="N103" s="15" t="str" cm="1">
        <f t="array" ref="N103">IF(OR(Table2[[#This Row],[Film]]="",Table2[[#This Row],[Grade]]=""),"",IFERROR(INDEX(Table4[Serial Number],MATCH(1,(Table4[Film]=Table2[[#This Row],[Film]])*(Table4[Grade]=Table2[[#This Row],[Grade]]),0)),""))</f>
        <v/>
      </c>
      <c r="O103" s="52" t="str">
        <f>IF(OR(Table2[[#This Row],[Film]]="",Table2[[#This Row],[Grade]]=""),"",SUMIFS(Table4[Price Calculated(€) Thickness &amp; QTY related],Table4[Film],Table2[[#This Row],[Film]],Table4[Grade],Table2[[#This Row],[Grade]]))</f>
        <v/>
      </c>
      <c r="P103" s="6"/>
      <c r="T103" s="6"/>
    </row>
    <row r="104" spans="1:20">
      <c r="A104" s="29" t="s">
        <v>52</v>
      </c>
      <c r="B104" s="29" t="s">
        <v>6</v>
      </c>
      <c r="C104" s="28"/>
      <c r="D104" s="28" t="str">
        <f>IF(C104="","",IFERROR(_xlfn.XLOOKUP(C104,HELPER!$A$2:$A$81,HELPER!$B$2:$B$81,""),D104))</f>
        <v/>
      </c>
      <c r="E104" s="28" t="str">
        <f>IFERROR(_xlfn.XLOOKUP(D104,HELPER!$B:$B,HELPER!$C:$C,""),"")</f>
        <v/>
      </c>
      <c r="F104" s="27" t="str">
        <f>IFERROR(_xlfn.XLOOKUP(D104,HELPER!$B:$B,HELPER!$D:$D,""),"")</f>
        <v/>
      </c>
      <c r="G104" s="27">
        <v>24</v>
      </c>
      <c r="I104" s="8" t="str">
        <f>IF(AND(H104&lt;&gt;"",IFERROR(_xlfn.XLOOKUP(D104,HELPER!$B:$B,HELPER!$E:$E,""),"")=""),"Missing price",IFERROR(_xlfn.XLOOKUP(D104,HELPER!$B:$B,HELPER!$E:$E,"")," "))</f>
        <v/>
      </c>
      <c r="J104" s="48" t="str">
        <f>IFERROR(H104*(IF(G104=8,I104*HELPER!$G$2,BOM!I104*HELPER!$G$3))," ")</f>
        <v xml:space="preserve"> </v>
      </c>
      <c r="K104" s="6"/>
      <c r="L104" s="14" t="str" cm="1">
        <f t="array" ref="L104">IFERROR(_xlfn.LET(_xlpm.films,Table4[Film],_xlpm.grades,Table4[Grade],_xlpm.pairs,_xlfn._xlws.FILTER(_xlfn.HSTACK(_xlpm.films,_xlpm.grades),(_xlpm.films&lt;&gt;"")*(TRIM(_xlpm.grades)&lt;&gt;"")),_xlpm.uniquePairs,_xlfn.UNIQUE(_xlpm.pairs),_xlpm.sortedPairs,_xlfn._xlws.SORT(_xlpm.uniquePairs,1,1),INDEX(_xlpm.sortedPairs,ROWS($L$2:L104),1)),"")</f>
        <v/>
      </c>
      <c r="M104" s="15" t="str" cm="1">
        <f t="array" ref="M104">IFERROR(_xlfn.LET(_xlpm.films,Table4[Film],_xlpm.grades,Table4[Grade],_xlpm.pairs,_xlfn._xlws.FILTER(_xlfn.HSTACK(_xlpm.films,_xlpm.grades),(_xlpm.films&lt;&gt;"")*(TRIM(_xlpm.grades)&lt;&gt;"")),_xlpm.uniquePairs,_xlfn.UNIQUE(_xlpm.pairs),_xlpm.sortedPairs,_xlfn._xlws.SORT(_xlpm.uniquePairs,1,1),INDEX(_xlpm.sortedPairs,ROWS($M$2:M104),2)),"")</f>
        <v/>
      </c>
      <c r="N104" s="15" t="str" cm="1">
        <f t="array" ref="N104">IF(OR(Table2[[#This Row],[Film]]="",Table2[[#This Row],[Grade]]=""),"",IFERROR(INDEX(Table4[Serial Number],MATCH(1,(Table4[Film]=Table2[[#This Row],[Film]])*(Table4[Grade]=Table2[[#This Row],[Grade]]),0)),""))</f>
        <v/>
      </c>
      <c r="O104" s="52" t="str">
        <f>IF(OR(Table2[[#This Row],[Film]]="",Table2[[#This Row],[Grade]]=""),"",SUMIFS(Table4[Price Calculated(€) Thickness &amp; QTY related],Table4[Film],Table2[[#This Row],[Film]],Table4[Grade],Table2[[#This Row],[Grade]]))</f>
        <v/>
      </c>
      <c r="P104" s="6"/>
      <c r="T104" s="6"/>
    </row>
    <row r="105" spans="1:20">
      <c r="A105" s="29" t="s">
        <v>52</v>
      </c>
      <c r="B105" s="29" t="s">
        <v>6</v>
      </c>
      <c r="C105" s="28"/>
      <c r="D105" s="28" t="str">
        <f>IF(C105="","",IFERROR(_xlfn.XLOOKUP(C105,HELPER!$A$2:$A$81,HELPER!$B$2:$B$81,""),D105))</f>
        <v/>
      </c>
      <c r="E105" s="28" t="str">
        <f>IFERROR(_xlfn.XLOOKUP(D105,HELPER!$B:$B,HELPER!$C:$C,""),"")</f>
        <v/>
      </c>
      <c r="F105" s="27" t="str">
        <f>IFERROR(_xlfn.XLOOKUP(D105,HELPER!$B:$B,HELPER!$D:$D,""),"")</f>
        <v/>
      </c>
      <c r="G105" s="27">
        <v>24</v>
      </c>
      <c r="I105" s="8" t="str">
        <f>IF(AND(H105&lt;&gt;"",IFERROR(_xlfn.XLOOKUP(D105,HELPER!$B:$B,HELPER!$E:$E,""),"")=""),"Missing price",IFERROR(_xlfn.XLOOKUP(D105,HELPER!$B:$B,HELPER!$E:$E,"")," "))</f>
        <v/>
      </c>
      <c r="J105" s="48" t="str">
        <f>IFERROR(H105*(IF(G105=8,I105*HELPER!$G$2,BOM!I105*HELPER!$G$3))," ")</f>
        <v xml:space="preserve"> </v>
      </c>
      <c r="K105" s="6"/>
      <c r="L105" s="14" t="str" cm="1">
        <f t="array" ref="L105">IFERROR(_xlfn.LET(_xlpm.films,Table4[Film],_xlpm.grades,Table4[Grade],_xlpm.pairs,_xlfn._xlws.FILTER(_xlfn.HSTACK(_xlpm.films,_xlpm.grades),(_xlpm.films&lt;&gt;"")*(TRIM(_xlpm.grades)&lt;&gt;"")),_xlpm.uniquePairs,_xlfn.UNIQUE(_xlpm.pairs),_xlpm.sortedPairs,_xlfn._xlws.SORT(_xlpm.uniquePairs,1,1),INDEX(_xlpm.sortedPairs,ROWS($L$2:L105),1)),"")</f>
        <v/>
      </c>
      <c r="M105" s="15" t="str" cm="1">
        <f t="array" ref="M105">IFERROR(_xlfn.LET(_xlpm.films,Table4[Film],_xlpm.grades,Table4[Grade],_xlpm.pairs,_xlfn._xlws.FILTER(_xlfn.HSTACK(_xlpm.films,_xlpm.grades),(_xlpm.films&lt;&gt;"")*(TRIM(_xlpm.grades)&lt;&gt;"")),_xlpm.uniquePairs,_xlfn.UNIQUE(_xlpm.pairs),_xlpm.sortedPairs,_xlfn._xlws.SORT(_xlpm.uniquePairs,1,1),INDEX(_xlpm.sortedPairs,ROWS($M$2:M105),2)),"")</f>
        <v/>
      </c>
      <c r="N105" s="15" t="str" cm="1">
        <f t="array" ref="N105">IF(OR(Table2[[#This Row],[Film]]="",Table2[[#This Row],[Grade]]=""),"",IFERROR(INDEX(Table4[Serial Number],MATCH(1,(Table4[Film]=Table2[[#This Row],[Film]])*(Table4[Grade]=Table2[[#This Row],[Grade]]),0)),""))</f>
        <v/>
      </c>
      <c r="O105" s="52" t="str">
        <f>IF(OR(Table2[[#This Row],[Film]]="",Table2[[#This Row],[Grade]]=""),"",SUMIFS(Table4[Price Calculated(€) Thickness &amp; QTY related],Table4[Film],Table2[[#This Row],[Film]],Table4[Grade],Table2[[#This Row],[Grade]]))</f>
        <v/>
      </c>
      <c r="P105" s="6"/>
      <c r="T105" s="6"/>
    </row>
    <row r="106" spans="1:20">
      <c r="A106" s="29" t="s">
        <v>52</v>
      </c>
      <c r="B106" s="29" t="s">
        <v>6</v>
      </c>
      <c r="C106" s="28" t="s">
        <v>16</v>
      </c>
      <c r="D106" s="28" t="str">
        <f>IF(C106="","",IFERROR(_xlfn.XLOOKUP(C106,HELPER!$A$2:$A$81,HELPER!$B$2:$B$81,""),D106))</f>
        <v>S723</v>
      </c>
      <c r="E106" s="28" t="str">
        <f>IFERROR(_xlfn.XLOOKUP(D106,HELPER!$B:$B,HELPER!$C:$C,""),"")</f>
        <v>RM TA45-08 S723</v>
      </c>
      <c r="F106" s="27" t="str">
        <f>IFERROR(_xlfn.XLOOKUP(D106,HELPER!$B:$B,HELPER!$D:$D,""),"")</f>
        <v>Resin 6</v>
      </c>
      <c r="G106" s="27">
        <v>24</v>
      </c>
      <c r="H106" s="32">
        <v>1.4999999999999999E-2</v>
      </c>
      <c r="I106" s="8">
        <f>IF(AND(H106&lt;&gt;"",IFERROR(_xlfn.XLOOKUP(D106,HELPER!$B:$B,HELPER!$E:$E,""),"")=""),"Missing price",IFERROR(_xlfn.XLOOKUP(D106,HELPER!$B:$B,HELPER!$E:$E,"")," "))</f>
        <v>16.16</v>
      </c>
      <c r="J106" s="48">
        <f>IFERROR(H106*(IF(G106=8,I106*HELPER!$G$2,BOM!I106*HELPER!$G$3))," ")</f>
        <v>0.14543999999999999</v>
      </c>
      <c r="K106" s="6"/>
      <c r="L106" s="14" t="str" cm="1">
        <f t="array" ref="L106">IFERROR(_xlfn.LET(_xlpm.films,Table4[Film],_xlpm.grades,Table4[Grade],_xlpm.pairs,_xlfn._xlws.FILTER(_xlfn.HSTACK(_xlpm.films,_xlpm.grades),(_xlpm.films&lt;&gt;"")*(TRIM(_xlpm.grades)&lt;&gt;"")),_xlpm.uniquePairs,_xlfn.UNIQUE(_xlpm.pairs),_xlpm.sortedPairs,_xlfn._xlws.SORT(_xlpm.uniquePairs,1,1),INDEX(_xlpm.sortedPairs,ROWS($L$2:L106),1)),"")</f>
        <v/>
      </c>
      <c r="M106" s="15" t="str" cm="1">
        <f t="array" ref="M106">IFERROR(_xlfn.LET(_xlpm.films,Table4[Film],_xlpm.grades,Table4[Grade],_xlpm.pairs,_xlfn._xlws.FILTER(_xlfn.HSTACK(_xlpm.films,_xlpm.grades),(_xlpm.films&lt;&gt;"")*(TRIM(_xlpm.grades)&lt;&gt;"")),_xlpm.uniquePairs,_xlfn.UNIQUE(_xlpm.pairs),_xlpm.sortedPairs,_xlfn._xlws.SORT(_xlpm.uniquePairs,1,1),INDEX(_xlpm.sortedPairs,ROWS($M$2:M106),2)),"")</f>
        <v/>
      </c>
      <c r="N106" s="15" t="str" cm="1">
        <f t="array" ref="N106">IF(OR(Table2[[#This Row],[Film]]="",Table2[[#This Row],[Grade]]=""),"",IFERROR(INDEX(Table4[Serial Number],MATCH(1,(Table4[Film]=Table2[[#This Row],[Film]])*(Table4[Grade]=Table2[[#This Row],[Grade]]),0)),""))</f>
        <v/>
      </c>
      <c r="O106" s="52" t="str">
        <f>IF(OR(Table2[[#This Row],[Film]]="",Table2[[#This Row],[Grade]]=""),"",SUMIFS(Table4[Price Calculated(€) Thickness &amp; QTY related],Table4[Film],Table2[[#This Row],[Film]],Table4[Grade],Table2[[#This Row],[Grade]]))</f>
        <v/>
      </c>
      <c r="P106" s="6"/>
      <c r="T106" s="6"/>
    </row>
    <row r="107" spans="1:20">
      <c r="A107" s="29" t="s">
        <v>52</v>
      </c>
      <c r="B107" s="29" t="s">
        <v>6</v>
      </c>
      <c r="C107" s="28" t="s">
        <v>41</v>
      </c>
      <c r="D107" s="28" t="str">
        <f>IF(C107="","",IFERROR(_xlfn.XLOOKUP(C107,HELPER!$A$2:$A$81,HELPER!$B$2:$B$81,""),D107))</f>
        <v>RM WHITE BIO8153</v>
      </c>
      <c r="E107" s="28" t="str">
        <f>IFERROR(_xlfn.XLOOKUP(D107,HELPER!$B:$B,HELPER!$C:$C,""),"")</f>
        <v>RM WHITE BIO8153</v>
      </c>
      <c r="F107" s="27" t="str">
        <f>IFERROR(_xlfn.XLOOKUP(D107,HELPER!$B:$B,HELPER!$D:$D,""),"")</f>
        <v>Resin 13B</v>
      </c>
      <c r="G107" s="27">
        <v>24</v>
      </c>
      <c r="H107" s="32">
        <v>0.1</v>
      </c>
      <c r="I107" s="8">
        <f>IF(AND(H107&lt;&gt;"",IFERROR(_xlfn.XLOOKUP(D107,HELPER!$B:$B,HELPER!$E:$E,""),"")=""),"Missing price",IFERROR(_xlfn.XLOOKUP(D107,HELPER!$B:$B,HELPER!$E:$E,"")," "))</f>
        <v>6.15</v>
      </c>
      <c r="J107" s="48">
        <f>IFERROR(H107*(IF(G107=8,I107*HELPER!$G$2,BOM!I107*HELPER!$G$3))," ")</f>
        <v>0.36899999999999999</v>
      </c>
      <c r="K107" s="6"/>
      <c r="L107" s="14" t="str" cm="1">
        <f t="array" ref="L107">IFERROR(_xlfn.LET(_xlpm.films,Table4[Film],_xlpm.grades,Table4[Grade],_xlpm.pairs,_xlfn._xlws.FILTER(_xlfn.HSTACK(_xlpm.films,_xlpm.grades),(_xlpm.films&lt;&gt;"")*(TRIM(_xlpm.grades)&lt;&gt;"")),_xlpm.uniquePairs,_xlfn.UNIQUE(_xlpm.pairs),_xlpm.sortedPairs,_xlfn._xlws.SORT(_xlpm.uniquePairs,1,1),INDEX(_xlpm.sortedPairs,ROWS($L$2:L107),1)),"")</f>
        <v/>
      </c>
      <c r="M107" s="15" t="str" cm="1">
        <f t="array" ref="M107">IFERROR(_xlfn.LET(_xlpm.films,Table4[Film],_xlpm.grades,Table4[Grade],_xlpm.pairs,_xlfn._xlws.FILTER(_xlfn.HSTACK(_xlpm.films,_xlpm.grades),(_xlpm.films&lt;&gt;"")*(TRIM(_xlpm.grades)&lt;&gt;"")),_xlpm.uniquePairs,_xlfn.UNIQUE(_xlpm.pairs),_xlpm.sortedPairs,_xlfn._xlws.SORT(_xlpm.uniquePairs,1,1),INDEX(_xlpm.sortedPairs,ROWS($M$2:M107),2)),"")</f>
        <v/>
      </c>
      <c r="N107" s="15" t="str" cm="1">
        <f t="array" ref="N107">IF(OR(Table2[[#This Row],[Film]]="",Table2[[#This Row],[Grade]]=""),"",IFERROR(INDEX(Table4[Serial Number],MATCH(1,(Table4[Film]=Table2[[#This Row],[Film]])*(Table4[Grade]=Table2[[#This Row],[Grade]]),0)),""))</f>
        <v/>
      </c>
      <c r="O107" s="52" t="str">
        <f>IF(OR(Table2[[#This Row],[Film]]="",Table2[[#This Row],[Grade]]=""),"",SUMIFS(Table4[Price Calculated(€) Thickness &amp; QTY related],Table4[Film],Table2[[#This Row],[Film]],Table4[Grade],Table2[[#This Row],[Grade]]))</f>
        <v/>
      </c>
      <c r="P107" s="6"/>
      <c r="T107" s="6"/>
    </row>
    <row r="108" spans="1:20">
      <c r="A108" s="29" t="s">
        <v>52</v>
      </c>
      <c r="B108" s="29" t="s">
        <v>6</v>
      </c>
      <c r="C108" s="28"/>
      <c r="D108" s="28" t="str">
        <f>IF(C108="","",IFERROR(_xlfn.XLOOKUP(C108,HELPER!$A$2:$A$81,HELPER!$B$2:$B$81,""),D108))</f>
        <v/>
      </c>
      <c r="E108" s="28" t="str">
        <f>IFERROR(_xlfn.XLOOKUP(D108,HELPER!$B:$B,HELPER!$C:$C,""),"")</f>
        <v/>
      </c>
      <c r="F108" s="27" t="str">
        <f>IFERROR(_xlfn.XLOOKUP(D108,HELPER!$B:$B,HELPER!$D:$D,""),"")</f>
        <v/>
      </c>
      <c r="G108" s="27">
        <v>24</v>
      </c>
      <c r="I108" s="8" t="str">
        <f>IF(AND(H108&lt;&gt;"",IFERROR(_xlfn.XLOOKUP(D108,HELPER!$B:$B,HELPER!$E:$E,""),"")=""),"Missing price",IFERROR(_xlfn.XLOOKUP(D108,HELPER!$B:$B,HELPER!$E:$E,"")," "))</f>
        <v/>
      </c>
      <c r="J108" s="48" t="str">
        <f>IFERROR(H108*(IF(G108=8,I108*HELPER!$G$2,BOM!I108*HELPER!$G$3))," ")</f>
        <v xml:space="preserve"> </v>
      </c>
      <c r="K108" s="6"/>
      <c r="L108" s="14" t="str" cm="1">
        <f t="array" ref="L108">IFERROR(_xlfn.LET(_xlpm.films,Table4[Film],_xlpm.grades,Table4[Grade],_xlpm.pairs,_xlfn._xlws.FILTER(_xlfn.HSTACK(_xlpm.films,_xlpm.grades),(_xlpm.films&lt;&gt;"")*(TRIM(_xlpm.grades)&lt;&gt;"")),_xlpm.uniquePairs,_xlfn.UNIQUE(_xlpm.pairs),_xlpm.sortedPairs,_xlfn._xlws.SORT(_xlpm.uniquePairs,1,1),INDEX(_xlpm.sortedPairs,ROWS($L$2:L108),1)),"")</f>
        <v/>
      </c>
      <c r="M108" s="15" t="str" cm="1">
        <f t="array" ref="M108">IFERROR(_xlfn.LET(_xlpm.films,Table4[Film],_xlpm.grades,Table4[Grade],_xlpm.pairs,_xlfn._xlws.FILTER(_xlfn.HSTACK(_xlpm.films,_xlpm.grades),(_xlpm.films&lt;&gt;"")*(TRIM(_xlpm.grades)&lt;&gt;"")),_xlpm.uniquePairs,_xlfn.UNIQUE(_xlpm.pairs),_xlpm.sortedPairs,_xlfn._xlws.SORT(_xlpm.uniquePairs,1,1),INDEX(_xlpm.sortedPairs,ROWS($M$2:M108),2)),"")</f>
        <v/>
      </c>
      <c r="N108" s="15" t="str" cm="1">
        <f t="array" ref="N108">IF(OR(Table2[[#This Row],[Film]]="",Table2[[#This Row],[Grade]]=""),"",IFERROR(INDEX(Table4[Serial Number],MATCH(1,(Table4[Film]=Table2[[#This Row],[Film]])*(Table4[Grade]=Table2[[#This Row],[Grade]]),0)),""))</f>
        <v/>
      </c>
      <c r="O108" s="52" t="str">
        <f>IF(OR(Table2[[#This Row],[Film]]="",Table2[[#This Row],[Grade]]=""),"",SUMIFS(Table4[Price Calculated(€) Thickness &amp; QTY related],Table4[Film],Table2[[#This Row],[Film]],Table4[Grade],Table2[[#This Row],[Grade]]))</f>
        <v/>
      </c>
      <c r="P108" s="6"/>
      <c r="T108" s="6"/>
    </row>
    <row r="109" spans="1:20">
      <c r="A109" s="29" t="s">
        <v>52</v>
      </c>
      <c r="B109" s="29" t="s">
        <v>6</v>
      </c>
      <c r="C109" s="28" t="s">
        <v>14</v>
      </c>
      <c r="D109" s="28" t="str">
        <f>IF(C109="","",IFERROR(_xlfn.XLOOKUP(C109,HELPER!$A$2:$A$81,HELPER!$B$2:$B$81,""),D109))</f>
        <v>B12</v>
      </c>
      <c r="E109" s="28" t="str">
        <f>IFERROR(_xlfn.XLOOKUP(D109,HELPER!$B:$B,HELPER!$C:$C,""),"")</f>
        <v>RMB12</v>
      </c>
      <c r="F109" s="27" t="str">
        <f>IFERROR(_xlfn.XLOOKUP(D109,HELPER!$B:$B,HELPER!$D:$D,""),"")</f>
        <v>Resin 2A</v>
      </c>
      <c r="G109" s="27">
        <v>24</v>
      </c>
      <c r="H109" s="32">
        <v>0.88500000000000001</v>
      </c>
      <c r="I109" s="8">
        <f>IF(AND(H109&lt;&gt;"",IFERROR(_xlfn.XLOOKUP(D109,HELPER!$B:$B,HELPER!$E:$E,""),"")=""),"Missing price",IFERROR(_xlfn.XLOOKUP(D109,HELPER!$B:$B,HELPER!$E:$E,"")," "))</f>
        <v>1.81</v>
      </c>
      <c r="J109" s="48">
        <f>IFERROR(H109*(IF(G109=8,I109*HELPER!$G$2,BOM!I109*HELPER!$G$3))," ")</f>
        <v>0.96111000000000013</v>
      </c>
      <c r="K109" s="6"/>
      <c r="L109" s="14" t="str" cm="1">
        <f t="array" ref="L109">IFERROR(_xlfn.LET(_xlpm.films,Table4[Film],_xlpm.grades,Table4[Grade],_xlpm.pairs,_xlfn._xlws.FILTER(_xlfn.HSTACK(_xlpm.films,_xlpm.grades),(_xlpm.films&lt;&gt;"")*(TRIM(_xlpm.grades)&lt;&gt;"")),_xlpm.uniquePairs,_xlfn.UNIQUE(_xlpm.pairs),_xlpm.sortedPairs,_xlfn._xlws.SORT(_xlpm.uniquePairs,1,1),INDEX(_xlpm.sortedPairs,ROWS($L$2:L109),1)),"")</f>
        <v/>
      </c>
      <c r="M109" s="15" t="str" cm="1">
        <f t="array" ref="M109">IFERROR(_xlfn.LET(_xlpm.films,Table4[Film],_xlpm.grades,Table4[Grade],_xlpm.pairs,_xlfn._xlws.FILTER(_xlfn.HSTACK(_xlpm.films,_xlpm.grades),(_xlpm.films&lt;&gt;"")*(TRIM(_xlpm.grades)&lt;&gt;"")),_xlpm.uniquePairs,_xlfn.UNIQUE(_xlpm.pairs),_xlpm.sortedPairs,_xlfn._xlws.SORT(_xlpm.uniquePairs,1,1),INDEX(_xlpm.sortedPairs,ROWS($M$2:M109),2)),"")</f>
        <v/>
      </c>
      <c r="N109" s="15" t="str" cm="1">
        <f t="array" ref="N109">IF(OR(Table2[[#This Row],[Film]]="",Table2[[#This Row],[Grade]]=""),"",IFERROR(INDEX(Table4[Serial Number],MATCH(1,(Table4[Film]=Table2[[#This Row],[Film]])*(Table4[Grade]=Table2[[#This Row],[Grade]]),0)),""))</f>
        <v/>
      </c>
      <c r="O109" s="52" t="str">
        <f>IF(OR(Table2[[#This Row],[Film]]="",Table2[[#This Row],[Grade]]=""),"",SUMIFS(Table4[Price Calculated(€) Thickness &amp; QTY related],Table4[Film],Table2[[#This Row],[Film]],Table4[Grade],Table2[[#This Row],[Grade]]))</f>
        <v/>
      </c>
      <c r="P109" s="6"/>
      <c r="T109" s="6"/>
    </row>
    <row r="110" spans="1:20">
      <c r="A110" s="29" t="s">
        <v>52</v>
      </c>
      <c r="B110" s="29" t="s">
        <v>6</v>
      </c>
      <c r="C110" s="28"/>
      <c r="D110" s="28" t="str">
        <f>IF(C110="","",IFERROR(_xlfn.XLOOKUP(C110,HELPER!$A$2:$A$81,HELPER!$B$2:$B$81,""),D110))</f>
        <v/>
      </c>
      <c r="E110" s="28" t="str">
        <f>IFERROR(_xlfn.XLOOKUP(D110,HELPER!$B:$B,HELPER!$C:$C,""),"")</f>
        <v/>
      </c>
      <c r="F110" s="27" t="str">
        <f>IFERROR(_xlfn.XLOOKUP(D110,HELPER!$B:$B,HELPER!$D:$D,""),"")</f>
        <v/>
      </c>
      <c r="G110" s="27">
        <v>24</v>
      </c>
      <c r="I110" s="8" t="str">
        <f>IF(AND(H110&lt;&gt;"",IFERROR(_xlfn.XLOOKUP(D110,HELPER!$B:$B,HELPER!$E:$E,""),"")=""),"Missing price",IFERROR(_xlfn.XLOOKUP(D110,HELPER!$B:$B,HELPER!$E:$E,"")," "))</f>
        <v/>
      </c>
      <c r="J110" s="48" t="str">
        <f>IFERROR(H110*(IF(G110=8,I110*HELPER!$G$2,BOM!I110*HELPER!$G$3))," ")</f>
        <v xml:space="preserve"> </v>
      </c>
      <c r="K110" s="6"/>
      <c r="L110" s="14" t="str" cm="1">
        <f t="array" ref="L110">IFERROR(_xlfn.LET(_xlpm.films,Table4[Film],_xlpm.grades,Table4[Grade],_xlpm.pairs,_xlfn._xlws.FILTER(_xlfn.HSTACK(_xlpm.films,_xlpm.grades),(_xlpm.films&lt;&gt;"")*(TRIM(_xlpm.grades)&lt;&gt;"")),_xlpm.uniquePairs,_xlfn.UNIQUE(_xlpm.pairs),_xlpm.sortedPairs,_xlfn._xlws.SORT(_xlpm.uniquePairs,1,1),INDEX(_xlpm.sortedPairs,ROWS($L$2:L110),1)),"")</f>
        <v/>
      </c>
      <c r="M110" s="15" t="str" cm="1">
        <f t="array" ref="M110">IFERROR(_xlfn.LET(_xlpm.films,Table4[Film],_xlpm.grades,Table4[Grade],_xlpm.pairs,_xlfn._xlws.FILTER(_xlfn.HSTACK(_xlpm.films,_xlpm.grades),(_xlpm.films&lt;&gt;"")*(TRIM(_xlpm.grades)&lt;&gt;"")),_xlpm.uniquePairs,_xlfn.UNIQUE(_xlpm.pairs),_xlpm.sortedPairs,_xlfn._xlws.SORT(_xlpm.uniquePairs,1,1),INDEX(_xlpm.sortedPairs,ROWS($M$2:M110),2)),"")</f>
        <v/>
      </c>
      <c r="N110" s="15" t="str" cm="1">
        <f t="array" ref="N110">IF(OR(Table2[[#This Row],[Film]]="",Table2[[#This Row],[Grade]]=""),"",IFERROR(INDEX(Table4[Serial Number],MATCH(1,(Table4[Film]=Table2[[#This Row],[Film]])*(Table4[Grade]=Table2[[#This Row],[Grade]]),0)),""))</f>
        <v/>
      </c>
      <c r="O110" s="52" t="str">
        <f>IF(OR(Table2[[#This Row],[Film]]="",Table2[[#This Row],[Grade]]=""),"",SUMIFS(Table4[Price Calculated(€) Thickness &amp; QTY related],Table4[Film],Table2[[#This Row],[Film]],Table4[Grade],Table2[[#This Row],[Grade]]))</f>
        <v/>
      </c>
      <c r="P110" s="6"/>
      <c r="T110" s="6"/>
    </row>
    <row r="111" spans="1:20">
      <c r="A111" s="29" t="s">
        <v>52</v>
      </c>
      <c r="B111" s="29" t="s">
        <v>6</v>
      </c>
      <c r="C111" s="28"/>
      <c r="D111" s="28" t="str">
        <f>IF(C111="","",IFERROR(_xlfn.XLOOKUP(C111,HELPER!$A$2:$A$81,HELPER!$B$2:$B$81,""),D111))</f>
        <v/>
      </c>
      <c r="E111" s="28" t="str">
        <f>IFERROR(_xlfn.XLOOKUP(D111,HELPER!$B:$B,HELPER!$C:$C,""),"")</f>
        <v/>
      </c>
      <c r="F111" s="27" t="str">
        <f>IFERROR(_xlfn.XLOOKUP(D111,HELPER!$B:$B,HELPER!$D:$D,""),"")</f>
        <v/>
      </c>
      <c r="G111" s="27">
        <v>24</v>
      </c>
      <c r="I111" s="8" t="str">
        <f>IF(AND(H111&lt;&gt;"",IFERROR(_xlfn.XLOOKUP(D111,HELPER!$B:$B,HELPER!$E:$E,""),"")=""),"Missing price",IFERROR(_xlfn.XLOOKUP(D111,HELPER!$B:$B,HELPER!$E:$E,"")," "))</f>
        <v/>
      </c>
      <c r="J111" s="48" t="str">
        <f>IFERROR(H111*(IF(G111=8,I111*HELPER!$G$2,BOM!I111*HELPER!$G$3))," ")</f>
        <v xml:space="preserve"> </v>
      </c>
      <c r="K111" s="6"/>
      <c r="L111" s="14" t="str" cm="1">
        <f t="array" ref="L111">IFERROR(_xlfn.LET(_xlpm.films,Table4[Film],_xlpm.grades,Table4[Grade],_xlpm.pairs,_xlfn._xlws.FILTER(_xlfn.HSTACK(_xlpm.films,_xlpm.grades),(_xlpm.films&lt;&gt;"")*(TRIM(_xlpm.grades)&lt;&gt;"")),_xlpm.uniquePairs,_xlfn.UNIQUE(_xlpm.pairs),_xlpm.sortedPairs,_xlfn._xlws.SORT(_xlpm.uniquePairs,1,1),INDEX(_xlpm.sortedPairs,ROWS($L$2:L111),1)),"")</f>
        <v/>
      </c>
      <c r="M111" s="15" t="str" cm="1">
        <f t="array" ref="M111">IFERROR(_xlfn.LET(_xlpm.films,Table4[Film],_xlpm.grades,Table4[Grade],_xlpm.pairs,_xlfn._xlws.FILTER(_xlfn.HSTACK(_xlpm.films,_xlpm.grades),(_xlpm.films&lt;&gt;"")*(TRIM(_xlpm.grades)&lt;&gt;"")),_xlpm.uniquePairs,_xlfn.UNIQUE(_xlpm.pairs),_xlpm.sortedPairs,_xlfn._xlws.SORT(_xlpm.uniquePairs,1,1),INDEX(_xlpm.sortedPairs,ROWS($M$2:M111),2)),"")</f>
        <v/>
      </c>
      <c r="N111" s="15" t="str" cm="1">
        <f t="array" ref="N111">IF(OR(Table2[[#This Row],[Film]]="",Table2[[#This Row],[Grade]]=""),"",IFERROR(INDEX(Table4[Serial Number],MATCH(1,(Table4[Film]=Table2[[#This Row],[Film]])*(Table4[Grade]=Table2[[#This Row],[Grade]]),0)),""))</f>
        <v/>
      </c>
      <c r="O111" s="52" t="str">
        <f>IF(OR(Table2[[#This Row],[Film]]="",Table2[[#This Row],[Grade]]=""),"",SUMIFS(Table4[Price Calculated(€) Thickness &amp; QTY related],Table4[Film],Table2[[#This Row],[Film]],Table4[Grade],Table2[[#This Row],[Grade]]))</f>
        <v/>
      </c>
      <c r="P111" s="6"/>
      <c r="T111" s="6"/>
    </row>
    <row r="112" spans="1:20">
      <c r="A112" s="29" t="s">
        <v>52</v>
      </c>
      <c r="B112" s="29" t="s">
        <v>7</v>
      </c>
      <c r="C112" s="28" t="s">
        <v>12</v>
      </c>
      <c r="D112" s="28" t="str">
        <f>IF(C112="","",IFERROR(_xlfn.XLOOKUP(C112,HELPER!$A$2:$A$81,HELPER!$B$2:$B$81,""),D112))</f>
        <v>FD92PM</v>
      </c>
      <c r="E112" s="28" t="str">
        <f>IFERROR(_xlfn.XLOOKUP(D112,HELPER!$B:$B,HELPER!$C:$C,""),"")</f>
        <v>RMPM2</v>
      </c>
      <c r="F112" s="27" t="str">
        <f>IFERROR(_xlfn.XLOOKUP(D112,HELPER!$B:$B,HELPER!$D:$D,""),"")</f>
        <v>Resin 9C</v>
      </c>
      <c r="G112" s="27">
        <v>8</v>
      </c>
      <c r="H112" s="32">
        <v>0.80500000000000005</v>
      </c>
      <c r="I112" s="8">
        <f>IF(AND(H112&lt;&gt;"",IFERROR(_xlfn.XLOOKUP(D112,HELPER!$B:$B,HELPER!$E:$E,""),"")=""),"Missing price",IFERROR(_xlfn.XLOOKUP(D112,HELPER!$B:$B,HELPER!$E:$E,"")," "))</f>
        <v>6.75</v>
      </c>
      <c r="J112" s="48">
        <f>IFERROR(H112*(IF(G112=8,I112*HELPER!$G$2,BOM!I112*HELPER!$G$3))," ")</f>
        <v>1.0867500000000001</v>
      </c>
      <c r="K112" s="6"/>
      <c r="L112" s="14" t="str" cm="1">
        <f t="array" ref="L112">IFERROR(_xlfn.LET(_xlpm.films,Table4[Film],_xlpm.grades,Table4[Grade],_xlpm.pairs,_xlfn._xlws.FILTER(_xlfn.HSTACK(_xlpm.films,_xlpm.grades),(_xlpm.films&lt;&gt;"")*(TRIM(_xlpm.grades)&lt;&gt;"")),_xlpm.uniquePairs,_xlfn.UNIQUE(_xlpm.pairs),_xlpm.sortedPairs,_xlfn._xlws.SORT(_xlpm.uniquePairs,1,1),INDEX(_xlpm.sortedPairs,ROWS($L$2:L112),1)),"")</f>
        <v/>
      </c>
      <c r="M112" s="15" t="str" cm="1">
        <f t="array" ref="M112">IFERROR(_xlfn.LET(_xlpm.films,Table4[Film],_xlpm.grades,Table4[Grade],_xlpm.pairs,_xlfn._xlws.FILTER(_xlfn.HSTACK(_xlpm.films,_xlpm.grades),(_xlpm.films&lt;&gt;"")*(TRIM(_xlpm.grades)&lt;&gt;"")),_xlpm.uniquePairs,_xlfn.UNIQUE(_xlpm.pairs),_xlpm.sortedPairs,_xlfn._xlws.SORT(_xlpm.uniquePairs,1,1),INDEX(_xlpm.sortedPairs,ROWS($M$2:M112),2)),"")</f>
        <v/>
      </c>
      <c r="N112" s="15" t="str" cm="1">
        <f t="array" ref="N112">IF(OR(Table2[[#This Row],[Film]]="",Table2[[#This Row],[Grade]]=""),"",IFERROR(INDEX(Table4[Serial Number],MATCH(1,(Table4[Film]=Table2[[#This Row],[Film]])*(Table4[Grade]=Table2[[#This Row],[Grade]]),0)),""))</f>
        <v/>
      </c>
      <c r="O112" s="52" t="str">
        <f>IF(OR(Table2[[#This Row],[Film]]="",Table2[[#This Row],[Grade]]=""),"",SUMIFS(Table4[Price Calculated(€) Thickness &amp; QTY related],Table4[Film],Table2[[#This Row],[Film]],Table4[Grade],Table2[[#This Row],[Grade]]))</f>
        <v/>
      </c>
      <c r="P112" s="6"/>
      <c r="T112" s="6"/>
    </row>
    <row r="113" spans="1:20">
      <c r="A113" s="29" t="s">
        <v>52</v>
      </c>
      <c r="B113" s="29" t="s">
        <v>7</v>
      </c>
      <c r="C113" s="28" t="s">
        <v>13</v>
      </c>
      <c r="D113" s="28" t="str">
        <f>IF(C113="","",IFERROR(_xlfn.XLOOKUP(C113,HELPER!$A$2:$A$81,HELPER!$B$2:$B$81,""),D113))</f>
        <v>LX175</v>
      </c>
      <c r="E113" s="28" t="str">
        <f>IFERROR(_xlfn.XLOOKUP(D113,HELPER!$B:$B,HELPER!$C:$C,""),"")</f>
        <v>RMLX175</v>
      </c>
      <c r="F113" s="27" t="str">
        <f>IFERROR(_xlfn.XLOOKUP(D113,HELPER!$B:$B,HELPER!$D:$D,""),"")</f>
        <v>Resin 1A</v>
      </c>
      <c r="G113" s="27">
        <v>8</v>
      </c>
      <c r="H113" s="32">
        <v>0.14199999999999999</v>
      </c>
      <c r="I113" s="8">
        <f>IF(AND(H113&lt;&gt;"",IFERROR(_xlfn.XLOOKUP(D113,HELPER!$B:$B,HELPER!$E:$E,""),"")=""),"Missing price",IFERROR(_xlfn.XLOOKUP(D113,HELPER!$B:$B,HELPER!$E:$E,"")," "))</f>
        <v>3.17</v>
      </c>
      <c r="J113" s="48">
        <f>IFERROR(H113*(IF(G113=8,I113*HELPER!$G$2,BOM!I113*HELPER!$G$3))," ")</f>
        <v>9.0027999999999997E-2</v>
      </c>
      <c r="K113" s="6"/>
      <c r="L113" s="14" t="str" cm="1">
        <f t="array" ref="L113">IFERROR(_xlfn.LET(_xlpm.films,Table4[Film],_xlpm.grades,Table4[Grade],_xlpm.pairs,_xlfn._xlws.FILTER(_xlfn.HSTACK(_xlpm.films,_xlpm.grades),(_xlpm.films&lt;&gt;"")*(TRIM(_xlpm.grades)&lt;&gt;"")),_xlpm.uniquePairs,_xlfn.UNIQUE(_xlpm.pairs),_xlpm.sortedPairs,_xlfn._xlws.SORT(_xlpm.uniquePairs,1,1),INDEX(_xlpm.sortedPairs,ROWS($L$2:L113),1)),"")</f>
        <v/>
      </c>
      <c r="M113" s="15" t="str" cm="1">
        <f t="array" ref="M113">IFERROR(_xlfn.LET(_xlpm.films,Table4[Film],_xlpm.grades,Table4[Grade],_xlpm.pairs,_xlfn._xlws.FILTER(_xlfn.HSTACK(_xlpm.films,_xlpm.grades),(_xlpm.films&lt;&gt;"")*(TRIM(_xlpm.grades)&lt;&gt;"")),_xlpm.uniquePairs,_xlfn.UNIQUE(_xlpm.pairs),_xlpm.sortedPairs,_xlfn._xlws.SORT(_xlpm.uniquePairs,1,1),INDEX(_xlpm.sortedPairs,ROWS($M$2:M113),2)),"")</f>
        <v/>
      </c>
      <c r="N113" s="15" t="str" cm="1">
        <f t="array" ref="N113">IF(OR(Table2[[#This Row],[Film]]="",Table2[[#This Row],[Grade]]=""),"",IFERROR(INDEX(Table4[Serial Number],MATCH(1,(Table4[Film]=Table2[[#This Row],[Film]])*(Table4[Grade]=Table2[[#This Row],[Grade]]),0)),""))</f>
        <v/>
      </c>
      <c r="O113" s="52" t="str">
        <f>IF(OR(Table2[[#This Row],[Film]]="",Table2[[#This Row],[Grade]]=""),"",SUMIFS(Table4[Price Calculated(€) Thickness &amp; QTY related],Table4[Film],Table2[[#This Row],[Film]],Table4[Grade],Table2[[#This Row],[Grade]]))</f>
        <v/>
      </c>
      <c r="P113" s="6"/>
      <c r="T113" s="6"/>
    </row>
    <row r="114" spans="1:20">
      <c r="A114" s="29" t="s">
        <v>52</v>
      </c>
      <c r="B114" s="29" t="s">
        <v>7</v>
      </c>
      <c r="C114" s="28" t="s">
        <v>18</v>
      </c>
      <c r="D114" s="28" t="str">
        <f>IF(C114="","",IFERROR(_xlfn.XLOOKUP(C114,HELPER!$A$2:$A$81,HELPER!$B$2:$B$81,""),D114))</f>
        <v>KAB59A</v>
      </c>
      <c r="E114" s="28" t="str">
        <f>IFERROR(_xlfn.XLOOKUP(D114,HELPER!$B:$B,HELPER!$C:$C,""),"")</f>
        <v>RM A KAB59A</v>
      </c>
      <c r="F114" s="27" t="str">
        <f>IFERROR(_xlfn.XLOOKUP(D114,HELPER!$B:$B,HELPER!$D:$D,""),"")</f>
        <v>Resin 8</v>
      </c>
      <c r="G114" s="27">
        <v>8</v>
      </c>
      <c r="H114" s="32">
        <v>1.4999999999999999E-2</v>
      </c>
      <c r="I114" s="8">
        <f>IF(AND(H114&lt;&gt;"",IFERROR(_xlfn.XLOOKUP(D114,HELPER!$B:$B,HELPER!$E:$E,""),"")=""),"Missing price",IFERROR(_xlfn.XLOOKUP(D114,HELPER!$B:$B,HELPER!$E:$E,"")," "))</f>
        <v>7.55</v>
      </c>
      <c r="J114" s="48">
        <f>IFERROR(H114*(IF(G114=8,I114*HELPER!$G$2,BOM!I114*HELPER!$G$3))," ")</f>
        <v>2.265E-2</v>
      </c>
      <c r="K114" s="6"/>
      <c r="L114" s="14" t="str" cm="1">
        <f t="array" ref="L114">IFERROR(_xlfn.LET(_xlpm.films,Table4[Film],_xlpm.grades,Table4[Grade],_xlpm.pairs,_xlfn._xlws.FILTER(_xlfn.HSTACK(_xlpm.films,_xlpm.grades),(_xlpm.films&lt;&gt;"")*(TRIM(_xlpm.grades)&lt;&gt;"")),_xlpm.uniquePairs,_xlfn.UNIQUE(_xlpm.pairs),_xlpm.sortedPairs,_xlfn._xlws.SORT(_xlpm.uniquePairs,1,1),INDEX(_xlpm.sortedPairs,ROWS($L$2:L114),1)),"")</f>
        <v/>
      </c>
      <c r="M114" s="15" t="str" cm="1">
        <f t="array" ref="M114">IFERROR(_xlfn.LET(_xlpm.films,Table4[Film],_xlpm.grades,Table4[Grade],_xlpm.pairs,_xlfn._xlws.FILTER(_xlfn.HSTACK(_xlpm.films,_xlpm.grades),(_xlpm.films&lt;&gt;"")*(TRIM(_xlpm.grades)&lt;&gt;"")),_xlpm.uniquePairs,_xlfn.UNIQUE(_xlpm.pairs),_xlpm.sortedPairs,_xlfn._xlws.SORT(_xlpm.uniquePairs,1,1),INDEX(_xlpm.sortedPairs,ROWS($M$2:M114),2)),"")</f>
        <v/>
      </c>
      <c r="N114" s="15" t="str" cm="1">
        <f t="array" ref="N114">IF(OR(Table2[[#This Row],[Film]]="",Table2[[#This Row],[Grade]]=""),"",IFERROR(INDEX(Table4[Serial Number],MATCH(1,(Table4[Film]=Table2[[#This Row],[Film]])*(Table4[Grade]=Table2[[#This Row],[Grade]]),0)),""))</f>
        <v/>
      </c>
      <c r="O114" s="52" t="str">
        <f>IF(OR(Table2[[#This Row],[Film]]="",Table2[[#This Row],[Grade]]=""),"",SUMIFS(Table4[Price Calculated(€) Thickness &amp; QTY related],Table4[Film],Table2[[#This Row],[Film]],Table4[Grade],Table2[[#This Row],[Grade]]))</f>
        <v/>
      </c>
      <c r="P114" s="6"/>
      <c r="T114" s="6"/>
    </row>
    <row r="115" spans="1:20">
      <c r="A115" s="29" t="s">
        <v>52</v>
      </c>
      <c r="B115" s="29" t="s">
        <v>7</v>
      </c>
      <c r="C115" s="28" t="s">
        <v>16</v>
      </c>
      <c r="D115" s="28" t="str">
        <f>IF(C115="","",IFERROR(_xlfn.XLOOKUP(C115,HELPER!$A$2:$A$81,HELPER!$B$2:$B$81,""),D115))</f>
        <v>S723</v>
      </c>
      <c r="E115" s="28" t="str">
        <f>IFERROR(_xlfn.XLOOKUP(D115,HELPER!$B:$B,HELPER!$C:$C,""),"")</f>
        <v>RM TA45-08 S723</v>
      </c>
      <c r="F115" s="27" t="str">
        <f>IFERROR(_xlfn.XLOOKUP(D115,HELPER!$B:$B,HELPER!$D:$D,""),"")</f>
        <v>Resin 6</v>
      </c>
      <c r="G115" s="27">
        <v>8</v>
      </c>
      <c r="H115" s="32">
        <v>1.4999999999999999E-2</v>
      </c>
      <c r="I115" s="8">
        <f>IF(AND(H115&lt;&gt;"",IFERROR(_xlfn.XLOOKUP(D115,HELPER!$B:$B,HELPER!$E:$E,""),"")=""),"Missing price",IFERROR(_xlfn.XLOOKUP(D115,HELPER!$B:$B,HELPER!$E:$E,"")," "))</f>
        <v>16.16</v>
      </c>
      <c r="J115" s="48">
        <f>IFERROR(H115*(IF(G115=8,I115*HELPER!$G$2,BOM!I115*HELPER!$G$3))," ")</f>
        <v>4.8480000000000002E-2</v>
      </c>
      <c r="K115" s="6"/>
      <c r="L115" s="14" t="str" cm="1">
        <f t="array" ref="L115">IFERROR(_xlfn.LET(_xlpm.films,Table4[Film],_xlpm.grades,Table4[Grade],_xlpm.pairs,_xlfn._xlws.FILTER(_xlfn.HSTACK(_xlpm.films,_xlpm.grades),(_xlpm.films&lt;&gt;"")*(TRIM(_xlpm.grades)&lt;&gt;"")),_xlpm.uniquePairs,_xlfn.UNIQUE(_xlpm.pairs),_xlpm.sortedPairs,_xlfn._xlws.SORT(_xlpm.uniquePairs,1,1),INDEX(_xlpm.sortedPairs,ROWS($L$2:L115),1)),"")</f>
        <v/>
      </c>
      <c r="M115" s="15" t="str" cm="1">
        <f t="array" ref="M115">IFERROR(_xlfn.LET(_xlpm.films,Table4[Film],_xlpm.grades,Table4[Grade],_xlpm.pairs,_xlfn._xlws.FILTER(_xlfn.HSTACK(_xlpm.films,_xlpm.grades),(_xlpm.films&lt;&gt;"")*(TRIM(_xlpm.grades)&lt;&gt;"")),_xlpm.uniquePairs,_xlfn.UNIQUE(_xlpm.pairs),_xlpm.sortedPairs,_xlfn._xlws.SORT(_xlpm.uniquePairs,1,1),INDEX(_xlpm.sortedPairs,ROWS($M$2:M115),2)),"")</f>
        <v/>
      </c>
      <c r="N115" s="15" t="str" cm="1">
        <f t="array" ref="N115">IF(OR(Table2[[#This Row],[Film]]="",Table2[[#This Row],[Grade]]=""),"",IFERROR(INDEX(Table4[Serial Number],MATCH(1,(Table4[Film]=Table2[[#This Row],[Film]])*(Table4[Grade]=Table2[[#This Row],[Grade]]),0)),""))</f>
        <v/>
      </c>
      <c r="O115" s="52" t="str">
        <f>IF(OR(Table2[[#This Row],[Film]]="",Table2[[#This Row],[Grade]]=""),"",SUMIFS(Table4[Price Calculated(€) Thickness &amp; QTY related],Table4[Film],Table2[[#This Row],[Film]],Table4[Grade],Table2[[#This Row],[Grade]]))</f>
        <v/>
      </c>
      <c r="P115" s="6"/>
      <c r="T115" s="6"/>
    </row>
    <row r="116" spans="1:20">
      <c r="A116" s="29" t="s">
        <v>52</v>
      </c>
      <c r="B116" s="29" t="s">
        <v>7</v>
      </c>
      <c r="C116" s="28" t="s">
        <v>17</v>
      </c>
      <c r="D116" s="28" t="str">
        <f>IF(C116="","",IFERROR(_xlfn.XLOOKUP(C116,HELPER!$A$2:$A$81,HELPER!$B$2:$B$81,""),D116))</f>
        <v>S724</v>
      </c>
      <c r="E116" s="28" t="str">
        <f>IFERROR(_xlfn.XLOOKUP(D116,HELPER!$B:$B,HELPER!$C:$C,""),"")</f>
        <v>RM TA45-08 S724</v>
      </c>
      <c r="F116" s="27" t="str">
        <f>IFERROR(_xlfn.XLOOKUP(D116,HELPER!$B:$B,HELPER!$D:$D,""),"")</f>
        <v>Resin 7</v>
      </c>
      <c r="G116" s="27">
        <v>8</v>
      </c>
      <c r="H116" s="32">
        <v>2.3E-2</v>
      </c>
      <c r="I116" s="8">
        <f>IF(AND(H116&lt;&gt;"",IFERROR(_xlfn.XLOOKUP(D116,HELPER!$B:$B,HELPER!$E:$E,""),"")=""),"Missing price",IFERROR(_xlfn.XLOOKUP(D116,HELPER!$B:$B,HELPER!$E:$E,"")," "))</f>
        <v>14.7</v>
      </c>
      <c r="J116" s="48">
        <f>IFERROR(H116*(IF(G116=8,I116*HELPER!$G$2,BOM!I116*HELPER!$G$3))," ")</f>
        <v>6.762E-2</v>
      </c>
      <c r="K116" s="6"/>
      <c r="L116" s="14" t="str" cm="1">
        <f t="array" ref="L116">IFERROR(_xlfn.LET(_xlpm.films,Table4[Film],_xlpm.grades,Table4[Grade],_xlpm.pairs,_xlfn._xlws.FILTER(_xlfn.HSTACK(_xlpm.films,_xlpm.grades),(_xlpm.films&lt;&gt;"")*(TRIM(_xlpm.grades)&lt;&gt;"")),_xlpm.uniquePairs,_xlfn.UNIQUE(_xlpm.pairs),_xlpm.sortedPairs,_xlfn._xlws.SORT(_xlpm.uniquePairs,1,1),INDEX(_xlpm.sortedPairs,ROWS($L$2:L116),1)),"")</f>
        <v/>
      </c>
      <c r="M116" s="15" t="str" cm="1">
        <f t="array" ref="M116">IFERROR(_xlfn.LET(_xlpm.films,Table4[Film],_xlpm.grades,Table4[Grade],_xlpm.pairs,_xlfn._xlws.FILTER(_xlfn.HSTACK(_xlpm.films,_xlpm.grades),(_xlpm.films&lt;&gt;"")*(TRIM(_xlpm.grades)&lt;&gt;"")),_xlpm.uniquePairs,_xlfn.UNIQUE(_xlpm.pairs),_xlpm.sortedPairs,_xlfn._xlws.SORT(_xlpm.uniquePairs,1,1),INDEX(_xlpm.sortedPairs,ROWS($M$2:M116),2)),"")</f>
        <v/>
      </c>
      <c r="N116" s="15" t="str" cm="1">
        <f t="array" ref="N116">IF(OR(Table2[[#This Row],[Film]]="",Table2[[#This Row],[Grade]]=""),"",IFERROR(INDEX(Table4[Serial Number],MATCH(1,(Table4[Film]=Table2[[#This Row],[Film]])*(Table4[Grade]=Table2[[#This Row],[Grade]]),0)),""))</f>
        <v/>
      </c>
      <c r="O116" s="52" t="str">
        <f>IF(OR(Table2[[#This Row],[Film]]="",Table2[[#This Row],[Grade]]=""),"",SUMIFS(Table4[Price Calculated(€) Thickness &amp; QTY related],Table4[Film],Table2[[#This Row],[Film]],Table4[Grade],Table2[[#This Row],[Grade]]))</f>
        <v/>
      </c>
      <c r="P116" s="6"/>
      <c r="T116" s="6"/>
    </row>
    <row r="117" spans="1:20">
      <c r="A117" s="29" t="s">
        <v>52</v>
      </c>
      <c r="B117" s="29" t="s">
        <v>7</v>
      </c>
      <c r="C117" s="28"/>
      <c r="D117" s="28" t="str">
        <f>IF(C117="","",IFERROR(_xlfn.XLOOKUP(C117,HELPER!$A$2:$A$81,HELPER!$B$2:$B$81,""),D117))</f>
        <v/>
      </c>
      <c r="E117" s="28" t="str">
        <f>IFERROR(_xlfn.XLOOKUP(D117,HELPER!$B:$B,HELPER!$C:$C,""),"")</f>
        <v/>
      </c>
      <c r="F117" s="27" t="str">
        <f>IFERROR(_xlfn.XLOOKUP(D117,HELPER!$B:$B,HELPER!$D:$D,""),"")</f>
        <v/>
      </c>
      <c r="G117" s="27">
        <v>8</v>
      </c>
      <c r="I117" s="8" t="str">
        <f>IF(AND(H117&lt;&gt;"",IFERROR(_xlfn.XLOOKUP(D117,HELPER!$B:$B,HELPER!$E:$E,""),"")=""),"Missing price",IFERROR(_xlfn.XLOOKUP(D117,HELPER!$B:$B,HELPER!$E:$E,"")," "))</f>
        <v/>
      </c>
      <c r="J117" s="48" t="str">
        <f>IFERROR(H117*(IF(G117=8,I117*HELPER!$G$2,BOM!I117*HELPER!$G$3))," ")</f>
        <v xml:space="preserve"> </v>
      </c>
      <c r="K117" s="6"/>
      <c r="L117" s="14" t="str" cm="1">
        <f t="array" ref="L117">IFERROR(_xlfn.LET(_xlpm.films,Table4[Film],_xlpm.grades,Table4[Grade],_xlpm.pairs,_xlfn._xlws.FILTER(_xlfn.HSTACK(_xlpm.films,_xlpm.grades),(_xlpm.films&lt;&gt;"")*(TRIM(_xlpm.grades)&lt;&gt;"")),_xlpm.uniquePairs,_xlfn.UNIQUE(_xlpm.pairs),_xlpm.sortedPairs,_xlfn._xlws.SORT(_xlpm.uniquePairs,1,1),INDEX(_xlpm.sortedPairs,ROWS($L$2:L117),1)),"")</f>
        <v/>
      </c>
      <c r="M117" s="15" t="str" cm="1">
        <f t="array" ref="M117">IFERROR(_xlfn.LET(_xlpm.films,Table4[Film],_xlpm.grades,Table4[Grade],_xlpm.pairs,_xlfn._xlws.FILTER(_xlfn.HSTACK(_xlpm.films,_xlpm.grades),(_xlpm.films&lt;&gt;"")*(TRIM(_xlpm.grades)&lt;&gt;"")),_xlpm.uniquePairs,_xlfn.UNIQUE(_xlpm.pairs),_xlpm.sortedPairs,_xlfn._xlws.SORT(_xlpm.uniquePairs,1,1),INDEX(_xlpm.sortedPairs,ROWS($M$2:M117),2)),"")</f>
        <v/>
      </c>
      <c r="N117" s="15" t="str" cm="1">
        <f t="array" ref="N117">IF(OR(Table2[[#This Row],[Film]]="",Table2[[#This Row],[Grade]]=""),"",IFERROR(INDEX(Table4[Serial Number],MATCH(1,(Table4[Film]=Table2[[#This Row],[Film]])*(Table4[Grade]=Table2[[#This Row],[Grade]]),0)),""))</f>
        <v/>
      </c>
      <c r="O117" s="52" t="str">
        <f>IF(OR(Table2[[#This Row],[Film]]="",Table2[[#This Row],[Grade]]=""),"",SUMIFS(Table4[Price Calculated(€) Thickness &amp; QTY related],Table4[Film],Table2[[#This Row],[Film]],Table4[Grade],Table2[[#This Row],[Grade]]))</f>
        <v/>
      </c>
      <c r="P117" s="6"/>
      <c r="T117" s="6"/>
    </row>
    <row r="118" spans="1:20">
      <c r="A118" s="29" t="s">
        <v>52</v>
      </c>
      <c r="B118" s="29" t="s">
        <v>7</v>
      </c>
      <c r="C118" s="28"/>
      <c r="D118" s="28" t="str">
        <f>IF(C118="","",IFERROR(_xlfn.XLOOKUP(C118,HELPER!$A$2:$A$81,HELPER!$B$2:$B$81,""),D118))</f>
        <v/>
      </c>
      <c r="E118" s="28" t="str">
        <f>IFERROR(_xlfn.XLOOKUP(D118,HELPER!$B:$B,HELPER!$C:$C,""),"")</f>
        <v/>
      </c>
      <c r="F118" s="27" t="str">
        <f>IFERROR(_xlfn.XLOOKUP(D118,HELPER!$B:$B,HELPER!$D:$D,""),"")</f>
        <v/>
      </c>
      <c r="G118" s="27">
        <v>8</v>
      </c>
      <c r="I118" s="8" t="str">
        <f>IF(AND(H118&lt;&gt;"",IFERROR(_xlfn.XLOOKUP(D118,HELPER!$B:$B,HELPER!$E:$E,""),"")=""),"Missing price",IFERROR(_xlfn.XLOOKUP(D118,HELPER!$B:$B,HELPER!$E:$E,"")," "))</f>
        <v/>
      </c>
      <c r="J118" s="48" t="str">
        <f>IFERROR(H118*(IF(G118=8,I118*HELPER!$G$2,BOM!I118*HELPER!$G$3))," ")</f>
        <v xml:space="preserve"> </v>
      </c>
      <c r="K118" s="6"/>
      <c r="L118" s="14" t="str" cm="1">
        <f t="array" ref="L118">IFERROR(_xlfn.LET(_xlpm.films,Table4[Film],_xlpm.grades,Table4[Grade],_xlpm.pairs,_xlfn._xlws.FILTER(_xlfn.HSTACK(_xlpm.films,_xlpm.grades),(_xlpm.films&lt;&gt;"")*(TRIM(_xlpm.grades)&lt;&gt;"")),_xlpm.uniquePairs,_xlfn.UNIQUE(_xlpm.pairs),_xlpm.sortedPairs,_xlfn._xlws.SORT(_xlpm.uniquePairs,1,1),INDEX(_xlpm.sortedPairs,ROWS($L$2:L118),1)),"")</f>
        <v/>
      </c>
      <c r="M118" s="15" t="str" cm="1">
        <f t="array" ref="M118">IFERROR(_xlfn.LET(_xlpm.films,Table4[Film],_xlpm.grades,Table4[Grade],_xlpm.pairs,_xlfn._xlws.FILTER(_xlfn.HSTACK(_xlpm.films,_xlpm.grades),(_xlpm.films&lt;&gt;"")*(TRIM(_xlpm.grades)&lt;&gt;"")),_xlpm.uniquePairs,_xlfn.UNIQUE(_xlpm.pairs),_xlpm.sortedPairs,_xlfn._xlws.SORT(_xlpm.uniquePairs,1,1),INDEX(_xlpm.sortedPairs,ROWS($M$2:M118),2)),"")</f>
        <v/>
      </c>
      <c r="N118" s="15" t="str" cm="1">
        <f t="array" ref="N118">IF(OR(Table2[[#This Row],[Film]]="",Table2[[#This Row],[Grade]]=""),"",IFERROR(INDEX(Table4[Serial Number],MATCH(1,(Table4[Film]=Table2[[#This Row],[Film]])*(Table4[Grade]=Table2[[#This Row],[Grade]]),0)),""))</f>
        <v/>
      </c>
      <c r="O118" s="52" t="str">
        <f>IF(OR(Table2[[#This Row],[Film]]="",Table2[[#This Row],[Grade]]=""),"",SUMIFS(Table4[Price Calculated(€) Thickness &amp; QTY related],Table4[Film],Table2[[#This Row],[Film]],Table4[Grade],Table2[[#This Row],[Grade]]))</f>
        <v/>
      </c>
      <c r="P118" s="6"/>
      <c r="T118" s="6"/>
    </row>
    <row r="119" spans="1:20">
      <c r="A119" s="29" t="s">
        <v>52</v>
      </c>
      <c r="B119" s="29" t="s">
        <v>7</v>
      </c>
      <c r="C119" s="28"/>
      <c r="D119" s="28" t="str">
        <f>IF(C119="","",IFERROR(_xlfn.XLOOKUP(C119,HELPER!$A$2:$A$81,HELPER!$B$2:$B$81,""),D119))</f>
        <v/>
      </c>
      <c r="E119" s="28" t="str">
        <f>IFERROR(_xlfn.XLOOKUP(D119,HELPER!$B:$B,HELPER!$C:$C,""),"")</f>
        <v/>
      </c>
      <c r="F119" s="27" t="str">
        <f>IFERROR(_xlfn.XLOOKUP(D119,HELPER!$B:$B,HELPER!$D:$D,""),"")</f>
        <v/>
      </c>
      <c r="G119" s="27">
        <v>8</v>
      </c>
      <c r="I119" s="8" t="str">
        <f>IF(AND(H119&lt;&gt;"",IFERROR(_xlfn.XLOOKUP(D119,HELPER!$B:$B,HELPER!$E:$E,""),"")=""),"Missing price",IFERROR(_xlfn.XLOOKUP(D119,HELPER!$B:$B,HELPER!$E:$E,"")," "))</f>
        <v/>
      </c>
      <c r="J119" s="48" t="str">
        <f>IFERROR(H119*(IF(G119=8,I119*HELPER!$G$2,BOM!I119*HELPER!$G$3))," ")</f>
        <v xml:space="preserve"> </v>
      </c>
      <c r="K119" s="6"/>
      <c r="L119" s="14" t="str" cm="1">
        <f t="array" ref="L119">IFERROR(_xlfn.LET(_xlpm.films,Table4[Film],_xlpm.grades,Table4[Grade],_xlpm.pairs,_xlfn._xlws.FILTER(_xlfn.HSTACK(_xlpm.films,_xlpm.grades),(_xlpm.films&lt;&gt;"")*(TRIM(_xlpm.grades)&lt;&gt;"")),_xlpm.uniquePairs,_xlfn.UNIQUE(_xlpm.pairs),_xlpm.sortedPairs,_xlfn._xlws.SORT(_xlpm.uniquePairs,1,1),INDEX(_xlpm.sortedPairs,ROWS($L$2:L119),1)),"")</f>
        <v/>
      </c>
      <c r="M119" s="15" t="str" cm="1">
        <f t="array" ref="M119">IFERROR(_xlfn.LET(_xlpm.films,Table4[Film],_xlpm.grades,Table4[Grade],_xlpm.pairs,_xlfn._xlws.FILTER(_xlfn.HSTACK(_xlpm.films,_xlpm.grades),(_xlpm.films&lt;&gt;"")*(TRIM(_xlpm.grades)&lt;&gt;"")),_xlpm.uniquePairs,_xlfn.UNIQUE(_xlpm.pairs),_xlpm.sortedPairs,_xlfn._xlws.SORT(_xlpm.uniquePairs,1,1),INDEX(_xlpm.sortedPairs,ROWS($M$2:M119),2)),"")</f>
        <v/>
      </c>
      <c r="N119" s="15" t="str" cm="1">
        <f t="array" ref="N119">IF(OR(Table2[[#This Row],[Film]]="",Table2[[#This Row],[Grade]]=""),"",IFERROR(INDEX(Table4[Serial Number],MATCH(1,(Table4[Film]=Table2[[#This Row],[Film]])*(Table4[Grade]=Table2[[#This Row],[Grade]]),0)),""))</f>
        <v/>
      </c>
      <c r="O119" s="52" t="str">
        <f>IF(OR(Table2[[#This Row],[Film]]="",Table2[[#This Row],[Grade]]=""),"",SUMIFS(Table4[Price Calculated(€) Thickness &amp; QTY related],Table4[Film],Table2[[#This Row],[Film]],Table4[Grade],Table2[[#This Row],[Grade]]))</f>
        <v/>
      </c>
      <c r="P119" s="6"/>
      <c r="T119" s="6"/>
    </row>
    <row r="120" spans="1:20">
      <c r="A120" s="29" t="s">
        <v>52</v>
      </c>
      <c r="B120" s="29" t="s">
        <v>7</v>
      </c>
      <c r="C120" s="28"/>
      <c r="D120" s="28" t="str">
        <f>IF(C120="","",IFERROR(_xlfn.XLOOKUP(C120,HELPER!$A$2:$A$81,HELPER!$B$2:$B$81,""),D120))</f>
        <v/>
      </c>
      <c r="E120" s="28" t="str">
        <f>IFERROR(_xlfn.XLOOKUP(D120,HELPER!$B:$B,HELPER!$C:$C,""),"")</f>
        <v/>
      </c>
      <c r="F120" s="27" t="str">
        <f>IFERROR(_xlfn.XLOOKUP(D120,HELPER!$B:$B,HELPER!$D:$D,""),"")</f>
        <v/>
      </c>
      <c r="G120" s="27">
        <v>8</v>
      </c>
      <c r="I120" s="8" t="str">
        <f>IF(AND(H120&lt;&gt;"",IFERROR(_xlfn.XLOOKUP(D120,HELPER!$B:$B,HELPER!$E:$E,""),"")=""),"Missing price",IFERROR(_xlfn.XLOOKUP(D120,HELPER!$B:$B,HELPER!$E:$E,"")," "))</f>
        <v/>
      </c>
      <c r="J120" s="48" t="str">
        <f>IFERROR(H120*(IF(G120=8,I120*HELPER!$G$2,BOM!I120*HELPER!$G$3))," ")</f>
        <v xml:space="preserve"> </v>
      </c>
      <c r="K120" s="6"/>
      <c r="L120" s="14" t="str" cm="1">
        <f t="array" ref="L120">IFERROR(_xlfn.LET(_xlpm.films,Table4[Film],_xlpm.grades,Table4[Grade],_xlpm.pairs,_xlfn._xlws.FILTER(_xlfn.HSTACK(_xlpm.films,_xlpm.grades),(_xlpm.films&lt;&gt;"")*(TRIM(_xlpm.grades)&lt;&gt;"")),_xlpm.uniquePairs,_xlfn.UNIQUE(_xlpm.pairs),_xlpm.sortedPairs,_xlfn._xlws.SORT(_xlpm.uniquePairs,1,1),INDEX(_xlpm.sortedPairs,ROWS($L$2:L120),1)),"")</f>
        <v/>
      </c>
      <c r="M120" s="15" t="str" cm="1">
        <f t="array" ref="M120">IFERROR(_xlfn.LET(_xlpm.films,Table4[Film],_xlpm.grades,Table4[Grade],_xlpm.pairs,_xlfn._xlws.FILTER(_xlfn.HSTACK(_xlpm.films,_xlpm.grades),(_xlpm.films&lt;&gt;"")*(TRIM(_xlpm.grades)&lt;&gt;"")),_xlpm.uniquePairs,_xlfn.UNIQUE(_xlpm.pairs),_xlpm.sortedPairs,_xlfn._xlws.SORT(_xlpm.uniquePairs,1,1),INDEX(_xlpm.sortedPairs,ROWS($M$2:M120),2)),"")</f>
        <v/>
      </c>
      <c r="N120" s="15" t="str" cm="1">
        <f t="array" ref="N120">IF(OR(Table2[[#This Row],[Film]]="",Table2[[#This Row],[Grade]]=""),"",IFERROR(INDEX(Table4[Serial Number],MATCH(1,(Table4[Film]=Table2[[#This Row],[Film]])*(Table4[Grade]=Table2[[#This Row],[Grade]]),0)),""))</f>
        <v/>
      </c>
      <c r="O120" s="52" t="str">
        <f>IF(OR(Table2[[#This Row],[Film]]="",Table2[[#This Row],[Grade]]=""),"",SUMIFS(Table4[Price Calculated(€) Thickness &amp; QTY related],Table4[Film],Table2[[#This Row],[Film]],Table4[Grade],Table2[[#This Row],[Grade]]))</f>
        <v/>
      </c>
      <c r="P120" s="6"/>
      <c r="T120" s="6"/>
    </row>
    <row r="121" spans="1:20">
      <c r="A121" s="29" t="s">
        <v>52</v>
      </c>
      <c r="B121" s="29" t="s">
        <v>7</v>
      </c>
      <c r="C121" s="28"/>
      <c r="D121" s="28" t="str">
        <f>IF(C121="","",IFERROR(_xlfn.XLOOKUP(C121,HELPER!$A$2:$A$81,HELPER!$B$2:$B$81,""),D121))</f>
        <v/>
      </c>
      <c r="E121" s="28" t="str">
        <f>IFERROR(_xlfn.XLOOKUP(D121,HELPER!$B:$B,HELPER!$C:$C,""),"")</f>
        <v/>
      </c>
      <c r="F121" s="27" t="str">
        <f>IFERROR(_xlfn.XLOOKUP(D121,HELPER!$B:$B,HELPER!$D:$D,""),"")</f>
        <v/>
      </c>
      <c r="G121" s="27">
        <v>8</v>
      </c>
      <c r="I121" s="8" t="str">
        <f>IF(AND(H121&lt;&gt;"",IFERROR(_xlfn.XLOOKUP(D121,HELPER!$B:$B,HELPER!$E:$E,""),"")=""),"Missing price",IFERROR(_xlfn.XLOOKUP(D121,HELPER!$B:$B,HELPER!$E:$E,"")," "))</f>
        <v/>
      </c>
      <c r="J121" s="48" t="str">
        <f>IFERROR(H121*(IF(G121=8,I121*HELPER!$G$2,BOM!I121*HELPER!$G$3))," ")</f>
        <v xml:space="preserve"> </v>
      </c>
      <c r="K121" s="6"/>
      <c r="L121" s="14" t="str" cm="1">
        <f t="array" ref="L121">IFERROR(_xlfn.LET(_xlpm.films,Table4[Film],_xlpm.grades,Table4[Grade],_xlpm.pairs,_xlfn._xlws.FILTER(_xlfn.HSTACK(_xlpm.films,_xlpm.grades),(_xlpm.films&lt;&gt;"")*(TRIM(_xlpm.grades)&lt;&gt;"")),_xlpm.uniquePairs,_xlfn.UNIQUE(_xlpm.pairs),_xlpm.sortedPairs,_xlfn._xlws.SORT(_xlpm.uniquePairs,1,1),INDEX(_xlpm.sortedPairs,ROWS($L$2:L121),1)),"")</f>
        <v/>
      </c>
      <c r="M121" s="15" t="str" cm="1">
        <f t="array" ref="M121">IFERROR(_xlfn.LET(_xlpm.films,Table4[Film],_xlpm.grades,Table4[Grade],_xlpm.pairs,_xlfn._xlws.FILTER(_xlfn.HSTACK(_xlpm.films,_xlpm.grades),(_xlpm.films&lt;&gt;"")*(TRIM(_xlpm.grades)&lt;&gt;"")),_xlpm.uniquePairs,_xlfn.UNIQUE(_xlpm.pairs),_xlpm.sortedPairs,_xlfn._xlws.SORT(_xlpm.uniquePairs,1,1),INDEX(_xlpm.sortedPairs,ROWS($M$2:M121),2)),"")</f>
        <v/>
      </c>
      <c r="N121" s="15" t="str" cm="1">
        <f t="array" ref="N121">IF(OR(Table2[[#This Row],[Film]]="",Table2[[#This Row],[Grade]]=""),"",IFERROR(INDEX(Table4[Serial Number],MATCH(1,(Table4[Film]=Table2[[#This Row],[Film]])*(Table4[Grade]=Table2[[#This Row],[Grade]]),0)),""))</f>
        <v/>
      </c>
      <c r="O121" s="52" t="str">
        <f>IF(OR(Table2[[#This Row],[Film]]="",Table2[[#This Row],[Grade]]=""),"",SUMIFS(Table4[Price Calculated(€) Thickness &amp; QTY related],Table4[Film],Table2[[#This Row],[Film]],Table4[Grade],Table2[[#This Row],[Grade]]))</f>
        <v/>
      </c>
      <c r="P121" s="6"/>
      <c r="T121" s="6"/>
    </row>
    <row r="122" spans="1:20">
      <c r="A122" s="29" t="s">
        <v>45</v>
      </c>
      <c r="B122" s="29" t="s">
        <v>5</v>
      </c>
      <c r="C122" s="28" t="s">
        <v>13</v>
      </c>
      <c r="D122" s="28" t="str">
        <f>IF(C122="","",IFERROR(_xlfn.XLOOKUP(C122,HELPER!$A$2:$A$81,HELPER!$B$2:$B$81,""),D122))</f>
        <v>LX175</v>
      </c>
      <c r="E122" s="28" t="str">
        <f>IFERROR(_xlfn.XLOOKUP(D122,HELPER!$B:$B,HELPER!$C:$C,""),"")</f>
        <v>RMLX175</v>
      </c>
      <c r="F122" s="27" t="str">
        <f>IFERROR(_xlfn.XLOOKUP(D122,HELPER!$B:$B,HELPER!$D:$D,""),"")</f>
        <v>Resin 1A</v>
      </c>
      <c r="G122" s="27">
        <v>8</v>
      </c>
      <c r="H122" s="32">
        <v>0.79500000000000004</v>
      </c>
      <c r="I122" s="8">
        <f>IF(AND(H122&lt;&gt;"",IFERROR(_xlfn.XLOOKUP(D122,HELPER!$B:$B,HELPER!$E:$E,""),"")=""),"Missing price",IFERROR(_xlfn.XLOOKUP(D122,HELPER!$B:$B,HELPER!$E:$E,"")," "))</f>
        <v>3.17</v>
      </c>
      <c r="J122" s="48">
        <f>IFERROR(H122*(IF(G122=8,I122*HELPER!$G$2,BOM!I122*HELPER!$G$3))," ")</f>
        <v>0.50402999999999998</v>
      </c>
      <c r="K122" s="6"/>
      <c r="L122" s="14" t="str" cm="1">
        <f t="array" ref="L122">IFERROR(_xlfn.LET(_xlpm.films,Table4[Film],_xlpm.grades,Table4[Grade],_xlpm.pairs,_xlfn._xlws.FILTER(_xlfn.HSTACK(_xlpm.films,_xlpm.grades),(_xlpm.films&lt;&gt;"")*(TRIM(_xlpm.grades)&lt;&gt;"")),_xlpm.uniquePairs,_xlfn.UNIQUE(_xlpm.pairs),_xlpm.sortedPairs,_xlfn._xlws.SORT(_xlpm.uniquePairs,1,1),INDEX(_xlpm.sortedPairs,ROWS($L$2:L122),1)),"")</f>
        <v/>
      </c>
      <c r="M122" s="15" t="str" cm="1">
        <f t="array" ref="M122">IFERROR(_xlfn.LET(_xlpm.films,Table4[Film],_xlpm.grades,Table4[Grade],_xlpm.pairs,_xlfn._xlws.FILTER(_xlfn.HSTACK(_xlpm.films,_xlpm.grades),(_xlpm.films&lt;&gt;"")*(TRIM(_xlpm.grades)&lt;&gt;"")),_xlpm.uniquePairs,_xlfn.UNIQUE(_xlpm.pairs),_xlpm.sortedPairs,_xlfn._xlws.SORT(_xlpm.uniquePairs,1,1),INDEX(_xlpm.sortedPairs,ROWS($M$2:M122),2)),"")</f>
        <v/>
      </c>
      <c r="N122" s="15" t="str" cm="1">
        <f t="array" ref="N122">IF(OR(Table2[[#This Row],[Film]]="",Table2[[#This Row],[Grade]]=""),"",IFERROR(INDEX(Table4[Serial Number],MATCH(1,(Table4[Film]=Table2[[#This Row],[Film]])*(Table4[Grade]=Table2[[#This Row],[Grade]]),0)),""))</f>
        <v/>
      </c>
      <c r="O122" s="52" t="str">
        <f>IF(OR(Table2[[#This Row],[Film]]="",Table2[[#This Row],[Grade]]=""),"",SUMIFS(Table4[Price Calculated(€) Thickness &amp; QTY related],Table4[Film],Table2[[#This Row],[Film]],Table4[Grade],Table2[[#This Row],[Grade]]))</f>
        <v/>
      </c>
      <c r="P122" s="6"/>
      <c r="T122" s="6"/>
    </row>
    <row r="123" spans="1:20">
      <c r="A123" s="29" t="s">
        <v>45</v>
      </c>
      <c r="B123" s="29" t="s">
        <v>5</v>
      </c>
      <c r="C123" s="28" t="s">
        <v>15</v>
      </c>
      <c r="D123" s="28" t="str">
        <f>IF(C123="","",IFERROR(_xlfn.XLOOKUP(C123,HELPER!$A$2:$A$81,HELPER!$B$2:$B$81,""),D123))</f>
        <v>P65D</v>
      </c>
      <c r="E123" s="28" t="str">
        <f>IFERROR(_xlfn.XLOOKUP(D123,HELPER!$B:$B,HELPER!$C:$C,""),"")</f>
        <v>RMP65D</v>
      </c>
      <c r="F123" s="27" t="str">
        <f>IFERROR(_xlfn.XLOOKUP(D123,HELPER!$B:$B,HELPER!$D:$D,""),"")</f>
        <v>Resin 4A</v>
      </c>
      <c r="G123" s="27">
        <v>8</v>
      </c>
      <c r="H123" s="32">
        <v>0.19</v>
      </c>
      <c r="I123" s="8">
        <f>IF(AND(H123&lt;&gt;"",IFERROR(_xlfn.XLOOKUP(D123,HELPER!$B:$B,HELPER!$E:$E,""),"")=""),"Missing price",IFERROR(_xlfn.XLOOKUP(D123,HELPER!$B:$B,HELPER!$E:$E,"")," "))</f>
        <v>7.3</v>
      </c>
      <c r="J123" s="48">
        <f>IFERROR(H123*(IF(G123=8,I123*HELPER!$G$2,BOM!I123*HELPER!$G$3))," ")</f>
        <v>0.27739999999999998</v>
      </c>
      <c r="K123" s="6"/>
      <c r="L123" s="14" t="str" cm="1">
        <f t="array" ref="L123">IFERROR(_xlfn.LET(_xlpm.films,Table4[Film],_xlpm.grades,Table4[Grade],_xlpm.pairs,_xlfn._xlws.FILTER(_xlfn.HSTACK(_xlpm.films,_xlpm.grades),(_xlpm.films&lt;&gt;"")*(TRIM(_xlpm.grades)&lt;&gt;"")),_xlpm.uniquePairs,_xlfn.UNIQUE(_xlpm.pairs),_xlpm.sortedPairs,_xlfn._xlws.SORT(_xlpm.uniquePairs,1,1),INDEX(_xlpm.sortedPairs,ROWS($L$2:L123),1)),"")</f>
        <v/>
      </c>
      <c r="M123" s="15" t="str" cm="1">
        <f t="array" ref="M123">IFERROR(_xlfn.LET(_xlpm.films,Table4[Film],_xlpm.grades,Table4[Grade],_xlpm.pairs,_xlfn._xlws.FILTER(_xlfn.HSTACK(_xlpm.films,_xlpm.grades),(_xlpm.films&lt;&gt;"")*(TRIM(_xlpm.grades)&lt;&gt;"")),_xlpm.uniquePairs,_xlfn.UNIQUE(_xlpm.pairs),_xlpm.sortedPairs,_xlfn._xlws.SORT(_xlpm.uniquePairs,1,1),INDEX(_xlpm.sortedPairs,ROWS($M$2:M123),2)),"")</f>
        <v/>
      </c>
      <c r="N123" s="15" t="str" cm="1">
        <f t="array" ref="N123">IF(OR(Table2[[#This Row],[Film]]="",Table2[[#This Row],[Grade]]=""),"",IFERROR(INDEX(Table4[Serial Number],MATCH(1,(Table4[Film]=Table2[[#This Row],[Film]])*(Table4[Grade]=Table2[[#This Row],[Grade]]),0)),""))</f>
        <v/>
      </c>
      <c r="O123" s="52" t="str">
        <f>IF(OR(Table2[[#This Row],[Film]]="",Table2[[#This Row],[Grade]]=""),"",SUMIFS(Table4[Price Calculated(€) Thickness &amp; QTY related],Table4[Film],Table2[[#This Row],[Film]],Table4[Grade],Table2[[#This Row],[Grade]]))</f>
        <v/>
      </c>
      <c r="P123" s="6"/>
      <c r="T123" s="6"/>
    </row>
    <row r="124" spans="1:20">
      <c r="A124" s="29" t="s">
        <v>45</v>
      </c>
      <c r="B124" s="29" t="s">
        <v>5</v>
      </c>
      <c r="C124" s="28" t="s">
        <v>16</v>
      </c>
      <c r="D124" s="28" t="str">
        <f>IF(C124="","",IFERROR(_xlfn.XLOOKUP(C124,HELPER!$A$2:$A$81,HELPER!$B$2:$B$81,""),D124))</f>
        <v>S723</v>
      </c>
      <c r="E124" s="28" t="str">
        <f>IFERROR(_xlfn.XLOOKUP(D124,HELPER!$B:$B,HELPER!$C:$C,""),"")</f>
        <v>RM TA45-08 S723</v>
      </c>
      <c r="F124" s="27" t="str">
        <f>IFERROR(_xlfn.XLOOKUP(D124,HELPER!$B:$B,HELPER!$D:$D,""),"")</f>
        <v>Resin 6</v>
      </c>
      <c r="G124" s="27">
        <v>8</v>
      </c>
      <c r="H124" s="32">
        <v>1.4999999999999999E-2</v>
      </c>
      <c r="I124" s="8">
        <f>IF(AND(H124&lt;&gt;"",IFERROR(_xlfn.XLOOKUP(D124,HELPER!$B:$B,HELPER!$E:$E,""),"")=""),"Missing price",IFERROR(_xlfn.XLOOKUP(D124,HELPER!$B:$B,HELPER!$E:$E,"")," "))</f>
        <v>16.16</v>
      </c>
      <c r="J124" s="48">
        <f>IFERROR(H124*(IF(G124=8,I124*HELPER!$G$2,BOM!I124*HELPER!$G$3))," ")</f>
        <v>4.8480000000000002E-2</v>
      </c>
      <c r="K124" s="6"/>
      <c r="L124" s="14" t="str" cm="1">
        <f t="array" ref="L124">IFERROR(_xlfn.LET(_xlpm.films,Table4[Film],_xlpm.grades,Table4[Grade],_xlpm.pairs,_xlfn._xlws.FILTER(_xlfn.HSTACK(_xlpm.films,_xlpm.grades),(_xlpm.films&lt;&gt;"")*(TRIM(_xlpm.grades)&lt;&gt;"")),_xlpm.uniquePairs,_xlfn.UNIQUE(_xlpm.pairs),_xlpm.sortedPairs,_xlfn._xlws.SORT(_xlpm.uniquePairs,1,1),INDEX(_xlpm.sortedPairs,ROWS($L$2:L124),1)),"")</f>
        <v/>
      </c>
      <c r="M124" s="15" t="str" cm="1">
        <f t="array" ref="M124">IFERROR(_xlfn.LET(_xlpm.films,Table4[Film],_xlpm.grades,Table4[Grade],_xlpm.pairs,_xlfn._xlws.FILTER(_xlfn.HSTACK(_xlpm.films,_xlpm.grades),(_xlpm.films&lt;&gt;"")*(TRIM(_xlpm.grades)&lt;&gt;"")),_xlpm.uniquePairs,_xlfn.UNIQUE(_xlpm.pairs),_xlpm.sortedPairs,_xlfn._xlws.SORT(_xlpm.uniquePairs,1,1),INDEX(_xlpm.sortedPairs,ROWS($M$2:M124),2)),"")</f>
        <v/>
      </c>
      <c r="N124" s="15" t="str" cm="1">
        <f t="array" ref="N124">IF(OR(Table2[[#This Row],[Film]]="",Table2[[#This Row],[Grade]]=""),"",IFERROR(INDEX(Table4[Serial Number],MATCH(1,(Table4[Film]=Table2[[#This Row],[Film]])*(Table4[Grade]=Table2[[#This Row],[Grade]]),0)),""))</f>
        <v/>
      </c>
      <c r="O124" s="52" t="str">
        <f>IF(OR(Table2[[#This Row],[Film]]="",Table2[[#This Row],[Grade]]=""),"",SUMIFS(Table4[Price Calculated(€) Thickness &amp; QTY related],Table4[Film],Table2[[#This Row],[Film]],Table4[Grade],Table2[[#This Row],[Grade]]))</f>
        <v/>
      </c>
      <c r="P124" s="6"/>
      <c r="T124" s="6"/>
    </row>
    <row r="125" spans="1:20">
      <c r="A125" s="29" t="s">
        <v>45</v>
      </c>
      <c r="B125" s="29" t="s">
        <v>5</v>
      </c>
      <c r="C125" s="28"/>
      <c r="D125" s="28" t="str">
        <f>IF(C125="","",IFERROR(_xlfn.XLOOKUP(C125,HELPER!$A$2:$A$81,HELPER!$B$2:$B$81,""),D125))</f>
        <v/>
      </c>
      <c r="E125" s="28" t="str">
        <f>IFERROR(_xlfn.XLOOKUP(D125,HELPER!$B:$B,HELPER!$C:$C,""),"")</f>
        <v/>
      </c>
      <c r="F125" s="27" t="str">
        <f>IFERROR(_xlfn.XLOOKUP(D125,HELPER!$B:$B,HELPER!$D:$D,""),"")</f>
        <v/>
      </c>
      <c r="G125" s="27">
        <v>8</v>
      </c>
      <c r="I125" s="8" t="str">
        <f>IF(AND(H125&lt;&gt;"",IFERROR(_xlfn.XLOOKUP(D125,HELPER!$B:$B,HELPER!$E:$E,""),"")=""),"Missing price",IFERROR(_xlfn.XLOOKUP(D125,HELPER!$B:$B,HELPER!$E:$E,"")," "))</f>
        <v/>
      </c>
      <c r="J125" s="48" t="str">
        <f>IFERROR(H125*(IF(G125=8,I125*HELPER!$G$2,BOM!I125*HELPER!$G$3))," ")</f>
        <v xml:space="preserve"> </v>
      </c>
      <c r="K125" s="6"/>
      <c r="L125" s="14" t="str" cm="1">
        <f t="array" ref="L125">IFERROR(_xlfn.LET(_xlpm.films,Table4[Film],_xlpm.grades,Table4[Grade],_xlpm.pairs,_xlfn._xlws.FILTER(_xlfn.HSTACK(_xlpm.films,_xlpm.grades),(_xlpm.films&lt;&gt;"")*(TRIM(_xlpm.grades)&lt;&gt;"")),_xlpm.uniquePairs,_xlfn.UNIQUE(_xlpm.pairs),_xlpm.sortedPairs,_xlfn._xlws.SORT(_xlpm.uniquePairs,1,1),INDEX(_xlpm.sortedPairs,ROWS($L$2:L125),1)),"")</f>
        <v/>
      </c>
      <c r="M125" s="15" t="str" cm="1">
        <f t="array" ref="M125">IFERROR(_xlfn.LET(_xlpm.films,Table4[Film],_xlpm.grades,Table4[Grade],_xlpm.pairs,_xlfn._xlws.FILTER(_xlfn.HSTACK(_xlpm.films,_xlpm.grades),(_xlpm.films&lt;&gt;"")*(TRIM(_xlpm.grades)&lt;&gt;"")),_xlpm.uniquePairs,_xlfn.UNIQUE(_xlpm.pairs),_xlpm.sortedPairs,_xlfn._xlws.SORT(_xlpm.uniquePairs,1,1),INDEX(_xlpm.sortedPairs,ROWS($M$2:M125),2)),"")</f>
        <v/>
      </c>
      <c r="N125" s="15" t="str" cm="1">
        <f t="array" ref="N125">IF(OR(Table2[[#This Row],[Film]]="",Table2[[#This Row],[Grade]]=""),"",IFERROR(INDEX(Table4[Serial Number],MATCH(1,(Table4[Film]=Table2[[#This Row],[Film]])*(Table4[Grade]=Table2[[#This Row],[Grade]]),0)),""))</f>
        <v/>
      </c>
      <c r="O125" s="52" t="str">
        <f>IF(OR(Table2[[#This Row],[Film]]="",Table2[[#This Row],[Grade]]=""),"",SUMIFS(Table4[Price Calculated(€) Thickness &amp; QTY related],Table4[Film],Table2[[#This Row],[Film]],Table4[Grade],Table2[[#This Row],[Grade]]))</f>
        <v/>
      </c>
      <c r="P125" s="6"/>
      <c r="T125" s="6"/>
    </row>
    <row r="126" spans="1:20">
      <c r="A126" s="29" t="s">
        <v>45</v>
      </c>
      <c r="B126" s="29" t="s">
        <v>5</v>
      </c>
      <c r="C126" s="28"/>
      <c r="D126" s="28" t="str">
        <f>IF(C126="","",IFERROR(_xlfn.XLOOKUP(C126,HELPER!$A$2:$A$81,HELPER!$B$2:$B$81,""),D126))</f>
        <v/>
      </c>
      <c r="E126" s="28" t="str">
        <f>IFERROR(_xlfn.XLOOKUP(D126,HELPER!$B:$B,HELPER!$C:$C,""),"")</f>
        <v/>
      </c>
      <c r="F126" s="27" t="str">
        <f>IFERROR(_xlfn.XLOOKUP(D126,HELPER!$B:$B,HELPER!$D:$D,""),"")</f>
        <v/>
      </c>
      <c r="G126" s="27">
        <v>8</v>
      </c>
      <c r="I126" s="8" t="str">
        <f>IF(AND(H126&lt;&gt;"",IFERROR(_xlfn.XLOOKUP(D126,HELPER!$B:$B,HELPER!$E:$E,""),"")=""),"Missing price",IFERROR(_xlfn.XLOOKUP(D126,HELPER!$B:$B,HELPER!$E:$E,"")," "))</f>
        <v/>
      </c>
      <c r="J126" s="48" t="str">
        <f>IFERROR(H126*(IF(G126=8,I126*HELPER!$G$2,BOM!I126*HELPER!$G$3))," ")</f>
        <v xml:space="preserve"> </v>
      </c>
      <c r="K126" s="6"/>
      <c r="L126" s="14" t="str" cm="1">
        <f t="array" ref="L126">IFERROR(_xlfn.LET(_xlpm.films,Table4[Film],_xlpm.grades,Table4[Grade],_xlpm.pairs,_xlfn._xlws.FILTER(_xlfn.HSTACK(_xlpm.films,_xlpm.grades),(_xlpm.films&lt;&gt;"")*(TRIM(_xlpm.grades)&lt;&gt;"")),_xlpm.uniquePairs,_xlfn.UNIQUE(_xlpm.pairs),_xlpm.sortedPairs,_xlfn._xlws.SORT(_xlpm.uniquePairs,1,1),INDEX(_xlpm.sortedPairs,ROWS($L$2:L126),1)),"")</f>
        <v/>
      </c>
      <c r="M126" s="15" t="str" cm="1">
        <f t="array" ref="M126">IFERROR(_xlfn.LET(_xlpm.films,Table4[Film],_xlpm.grades,Table4[Grade],_xlpm.pairs,_xlfn._xlws.FILTER(_xlfn.HSTACK(_xlpm.films,_xlpm.grades),(_xlpm.films&lt;&gt;"")*(TRIM(_xlpm.grades)&lt;&gt;"")),_xlpm.uniquePairs,_xlfn.UNIQUE(_xlpm.pairs),_xlpm.sortedPairs,_xlfn._xlws.SORT(_xlpm.uniquePairs,1,1),INDEX(_xlpm.sortedPairs,ROWS($M$2:M126),2)),"")</f>
        <v/>
      </c>
      <c r="N126" s="15" t="str" cm="1">
        <f t="array" ref="N126">IF(OR(Table2[[#This Row],[Film]]="",Table2[[#This Row],[Grade]]=""),"",IFERROR(INDEX(Table4[Serial Number],MATCH(1,(Table4[Film]=Table2[[#This Row],[Film]])*(Table4[Grade]=Table2[[#This Row],[Grade]]),0)),""))</f>
        <v/>
      </c>
      <c r="O126" s="52" t="str">
        <f>IF(OR(Table2[[#This Row],[Film]]="",Table2[[#This Row],[Grade]]=""),"",SUMIFS(Table4[Price Calculated(€) Thickness &amp; QTY related],Table4[Film],Table2[[#This Row],[Film]],Table4[Grade],Table2[[#This Row],[Grade]]))</f>
        <v/>
      </c>
      <c r="P126" s="6"/>
      <c r="T126" s="6"/>
    </row>
    <row r="127" spans="1:20">
      <c r="A127" s="29" t="s">
        <v>45</v>
      </c>
      <c r="B127" s="29" t="s">
        <v>5</v>
      </c>
      <c r="C127" s="28"/>
      <c r="D127" s="28" t="str">
        <f>IF(C127="","",IFERROR(_xlfn.XLOOKUP(C127,HELPER!$A$2:$A$81,HELPER!$B$2:$B$81,""),D127))</f>
        <v/>
      </c>
      <c r="E127" s="28" t="str">
        <f>IFERROR(_xlfn.XLOOKUP(D127,HELPER!$B:$B,HELPER!$C:$C,""),"")</f>
        <v/>
      </c>
      <c r="F127" s="27" t="str">
        <f>IFERROR(_xlfn.XLOOKUP(D127,HELPER!$B:$B,HELPER!$D:$D,""),"")</f>
        <v/>
      </c>
      <c r="G127" s="27">
        <v>8</v>
      </c>
      <c r="I127" s="8" t="str">
        <f>IF(AND(H127&lt;&gt;"",IFERROR(_xlfn.XLOOKUP(D127,HELPER!$B:$B,HELPER!$E:$E,""),"")=""),"Missing price",IFERROR(_xlfn.XLOOKUP(D127,HELPER!$B:$B,HELPER!$E:$E,"")," "))</f>
        <v/>
      </c>
      <c r="J127" s="48" t="str">
        <f>IFERROR(H127*(IF(G127=8,I127*HELPER!$G$2,BOM!I127*HELPER!$G$3))," ")</f>
        <v xml:space="preserve"> </v>
      </c>
      <c r="K127" s="6"/>
      <c r="L127" s="14" t="str" cm="1">
        <f t="array" ref="L127">IFERROR(_xlfn.LET(_xlpm.films,Table4[Film],_xlpm.grades,Table4[Grade],_xlpm.pairs,_xlfn._xlws.FILTER(_xlfn.HSTACK(_xlpm.films,_xlpm.grades),(_xlpm.films&lt;&gt;"")*(TRIM(_xlpm.grades)&lt;&gt;"")),_xlpm.uniquePairs,_xlfn.UNIQUE(_xlpm.pairs),_xlpm.sortedPairs,_xlfn._xlws.SORT(_xlpm.uniquePairs,1,1),INDEX(_xlpm.sortedPairs,ROWS($L$2:L127),1)),"")</f>
        <v/>
      </c>
      <c r="M127" s="15" t="str" cm="1">
        <f t="array" ref="M127">IFERROR(_xlfn.LET(_xlpm.films,Table4[Film],_xlpm.grades,Table4[Grade],_xlpm.pairs,_xlfn._xlws.FILTER(_xlfn.HSTACK(_xlpm.films,_xlpm.grades),(_xlpm.films&lt;&gt;"")*(TRIM(_xlpm.grades)&lt;&gt;"")),_xlpm.uniquePairs,_xlfn.UNIQUE(_xlpm.pairs),_xlpm.sortedPairs,_xlfn._xlws.SORT(_xlpm.uniquePairs,1,1),INDEX(_xlpm.sortedPairs,ROWS($M$2:M127),2)),"")</f>
        <v/>
      </c>
      <c r="N127" s="15" t="str" cm="1">
        <f t="array" ref="N127">IF(OR(Table2[[#This Row],[Film]]="",Table2[[#This Row],[Grade]]=""),"",IFERROR(INDEX(Table4[Serial Number],MATCH(1,(Table4[Film]=Table2[[#This Row],[Film]])*(Table4[Grade]=Table2[[#This Row],[Grade]]),0)),""))</f>
        <v/>
      </c>
      <c r="O127" s="52" t="str">
        <f>IF(OR(Table2[[#This Row],[Film]]="",Table2[[#This Row],[Grade]]=""),"",SUMIFS(Table4[Price Calculated(€) Thickness &amp; QTY related],Table4[Film],Table2[[#This Row],[Film]],Table4[Grade],Table2[[#This Row],[Grade]]))</f>
        <v/>
      </c>
      <c r="P127" s="6"/>
      <c r="T127" s="6"/>
    </row>
    <row r="128" spans="1:20">
      <c r="A128" s="29" t="s">
        <v>45</v>
      </c>
      <c r="B128" s="29" t="s">
        <v>5</v>
      </c>
      <c r="C128" s="28"/>
      <c r="D128" s="28" t="str">
        <f>IF(C128="","",IFERROR(_xlfn.XLOOKUP(C128,HELPER!$A$2:$A$81,HELPER!$B$2:$B$81,""),D128))</f>
        <v/>
      </c>
      <c r="E128" s="28" t="str">
        <f>IFERROR(_xlfn.XLOOKUP(D128,HELPER!$B:$B,HELPER!$C:$C,""),"")</f>
        <v/>
      </c>
      <c r="F128" s="27" t="str">
        <f>IFERROR(_xlfn.XLOOKUP(D128,HELPER!$B:$B,HELPER!$D:$D,""),"")</f>
        <v/>
      </c>
      <c r="G128" s="27">
        <v>8</v>
      </c>
      <c r="I128" s="8" t="str">
        <f>IF(AND(H128&lt;&gt;"",IFERROR(_xlfn.XLOOKUP(D128,HELPER!$B:$B,HELPER!$E:$E,""),"")=""),"Missing price",IFERROR(_xlfn.XLOOKUP(D128,HELPER!$B:$B,HELPER!$E:$E,"")," "))</f>
        <v/>
      </c>
      <c r="J128" s="48" t="str">
        <f>IFERROR(H128*(IF(G128=8,I128*HELPER!$G$2,BOM!I128*HELPER!$G$3))," ")</f>
        <v xml:space="preserve"> </v>
      </c>
      <c r="K128" s="6"/>
      <c r="L128" s="14" t="str" cm="1">
        <f t="array" ref="L128">IFERROR(_xlfn.LET(_xlpm.films,Table4[Film],_xlpm.grades,Table4[Grade],_xlpm.pairs,_xlfn._xlws.FILTER(_xlfn.HSTACK(_xlpm.films,_xlpm.grades),(_xlpm.films&lt;&gt;"")*(TRIM(_xlpm.grades)&lt;&gt;"")),_xlpm.uniquePairs,_xlfn.UNIQUE(_xlpm.pairs),_xlpm.sortedPairs,_xlfn._xlws.SORT(_xlpm.uniquePairs,1,1),INDEX(_xlpm.sortedPairs,ROWS($L$2:L128),1)),"")</f>
        <v/>
      </c>
      <c r="M128" s="15" t="str" cm="1">
        <f t="array" ref="M128">IFERROR(_xlfn.LET(_xlpm.films,Table4[Film],_xlpm.grades,Table4[Grade],_xlpm.pairs,_xlfn._xlws.FILTER(_xlfn.HSTACK(_xlpm.films,_xlpm.grades),(_xlpm.films&lt;&gt;"")*(TRIM(_xlpm.grades)&lt;&gt;"")),_xlpm.uniquePairs,_xlfn.UNIQUE(_xlpm.pairs),_xlpm.sortedPairs,_xlfn._xlws.SORT(_xlpm.uniquePairs,1,1),INDEX(_xlpm.sortedPairs,ROWS($M$2:M128),2)),"")</f>
        <v/>
      </c>
      <c r="N128" s="15" t="str" cm="1">
        <f t="array" ref="N128">IF(OR(Table2[[#This Row],[Film]]="",Table2[[#This Row],[Grade]]=""),"",IFERROR(INDEX(Table4[Serial Number],MATCH(1,(Table4[Film]=Table2[[#This Row],[Film]])*(Table4[Grade]=Table2[[#This Row],[Grade]]),0)),""))</f>
        <v/>
      </c>
      <c r="O128" s="52" t="str">
        <f>IF(OR(Table2[[#This Row],[Film]]="",Table2[[#This Row],[Grade]]=""),"",SUMIFS(Table4[Price Calculated(€) Thickness &amp; QTY related],Table4[Film],Table2[[#This Row],[Film]],Table4[Grade],Table2[[#This Row],[Grade]]))</f>
        <v/>
      </c>
      <c r="P128" s="6"/>
      <c r="T128" s="6"/>
    </row>
    <row r="129" spans="1:20">
      <c r="A129" s="29" t="s">
        <v>45</v>
      </c>
      <c r="B129" s="29" t="s">
        <v>5</v>
      </c>
      <c r="C129" s="28"/>
      <c r="D129" s="28" t="str">
        <f>IF(C129="","",IFERROR(_xlfn.XLOOKUP(C129,HELPER!$A$2:$A$81,HELPER!$B$2:$B$81,""),D129))</f>
        <v/>
      </c>
      <c r="E129" s="28" t="str">
        <f>IFERROR(_xlfn.XLOOKUP(D129,HELPER!$B:$B,HELPER!$C:$C,""),"")</f>
        <v/>
      </c>
      <c r="F129" s="27" t="str">
        <f>IFERROR(_xlfn.XLOOKUP(D129,HELPER!$B:$B,HELPER!$D:$D,""),"")</f>
        <v/>
      </c>
      <c r="G129" s="27">
        <v>8</v>
      </c>
      <c r="I129" s="8" t="str">
        <f>IF(AND(H129&lt;&gt;"",IFERROR(_xlfn.XLOOKUP(D129,HELPER!$B:$B,HELPER!$E:$E,""),"")=""),"Missing price",IFERROR(_xlfn.XLOOKUP(D129,HELPER!$B:$B,HELPER!$E:$E,"")," "))</f>
        <v/>
      </c>
      <c r="J129" s="48" t="str">
        <f>IFERROR(H129*(IF(G129=8,I129*HELPER!$G$2,BOM!I129*HELPER!$G$3))," ")</f>
        <v xml:space="preserve"> </v>
      </c>
      <c r="K129" s="6"/>
      <c r="L129" s="14" t="str" cm="1">
        <f t="array" ref="L129">IFERROR(_xlfn.LET(_xlpm.films,Table4[Film],_xlpm.grades,Table4[Grade],_xlpm.pairs,_xlfn._xlws.FILTER(_xlfn.HSTACK(_xlpm.films,_xlpm.grades),(_xlpm.films&lt;&gt;"")*(TRIM(_xlpm.grades)&lt;&gt;"")),_xlpm.uniquePairs,_xlfn.UNIQUE(_xlpm.pairs),_xlpm.sortedPairs,_xlfn._xlws.SORT(_xlpm.uniquePairs,1,1),INDEX(_xlpm.sortedPairs,ROWS($L$2:L129),1)),"")</f>
        <v/>
      </c>
      <c r="M129" s="15" t="str" cm="1">
        <f t="array" ref="M129">IFERROR(_xlfn.LET(_xlpm.films,Table4[Film],_xlpm.grades,Table4[Grade],_xlpm.pairs,_xlfn._xlws.FILTER(_xlfn.HSTACK(_xlpm.films,_xlpm.grades),(_xlpm.films&lt;&gt;"")*(TRIM(_xlpm.grades)&lt;&gt;"")),_xlpm.uniquePairs,_xlfn.UNIQUE(_xlpm.pairs),_xlpm.sortedPairs,_xlfn._xlws.SORT(_xlpm.uniquePairs,1,1),INDEX(_xlpm.sortedPairs,ROWS($M$2:M129),2)),"")</f>
        <v/>
      </c>
      <c r="N129" s="15" t="str" cm="1">
        <f t="array" ref="N129">IF(OR(Table2[[#This Row],[Film]]="",Table2[[#This Row],[Grade]]=""),"",IFERROR(INDEX(Table4[Serial Number],MATCH(1,(Table4[Film]=Table2[[#This Row],[Film]])*(Table4[Grade]=Table2[[#This Row],[Grade]]),0)),""))</f>
        <v/>
      </c>
      <c r="O129" s="52" t="str">
        <f>IF(OR(Table2[[#This Row],[Film]]="",Table2[[#This Row],[Grade]]=""),"",SUMIFS(Table4[Price Calculated(€) Thickness &amp; QTY related],Table4[Film],Table2[[#This Row],[Film]],Table4[Grade],Table2[[#This Row],[Grade]]))</f>
        <v/>
      </c>
      <c r="P129" s="6"/>
      <c r="T129" s="6"/>
    </row>
    <row r="130" spans="1:20">
      <c r="A130" s="29" t="s">
        <v>45</v>
      </c>
      <c r="B130" s="29" t="s">
        <v>5</v>
      </c>
      <c r="C130" s="28"/>
      <c r="D130" s="28" t="str">
        <f>IF(C130="","",IFERROR(_xlfn.XLOOKUP(C130,HELPER!$A$2:$A$81,HELPER!$B$2:$B$81,""),D130))</f>
        <v/>
      </c>
      <c r="E130" s="28" t="str">
        <f>IFERROR(_xlfn.XLOOKUP(D130,HELPER!$B:$B,HELPER!$C:$C,""),"")</f>
        <v/>
      </c>
      <c r="F130" s="27" t="str">
        <f>IFERROR(_xlfn.XLOOKUP(D130,HELPER!$B:$B,HELPER!$D:$D,""),"")</f>
        <v/>
      </c>
      <c r="G130" s="27">
        <v>8</v>
      </c>
      <c r="I130" s="8" t="str">
        <f>IF(AND(H130&lt;&gt;"",IFERROR(_xlfn.XLOOKUP(D130,HELPER!$B:$B,HELPER!$E:$E,""),"")=""),"Missing price",IFERROR(_xlfn.XLOOKUP(D130,HELPER!$B:$B,HELPER!$E:$E,"")," "))</f>
        <v/>
      </c>
      <c r="J130" s="48" t="str">
        <f>IFERROR(H130*(IF(G130=8,I130*HELPER!$G$2,BOM!I130*HELPER!$G$3))," ")</f>
        <v xml:space="preserve"> </v>
      </c>
      <c r="K130" s="6"/>
      <c r="L130" s="14" t="str" cm="1">
        <f t="array" ref="L130">IFERROR(_xlfn.LET(_xlpm.films,Table4[Film],_xlpm.grades,Table4[Grade],_xlpm.pairs,_xlfn._xlws.FILTER(_xlfn.HSTACK(_xlpm.films,_xlpm.grades),(_xlpm.films&lt;&gt;"")*(TRIM(_xlpm.grades)&lt;&gt;"")),_xlpm.uniquePairs,_xlfn.UNIQUE(_xlpm.pairs),_xlpm.sortedPairs,_xlfn._xlws.SORT(_xlpm.uniquePairs,1,1),INDEX(_xlpm.sortedPairs,ROWS($L$2:L130),1)),"")</f>
        <v/>
      </c>
      <c r="M130" s="15" t="str" cm="1">
        <f t="array" ref="M130">IFERROR(_xlfn.LET(_xlpm.films,Table4[Film],_xlpm.grades,Table4[Grade],_xlpm.pairs,_xlfn._xlws.FILTER(_xlfn.HSTACK(_xlpm.films,_xlpm.grades),(_xlpm.films&lt;&gt;"")*(TRIM(_xlpm.grades)&lt;&gt;"")),_xlpm.uniquePairs,_xlfn.UNIQUE(_xlpm.pairs),_xlpm.sortedPairs,_xlfn._xlws.SORT(_xlpm.uniquePairs,1,1),INDEX(_xlpm.sortedPairs,ROWS($M$2:M130),2)),"")</f>
        <v/>
      </c>
      <c r="N130" s="15" t="str" cm="1">
        <f t="array" ref="N130">IF(OR(Table2[[#This Row],[Film]]="",Table2[[#This Row],[Grade]]=""),"",IFERROR(INDEX(Table4[Serial Number],MATCH(1,(Table4[Film]=Table2[[#This Row],[Film]])*(Table4[Grade]=Table2[[#This Row],[Grade]]),0)),""))</f>
        <v/>
      </c>
      <c r="O130" s="52" t="str">
        <f>IF(OR(Table2[[#This Row],[Film]]="",Table2[[#This Row],[Grade]]=""),"",SUMIFS(Table4[Price Calculated(€) Thickness &amp; QTY related],Table4[Film],Table2[[#This Row],[Film]],Table4[Grade],Table2[[#This Row],[Grade]]))</f>
        <v/>
      </c>
      <c r="P130" s="6"/>
      <c r="T130" s="6"/>
    </row>
    <row r="131" spans="1:20">
      <c r="A131" s="29" t="s">
        <v>45</v>
      </c>
      <c r="B131" s="29" t="s">
        <v>5</v>
      </c>
      <c r="C131" s="28"/>
      <c r="D131" s="28" t="str">
        <f>IF(C131="","",IFERROR(_xlfn.XLOOKUP(C131,HELPER!$A$2:$A$81,HELPER!$B$2:$B$81,""),D131))</f>
        <v/>
      </c>
      <c r="E131" s="28" t="str">
        <f>IFERROR(_xlfn.XLOOKUP(D131,HELPER!$B:$B,HELPER!$C:$C,""),"")</f>
        <v/>
      </c>
      <c r="F131" s="27" t="str">
        <f>IFERROR(_xlfn.XLOOKUP(D131,HELPER!$B:$B,HELPER!$D:$D,""),"")</f>
        <v/>
      </c>
      <c r="G131" s="27">
        <v>8</v>
      </c>
      <c r="I131" s="8" t="str">
        <f>IF(AND(H131&lt;&gt;"",IFERROR(_xlfn.XLOOKUP(D131,HELPER!$B:$B,HELPER!$E:$E,""),"")=""),"Missing price",IFERROR(_xlfn.XLOOKUP(D131,HELPER!$B:$B,HELPER!$E:$E,"")," "))</f>
        <v/>
      </c>
      <c r="J131" s="48" t="str">
        <f>IFERROR(H131*(IF(G131=8,I131*HELPER!$G$2,BOM!I131*HELPER!$G$3))," ")</f>
        <v xml:space="preserve"> </v>
      </c>
      <c r="K131" s="6"/>
      <c r="L131" s="14" t="str" cm="1">
        <f t="array" ref="L131">IFERROR(_xlfn.LET(_xlpm.films,Table4[Film],_xlpm.grades,Table4[Grade],_xlpm.pairs,_xlfn._xlws.FILTER(_xlfn.HSTACK(_xlpm.films,_xlpm.grades),(_xlpm.films&lt;&gt;"")*(TRIM(_xlpm.grades)&lt;&gt;"")),_xlpm.uniquePairs,_xlfn.UNIQUE(_xlpm.pairs),_xlpm.sortedPairs,_xlfn._xlws.SORT(_xlpm.uniquePairs,1,1),INDEX(_xlpm.sortedPairs,ROWS($L$2:L131),1)),"")</f>
        <v/>
      </c>
      <c r="M131" s="15" t="str" cm="1">
        <f t="array" ref="M131">IFERROR(_xlfn.LET(_xlpm.films,Table4[Film],_xlpm.grades,Table4[Grade],_xlpm.pairs,_xlfn._xlws.FILTER(_xlfn.HSTACK(_xlpm.films,_xlpm.grades),(_xlpm.films&lt;&gt;"")*(TRIM(_xlpm.grades)&lt;&gt;"")),_xlpm.uniquePairs,_xlfn.UNIQUE(_xlpm.pairs),_xlpm.sortedPairs,_xlfn._xlws.SORT(_xlpm.uniquePairs,1,1),INDEX(_xlpm.sortedPairs,ROWS($M$2:M131),2)),"")</f>
        <v/>
      </c>
      <c r="N131" s="15" t="str" cm="1">
        <f t="array" ref="N131">IF(OR(Table2[[#This Row],[Film]]="",Table2[[#This Row],[Grade]]=""),"",IFERROR(INDEX(Table4[Serial Number],MATCH(1,(Table4[Film]=Table2[[#This Row],[Film]])*(Table4[Grade]=Table2[[#This Row],[Grade]]),0)),""))</f>
        <v/>
      </c>
      <c r="O131" s="52" t="str">
        <f>IF(OR(Table2[[#This Row],[Film]]="",Table2[[#This Row],[Grade]]=""),"",SUMIFS(Table4[Price Calculated(€) Thickness &amp; QTY related],Table4[Film],Table2[[#This Row],[Film]],Table4[Grade],Table2[[#This Row],[Grade]]))</f>
        <v/>
      </c>
      <c r="P131" s="6"/>
      <c r="T131" s="6"/>
    </row>
    <row r="132" spans="1:20">
      <c r="A132" s="29" t="s">
        <v>45</v>
      </c>
      <c r="B132" s="29" t="s">
        <v>6</v>
      </c>
      <c r="C132" s="28"/>
      <c r="D132" s="28" t="str">
        <f>IF(C132="","",IFERROR(_xlfn.XLOOKUP(C132,HELPER!$A$2:$A$81,HELPER!$B$2:$B$81,""),D132))</f>
        <v/>
      </c>
      <c r="E132" s="28" t="str">
        <f>IFERROR(_xlfn.XLOOKUP(D132,HELPER!$B:$B,HELPER!$C:$C,""),"")</f>
        <v/>
      </c>
      <c r="F132" s="27" t="str">
        <f>IFERROR(_xlfn.XLOOKUP(D132,HELPER!$B:$B,HELPER!$D:$D,""),"")</f>
        <v/>
      </c>
      <c r="G132" s="27">
        <v>24</v>
      </c>
      <c r="I132" s="8" t="str">
        <f>IF(AND(H132&lt;&gt;"",IFERROR(_xlfn.XLOOKUP(D132,HELPER!$B:$B,HELPER!$E:$E,""),"")=""),"Missing price",IFERROR(_xlfn.XLOOKUP(D132,HELPER!$B:$B,HELPER!$E:$E,"")," "))</f>
        <v/>
      </c>
      <c r="J132" s="48" t="str">
        <f>IFERROR(H132*(IF(G132=8,I132*HELPER!$G$2,BOM!I132*HELPER!$G$3))," ")</f>
        <v xml:space="preserve"> </v>
      </c>
      <c r="K132" s="6"/>
      <c r="L132" s="14" t="str" cm="1">
        <f t="array" ref="L132">IFERROR(_xlfn.LET(_xlpm.films,Table4[Film],_xlpm.grades,Table4[Grade],_xlpm.pairs,_xlfn._xlws.FILTER(_xlfn.HSTACK(_xlpm.films,_xlpm.grades),(_xlpm.films&lt;&gt;"")*(TRIM(_xlpm.grades)&lt;&gt;"")),_xlpm.uniquePairs,_xlfn.UNIQUE(_xlpm.pairs),_xlpm.sortedPairs,_xlfn._xlws.SORT(_xlpm.uniquePairs,1,1),INDEX(_xlpm.sortedPairs,ROWS($L$2:L132),1)),"")</f>
        <v/>
      </c>
      <c r="M132" s="15" t="str" cm="1">
        <f t="array" ref="M132">IFERROR(_xlfn.LET(_xlpm.films,Table4[Film],_xlpm.grades,Table4[Grade],_xlpm.pairs,_xlfn._xlws.FILTER(_xlfn.HSTACK(_xlpm.films,_xlpm.grades),(_xlpm.films&lt;&gt;"")*(TRIM(_xlpm.grades)&lt;&gt;"")),_xlpm.uniquePairs,_xlfn.UNIQUE(_xlpm.pairs),_xlpm.sortedPairs,_xlfn._xlws.SORT(_xlpm.uniquePairs,1,1),INDEX(_xlpm.sortedPairs,ROWS($M$2:M132),2)),"")</f>
        <v/>
      </c>
      <c r="N132" s="15" t="str" cm="1">
        <f t="array" ref="N132">IF(OR(Table2[[#This Row],[Film]]="",Table2[[#This Row],[Grade]]=""),"",IFERROR(INDEX(Table4[Serial Number],MATCH(1,(Table4[Film]=Table2[[#This Row],[Film]])*(Table4[Grade]=Table2[[#This Row],[Grade]]),0)),""))</f>
        <v/>
      </c>
      <c r="O132" s="52" t="str">
        <f>IF(OR(Table2[[#This Row],[Film]]="",Table2[[#This Row],[Grade]]=""),"",SUMIFS(Table4[Price Calculated(€) Thickness &amp; QTY related],Table4[Film],Table2[[#This Row],[Film]],Table4[Grade],Table2[[#This Row],[Grade]]))</f>
        <v/>
      </c>
      <c r="P132" s="6"/>
      <c r="T132" s="6"/>
    </row>
    <row r="133" spans="1:20">
      <c r="A133" s="29" t="s">
        <v>45</v>
      </c>
      <c r="B133" s="29" t="s">
        <v>6</v>
      </c>
      <c r="C133" s="28"/>
      <c r="D133" s="28" t="str">
        <f>IF(C133="","",IFERROR(_xlfn.XLOOKUP(C133,HELPER!$A$2:$A$81,HELPER!$B$2:$B$81,""),D133))</f>
        <v/>
      </c>
      <c r="E133" s="28" t="str">
        <f>IFERROR(_xlfn.XLOOKUP(D133,HELPER!$B:$B,HELPER!$C:$C,""),"")</f>
        <v/>
      </c>
      <c r="F133" s="27" t="str">
        <f>IFERROR(_xlfn.XLOOKUP(D133,HELPER!$B:$B,HELPER!$D:$D,""),"")</f>
        <v/>
      </c>
      <c r="G133" s="27">
        <v>24</v>
      </c>
      <c r="I133" s="8" t="str">
        <f>IF(AND(H133&lt;&gt;"",IFERROR(_xlfn.XLOOKUP(D133,HELPER!$B:$B,HELPER!$E:$E,""),"")=""),"Missing price",IFERROR(_xlfn.XLOOKUP(D133,HELPER!$B:$B,HELPER!$E:$E,"")," "))</f>
        <v/>
      </c>
      <c r="J133" s="48" t="str">
        <f>IFERROR(H133*(IF(G133=8,I133*HELPER!$G$2,BOM!I133*HELPER!$G$3))," ")</f>
        <v xml:space="preserve"> </v>
      </c>
      <c r="K133" s="6"/>
      <c r="L133" s="14" t="str" cm="1">
        <f t="array" ref="L133">IFERROR(_xlfn.LET(_xlpm.films,Table4[Film],_xlpm.grades,Table4[Grade],_xlpm.pairs,_xlfn._xlws.FILTER(_xlfn.HSTACK(_xlpm.films,_xlpm.grades),(_xlpm.films&lt;&gt;"")*(TRIM(_xlpm.grades)&lt;&gt;"")),_xlpm.uniquePairs,_xlfn.UNIQUE(_xlpm.pairs),_xlpm.sortedPairs,_xlfn._xlws.SORT(_xlpm.uniquePairs,1,1),INDEX(_xlpm.sortedPairs,ROWS($L$2:L133),1)),"")</f>
        <v/>
      </c>
      <c r="M133" s="15" t="str" cm="1">
        <f t="array" ref="M133">IFERROR(_xlfn.LET(_xlpm.films,Table4[Film],_xlpm.grades,Table4[Grade],_xlpm.pairs,_xlfn._xlws.FILTER(_xlfn.HSTACK(_xlpm.films,_xlpm.grades),(_xlpm.films&lt;&gt;"")*(TRIM(_xlpm.grades)&lt;&gt;"")),_xlpm.uniquePairs,_xlfn.UNIQUE(_xlpm.pairs),_xlpm.sortedPairs,_xlfn._xlws.SORT(_xlpm.uniquePairs,1,1),INDEX(_xlpm.sortedPairs,ROWS($M$2:M133),2)),"")</f>
        <v/>
      </c>
      <c r="N133" s="15" t="str" cm="1">
        <f t="array" ref="N133">IF(OR(Table2[[#This Row],[Film]]="",Table2[[#This Row],[Grade]]=""),"",IFERROR(INDEX(Table4[Serial Number],MATCH(1,(Table4[Film]=Table2[[#This Row],[Film]])*(Table4[Grade]=Table2[[#This Row],[Grade]]),0)),""))</f>
        <v/>
      </c>
      <c r="O133" s="52" t="str">
        <f>IF(OR(Table2[[#This Row],[Film]]="",Table2[[#This Row],[Grade]]=""),"",SUMIFS(Table4[Price Calculated(€) Thickness &amp; QTY related],Table4[Film],Table2[[#This Row],[Film]],Table4[Grade],Table2[[#This Row],[Grade]]))</f>
        <v/>
      </c>
      <c r="P133" s="6"/>
      <c r="T133" s="6"/>
    </row>
    <row r="134" spans="1:20">
      <c r="A134" s="29" t="s">
        <v>45</v>
      </c>
      <c r="B134" s="29" t="s">
        <v>6</v>
      </c>
      <c r="C134" s="28" t="s">
        <v>13</v>
      </c>
      <c r="D134" s="28" t="str">
        <f>IF(C134="","",IFERROR(_xlfn.XLOOKUP(C134,HELPER!$A$2:$A$81,HELPER!$B$2:$B$81,""),D134))</f>
        <v>LX175</v>
      </c>
      <c r="E134" s="28" t="str">
        <f>IFERROR(_xlfn.XLOOKUP(D134,HELPER!$B:$B,HELPER!$C:$C,""),"")</f>
        <v>RMLX175</v>
      </c>
      <c r="F134" s="27" t="str">
        <f>IFERROR(_xlfn.XLOOKUP(D134,HELPER!$B:$B,HELPER!$D:$D,""),"")</f>
        <v>Resin 1A</v>
      </c>
      <c r="G134" s="27">
        <v>24</v>
      </c>
      <c r="H134" s="32">
        <v>0.79500000000000004</v>
      </c>
      <c r="I134" s="8">
        <f>IF(AND(H134&lt;&gt;"",IFERROR(_xlfn.XLOOKUP(D134,HELPER!$B:$B,HELPER!$E:$E,""),"")=""),"Missing price",IFERROR(_xlfn.XLOOKUP(D134,HELPER!$B:$B,HELPER!$E:$E,"")," "))</f>
        <v>3.17</v>
      </c>
      <c r="J134" s="48">
        <f>IFERROR(H134*(IF(G134=8,I134*HELPER!$G$2,BOM!I134*HELPER!$G$3))," ")</f>
        <v>1.5120899999999999</v>
      </c>
      <c r="K134" s="6"/>
      <c r="L134" s="14" t="str" cm="1">
        <f t="array" ref="L134">IFERROR(_xlfn.LET(_xlpm.films,Table4[Film],_xlpm.grades,Table4[Grade],_xlpm.pairs,_xlfn._xlws.FILTER(_xlfn.HSTACK(_xlpm.films,_xlpm.grades),(_xlpm.films&lt;&gt;"")*(TRIM(_xlpm.grades)&lt;&gt;"")),_xlpm.uniquePairs,_xlfn.UNIQUE(_xlpm.pairs),_xlpm.sortedPairs,_xlfn._xlws.SORT(_xlpm.uniquePairs,1,1),INDEX(_xlpm.sortedPairs,ROWS($L$2:L134),1)),"")</f>
        <v/>
      </c>
      <c r="M134" s="15" t="str" cm="1">
        <f t="array" ref="M134">IFERROR(_xlfn.LET(_xlpm.films,Table4[Film],_xlpm.grades,Table4[Grade],_xlpm.pairs,_xlfn._xlws.FILTER(_xlfn.HSTACK(_xlpm.films,_xlpm.grades),(_xlpm.films&lt;&gt;"")*(TRIM(_xlpm.grades)&lt;&gt;"")),_xlpm.uniquePairs,_xlfn.UNIQUE(_xlpm.pairs),_xlpm.sortedPairs,_xlfn._xlws.SORT(_xlpm.uniquePairs,1,1),INDEX(_xlpm.sortedPairs,ROWS($M$2:M134),2)),"")</f>
        <v/>
      </c>
      <c r="N134" s="15" t="str" cm="1">
        <f t="array" ref="N134">IF(OR(Table2[[#This Row],[Film]]="",Table2[[#This Row],[Grade]]=""),"",IFERROR(INDEX(Table4[Serial Number],MATCH(1,(Table4[Film]=Table2[[#This Row],[Film]])*(Table4[Grade]=Table2[[#This Row],[Grade]]),0)),""))</f>
        <v/>
      </c>
      <c r="O134" s="52" t="str">
        <f>IF(OR(Table2[[#This Row],[Film]]="",Table2[[#This Row],[Grade]]=""),"",SUMIFS(Table4[Price Calculated(€) Thickness &amp; QTY related],Table4[Film],Table2[[#This Row],[Film]],Table4[Grade],Table2[[#This Row],[Grade]]))</f>
        <v/>
      </c>
      <c r="P134" s="6"/>
      <c r="T134" s="6"/>
    </row>
    <row r="135" spans="1:20">
      <c r="A135" s="29" t="s">
        <v>45</v>
      </c>
      <c r="B135" s="29" t="s">
        <v>6</v>
      </c>
      <c r="C135" s="28" t="s">
        <v>15</v>
      </c>
      <c r="D135" s="28" t="str">
        <f>IF(C135="","",IFERROR(_xlfn.XLOOKUP(C135,HELPER!$A$2:$A$81,HELPER!$B$2:$B$81,""),D135))</f>
        <v>P65D</v>
      </c>
      <c r="E135" s="28" t="str">
        <f>IFERROR(_xlfn.XLOOKUP(D135,HELPER!$B:$B,HELPER!$C:$C,""),"")</f>
        <v>RMP65D</v>
      </c>
      <c r="F135" s="27" t="str">
        <f>IFERROR(_xlfn.XLOOKUP(D135,HELPER!$B:$B,HELPER!$D:$D,""),"")</f>
        <v>Resin 4A</v>
      </c>
      <c r="G135" s="27">
        <v>24</v>
      </c>
      <c r="H135" s="32">
        <v>0.19</v>
      </c>
      <c r="I135" s="8">
        <f>IF(AND(H135&lt;&gt;"",IFERROR(_xlfn.XLOOKUP(D135,HELPER!$B:$B,HELPER!$E:$E,""),"")=""),"Missing price",IFERROR(_xlfn.XLOOKUP(D135,HELPER!$B:$B,HELPER!$E:$E,"")," "))</f>
        <v>7.3</v>
      </c>
      <c r="J135" s="48">
        <f>IFERROR(H135*(IF(G135=8,I135*HELPER!$G$2,BOM!I135*HELPER!$G$3))," ")</f>
        <v>0.83219999999999994</v>
      </c>
      <c r="K135" s="6"/>
      <c r="L135" s="14" t="str" cm="1">
        <f t="array" ref="L135">IFERROR(_xlfn.LET(_xlpm.films,Table4[Film],_xlpm.grades,Table4[Grade],_xlpm.pairs,_xlfn._xlws.FILTER(_xlfn.HSTACK(_xlpm.films,_xlpm.grades),(_xlpm.films&lt;&gt;"")*(TRIM(_xlpm.grades)&lt;&gt;"")),_xlpm.uniquePairs,_xlfn.UNIQUE(_xlpm.pairs),_xlpm.sortedPairs,_xlfn._xlws.SORT(_xlpm.uniquePairs,1,1),INDEX(_xlpm.sortedPairs,ROWS($L$2:L135),1)),"")</f>
        <v/>
      </c>
      <c r="M135" s="15" t="str" cm="1">
        <f t="array" ref="M135">IFERROR(_xlfn.LET(_xlpm.films,Table4[Film],_xlpm.grades,Table4[Grade],_xlpm.pairs,_xlfn._xlws.FILTER(_xlfn.HSTACK(_xlpm.films,_xlpm.grades),(_xlpm.films&lt;&gt;"")*(TRIM(_xlpm.grades)&lt;&gt;"")),_xlpm.uniquePairs,_xlfn.UNIQUE(_xlpm.pairs),_xlpm.sortedPairs,_xlfn._xlws.SORT(_xlpm.uniquePairs,1,1),INDEX(_xlpm.sortedPairs,ROWS($M$2:M135),2)),"")</f>
        <v/>
      </c>
      <c r="N135" s="15" t="str" cm="1">
        <f t="array" ref="N135">IF(OR(Table2[[#This Row],[Film]]="",Table2[[#This Row],[Grade]]=""),"",IFERROR(INDEX(Table4[Serial Number],MATCH(1,(Table4[Film]=Table2[[#This Row],[Film]])*(Table4[Grade]=Table2[[#This Row],[Grade]]),0)),""))</f>
        <v/>
      </c>
      <c r="O135" s="52" t="str">
        <f>IF(OR(Table2[[#This Row],[Film]]="",Table2[[#This Row],[Grade]]=""),"",SUMIFS(Table4[Price Calculated(€) Thickness &amp; QTY related],Table4[Film],Table2[[#This Row],[Film]],Table4[Grade],Table2[[#This Row],[Grade]]))</f>
        <v/>
      </c>
      <c r="P135" s="6"/>
      <c r="T135" s="6"/>
    </row>
    <row r="136" spans="1:20">
      <c r="A136" s="29" t="s">
        <v>45</v>
      </c>
      <c r="B136" s="29" t="s">
        <v>6</v>
      </c>
      <c r="C136" s="28" t="s">
        <v>16</v>
      </c>
      <c r="D136" s="28" t="str">
        <f>IF(C136="","",IFERROR(_xlfn.XLOOKUP(C136,HELPER!$A$2:$A$81,HELPER!$B$2:$B$81,""),D136))</f>
        <v>S723</v>
      </c>
      <c r="E136" s="28" t="str">
        <f>IFERROR(_xlfn.XLOOKUP(D136,HELPER!$B:$B,HELPER!$C:$C,""),"")</f>
        <v>RM TA45-08 S723</v>
      </c>
      <c r="F136" s="27" t="str">
        <f>IFERROR(_xlfn.XLOOKUP(D136,HELPER!$B:$B,HELPER!$D:$D,""),"")</f>
        <v>Resin 6</v>
      </c>
      <c r="G136" s="27">
        <v>24</v>
      </c>
      <c r="H136" s="32">
        <v>1.4999999999999999E-2</v>
      </c>
      <c r="I136" s="8">
        <f>IF(AND(H136&lt;&gt;"",IFERROR(_xlfn.XLOOKUP(D136,HELPER!$B:$B,HELPER!$E:$E,""),"")=""),"Missing price",IFERROR(_xlfn.XLOOKUP(D136,HELPER!$B:$B,HELPER!$E:$E,"")," "))</f>
        <v>16.16</v>
      </c>
      <c r="J136" s="48">
        <f>IFERROR(H136*(IF(G136=8,I136*HELPER!$G$2,BOM!I136*HELPER!$G$3))," ")</f>
        <v>0.14543999999999999</v>
      </c>
      <c r="K136" s="6"/>
      <c r="L136" s="14" t="str" cm="1">
        <f t="array" ref="L136">IFERROR(_xlfn.LET(_xlpm.films,Table4[Film],_xlpm.grades,Table4[Grade],_xlpm.pairs,_xlfn._xlws.FILTER(_xlfn.HSTACK(_xlpm.films,_xlpm.grades),(_xlpm.films&lt;&gt;"")*(TRIM(_xlpm.grades)&lt;&gt;"")),_xlpm.uniquePairs,_xlfn.UNIQUE(_xlpm.pairs),_xlpm.sortedPairs,_xlfn._xlws.SORT(_xlpm.uniquePairs,1,1),INDEX(_xlpm.sortedPairs,ROWS($L$2:L136),1)),"")</f>
        <v/>
      </c>
      <c r="M136" s="15" t="str" cm="1">
        <f t="array" ref="M136">IFERROR(_xlfn.LET(_xlpm.films,Table4[Film],_xlpm.grades,Table4[Grade],_xlpm.pairs,_xlfn._xlws.FILTER(_xlfn.HSTACK(_xlpm.films,_xlpm.grades),(_xlpm.films&lt;&gt;"")*(TRIM(_xlpm.grades)&lt;&gt;"")),_xlpm.uniquePairs,_xlfn.UNIQUE(_xlpm.pairs),_xlpm.sortedPairs,_xlfn._xlws.SORT(_xlpm.uniquePairs,1,1),INDEX(_xlpm.sortedPairs,ROWS($M$2:M136),2)),"")</f>
        <v/>
      </c>
      <c r="N136" s="15" t="str" cm="1">
        <f t="array" ref="N136">IF(OR(Table2[[#This Row],[Film]]="",Table2[[#This Row],[Grade]]=""),"",IFERROR(INDEX(Table4[Serial Number],MATCH(1,(Table4[Film]=Table2[[#This Row],[Film]])*(Table4[Grade]=Table2[[#This Row],[Grade]]),0)),""))</f>
        <v/>
      </c>
      <c r="O136" s="52" t="str">
        <f>IF(OR(Table2[[#This Row],[Film]]="",Table2[[#This Row],[Grade]]=""),"",SUMIFS(Table4[Price Calculated(€) Thickness &amp; QTY related],Table4[Film],Table2[[#This Row],[Film]],Table4[Grade],Table2[[#This Row],[Grade]]))</f>
        <v/>
      </c>
      <c r="P136" s="6"/>
      <c r="T136" s="6"/>
    </row>
    <row r="137" spans="1:20">
      <c r="A137" s="29" t="s">
        <v>45</v>
      </c>
      <c r="B137" s="29" t="s">
        <v>6</v>
      </c>
      <c r="C137" s="28"/>
      <c r="D137" s="28" t="str">
        <f>IF(C137="","",IFERROR(_xlfn.XLOOKUP(C137,HELPER!$A$2:$A$81,HELPER!$B$2:$B$81,""),D137))</f>
        <v/>
      </c>
      <c r="E137" s="28" t="str">
        <f>IFERROR(_xlfn.XLOOKUP(D137,HELPER!$B:$B,HELPER!$C:$C,""),"")</f>
        <v/>
      </c>
      <c r="F137" s="27" t="str">
        <f>IFERROR(_xlfn.XLOOKUP(D137,HELPER!$B:$B,HELPER!$D:$D,""),"")</f>
        <v/>
      </c>
      <c r="G137" s="27">
        <v>24</v>
      </c>
      <c r="I137" s="8" t="str">
        <f>IF(AND(H137&lt;&gt;"",IFERROR(_xlfn.XLOOKUP(D137,HELPER!$B:$B,HELPER!$E:$E,""),"")=""),"Missing price",IFERROR(_xlfn.XLOOKUP(D137,HELPER!$B:$B,HELPER!$E:$E,"")," "))</f>
        <v/>
      </c>
      <c r="J137" s="48" t="str">
        <f>IFERROR(H137*(IF(G137=8,I137*HELPER!$G$2,BOM!I137*HELPER!$G$3))," ")</f>
        <v xml:space="preserve"> </v>
      </c>
      <c r="K137" s="6"/>
      <c r="L137" s="14" t="str" cm="1">
        <f t="array" ref="L137">IFERROR(_xlfn.LET(_xlpm.films,Table4[Film],_xlpm.grades,Table4[Grade],_xlpm.pairs,_xlfn._xlws.FILTER(_xlfn.HSTACK(_xlpm.films,_xlpm.grades),(_xlpm.films&lt;&gt;"")*(TRIM(_xlpm.grades)&lt;&gt;"")),_xlpm.uniquePairs,_xlfn.UNIQUE(_xlpm.pairs),_xlpm.sortedPairs,_xlfn._xlws.SORT(_xlpm.uniquePairs,1,1),INDEX(_xlpm.sortedPairs,ROWS($L$2:L137),1)),"")</f>
        <v/>
      </c>
      <c r="M137" s="15" t="str" cm="1">
        <f t="array" ref="M137">IFERROR(_xlfn.LET(_xlpm.films,Table4[Film],_xlpm.grades,Table4[Grade],_xlpm.pairs,_xlfn._xlws.FILTER(_xlfn.HSTACK(_xlpm.films,_xlpm.grades),(_xlpm.films&lt;&gt;"")*(TRIM(_xlpm.grades)&lt;&gt;"")),_xlpm.uniquePairs,_xlfn.UNIQUE(_xlpm.pairs),_xlpm.sortedPairs,_xlfn._xlws.SORT(_xlpm.uniquePairs,1,1),INDEX(_xlpm.sortedPairs,ROWS($M$2:M137),2)),"")</f>
        <v/>
      </c>
      <c r="N137" s="15" t="str" cm="1">
        <f t="array" ref="N137">IF(OR(Table2[[#This Row],[Film]]="",Table2[[#This Row],[Grade]]=""),"",IFERROR(INDEX(Table4[Serial Number],MATCH(1,(Table4[Film]=Table2[[#This Row],[Film]])*(Table4[Grade]=Table2[[#This Row],[Grade]]),0)),""))</f>
        <v/>
      </c>
      <c r="O137" s="52" t="str">
        <f>IF(OR(Table2[[#This Row],[Film]]="",Table2[[#This Row],[Grade]]=""),"",SUMIFS(Table4[Price Calculated(€) Thickness &amp; QTY related],Table4[Film],Table2[[#This Row],[Film]],Table4[Grade],Table2[[#This Row],[Grade]]))</f>
        <v/>
      </c>
      <c r="P137" s="6"/>
      <c r="T137" s="6"/>
    </row>
    <row r="138" spans="1:20">
      <c r="A138" s="29" t="s">
        <v>45</v>
      </c>
      <c r="B138" s="29" t="s">
        <v>6</v>
      </c>
      <c r="C138" s="28"/>
      <c r="D138" s="28" t="str">
        <f>IF(C138="","",IFERROR(_xlfn.XLOOKUP(C138,HELPER!$A$2:$A$81,HELPER!$B$2:$B$81,""),D138))</f>
        <v/>
      </c>
      <c r="E138" s="28" t="str">
        <f>IFERROR(_xlfn.XLOOKUP(D138,HELPER!$B:$B,HELPER!$C:$C,""),"")</f>
        <v/>
      </c>
      <c r="F138" s="27" t="str">
        <f>IFERROR(_xlfn.XLOOKUP(D138,HELPER!$B:$B,HELPER!$D:$D,""),"")</f>
        <v/>
      </c>
      <c r="G138" s="27">
        <v>24</v>
      </c>
      <c r="I138" s="8" t="str">
        <f>IF(AND(H138&lt;&gt;"",IFERROR(_xlfn.XLOOKUP(D138,HELPER!$B:$B,HELPER!$E:$E,""),"")=""),"Missing price",IFERROR(_xlfn.XLOOKUP(D138,HELPER!$B:$B,HELPER!$E:$E,"")," "))</f>
        <v/>
      </c>
      <c r="J138" s="48" t="str">
        <f>IFERROR(H138*(IF(G138=8,I138*HELPER!$G$2,BOM!I138*HELPER!$G$3))," ")</f>
        <v xml:space="preserve"> </v>
      </c>
      <c r="K138" s="6"/>
      <c r="L138" s="14" t="str" cm="1">
        <f t="array" ref="L138">IFERROR(_xlfn.LET(_xlpm.films,Table4[Film],_xlpm.grades,Table4[Grade],_xlpm.pairs,_xlfn._xlws.FILTER(_xlfn.HSTACK(_xlpm.films,_xlpm.grades),(_xlpm.films&lt;&gt;"")*(TRIM(_xlpm.grades)&lt;&gt;"")),_xlpm.uniquePairs,_xlfn.UNIQUE(_xlpm.pairs),_xlpm.sortedPairs,_xlfn._xlws.SORT(_xlpm.uniquePairs,1,1),INDEX(_xlpm.sortedPairs,ROWS($L$2:L138),1)),"")</f>
        <v/>
      </c>
      <c r="M138" s="15" t="str" cm="1">
        <f t="array" ref="M138">IFERROR(_xlfn.LET(_xlpm.films,Table4[Film],_xlpm.grades,Table4[Grade],_xlpm.pairs,_xlfn._xlws.FILTER(_xlfn.HSTACK(_xlpm.films,_xlpm.grades),(_xlpm.films&lt;&gt;"")*(TRIM(_xlpm.grades)&lt;&gt;"")),_xlpm.uniquePairs,_xlfn.UNIQUE(_xlpm.pairs),_xlpm.sortedPairs,_xlfn._xlws.SORT(_xlpm.uniquePairs,1,1),INDEX(_xlpm.sortedPairs,ROWS($M$2:M138),2)),"")</f>
        <v/>
      </c>
      <c r="N138" s="15" t="str" cm="1">
        <f t="array" ref="N138">IF(OR(Table2[[#This Row],[Film]]="",Table2[[#This Row],[Grade]]=""),"",IFERROR(INDEX(Table4[Serial Number],MATCH(1,(Table4[Film]=Table2[[#This Row],[Film]])*(Table4[Grade]=Table2[[#This Row],[Grade]]),0)),""))</f>
        <v/>
      </c>
      <c r="O138" s="52" t="str">
        <f>IF(OR(Table2[[#This Row],[Film]]="",Table2[[#This Row],[Grade]]=""),"",SUMIFS(Table4[Price Calculated(€) Thickness &amp; QTY related],Table4[Film],Table2[[#This Row],[Film]],Table4[Grade],Table2[[#This Row],[Grade]]))</f>
        <v/>
      </c>
      <c r="P138" s="6"/>
      <c r="T138" s="6"/>
    </row>
    <row r="139" spans="1:20">
      <c r="A139" s="29" t="s">
        <v>45</v>
      </c>
      <c r="B139" s="29" t="s">
        <v>6</v>
      </c>
      <c r="C139" s="28"/>
      <c r="D139" s="28" t="str">
        <f>IF(C139="","",IFERROR(_xlfn.XLOOKUP(C139,HELPER!$A$2:$A$81,HELPER!$B$2:$B$81,""),D139))</f>
        <v/>
      </c>
      <c r="E139" s="28" t="str">
        <f>IFERROR(_xlfn.XLOOKUP(D139,HELPER!$B:$B,HELPER!$C:$C,""),"")</f>
        <v/>
      </c>
      <c r="F139" s="27" t="str">
        <f>IFERROR(_xlfn.XLOOKUP(D139,HELPER!$B:$B,HELPER!$D:$D,""),"")</f>
        <v/>
      </c>
      <c r="G139" s="27">
        <v>24</v>
      </c>
      <c r="I139" s="8" t="str">
        <f>IF(AND(H139&lt;&gt;"",IFERROR(_xlfn.XLOOKUP(D139,HELPER!$B:$B,HELPER!$E:$E,""),"")=""),"Missing price",IFERROR(_xlfn.XLOOKUP(D139,HELPER!$B:$B,HELPER!$E:$E,"")," "))</f>
        <v/>
      </c>
      <c r="J139" s="48" t="str">
        <f>IFERROR(H139*(IF(G139=8,I139*HELPER!$G$2,BOM!I139*HELPER!$G$3))," ")</f>
        <v xml:space="preserve"> </v>
      </c>
      <c r="K139" s="6"/>
      <c r="L139" s="14" t="str" cm="1">
        <f t="array" ref="L139">IFERROR(_xlfn.LET(_xlpm.films,Table4[Film],_xlpm.grades,Table4[Grade],_xlpm.pairs,_xlfn._xlws.FILTER(_xlfn.HSTACK(_xlpm.films,_xlpm.grades),(_xlpm.films&lt;&gt;"")*(TRIM(_xlpm.grades)&lt;&gt;"")),_xlpm.uniquePairs,_xlfn.UNIQUE(_xlpm.pairs),_xlpm.sortedPairs,_xlfn._xlws.SORT(_xlpm.uniquePairs,1,1),INDEX(_xlpm.sortedPairs,ROWS($L$2:L139),1)),"")</f>
        <v/>
      </c>
      <c r="M139" s="15" t="str" cm="1">
        <f t="array" ref="M139">IFERROR(_xlfn.LET(_xlpm.films,Table4[Film],_xlpm.grades,Table4[Grade],_xlpm.pairs,_xlfn._xlws.FILTER(_xlfn.HSTACK(_xlpm.films,_xlpm.grades),(_xlpm.films&lt;&gt;"")*(TRIM(_xlpm.grades)&lt;&gt;"")),_xlpm.uniquePairs,_xlfn.UNIQUE(_xlpm.pairs),_xlpm.sortedPairs,_xlfn._xlws.SORT(_xlpm.uniquePairs,1,1),INDEX(_xlpm.sortedPairs,ROWS($M$2:M139),2)),"")</f>
        <v/>
      </c>
      <c r="N139" s="15" t="str" cm="1">
        <f t="array" ref="N139">IF(OR(Table2[[#This Row],[Film]]="",Table2[[#This Row],[Grade]]=""),"",IFERROR(INDEX(Table4[Serial Number],MATCH(1,(Table4[Film]=Table2[[#This Row],[Film]])*(Table4[Grade]=Table2[[#This Row],[Grade]]),0)),""))</f>
        <v/>
      </c>
      <c r="O139" s="52" t="str">
        <f>IF(OR(Table2[[#This Row],[Film]]="",Table2[[#This Row],[Grade]]=""),"",SUMIFS(Table4[Price Calculated(€) Thickness &amp; QTY related],Table4[Film],Table2[[#This Row],[Film]],Table4[Grade],Table2[[#This Row],[Grade]]))</f>
        <v/>
      </c>
      <c r="P139" s="6"/>
      <c r="T139" s="6"/>
    </row>
    <row r="140" spans="1:20">
      <c r="A140" s="29" t="s">
        <v>45</v>
      </c>
      <c r="B140" s="29" t="s">
        <v>6</v>
      </c>
      <c r="C140" s="28"/>
      <c r="D140" s="28" t="str">
        <f>IF(C140="","",IFERROR(_xlfn.XLOOKUP(C140,HELPER!$A$2:$A$81,HELPER!$B$2:$B$81,""),D140))</f>
        <v/>
      </c>
      <c r="E140" s="28" t="str">
        <f>IFERROR(_xlfn.XLOOKUP(D140,HELPER!$B:$B,HELPER!$C:$C,""),"")</f>
        <v/>
      </c>
      <c r="F140" s="27" t="str">
        <f>IFERROR(_xlfn.XLOOKUP(D140,HELPER!$B:$B,HELPER!$D:$D,""),"")</f>
        <v/>
      </c>
      <c r="G140" s="27">
        <v>24</v>
      </c>
      <c r="I140" s="8" t="str">
        <f>IF(AND(H140&lt;&gt;"",IFERROR(_xlfn.XLOOKUP(D140,HELPER!$B:$B,HELPER!$E:$E,""),"")=""),"Missing price",IFERROR(_xlfn.XLOOKUP(D140,HELPER!$B:$B,HELPER!$E:$E,"")," "))</f>
        <v/>
      </c>
      <c r="J140" s="48" t="str">
        <f>IFERROR(H140*(IF(G140=8,I140*HELPER!$G$2,BOM!I140*HELPER!$G$3))," ")</f>
        <v xml:space="preserve"> </v>
      </c>
      <c r="K140" s="6"/>
      <c r="L140" s="14" t="str" cm="1">
        <f t="array" ref="L140">IFERROR(_xlfn.LET(_xlpm.films,Table4[Film],_xlpm.grades,Table4[Grade],_xlpm.pairs,_xlfn._xlws.FILTER(_xlfn.HSTACK(_xlpm.films,_xlpm.grades),(_xlpm.films&lt;&gt;"")*(TRIM(_xlpm.grades)&lt;&gt;"")),_xlpm.uniquePairs,_xlfn.UNIQUE(_xlpm.pairs),_xlpm.sortedPairs,_xlfn._xlws.SORT(_xlpm.uniquePairs,1,1),INDEX(_xlpm.sortedPairs,ROWS($L$2:L140),1)),"")</f>
        <v/>
      </c>
      <c r="M140" s="15" t="str" cm="1">
        <f t="array" ref="M140">IFERROR(_xlfn.LET(_xlpm.films,Table4[Film],_xlpm.grades,Table4[Grade],_xlpm.pairs,_xlfn._xlws.FILTER(_xlfn.HSTACK(_xlpm.films,_xlpm.grades),(_xlpm.films&lt;&gt;"")*(TRIM(_xlpm.grades)&lt;&gt;"")),_xlpm.uniquePairs,_xlfn.UNIQUE(_xlpm.pairs),_xlpm.sortedPairs,_xlfn._xlws.SORT(_xlpm.uniquePairs,1,1),INDEX(_xlpm.sortedPairs,ROWS($M$2:M140),2)),"")</f>
        <v/>
      </c>
      <c r="N140" s="15" t="str" cm="1">
        <f t="array" ref="N140">IF(OR(Table2[[#This Row],[Film]]="",Table2[[#This Row],[Grade]]=""),"",IFERROR(INDEX(Table4[Serial Number],MATCH(1,(Table4[Film]=Table2[[#This Row],[Film]])*(Table4[Grade]=Table2[[#This Row],[Grade]]),0)),""))</f>
        <v/>
      </c>
      <c r="O140" s="52" t="str">
        <f>IF(OR(Table2[[#This Row],[Film]]="",Table2[[#This Row],[Grade]]=""),"",SUMIFS(Table4[Price Calculated(€) Thickness &amp; QTY related],Table4[Film],Table2[[#This Row],[Film]],Table4[Grade],Table2[[#This Row],[Grade]]))</f>
        <v/>
      </c>
      <c r="P140" s="6"/>
      <c r="T140" s="6"/>
    </row>
    <row r="141" spans="1:20">
      <c r="A141" s="29" t="s">
        <v>45</v>
      </c>
      <c r="B141" s="29" t="s">
        <v>6</v>
      </c>
      <c r="C141" s="28"/>
      <c r="D141" s="28" t="str">
        <f>IF(C141="","",IFERROR(_xlfn.XLOOKUP(C141,HELPER!$A$2:$A$81,HELPER!$B$2:$B$81,""),D141))</f>
        <v/>
      </c>
      <c r="E141" s="28" t="str">
        <f>IFERROR(_xlfn.XLOOKUP(D141,HELPER!$B:$B,HELPER!$C:$C,""),"")</f>
        <v/>
      </c>
      <c r="F141" s="27" t="str">
        <f>IFERROR(_xlfn.XLOOKUP(D141,HELPER!$B:$B,HELPER!$D:$D,""),"")</f>
        <v/>
      </c>
      <c r="G141" s="27">
        <v>24</v>
      </c>
      <c r="I141" s="8" t="str">
        <f>IF(AND(H141&lt;&gt;"",IFERROR(_xlfn.XLOOKUP(D141,HELPER!$B:$B,HELPER!$E:$E,""),"")=""),"Missing price",IFERROR(_xlfn.XLOOKUP(D141,HELPER!$B:$B,HELPER!$E:$E,"")," "))</f>
        <v/>
      </c>
      <c r="J141" s="48" t="str">
        <f>IFERROR(H141*(IF(G141=8,I141*HELPER!$G$2,BOM!I141*HELPER!$G$3))," ")</f>
        <v xml:space="preserve"> </v>
      </c>
      <c r="K141" s="6"/>
      <c r="L141" s="14" t="str" cm="1">
        <f t="array" ref="L141">IFERROR(_xlfn.LET(_xlpm.films,Table4[Film],_xlpm.grades,Table4[Grade],_xlpm.pairs,_xlfn._xlws.FILTER(_xlfn.HSTACK(_xlpm.films,_xlpm.grades),(_xlpm.films&lt;&gt;"")*(TRIM(_xlpm.grades)&lt;&gt;"")),_xlpm.uniquePairs,_xlfn.UNIQUE(_xlpm.pairs),_xlpm.sortedPairs,_xlfn._xlws.SORT(_xlpm.uniquePairs,1,1),INDEX(_xlpm.sortedPairs,ROWS($L$2:L141),1)),"")</f>
        <v/>
      </c>
      <c r="M141" s="15" t="str" cm="1">
        <f t="array" ref="M141">IFERROR(_xlfn.LET(_xlpm.films,Table4[Film],_xlpm.grades,Table4[Grade],_xlpm.pairs,_xlfn._xlws.FILTER(_xlfn.HSTACK(_xlpm.films,_xlpm.grades),(_xlpm.films&lt;&gt;"")*(TRIM(_xlpm.grades)&lt;&gt;"")),_xlpm.uniquePairs,_xlfn.UNIQUE(_xlpm.pairs),_xlpm.sortedPairs,_xlfn._xlws.SORT(_xlpm.uniquePairs,1,1),INDEX(_xlpm.sortedPairs,ROWS($M$2:M141),2)),"")</f>
        <v/>
      </c>
      <c r="N141" s="15" t="str" cm="1">
        <f t="array" ref="N141">IF(OR(Table2[[#This Row],[Film]]="",Table2[[#This Row],[Grade]]=""),"",IFERROR(INDEX(Table4[Serial Number],MATCH(1,(Table4[Film]=Table2[[#This Row],[Film]])*(Table4[Grade]=Table2[[#This Row],[Grade]]),0)),""))</f>
        <v/>
      </c>
      <c r="O141" s="52" t="str">
        <f>IF(OR(Table2[[#This Row],[Film]]="",Table2[[#This Row],[Grade]]=""),"",SUMIFS(Table4[Price Calculated(€) Thickness &amp; QTY related],Table4[Film],Table2[[#This Row],[Film]],Table4[Grade],Table2[[#This Row],[Grade]]))</f>
        <v/>
      </c>
      <c r="P141" s="6"/>
      <c r="T141" s="6"/>
    </row>
    <row r="142" spans="1:20">
      <c r="A142" s="29" t="s">
        <v>45</v>
      </c>
      <c r="B142" s="29" t="s">
        <v>7</v>
      </c>
      <c r="C142" s="28" t="s">
        <v>12</v>
      </c>
      <c r="D142" s="28" t="str">
        <f>IF(C142="","",IFERROR(_xlfn.XLOOKUP(C142,HELPER!$A$2:$A$81,HELPER!$B$2:$B$81,""),D142))</f>
        <v>FD92PM</v>
      </c>
      <c r="E142" s="28" t="str">
        <f>IFERROR(_xlfn.XLOOKUP(D142,HELPER!$B:$B,HELPER!$C:$C,""),"")</f>
        <v>RMPM2</v>
      </c>
      <c r="F142" s="27" t="str">
        <f>IFERROR(_xlfn.XLOOKUP(D142,HELPER!$B:$B,HELPER!$D:$D,""),"")</f>
        <v>Resin 9C</v>
      </c>
      <c r="G142" s="27">
        <v>8</v>
      </c>
      <c r="H142" s="32">
        <v>0.80800000000000005</v>
      </c>
      <c r="I142" s="8">
        <f>IF(AND(H142&lt;&gt;"",IFERROR(_xlfn.XLOOKUP(D142,HELPER!$B:$B,HELPER!$E:$E,""),"")=""),"Missing price",IFERROR(_xlfn.XLOOKUP(D142,HELPER!$B:$B,HELPER!$E:$E,"")," "))</f>
        <v>6.75</v>
      </c>
      <c r="J142" s="48">
        <f>IFERROR(H142*(IF(G142=8,I142*HELPER!$G$2,BOM!I142*HELPER!$G$3))," ")</f>
        <v>1.0908000000000002</v>
      </c>
      <c r="K142" s="6"/>
      <c r="L142" s="14" t="str" cm="1">
        <f t="array" ref="L142">IFERROR(_xlfn.LET(_xlpm.films,Table4[Film],_xlpm.grades,Table4[Grade],_xlpm.pairs,_xlfn._xlws.FILTER(_xlfn.HSTACK(_xlpm.films,_xlpm.grades),(_xlpm.films&lt;&gt;"")*(TRIM(_xlpm.grades)&lt;&gt;"")),_xlpm.uniquePairs,_xlfn.UNIQUE(_xlpm.pairs),_xlpm.sortedPairs,_xlfn._xlws.SORT(_xlpm.uniquePairs,1,1),INDEX(_xlpm.sortedPairs,ROWS($L$2:L142),1)),"")</f>
        <v/>
      </c>
      <c r="M142" s="15" t="str" cm="1">
        <f t="array" ref="M142">IFERROR(_xlfn.LET(_xlpm.films,Table4[Film],_xlpm.grades,Table4[Grade],_xlpm.pairs,_xlfn._xlws.FILTER(_xlfn.HSTACK(_xlpm.films,_xlpm.grades),(_xlpm.films&lt;&gt;"")*(TRIM(_xlpm.grades)&lt;&gt;"")),_xlpm.uniquePairs,_xlfn.UNIQUE(_xlpm.pairs),_xlpm.sortedPairs,_xlfn._xlws.SORT(_xlpm.uniquePairs,1,1),INDEX(_xlpm.sortedPairs,ROWS($M$2:M142),2)),"")</f>
        <v/>
      </c>
      <c r="N142" s="15" t="str" cm="1">
        <f t="array" ref="N142">IF(OR(Table2[[#This Row],[Film]]="",Table2[[#This Row],[Grade]]=""),"",IFERROR(INDEX(Table4[Serial Number],MATCH(1,(Table4[Film]=Table2[[#This Row],[Film]])*(Table4[Grade]=Table2[[#This Row],[Grade]]),0)),""))</f>
        <v/>
      </c>
      <c r="O142" s="52" t="str">
        <f>IF(OR(Table2[[#This Row],[Film]]="",Table2[[#This Row],[Grade]]=""),"",SUMIFS(Table4[Price Calculated(€) Thickness &amp; QTY related],Table4[Film],Table2[[#This Row],[Film]],Table4[Grade],Table2[[#This Row],[Grade]]))</f>
        <v/>
      </c>
      <c r="P142" s="6"/>
      <c r="T142" s="6"/>
    </row>
    <row r="143" spans="1:20">
      <c r="A143" s="29" t="s">
        <v>45</v>
      </c>
      <c r="B143" s="29" t="s">
        <v>7</v>
      </c>
      <c r="C143" s="28" t="s">
        <v>13</v>
      </c>
      <c r="D143" s="28" t="str">
        <f>IF(C143="","",IFERROR(_xlfn.XLOOKUP(C143,HELPER!$A$2:$A$81,HELPER!$B$2:$B$81,""),D143))</f>
        <v>LX175</v>
      </c>
      <c r="E143" s="28" t="str">
        <f>IFERROR(_xlfn.XLOOKUP(D143,HELPER!$B:$B,HELPER!$C:$C,""),"")</f>
        <v>RMLX175</v>
      </c>
      <c r="F143" s="27" t="str">
        <f>IFERROR(_xlfn.XLOOKUP(D143,HELPER!$B:$B,HELPER!$D:$D,""),"")</f>
        <v>Resin 1A</v>
      </c>
      <c r="G143" s="27">
        <v>8</v>
      </c>
      <c r="H143" s="32">
        <v>0.14199999999999999</v>
      </c>
      <c r="I143" s="8">
        <f>IF(AND(H143&lt;&gt;"",IFERROR(_xlfn.XLOOKUP(D143,HELPER!$B:$B,HELPER!$E:$E,""),"")=""),"Missing price",IFERROR(_xlfn.XLOOKUP(D143,HELPER!$B:$B,HELPER!$E:$E,"")," "))</f>
        <v>3.17</v>
      </c>
      <c r="J143" s="48">
        <f>IFERROR(H143*(IF(G143=8,I143*HELPER!$G$2,BOM!I143*HELPER!$G$3))," ")</f>
        <v>9.0027999999999997E-2</v>
      </c>
      <c r="K143" s="6"/>
      <c r="L143" s="14" t="str" cm="1">
        <f t="array" ref="L143">IFERROR(_xlfn.LET(_xlpm.films,Table4[Film],_xlpm.grades,Table4[Grade],_xlpm.pairs,_xlfn._xlws.FILTER(_xlfn.HSTACK(_xlpm.films,_xlpm.grades),(_xlpm.films&lt;&gt;"")*(TRIM(_xlpm.grades)&lt;&gt;"")),_xlpm.uniquePairs,_xlfn.UNIQUE(_xlpm.pairs),_xlpm.sortedPairs,_xlfn._xlws.SORT(_xlpm.uniquePairs,1,1),INDEX(_xlpm.sortedPairs,ROWS($L$2:L143),1)),"")</f>
        <v/>
      </c>
      <c r="M143" s="15" t="str" cm="1">
        <f t="array" ref="M143">IFERROR(_xlfn.LET(_xlpm.films,Table4[Film],_xlpm.grades,Table4[Grade],_xlpm.pairs,_xlfn._xlws.FILTER(_xlfn.HSTACK(_xlpm.films,_xlpm.grades),(_xlpm.films&lt;&gt;"")*(TRIM(_xlpm.grades)&lt;&gt;"")),_xlpm.uniquePairs,_xlfn.UNIQUE(_xlpm.pairs),_xlpm.sortedPairs,_xlfn._xlws.SORT(_xlpm.uniquePairs,1,1),INDEX(_xlpm.sortedPairs,ROWS($M$2:M143),2)),"")</f>
        <v/>
      </c>
      <c r="N143" s="15" t="str" cm="1">
        <f t="array" ref="N143">IF(OR(Table2[[#This Row],[Film]]="",Table2[[#This Row],[Grade]]=""),"",IFERROR(INDEX(Table4[Serial Number],MATCH(1,(Table4[Film]=Table2[[#This Row],[Film]])*(Table4[Grade]=Table2[[#This Row],[Grade]]),0)),""))</f>
        <v/>
      </c>
      <c r="O143" s="52" t="str">
        <f>IF(OR(Table2[[#This Row],[Film]]="",Table2[[#This Row],[Grade]]=""),"",SUMIFS(Table4[Price Calculated(€) Thickness &amp; QTY related],Table4[Film],Table2[[#This Row],[Film]],Table4[Grade],Table2[[#This Row],[Grade]]))</f>
        <v/>
      </c>
      <c r="P143" s="6"/>
      <c r="T143" s="6"/>
    </row>
    <row r="144" spans="1:20">
      <c r="A144" s="29" t="s">
        <v>45</v>
      </c>
      <c r="B144" s="29" t="s">
        <v>7</v>
      </c>
      <c r="C144" s="28" t="s">
        <v>18</v>
      </c>
      <c r="D144" s="28" t="str">
        <f>IF(C144="","",IFERROR(_xlfn.XLOOKUP(C144,HELPER!$A$2:$A$81,HELPER!$B$2:$B$81,""),D144))</f>
        <v>KAB59A</v>
      </c>
      <c r="E144" s="28" t="str">
        <f>IFERROR(_xlfn.XLOOKUP(D144,HELPER!$B:$B,HELPER!$C:$C,""),"")</f>
        <v>RM A KAB59A</v>
      </c>
      <c r="F144" s="27" t="str">
        <f>IFERROR(_xlfn.XLOOKUP(D144,HELPER!$B:$B,HELPER!$D:$D,""),"")</f>
        <v>Resin 8</v>
      </c>
      <c r="G144" s="27">
        <v>8</v>
      </c>
      <c r="H144" s="32">
        <v>1.4999999999999999E-2</v>
      </c>
      <c r="I144" s="8">
        <f>IF(AND(H144&lt;&gt;"",IFERROR(_xlfn.XLOOKUP(D144,HELPER!$B:$B,HELPER!$E:$E,""),"")=""),"Missing price",IFERROR(_xlfn.XLOOKUP(D144,HELPER!$B:$B,HELPER!$E:$E,"")," "))</f>
        <v>7.55</v>
      </c>
      <c r="J144" s="48">
        <f>IFERROR(H144*(IF(G144=8,I144*HELPER!$G$2,BOM!I144*HELPER!$G$3))," ")</f>
        <v>2.265E-2</v>
      </c>
      <c r="K144" s="6"/>
      <c r="L144" s="14" t="str" cm="1">
        <f t="array" ref="L144">IFERROR(_xlfn.LET(_xlpm.films,Table4[Film],_xlpm.grades,Table4[Grade],_xlpm.pairs,_xlfn._xlws.FILTER(_xlfn.HSTACK(_xlpm.films,_xlpm.grades),(_xlpm.films&lt;&gt;"")*(TRIM(_xlpm.grades)&lt;&gt;"")),_xlpm.uniquePairs,_xlfn.UNIQUE(_xlpm.pairs),_xlpm.sortedPairs,_xlfn._xlws.SORT(_xlpm.uniquePairs,1,1),INDEX(_xlpm.sortedPairs,ROWS($L$2:L144),1)),"")</f>
        <v/>
      </c>
      <c r="M144" s="15" t="str" cm="1">
        <f t="array" ref="M144">IFERROR(_xlfn.LET(_xlpm.films,Table4[Film],_xlpm.grades,Table4[Grade],_xlpm.pairs,_xlfn._xlws.FILTER(_xlfn.HSTACK(_xlpm.films,_xlpm.grades),(_xlpm.films&lt;&gt;"")*(TRIM(_xlpm.grades)&lt;&gt;"")),_xlpm.uniquePairs,_xlfn.UNIQUE(_xlpm.pairs),_xlpm.sortedPairs,_xlfn._xlws.SORT(_xlpm.uniquePairs,1,1),INDEX(_xlpm.sortedPairs,ROWS($M$2:M144),2)),"")</f>
        <v/>
      </c>
      <c r="N144" s="15" t="str" cm="1">
        <f t="array" ref="N144">IF(OR(Table2[[#This Row],[Film]]="",Table2[[#This Row],[Grade]]=""),"",IFERROR(INDEX(Table4[Serial Number],MATCH(1,(Table4[Film]=Table2[[#This Row],[Film]])*(Table4[Grade]=Table2[[#This Row],[Grade]]),0)),""))</f>
        <v/>
      </c>
      <c r="O144" s="52" t="str">
        <f>IF(OR(Table2[[#This Row],[Film]]="",Table2[[#This Row],[Grade]]=""),"",SUMIFS(Table4[Price Calculated(€) Thickness &amp; QTY related],Table4[Film],Table2[[#This Row],[Film]],Table4[Grade],Table2[[#This Row],[Grade]]))</f>
        <v/>
      </c>
      <c r="P144" s="6"/>
      <c r="T144" s="6"/>
    </row>
    <row r="145" spans="1:20">
      <c r="A145" s="29" t="s">
        <v>45</v>
      </c>
      <c r="B145" s="29" t="s">
        <v>7</v>
      </c>
      <c r="C145" s="28" t="s">
        <v>16</v>
      </c>
      <c r="D145" s="28" t="str">
        <f>IF(C145="","",IFERROR(_xlfn.XLOOKUP(C145,HELPER!$A$2:$A$81,HELPER!$B$2:$B$81,""),D145))</f>
        <v>S723</v>
      </c>
      <c r="E145" s="28" t="str">
        <f>IFERROR(_xlfn.XLOOKUP(D145,HELPER!$B:$B,HELPER!$C:$C,""),"")</f>
        <v>RM TA45-08 S723</v>
      </c>
      <c r="F145" s="27" t="str">
        <f>IFERROR(_xlfn.XLOOKUP(D145,HELPER!$B:$B,HELPER!$D:$D,""),"")</f>
        <v>Resin 6</v>
      </c>
      <c r="G145" s="27">
        <v>8</v>
      </c>
      <c r="H145" s="32">
        <v>1.4999999999999999E-2</v>
      </c>
      <c r="I145" s="8">
        <f>IF(AND(H145&lt;&gt;"",IFERROR(_xlfn.XLOOKUP(D145,HELPER!$B:$B,HELPER!$E:$E,""),"")=""),"Missing price",IFERROR(_xlfn.XLOOKUP(D145,HELPER!$B:$B,HELPER!$E:$E,"")," "))</f>
        <v>16.16</v>
      </c>
      <c r="J145" s="48">
        <f>IFERROR(H145*(IF(G145=8,I145*HELPER!$G$2,BOM!I145*HELPER!$G$3))," ")</f>
        <v>4.8480000000000002E-2</v>
      </c>
      <c r="K145" s="6"/>
      <c r="L145" s="14" t="str" cm="1">
        <f t="array" ref="L145">IFERROR(_xlfn.LET(_xlpm.films,Table4[Film],_xlpm.grades,Table4[Grade],_xlpm.pairs,_xlfn._xlws.FILTER(_xlfn.HSTACK(_xlpm.films,_xlpm.grades),(_xlpm.films&lt;&gt;"")*(TRIM(_xlpm.grades)&lt;&gt;"")),_xlpm.uniquePairs,_xlfn.UNIQUE(_xlpm.pairs),_xlpm.sortedPairs,_xlfn._xlws.SORT(_xlpm.uniquePairs,1,1),INDEX(_xlpm.sortedPairs,ROWS($L$2:L145),1)),"")</f>
        <v/>
      </c>
      <c r="M145" s="15" t="str" cm="1">
        <f t="array" ref="M145">IFERROR(_xlfn.LET(_xlpm.films,Table4[Film],_xlpm.grades,Table4[Grade],_xlpm.pairs,_xlfn._xlws.FILTER(_xlfn.HSTACK(_xlpm.films,_xlpm.grades),(_xlpm.films&lt;&gt;"")*(TRIM(_xlpm.grades)&lt;&gt;"")),_xlpm.uniquePairs,_xlfn.UNIQUE(_xlpm.pairs),_xlpm.sortedPairs,_xlfn._xlws.SORT(_xlpm.uniquePairs,1,1),INDEX(_xlpm.sortedPairs,ROWS($M$2:M145),2)),"")</f>
        <v/>
      </c>
      <c r="N145" s="15" t="str" cm="1">
        <f t="array" ref="N145">IF(OR(Table2[[#This Row],[Film]]="",Table2[[#This Row],[Grade]]=""),"",IFERROR(INDEX(Table4[Serial Number],MATCH(1,(Table4[Film]=Table2[[#This Row],[Film]])*(Table4[Grade]=Table2[[#This Row],[Grade]]),0)),""))</f>
        <v/>
      </c>
      <c r="O145" s="52" t="str">
        <f>IF(OR(Table2[[#This Row],[Film]]="",Table2[[#This Row],[Grade]]=""),"",SUMIFS(Table4[Price Calculated(€) Thickness &amp; QTY related],Table4[Film],Table2[[#This Row],[Film]],Table4[Grade],Table2[[#This Row],[Grade]]))</f>
        <v/>
      </c>
      <c r="P145" s="6"/>
      <c r="T145" s="6"/>
    </row>
    <row r="146" spans="1:20">
      <c r="A146" s="29" t="s">
        <v>45</v>
      </c>
      <c r="B146" s="29" t="s">
        <v>7</v>
      </c>
      <c r="C146" s="28" t="s">
        <v>17</v>
      </c>
      <c r="D146" s="28" t="str">
        <f>IF(C146="","",IFERROR(_xlfn.XLOOKUP(C146,HELPER!$A$2:$A$81,HELPER!$B$2:$B$81,""),D146))</f>
        <v>S724</v>
      </c>
      <c r="E146" s="28" t="str">
        <f>IFERROR(_xlfn.XLOOKUP(D146,HELPER!$B:$B,HELPER!$C:$C,""),"")</f>
        <v>RM TA45-08 S724</v>
      </c>
      <c r="F146" s="27" t="str">
        <f>IFERROR(_xlfn.XLOOKUP(D146,HELPER!$B:$B,HELPER!$D:$D,""),"")</f>
        <v>Resin 7</v>
      </c>
      <c r="G146" s="27">
        <v>8</v>
      </c>
      <c r="H146" s="32">
        <v>0.02</v>
      </c>
      <c r="I146" s="8">
        <f>IF(AND(H146&lt;&gt;"",IFERROR(_xlfn.XLOOKUP(D146,HELPER!$B:$B,HELPER!$E:$E,""),"")=""),"Missing price",IFERROR(_xlfn.XLOOKUP(D146,HELPER!$B:$B,HELPER!$E:$E,"")," "))</f>
        <v>14.7</v>
      </c>
      <c r="J146" s="48">
        <f>IFERROR(H146*(IF(G146=8,I146*HELPER!$G$2,BOM!I146*HELPER!$G$3))," ")</f>
        <v>5.8799999999999998E-2</v>
      </c>
      <c r="K146" s="6"/>
      <c r="L146" s="14" t="str" cm="1">
        <f t="array" ref="L146">IFERROR(_xlfn.LET(_xlpm.films,Table4[Film],_xlpm.grades,Table4[Grade],_xlpm.pairs,_xlfn._xlws.FILTER(_xlfn.HSTACK(_xlpm.films,_xlpm.grades),(_xlpm.films&lt;&gt;"")*(TRIM(_xlpm.grades)&lt;&gt;"")),_xlpm.uniquePairs,_xlfn.UNIQUE(_xlpm.pairs),_xlpm.sortedPairs,_xlfn._xlws.SORT(_xlpm.uniquePairs,1,1),INDEX(_xlpm.sortedPairs,ROWS($L$2:L146),1)),"")</f>
        <v/>
      </c>
      <c r="M146" s="15" t="str" cm="1">
        <f t="array" ref="M146">IFERROR(_xlfn.LET(_xlpm.films,Table4[Film],_xlpm.grades,Table4[Grade],_xlpm.pairs,_xlfn._xlws.FILTER(_xlfn.HSTACK(_xlpm.films,_xlpm.grades),(_xlpm.films&lt;&gt;"")*(TRIM(_xlpm.grades)&lt;&gt;"")),_xlpm.uniquePairs,_xlfn.UNIQUE(_xlpm.pairs),_xlpm.sortedPairs,_xlfn._xlws.SORT(_xlpm.uniquePairs,1,1),INDEX(_xlpm.sortedPairs,ROWS($M$2:M146),2)),"")</f>
        <v/>
      </c>
      <c r="N146" s="15" t="str" cm="1">
        <f t="array" ref="N146">IF(OR(Table2[[#This Row],[Film]]="",Table2[[#This Row],[Grade]]=""),"",IFERROR(INDEX(Table4[Serial Number],MATCH(1,(Table4[Film]=Table2[[#This Row],[Film]])*(Table4[Grade]=Table2[[#This Row],[Grade]]),0)),""))</f>
        <v/>
      </c>
      <c r="O146" s="52" t="str">
        <f>IF(OR(Table2[[#This Row],[Film]]="",Table2[[#This Row],[Grade]]=""),"",SUMIFS(Table4[Price Calculated(€) Thickness &amp; QTY related],Table4[Film],Table2[[#This Row],[Film]],Table4[Grade],Table2[[#This Row],[Grade]]))</f>
        <v/>
      </c>
      <c r="P146" s="6"/>
      <c r="T146" s="6"/>
    </row>
    <row r="147" spans="1:20">
      <c r="A147" s="29" t="s">
        <v>45</v>
      </c>
      <c r="B147" s="29" t="s">
        <v>7</v>
      </c>
      <c r="C147" s="28"/>
      <c r="D147" s="28" t="str">
        <f>IF(C147="","",IFERROR(_xlfn.XLOOKUP(C147,HELPER!$A$2:$A$81,HELPER!$B$2:$B$81,""),D147))</f>
        <v/>
      </c>
      <c r="E147" s="28" t="str">
        <f>IFERROR(_xlfn.XLOOKUP(D147,HELPER!$B:$B,HELPER!$C:$C,""),"")</f>
        <v/>
      </c>
      <c r="F147" s="27" t="str">
        <f>IFERROR(_xlfn.XLOOKUP(D147,HELPER!$B:$B,HELPER!$D:$D,""),"")</f>
        <v/>
      </c>
      <c r="G147" s="27">
        <v>8</v>
      </c>
      <c r="I147" s="8" t="str">
        <f>IF(AND(H147&lt;&gt;"",IFERROR(_xlfn.XLOOKUP(D147,HELPER!$B:$B,HELPER!$E:$E,""),"")=""),"Missing price",IFERROR(_xlfn.XLOOKUP(D147,HELPER!$B:$B,HELPER!$E:$E,"")," "))</f>
        <v/>
      </c>
      <c r="J147" s="48" t="str">
        <f>IFERROR(H147*(IF(G147=8,I147*HELPER!$G$2,BOM!I147*HELPER!$G$3))," ")</f>
        <v xml:space="preserve"> </v>
      </c>
      <c r="K147" s="6"/>
      <c r="L147" s="14" t="str" cm="1">
        <f t="array" ref="L147">IFERROR(_xlfn.LET(_xlpm.films,Table4[Film],_xlpm.grades,Table4[Grade],_xlpm.pairs,_xlfn._xlws.FILTER(_xlfn.HSTACK(_xlpm.films,_xlpm.grades),(_xlpm.films&lt;&gt;"")*(TRIM(_xlpm.grades)&lt;&gt;"")),_xlpm.uniquePairs,_xlfn.UNIQUE(_xlpm.pairs),_xlpm.sortedPairs,_xlfn._xlws.SORT(_xlpm.uniquePairs,1,1),INDEX(_xlpm.sortedPairs,ROWS($L$2:L147),1)),"")</f>
        <v/>
      </c>
      <c r="M147" s="15" t="str" cm="1">
        <f t="array" ref="M147">IFERROR(_xlfn.LET(_xlpm.films,Table4[Film],_xlpm.grades,Table4[Grade],_xlpm.pairs,_xlfn._xlws.FILTER(_xlfn.HSTACK(_xlpm.films,_xlpm.grades),(_xlpm.films&lt;&gt;"")*(TRIM(_xlpm.grades)&lt;&gt;"")),_xlpm.uniquePairs,_xlfn.UNIQUE(_xlpm.pairs),_xlpm.sortedPairs,_xlfn._xlws.SORT(_xlpm.uniquePairs,1,1),INDEX(_xlpm.sortedPairs,ROWS($M$2:M147),2)),"")</f>
        <v/>
      </c>
      <c r="N147" s="15" t="str" cm="1">
        <f t="array" ref="N147">IF(OR(Table2[[#This Row],[Film]]="",Table2[[#This Row],[Grade]]=""),"",IFERROR(INDEX(Table4[Serial Number],MATCH(1,(Table4[Film]=Table2[[#This Row],[Film]])*(Table4[Grade]=Table2[[#This Row],[Grade]]),0)),""))</f>
        <v/>
      </c>
      <c r="O147" s="52" t="str">
        <f>IF(OR(Table2[[#This Row],[Film]]="",Table2[[#This Row],[Grade]]=""),"",SUMIFS(Table4[Price Calculated(€) Thickness &amp; QTY related],Table4[Film],Table2[[#This Row],[Film]],Table4[Grade],Table2[[#This Row],[Grade]]))</f>
        <v/>
      </c>
      <c r="P147" s="6"/>
      <c r="T147" s="6"/>
    </row>
    <row r="148" spans="1:20">
      <c r="A148" s="29" t="s">
        <v>45</v>
      </c>
      <c r="B148" s="29" t="s">
        <v>7</v>
      </c>
      <c r="C148" s="28"/>
      <c r="D148" s="28" t="str">
        <f>IF(C148="","",IFERROR(_xlfn.XLOOKUP(C148,HELPER!$A$2:$A$81,HELPER!$B$2:$B$81,""),D148))</f>
        <v/>
      </c>
      <c r="E148" s="28" t="str">
        <f>IFERROR(_xlfn.XLOOKUP(D148,HELPER!$B:$B,HELPER!$C:$C,""),"")</f>
        <v/>
      </c>
      <c r="F148" s="27" t="str">
        <f>IFERROR(_xlfn.XLOOKUP(D148,HELPER!$B:$B,HELPER!$D:$D,""),"")</f>
        <v/>
      </c>
      <c r="G148" s="27">
        <v>8</v>
      </c>
      <c r="I148" s="8" t="str">
        <f>IF(AND(H148&lt;&gt;"",IFERROR(_xlfn.XLOOKUP(D148,HELPER!$B:$B,HELPER!$E:$E,""),"")=""),"Missing price",IFERROR(_xlfn.XLOOKUP(D148,HELPER!$B:$B,HELPER!$E:$E,"")," "))</f>
        <v/>
      </c>
      <c r="J148" s="48" t="str">
        <f>IFERROR(H148*(IF(G148=8,I148*HELPER!$G$2,BOM!I148*HELPER!$G$3))," ")</f>
        <v xml:space="preserve"> </v>
      </c>
      <c r="K148" s="6"/>
      <c r="L148" s="14" t="str" cm="1">
        <f t="array" ref="L148">IFERROR(_xlfn.LET(_xlpm.films,Table4[Film],_xlpm.grades,Table4[Grade],_xlpm.pairs,_xlfn._xlws.FILTER(_xlfn.HSTACK(_xlpm.films,_xlpm.grades),(_xlpm.films&lt;&gt;"")*(TRIM(_xlpm.grades)&lt;&gt;"")),_xlpm.uniquePairs,_xlfn.UNIQUE(_xlpm.pairs),_xlpm.sortedPairs,_xlfn._xlws.SORT(_xlpm.uniquePairs,1,1),INDEX(_xlpm.sortedPairs,ROWS($L$2:L148),1)),"")</f>
        <v/>
      </c>
      <c r="M148" s="15" t="str" cm="1">
        <f t="array" ref="M148">IFERROR(_xlfn.LET(_xlpm.films,Table4[Film],_xlpm.grades,Table4[Grade],_xlpm.pairs,_xlfn._xlws.FILTER(_xlfn.HSTACK(_xlpm.films,_xlpm.grades),(_xlpm.films&lt;&gt;"")*(TRIM(_xlpm.grades)&lt;&gt;"")),_xlpm.uniquePairs,_xlfn.UNIQUE(_xlpm.pairs),_xlpm.sortedPairs,_xlfn._xlws.SORT(_xlpm.uniquePairs,1,1),INDEX(_xlpm.sortedPairs,ROWS($M$2:M148),2)),"")</f>
        <v/>
      </c>
      <c r="N148" s="15" t="str" cm="1">
        <f t="array" ref="N148">IF(OR(Table2[[#This Row],[Film]]="",Table2[[#This Row],[Grade]]=""),"",IFERROR(INDEX(Table4[Serial Number],MATCH(1,(Table4[Film]=Table2[[#This Row],[Film]])*(Table4[Grade]=Table2[[#This Row],[Grade]]),0)),""))</f>
        <v/>
      </c>
      <c r="O148" s="52" t="str">
        <f>IF(OR(Table2[[#This Row],[Film]]="",Table2[[#This Row],[Grade]]=""),"",SUMIFS(Table4[Price Calculated(€) Thickness &amp; QTY related],Table4[Film],Table2[[#This Row],[Film]],Table4[Grade],Table2[[#This Row],[Grade]]))</f>
        <v/>
      </c>
      <c r="P148" s="6"/>
      <c r="T148" s="6"/>
    </row>
    <row r="149" spans="1:20">
      <c r="A149" s="29" t="s">
        <v>45</v>
      </c>
      <c r="B149" s="29" t="s">
        <v>7</v>
      </c>
      <c r="C149" s="28"/>
      <c r="D149" s="28" t="str">
        <f>IF(C149="","",IFERROR(_xlfn.XLOOKUP(C149,HELPER!$A$2:$A$81,HELPER!$B$2:$B$81,""),D149))</f>
        <v/>
      </c>
      <c r="E149" s="28" t="str">
        <f>IFERROR(_xlfn.XLOOKUP(D149,HELPER!$B:$B,HELPER!$C:$C,""),"")</f>
        <v/>
      </c>
      <c r="F149" s="27" t="str">
        <f>IFERROR(_xlfn.XLOOKUP(D149,HELPER!$B:$B,HELPER!$D:$D,""),"")</f>
        <v/>
      </c>
      <c r="G149" s="27">
        <v>8</v>
      </c>
      <c r="I149" s="8" t="str">
        <f>IF(AND(H149&lt;&gt;"",IFERROR(_xlfn.XLOOKUP(D149,HELPER!$B:$B,HELPER!$E:$E,""),"")=""),"Missing price",IFERROR(_xlfn.XLOOKUP(D149,HELPER!$B:$B,HELPER!$E:$E,"")," "))</f>
        <v/>
      </c>
      <c r="J149" s="48" t="str">
        <f>IFERROR(H149*(IF(G149=8,I149*HELPER!$G$2,BOM!I149*HELPER!$G$3))," ")</f>
        <v xml:space="preserve"> </v>
      </c>
      <c r="K149" s="6"/>
      <c r="L149" s="14" t="str" cm="1">
        <f t="array" ref="L149">IFERROR(_xlfn.LET(_xlpm.films,Table4[Film],_xlpm.grades,Table4[Grade],_xlpm.pairs,_xlfn._xlws.FILTER(_xlfn.HSTACK(_xlpm.films,_xlpm.grades),(_xlpm.films&lt;&gt;"")*(TRIM(_xlpm.grades)&lt;&gt;"")),_xlpm.uniquePairs,_xlfn.UNIQUE(_xlpm.pairs),_xlpm.sortedPairs,_xlfn._xlws.SORT(_xlpm.uniquePairs,1,1),INDEX(_xlpm.sortedPairs,ROWS($L$2:L149),1)),"")</f>
        <v/>
      </c>
      <c r="M149" s="15" t="str" cm="1">
        <f t="array" ref="M149">IFERROR(_xlfn.LET(_xlpm.films,Table4[Film],_xlpm.grades,Table4[Grade],_xlpm.pairs,_xlfn._xlws.FILTER(_xlfn.HSTACK(_xlpm.films,_xlpm.grades),(_xlpm.films&lt;&gt;"")*(TRIM(_xlpm.grades)&lt;&gt;"")),_xlpm.uniquePairs,_xlfn.UNIQUE(_xlpm.pairs),_xlpm.sortedPairs,_xlfn._xlws.SORT(_xlpm.uniquePairs,1,1),INDEX(_xlpm.sortedPairs,ROWS($M$2:M149),2)),"")</f>
        <v/>
      </c>
      <c r="N149" s="15" t="str" cm="1">
        <f t="array" ref="N149">IF(OR(Table2[[#This Row],[Film]]="",Table2[[#This Row],[Grade]]=""),"",IFERROR(INDEX(Table4[Serial Number],MATCH(1,(Table4[Film]=Table2[[#This Row],[Film]])*(Table4[Grade]=Table2[[#This Row],[Grade]]),0)),""))</f>
        <v/>
      </c>
      <c r="O149" s="52" t="str">
        <f>IF(OR(Table2[[#This Row],[Film]]="",Table2[[#This Row],[Grade]]=""),"",SUMIFS(Table4[Price Calculated(€) Thickness &amp; QTY related],Table4[Film],Table2[[#This Row],[Film]],Table4[Grade],Table2[[#This Row],[Grade]]))</f>
        <v/>
      </c>
      <c r="P149" s="6"/>
      <c r="T149" s="6"/>
    </row>
    <row r="150" spans="1:20">
      <c r="A150" s="29" t="s">
        <v>45</v>
      </c>
      <c r="B150" s="29" t="s">
        <v>7</v>
      </c>
      <c r="C150" s="28"/>
      <c r="D150" s="28" t="str">
        <f>IF(C150="","",IFERROR(_xlfn.XLOOKUP(C150,HELPER!$A$2:$A$81,HELPER!$B$2:$B$81,""),D150))</f>
        <v/>
      </c>
      <c r="E150" s="28" t="str">
        <f>IFERROR(_xlfn.XLOOKUP(D150,HELPER!$B:$B,HELPER!$C:$C,""),"")</f>
        <v/>
      </c>
      <c r="F150" s="27" t="str">
        <f>IFERROR(_xlfn.XLOOKUP(D150,HELPER!$B:$B,HELPER!$D:$D,""),"")</f>
        <v/>
      </c>
      <c r="G150" s="27">
        <v>8</v>
      </c>
      <c r="I150" s="8" t="str">
        <f>IF(AND(H150&lt;&gt;"",IFERROR(_xlfn.XLOOKUP(D150,HELPER!$B:$B,HELPER!$E:$E,""),"")=""),"Missing price",IFERROR(_xlfn.XLOOKUP(D150,HELPER!$B:$B,HELPER!$E:$E,"")," "))</f>
        <v/>
      </c>
      <c r="J150" s="48" t="str">
        <f>IFERROR(H150*(IF(G150=8,I150*HELPER!$G$2,BOM!I150*HELPER!$G$3))," ")</f>
        <v xml:space="preserve"> </v>
      </c>
      <c r="K150" s="6"/>
      <c r="L150" s="14" t="str" cm="1">
        <f t="array" ref="L150">IFERROR(_xlfn.LET(_xlpm.films,Table4[Film],_xlpm.grades,Table4[Grade],_xlpm.pairs,_xlfn._xlws.FILTER(_xlfn.HSTACK(_xlpm.films,_xlpm.grades),(_xlpm.films&lt;&gt;"")*(TRIM(_xlpm.grades)&lt;&gt;"")),_xlpm.uniquePairs,_xlfn.UNIQUE(_xlpm.pairs),_xlpm.sortedPairs,_xlfn._xlws.SORT(_xlpm.uniquePairs,1,1),INDEX(_xlpm.sortedPairs,ROWS($L$2:L150),1)),"")</f>
        <v/>
      </c>
      <c r="M150" s="15" t="str" cm="1">
        <f t="array" ref="M150">IFERROR(_xlfn.LET(_xlpm.films,Table4[Film],_xlpm.grades,Table4[Grade],_xlpm.pairs,_xlfn._xlws.FILTER(_xlfn.HSTACK(_xlpm.films,_xlpm.grades),(_xlpm.films&lt;&gt;"")*(TRIM(_xlpm.grades)&lt;&gt;"")),_xlpm.uniquePairs,_xlfn.UNIQUE(_xlpm.pairs),_xlpm.sortedPairs,_xlfn._xlws.SORT(_xlpm.uniquePairs,1,1),INDEX(_xlpm.sortedPairs,ROWS($M$2:M150),2)),"")</f>
        <v/>
      </c>
      <c r="N150" s="15" t="str" cm="1">
        <f t="array" ref="N150">IF(OR(Table2[[#This Row],[Film]]="",Table2[[#This Row],[Grade]]=""),"",IFERROR(INDEX(Table4[Serial Number],MATCH(1,(Table4[Film]=Table2[[#This Row],[Film]])*(Table4[Grade]=Table2[[#This Row],[Grade]]),0)),""))</f>
        <v/>
      </c>
      <c r="O150" s="52" t="str">
        <f>IF(OR(Table2[[#This Row],[Film]]="",Table2[[#This Row],[Grade]]=""),"",SUMIFS(Table4[Price Calculated(€) Thickness &amp; QTY related],Table4[Film],Table2[[#This Row],[Film]],Table4[Grade],Table2[[#This Row],[Grade]]))</f>
        <v/>
      </c>
      <c r="P150" s="6"/>
      <c r="T150" s="6"/>
    </row>
    <row r="151" spans="1:20">
      <c r="A151" s="29" t="s">
        <v>45</v>
      </c>
      <c r="B151" s="29" t="s">
        <v>7</v>
      </c>
      <c r="C151" s="28"/>
      <c r="D151" s="28" t="str">
        <f>IF(C151="","",IFERROR(_xlfn.XLOOKUP(C151,HELPER!$A$2:$A$81,HELPER!$B$2:$B$81,""),D151))</f>
        <v/>
      </c>
      <c r="E151" s="28" t="str">
        <f>IFERROR(_xlfn.XLOOKUP(D151,HELPER!$B:$B,HELPER!$C:$C,""),"")</f>
        <v/>
      </c>
      <c r="F151" s="27" t="str">
        <f>IFERROR(_xlfn.XLOOKUP(D151,HELPER!$B:$B,HELPER!$D:$D,""),"")</f>
        <v/>
      </c>
      <c r="G151" s="27">
        <v>8</v>
      </c>
      <c r="I151" s="8" t="str">
        <f>IF(AND(H151&lt;&gt;"",IFERROR(_xlfn.XLOOKUP(D151,HELPER!$B:$B,HELPER!$E:$E,""),"")=""),"Missing price",IFERROR(_xlfn.XLOOKUP(D151,HELPER!$B:$B,HELPER!$E:$E,"")," "))</f>
        <v/>
      </c>
      <c r="J151" s="48" t="str">
        <f>IFERROR(H151*(IF(G151=8,I151*HELPER!$G$2,BOM!I151*HELPER!$G$3))," ")</f>
        <v xml:space="preserve"> </v>
      </c>
      <c r="K151" s="6"/>
      <c r="L151" s="14" t="str" cm="1">
        <f t="array" ref="L151">IFERROR(_xlfn.LET(_xlpm.films,Table4[Film],_xlpm.grades,Table4[Grade],_xlpm.pairs,_xlfn._xlws.FILTER(_xlfn.HSTACK(_xlpm.films,_xlpm.grades),(_xlpm.films&lt;&gt;"")*(TRIM(_xlpm.grades)&lt;&gt;"")),_xlpm.uniquePairs,_xlfn.UNIQUE(_xlpm.pairs),_xlpm.sortedPairs,_xlfn._xlws.SORT(_xlpm.uniquePairs,1,1),INDEX(_xlpm.sortedPairs,ROWS($L$2:L151),1)),"")</f>
        <v/>
      </c>
      <c r="M151" s="15" t="str" cm="1">
        <f t="array" ref="M151">IFERROR(_xlfn.LET(_xlpm.films,Table4[Film],_xlpm.grades,Table4[Grade],_xlpm.pairs,_xlfn._xlws.FILTER(_xlfn.HSTACK(_xlpm.films,_xlpm.grades),(_xlpm.films&lt;&gt;"")*(TRIM(_xlpm.grades)&lt;&gt;"")),_xlpm.uniquePairs,_xlfn.UNIQUE(_xlpm.pairs),_xlpm.sortedPairs,_xlfn._xlws.SORT(_xlpm.uniquePairs,1,1),INDEX(_xlpm.sortedPairs,ROWS($M$2:M151),2)),"")</f>
        <v/>
      </c>
      <c r="N151" s="15" t="str" cm="1">
        <f t="array" ref="N151">IF(OR(Table2[[#This Row],[Film]]="",Table2[[#This Row],[Grade]]=""),"",IFERROR(INDEX(Table4[Serial Number],MATCH(1,(Table4[Film]=Table2[[#This Row],[Film]])*(Table4[Grade]=Table2[[#This Row],[Grade]]),0)),""))</f>
        <v/>
      </c>
      <c r="O151" s="52" t="str">
        <f>IF(OR(Table2[[#This Row],[Film]]="",Table2[[#This Row],[Grade]]=""),"",SUMIFS(Table4[Price Calculated(€) Thickness &amp; QTY related],Table4[Film],Table2[[#This Row],[Film]],Table4[Grade],Table2[[#This Row],[Grade]]))</f>
        <v/>
      </c>
      <c r="P151" s="6"/>
      <c r="T151" s="6"/>
    </row>
    <row r="152" spans="1:20">
      <c r="A152" s="29" t="s">
        <v>46</v>
      </c>
      <c r="B152" s="29" t="s">
        <v>5</v>
      </c>
      <c r="C152" s="28" t="s">
        <v>13</v>
      </c>
      <c r="D152" s="28" t="str">
        <f>IF(C152="","",IFERROR(_xlfn.XLOOKUP(C152,HELPER!$A$2:$A$81,HELPER!$B$2:$B$81,""),D152))</f>
        <v>LX175</v>
      </c>
      <c r="E152" s="28" t="str">
        <f>IFERROR(_xlfn.XLOOKUP(D152,HELPER!$B:$B,HELPER!$C:$C,""),"")</f>
        <v>RMLX175</v>
      </c>
      <c r="F152" s="27" t="str">
        <f>IFERROR(_xlfn.XLOOKUP(D152,HELPER!$B:$B,HELPER!$D:$D,""),"")</f>
        <v>Resin 1A</v>
      </c>
      <c r="G152" s="27">
        <v>8</v>
      </c>
      <c r="H152" s="47">
        <v>0.77400000000000002</v>
      </c>
      <c r="I152" s="48">
        <f>IF(AND(H152&lt;&gt;"",IFERROR(_xlfn.XLOOKUP(D152,HELPER!$B:$B,HELPER!$E:$E,""),"")=""),"Missing price",IFERROR(_xlfn.XLOOKUP(D152,HELPER!$B:$B,HELPER!$E:$E,"")," "))</f>
        <v>3.17</v>
      </c>
      <c r="J152" s="48">
        <f>IFERROR(H152*(IF(G152=8,I152*HELPER!$G$2,BOM!I152*HELPER!$G$3))," ")</f>
        <v>0.49071600000000004</v>
      </c>
      <c r="K152" s="6"/>
      <c r="L152" s="14" t="str" cm="1">
        <f t="array" ref="L152">IFERROR(_xlfn.LET(_xlpm.films,Table4[Film],_xlpm.grades,Table4[Grade],_xlpm.pairs,_xlfn._xlws.FILTER(_xlfn.HSTACK(_xlpm.films,_xlpm.grades),(_xlpm.films&lt;&gt;"")*(TRIM(_xlpm.grades)&lt;&gt;"")),_xlpm.uniquePairs,_xlfn.UNIQUE(_xlpm.pairs),_xlpm.sortedPairs,_xlfn._xlws.SORT(_xlpm.uniquePairs,1,1),INDEX(_xlpm.sortedPairs,ROWS($L$2:L152),1)),"")</f>
        <v/>
      </c>
      <c r="M152" s="15" t="str" cm="1">
        <f t="array" ref="M152">IFERROR(_xlfn.LET(_xlpm.films,Table4[Film],_xlpm.grades,Table4[Grade],_xlpm.pairs,_xlfn._xlws.FILTER(_xlfn.HSTACK(_xlpm.films,_xlpm.grades),(_xlpm.films&lt;&gt;"")*(TRIM(_xlpm.grades)&lt;&gt;"")),_xlpm.uniquePairs,_xlfn.UNIQUE(_xlpm.pairs),_xlpm.sortedPairs,_xlfn._xlws.SORT(_xlpm.uniquePairs,1,1),INDEX(_xlpm.sortedPairs,ROWS($M$2:M152),2)),"")</f>
        <v/>
      </c>
      <c r="N152" s="15" t="str" cm="1">
        <f t="array" ref="N152">IF(OR(Table2[[#This Row],[Film]]="",Table2[[#This Row],[Grade]]=""),"",IFERROR(INDEX(Table4[Serial Number],MATCH(1,(Table4[Film]=Table2[[#This Row],[Film]])*(Table4[Grade]=Table2[[#This Row],[Grade]]),0)),""))</f>
        <v/>
      </c>
      <c r="O152" s="52" t="str">
        <f>IF(OR(Table2[[#This Row],[Film]]="",Table2[[#This Row],[Grade]]=""),"",SUMIFS(Table4[Price Calculated(€) Thickness &amp; QTY related],Table4[Film],Table2[[#This Row],[Film]],Table4[Grade],Table2[[#This Row],[Grade]]))</f>
        <v/>
      </c>
      <c r="P152" s="6"/>
      <c r="T152" s="6"/>
    </row>
    <row r="153" spans="1:20">
      <c r="A153" s="29" t="s">
        <v>46</v>
      </c>
      <c r="B153" s="29" t="s">
        <v>5</v>
      </c>
      <c r="C153" s="28" t="s">
        <v>15</v>
      </c>
      <c r="D153" s="28" t="str">
        <f>IF(C153="","",IFERROR(_xlfn.XLOOKUP(C153,HELPER!$A$2:$A$81,HELPER!$B$2:$B$81,""),D153))</f>
        <v>P65D</v>
      </c>
      <c r="E153" s="28" t="str">
        <f>IFERROR(_xlfn.XLOOKUP(D153,HELPER!$B:$B,HELPER!$C:$C,""),"")</f>
        <v>RMP65D</v>
      </c>
      <c r="F153" s="27" t="str">
        <f>IFERROR(_xlfn.XLOOKUP(D153,HELPER!$B:$B,HELPER!$D:$D,""),"")</f>
        <v>Resin 4A</v>
      </c>
      <c r="G153" s="27">
        <v>8</v>
      </c>
      <c r="H153" s="47">
        <v>0.17599999999999999</v>
      </c>
      <c r="I153" s="48">
        <f>IF(AND(H153&lt;&gt;"",IFERROR(_xlfn.XLOOKUP(D153,HELPER!$B:$B,HELPER!$E:$E,""),"")=""),"Missing price",IFERROR(_xlfn.XLOOKUP(D153,HELPER!$B:$B,HELPER!$E:$E,"")," "))</f>
        <v>7.3</v>
      </c>
      <c r="J153" s="48">
        <f>IFERROR(H153*(IF(G153=8,I153*HELPER!$G$2,BOM!I153*HELPER!$G$3))," ")</f>
        <v>0.25695999999999997</v>
      </c>
      <c r="K153" s="6"/>
      <c r="L153" s="14" t="str" cm="1">
        <f t="array" ref="L153">IFERROR(_xlfn.LET(_xlpm.films,Table4[Film],_xlpm.grades,Table4[Grade],_xlpm.pairs,_xlfn._xlws.FILTER(_xlfn.HSTACK(_xlpm.films,_xlpm.grades),(_xlpm.films&lt;&gt;"")*(TRIM(_xlpm.grades)&lt;&gt;"")),_xlpm.uniquePairs,_xlfn.UNIQUE(_xlpm.pairs),_xlpm.sortedPairs,_xlfn._xlws.SORT(_xlpm.uniquePairs,1,1),INDEX(_xlpm.sortedPairs,ROWS($L$2:L153),1)),"")</f>
        <v/>
      </c>
      <c r="M153" s="15" t="str" cm="1">
        <f t="array" ref="M153">IFERROR(_xlfn.LET(_xlpm.films,Table4[Film],_xlpm.grades,Table4[Grade],_xlpm.pairs,_xlfn._xlws.FILTER(_xlfn.HSTACK(_xlpm.films,_xlpm.grades),(_xlpm.films&lt;&gt;"")*(TRIM(_xlpm.grades)&lt;&gt;"")),_xlpm.uniquePairs,_xlfn.UNIQUE(_xlpm.pairs),_xlpm.sortedPairs,_xlfn._xlws.SORT(_xlpm.uniquePairs,1,1),INDEX(_xlpm.sortedPairs,ROWS($M$2:M153),2)),"")</f>
        <v/>
      </c>
      <c r="N153" s="15" t="str" cm="1">
        <f t="array" ref="N153">IF(OR(Table2[[#This Row],[Film]]="",Table2[[#This Row],[Grade]]=""),"",IFERROR(INDEX(Table4[Serial Number],MATCH(1,(Table4[Film]=Table2[[#This Row],[Film]])*(Table4[Grade]=Table2[[#This Row],[Grade]]),0)),""))</f>
        <v/>
      </c>
      <c r="O153" s="52" t="str">
        <f>IF(OR(Table2[[#This Row],[Film]]="",Table2[[#This Row],[Grade]]=""),"",SUMIFS(Table4[Price Calculated(€) Thickness &amp; QTY related],Table4[Film],Table2[[#This Row],[Film]],Table4[Grade],Table2[[#This Row],[Grade]]))</f>
        <v/>
      </c>
      <c r="P153" s="6"/>
      <c r="T153" s="6"/>
    </row>
    <row r="154" spans="1:20">
      <c r="A154" s="29" t="s">
        <v>46</v>
      </c>
      <c r="B154" s="29" t="s">
        <v>5</v>
      </c>
      <c r="C154" s="28" t="s">
        <v>16</v>
      </c>
      <c r="D154" s="28" t="str">
        <f>IF(C154="","",IFERROR(_xlfn.XLOOKUP(C154,HELPER!$A$2:$A$81,HELPER!$B$2:$B$81,""),D154))</f>
        <v>S723</v>
      </c>
      <c r="E154" s="28" t="str">
        <f>IFERROR(_xlfn.XLOOKUP(D154,HELPER!$B:$B,HELPER!$C:$C,""),"")</f>
        <v>RM TA45-08 S723</v>
      </c>
      <c r="F154" s="27" t="str">
        <f>IFERROR(_xlfn.XLOOKUP(D154,HELPER!$B:$B,HELPER!$D:$D,""),"")</f>
        <v>Resin 6</v>
      </c>
      <c r="G154" s="27">
        <v>8</v>
      </c>
      <c r="H154" s="47">
        <v>1.4999999999999999E-2</v>
      </c>
      <c r="I154" s="48">
        <f>IF(AND(H154&lt;&gt;"",IFERROR(_xlfn.XLOOKUP(D154,HELPER!$B:$B,HELPER!$E:$E,""),"")=""),"Missing price",IFERROR(_xlfn.XLOOKUP(D154,HELPER!$B:$B,HELPER!$E:$E,"")," "))</f>
        <v>16.16</v>
      </c>
      <c r="J154" s="48">
        <f>IFERROR(H154*(IF(G154=8,I154*HELPER!$G$2,BOM!I154*HELPER!$G$3))," ")</f>
        <v>4.8480000000000002E-2</v>
      </c>
      <c r="K154" s="6"/>
      <c r="L154" s="14" t="str" cm="1">
        <f t="array" ref="L154">IFERROR(_xlfn.LET(_xlpm.films,Table4[Film],_xlpm.grades,Table4[Grade],_xlpm.pairs,_xlfn._xlws.FILTER(_xlfn.HSTACK(_xlpm.films,_xlpm.grades),(_xlpm.films&lt;&gt;"")*(TRIM(_xlpm.grades)&lt;&gt;"")),_xlpm.uniquePairs,_xlfn.UNIQUE(_xlpm.pairs),_xlpm.sortedPairs,_xlfn._xlws.SORT(_xlpm.uniquePairs,1,1),INDEX(_xlpm.sortedPairs,ROWS($L$2:L154),1)),"")</f>
        <v/>
      </c>
      <c r="M154" s="15" t="str" cm="1">
        <f t="array" ref="M154">IFERROR(_xlfn.LET(_xlpm.films,Table4[Film],_xlpm.grades,Table4[Grade],_xlpm.pairs,_xlfn._xlws.FILTER(_xlfn.HSTACK(_xlpm.films,_xlpm.grades),(_xlpm.films&lt;&gt;"")*(TRIM(_xlpm.grades)&lt;&gt;"")),_xlpm.uniquePairs,_xlfn.UNIQUE(_xlpm.pairs),_xlpm.sortedPairs,_xlfn._xlws.SORT(_xlpm.uniquePairs,1,1),INDEX(_xlpm.sortedPairs,ROWS($M$2:M154),2)),"")</f>
        <v/>
      </c>
      <c r="N154" s="15" t="str" cm="1">
        <f t="array" ref="N154">IF(OR(Table2[[#This Row],[Film]]="",Table2[[#This Row],[Grade]]=""),"",IFERROR(INDEX(Table4[Serial Number],MATCH(1,(Table4[Film]=Table2[[#This Row],[Film]])*(Table4[Grade]=Table2[[#This Row],[Grade]]),0)),""))</f>
        <v/>
      </c>
      <c r="O154" s="52" t="str">
        <f>IF(OR(Table2[[#This Row],[Film]]="",Table2[[#This Row],[Grade]]=""),"",SUMIFS(Table4[Price Calculated(€) Thickness &amp; QTY related],Table4[Film],Table2[[#This Row],[Film]],Table4[Grade],Table2[[#This Row],[Grade]]))</f>
        <v/>
      </c>
      <c r="P154" s="6"/>
      <c r="T154" s="6"/>
    </row>
    <row r="155" spans="1:20">
      <c r="A155" s="29" t="s">
        <v>46</v>
      </c>
      <c r="B155" s="29" t="s">
        <v>5</v>
      </c>
      <c r="C155" s="28" t="s">
        <v>18</v>
      </c>
      <c r="D155" s="28" t="str">
        <f>IF(C155="","",IFERROR(_xlfn.XLOOKUP(C155,HELPER!$A$2:$A$81,HELPER!$B$2:$B$81,""),D155))</f>
        <v>KAB59A</v>
      </c>
      <c r="E155" s="28" t="str">
        <f>IFERROR(_xlfn.XLOOKUP(D155,HELPER!$B:$B,HELPER!$C:$C,""),"")</f>
        <v>RM A KAB59A</v>
      </c>
      <c r="F155" s="27" t="str">
        <f>IFERROR(_xlfn.XLOOKUP(D155,HELPER!$B:$B,HELPER!$D:$D,""),"")</f>
        <v>Resin 8</v>
      </c>
      <c r="G155" s="27">
        <v>8</v>
      </c>
      <c r="H155" s="47">
        <v>1.4999999999999999E-2</v>
      </c>
      <c r="I155" s="48">
        <f>IF(AND(H155&lt;&gt;"",IFERROR(_xlfn.XLOOKUP(D155,HELPER!$B:$B,HELPER!$E:$E,""),"")=""),"Missing price",IFERROR(_xlfn.XLOOKUP(D155,HELPER!$B:$B,HELPER!$E:$E,"")," "))</f>
        <v>7.55</v>
      </c>
      <c r="J155" s="48">
        <f>IFERROR(H155*(IF(G155=8,I155*HELPER!$G$2,BOM!I155*HELPER!$G$3))," ")</f>
        <v>2.265E-2</v>
      </c>
      <c r="K155" s="6"/>
      <c r="L155" s="14" t="str" cm="1">
        <f t="array" ref="L155">IFERROR(_xlfn.LET(_xlpm.films,Table4[Film],_xlpm.grades,Table4[Grade],_xlpm.pairs,_xlfn._xlws.FILTER(_xlfn.HSTACK(_xlpm.films,_xlpm.grades),(_xlpm.films&lt;&gt;"")*(TRIM(_xlpm.grades)&lt;&gt;"")),_xlpm.uniquePairs,_xlfn.UNIQUE(_xlpm.pairs),_xlpm.sortedPairs,_xlfn._xlws.SORT(_xlpm.uniquePairs,1,1),INDEX(_xlpm.sortedPairs,ROWS($L$2:L155),1)),"")</f>
        <v/>
      </c>
      <c r="M155" s="15" t="str" cm="1">
        <f t="array" ref="M155">IFERROR(_xlfn.LET(_xlpm.films,Table4[Film],_xlpm.grades,Table4[Grade],_xlpm.pairs,_xlfn._xlws.FILTER(_xlfn.HSTACK(_xlpm.films,_xlpm.grades),(_xlpm.films&lt;&gt;"")*(TRIM(_xlpm.grades)&lt;&gt;"")),_xlpm.uniquePairs,_xlfn.UNIQUE(_xlpm.pairs),_xlpm.sortedPairs,_xlfn._xlws.SORT(_xlpm.uniquePairs,1,1),INDEX(_xlpm.sortedPairs,ROWS($M$2:M155),2)),"")</f>
        <v/>
      </c>
      <c r="N155" s="15" t="str" cm="1">
        <f t="array" ref="N155">IF(OR(Table2[[#This Row],[Film]]="",Table2[[#This Row],[Grade]]=""),"",IFERROR(INDEX(Table4[Serial Number],MATCH(1,(Table4[Film]=Table2[[#This Row],[Film]])*(Table4[Grade]=Table2[[#This Row],[Grade]]),0)),""))</f>
        <v/>
      </c>
      <c r="O155" s="52" t="str">
        <f>IF(OR(Table2[[#This Row],[Film]]="",Table2[[#This Row],[Grade]]=""),"",SUMIFS(Table4[Price Calculated(€) Thickness &amp; QTY related],Table4[Film],Table2[[#This Row],[Film]],Table4[Grade],Table2[[#This Row],[Grade]]))</f>
        <v/>
      </c>
      <c r="P155" s="6"/>
      <c r="T155" s="6"/>
    </row>
    <row r="156" spans="1:20">
      <c r="A156" s="29" t="s">
        <v>46</v>
      </c>
      <c r="B156" s="29" t="s">
        <v>5</v>
      </c>
      <c r="C156" s="28" t="s">
        <v>17</v>
      </c>
      <c r="D156" s="28" t="str">
        <f>IF(C156="","",IFERROR(_xlfn.XLOOKUP(C156,HELPER!$A$2:$A$81,HELPER!$B$2:$B$81,""),D156))</f>
        <v>S724</v>
      </c>
      <c r="E156" s="28" t="str">
        <f>IFERROR(_xlfn.XLOOKUP(D156,HELPER!$B:$B,HELPER!$C:$C,""),"")</f>
        <v>RM TA45-08 S724</v>
      </c>
      <c r="F156" s="27" t="str">
        <f>IFERROR(_xlfn.XLOOKUP(D156,HELPER!$B:$B,HELPER!$D:$D,""),"")</f>
        <v>Resin 7</v>
      </c>
      <c r="G156" s="27">
        <v>8</v>
      </c>
      <c r="H156" s="47">
        <v>0.02</v>
      </c>
      <c r="I156" s="48">
        <f>IF(AND(H156&lt;&gt;"",IFERROR(_xlfn.XLOOKUP(D156,HELPER!$B:$B,HELPER!$E:$E,""),"")=""),"Missing price",IFERROR(_xlfn.XLOOKUP(D156,HELPER!$B:$B,HELPER!$E:$E,"")," "))</f>
        <v>14.7</v>
      </c>
      <c r="J156" s="48">
        <f>IFERROR(H156*(IF(G156=8,I156*HELPER!$G$2,BOM!I156*HELPER!$G$3))," ")</f>
        <v>5.8799999999999998E-2</v>
      </c>
      <c r="K156" s="6"/>
      <c r="L156" s="14" t="str" cm="1">
        <f t="array" ref="L156">IFERROR(_xlfn.LET(_xlpm.films,Table4[Film],_xlpm.grades,Table4[Grade],_xlpm.pairs,_xlfn._xlws.FILTER(_xlfn.HSTACK(_xlpm.films,_xlpm.grades),(_xlpm.films&lt;&gt;"")*(TRIM(_xlpm.grades)&lt;&gt;"")),_xlpm.uniquePairs,_xlfn.UNIQUE(_xlpm.pairs),_xlpm.sortedPairs,_xlfn._xlws.SORT(_xlpm.uniquePairs,1,1),INDEX(_xlpm.sortedPairs,ROWS($L$2:L156),1)),"")</f>
        <v/>
      </c>
      <c r="M156" s="15" t="str" cm="1">
        <f t="array" ref="M156">IFERROR(_xlfn.LET(_xlpm.films,Table4[Film],_xlpm.grades,Table4[Grade],_xlpm.pairs,_xlfn._xlws.FILTER(_xlfn.HSTACK(_xlpm.films,_xlpm.grades),(_xlpm.films&lt;&gt;"")*(TRIM(_xlpm.grades)&lt;&gt;"")),_xlpm.uniquePairs,_xlfn.UNIQUE(_xlpm.pairs),_xlpm.sortedPairs,_xlfn._xlws.SORT(_xlpm.uniquePairs,1,1),INDEX(_xlpm.sortedPairs,ROWS($M$2:M156),2)),"")</f>
        <v/>
      </c>
      <c r="N156" s="15" t="str" cm="1">
        <f t="array" ref="N156">IF(OR(Table2[[#This Row],[Film]]="",Table2[[#This Row],[Grade]]=""),"",IFERROR(INDEX(Table4[Serial Number],MATCH(1,(Table4[Film]=Table2[[#This Row],[Film]])*(Table4[Grade]=Table2[[#This Row],[Grade]]),0)),""))</f>
        <v/>
      </c>
      <c r="O156" s="52" t="str">
        <f>IF(OR(Table2[[#This Row],[Film]]="",Table2[[#This Row],[Grade]]=""),"",SUMIFS(Table4[Price Calculated(€) Thickness &amp; QTY related],Table4[Film],Table2[[#This Row],[Film]],Table4[Grade],Table2[[#This Row],[Grade]]))</f>
        <v/>
      </c>
      <c r="P156" s="6"/>
      <c r="T156" s="6"/>
    </row>
    <row r="157" spans="1:20">
      <c r="A157" s="29" t="s">
        <v>46</v>
      </c>
      <c r="B157" s="29" t="s">
        <v>5</v>
      </c>
      <c r="C157" s="28"/>
      <c r="D157" s="28" t="str">
        <f>IF(C157="","",IFERROR(_xlfn.XLOOKUP(C157,HELPER!$A$2:$A$81,HELPER!$B$2:$B$81,""),D157))</f>
        <v/>
      </c>
      <c r="E157" s="28" t="str">
        <f>IFERROR(_xlfn.XLOOKUP(D157,HELPER!$B:$B,HELPER!$C:$C,""),"")</f>
        <v/>
      </c>
      <c r="F157" s="27" t="str">
        <f>IFERROR(_xlfn.XLOOKUP(D157,HELPER!$B:$B,HELPER!$D:$D,""),"")</f>
        <v/>
      </c>
      <c r="G157" s="27">
        <v>8</v>
      </c>
      <c r="H157" s="47"/>
      <c r="I157" s="48" t="str">
        <f>IF(AND(H157&lt;&gt;"",IFERROR(_xlfn.XLOOKUP(D157,HELPER!$B:$B,HELPER!$E:$E,""),"")=""),"Missing price",IFERROR(_xlfn.XLOOKUP(D157,HELPER!$B:$B,HELPER!$E:$E,"")," "))</f>
        <v/>
      </c>
      <c r="J157" s="48" t="str">
        <f>IFERROR(H157*(IF(G157=8,I157*HELPER!$G$2,BOM!I157*HELPER!$G$3))," ")</f>
        <v xml:space="preserve"> </v>
      </c>
      <c r="K157" s="6"/>
      <c r="L157" s="14" t="str" cm="1">
        <f t="array" ref="L157">IFERROR(_xlfn.LET(_xlpm.films,Table4[Film],_xlpm.grades,Table4[Grade],_xlpm.pairs,_xlfn._xlws.FILTER(_xlfn.HSTACK(_xlpm.films,_xlpm.grades),(_xlpm.films&lt;&gt;"")*(TRIM(_xlpm.grades)&lt;&gt;"")),_xlpm.uniquePairs,_xlfn.UNIQUE(_xlpm.pairs),_xlpm.sortedPairs,_xlfn._xlws.SORT(_xlpm.uniquePairs,1,1),INDEX(_xlpm.sortedPairs,ROWS($L$2:L157),1)),"")</f>
        <v/>
      </c>
      <c r="M157" s="15" t="str" cm="1">
        <f t="array" ref="M157">IFERROR(_xlfn.LET(_xlpm.films,Table4[Film],_xlpm.grades,Table4[Grade],_xlpm.pairs,_xlfn._xlws.FILTER(_xlfn.HSTACK(_xlpm.films,_xlpm.grades),(_xlpm.films&lt;&gt;"")*(TRIM(_xlpm.grades)&lt;&gt;"")),_xlpm.uniquePairs,_xlfn.UNIQUE(_xlpm.pairs),_xlpm.sortedPairs,_xlfn._xlws.SORT(_xlpm.uniquePairs,1,1),INDEX(_xlpm.sortedPairs,ROWS($M$2:M157),2)),"")</f>
        <v/>
      </c>
      <c r="N157" s="15" t="str" cm="1">
        <f t="array" ref="N157">IF(OR(Table2[[#This Row],[Film]]="",Table2[[#This Row],[Grade]]=""),"",IFERROR(INDEX(Table4[Serial Number],MATCH(1,(Table4[Film]=Table2[[#This Row],[Film]])*(Table4[Grade]=Table2[[#This Row],[Grade]]),0)),""))</f>
        <v/>
      </c>
      <c r="O157" s="52" t="str">
        <f>IF(OR(Table2[[#This Row],[Film]]="",Table2[[#This Row],[Grade]]=""),"",SUMIFS(Table4[Price Calculated(€) Thickness &amp; QTY related],Table4[Film],Table2[[#This Row],[Film]],Table4[Grade],Table2[[#This Row],[Grade]]))</f>
        <v/>
      </c>
      <c r="P157" s="6"/>
      <c r="T157" s="6"/>
    </row>
    <row r="158" spans="1:20">
      <c r="A158" s="29" t="s">
        <v>46</v>
      </c>
      <c r="B158" s="29" t="s">
        <v>5</v>
      </c>
      <c r="C158" s="28"/>
      <c r="D158" s="28" t="str">
        <f>IF(C158="","",IFERROR(_xlfn.XLOOKUP(C158,HELPER!$A$2:$A$81,HELPER!$B$2:$B$81,""),D158))</f>
        <v/>
      </c>
      <c r="E158" s="28" t="str">
        <f>IFERROR(_xlfn.XLOOKUP(D158,HELPER!$B:$B,HELPER!$C:$C,""),"")</f>
        <v/>
      </c>
      <c r="F158" s="27" t="str">
        <f>IFERROR(_xlfn.XLOOKUP(D158,HELPER!$B:$B,HELPER!$D:$D,""),"")</f>
        <v/>
      </c>
      <c r="G158" s="27">
        <v>8</v>
      </c>
      <c r="H158" s="47"/>
      <c r="I158" s="48" t="str">
        <f>IF(AND(H158&lt;&gt;"",IFERROR(_xlfn.XLOOKUP(D158,HELPER!$B:$B,HELPER!$E:$E,""),"")=""),"Missing price",IFERROR(_xlfn.XLOOKUP(D158,HELPER!$B:$B,HELPER!$E:$E,"")," "))</f>
        <v/>
      </c>
      <c r="J158" s="48" t="str">
        <f>IFERROR(H158*(IF(G158=8,I158*HELPER!$G$2,BOM!I158*HELPER!$G$3))," ")</f>
        <v xml:space="preserve"> </v>
      </c>
      <c r="K158" s="6"/>
      <c r="L158" s="14" t="str" cm="1">
        <f t="array" ref="L158">IFERROR(_xlfn.LET(_xlpm.films,Table4[Film],_xlpm.grades,Table4[Grade],_xlpm.pairs,_xlfn._xlws.FILTER(_xlfn.HSTACK(_xlpm.films,_xlpm.grades),(_xlpm.films&lt;&gt;"")*(TRIM(_xlpm.grades)&lt;&gt;"")),_xlpm.uniquePairs,_xlfn.UNIQUE(_xlpm.pairs),_xlpm.sortedPairs,_xlfn._xlws.SORT(_xlpm.uniquePairs,1,1),INDEX(_xlpm.sortedPairs,ROWS($L$2:L158),1)),"")</f>
        <v/>
      </c>
      <c r="M158" s="15" t="str" cm="1">
        <f t="array" ref="M158">IFERROR(_xlfn.LET(_xlpm.films,Table4[Film],_xlpm.grades,Table4[Grade],_xlpm.pairs,_xlfn._xlws.FILTER(_xlfn.HSTACK(_xlpm.films,_xlpm.grades),(_xlpm.films&lt;&gt;"")*(TRIM(_xlpm.grades)&lt;&gt;"")),_xlpm.uniquePairs,_xlfn.UNIQUE(_xlpm.pairs),_xlpm.sortedPairs,_xlfn._xlws.SORT(_xlpm.uniquePairs,1,1),INDEX(_xlpm.sortedPairs,ROWS($M$2:M158),2)),"")</f>
        <v/>
      </c>
      <c r="N158" s="15" t="str" cm="1">
        <f t="array" ref="N158">IF(OR(Table2[[#This Row],[Film]]="",Table2[[#This Row],[Grade]]=""),"",IFERROR(INDEX(Table4[Serial Number],MATCH(1,(Table4[Film]=Table2[[#This Row],[Film]])*(Table4[Grade]=Table2[[#This Row],[Grade]]),0)),""))</f>
        <v/>
      </c>
      <c r="O158" s="52" t="str">
        <f>IF(OR(Table2[[#This Row],[Film]]="",Table2[[#This Row],[Grade]]=""),"",SUMIFS(Table4[Price Calculated(€) Thickness &amp; QTY related],Table4[Film],Table2[[#This Row],[Film]],Table4[Grade],Table2[[#This Row],[Grade]]))</f>
        <v/>
      </c>
      <c r="P158" s="6"/>
      <c r="T158" s="6"/>
    </row>
    <row r="159" spans="1:20">
      <c r="A159" s="29" t="s">
        <v>46</v>
      </c>
      <c r="B159" s="29" t="s">
        <v>5</v>
      </c>
      <c r="C159" s="28"/>
      <c r="D159" s="28" t="str">
        <f>IF(C159="","",IFERROR(_xlfn.XLOOKUP(C159,HELPER!$A$2:$A$81,HELPER!$B$2:$B$81,""),D159))</f>
        <v/>
      </c>
      <c r="E159" s="28" t="str">
        <f>IFERROR(_xlfn.XLOOKUP(D159,HELPER!$B:$B,HELPER!$C:$C,""),"")</f>
        <v/>
      </c>
      <c r="F159" s="27" t="str">
        <f>IFERROR(_xlfn.XLOOKUP(D159,HELPER!$B:$B,HELPER!$D:$D,""),"")</f>
        <v/>
      </c>
      <c r="G159" s="27">
        <v>8</v>
      </c>
      <c r="H159" s="47"/>
      <c r="I159" s="48" t="str">
        <f>IF(AND(H159&lt;&gt;"",IFERROR(_xlfn.XLOOKUP(D159,HELPER!$B:$B,HELPER!$E:$E,""),"")=""),"Missing price",IFERROR(_xlfn.XLOOKUP(D159,HELPER!$B:$B,HELPER!$E:$E,"")," "))</f>
        <v/>
      </c>
      <c r="J159" s="48" t="str">
        <f>IFERROR(H159*(IF(G159=8,I159*HELPER!$G$2,BOM!I159*HELPER!$G$3))," ")</f>
        <v xml:space="preserve"> </v>
      </c>
      <c r="K159" s="6"/>
      <c r="L159" s="14" t="str" cm="1">
        <f t="array" ref="L159">IFERROR(_xlfn.LET(_xlpm.films,Table4[Film],_xlpm.grades,Table4[Grade],_xlpm.pairs,_xlfn._xlws.FILTER(_xlfn.HSTACK(_xlpm.films,_xlpm.grades),(_xlpm.films&lt;&gt;"")*(TRIM(_xlpm.grades)&lt;&gt;"")),_xlpm.uniquePairs,_xlfn.UNIQUE(_xlpm.pairs),_xlpm.sortedPairs,_xlfn._xlws.SORT(_xlpm.uniquePairs,1,1),INDEX(_xlpm.sortedPairs,ROWS($L$2:L159),1)),"")</f>
        <v/>
      </c>
      <c r="M159" s="15" t="str" cm="1">
        <f t="array" ref="M159">IFERROR(_xlfn.LET(_xlpm.films,Table4[Film],_xlpm.grades,Table4[Grade],_xlpm.pairs,_xlfn._xlws.FILTER(_xlfn.HSTACK(_xlpm.films,_xlpm.grades),(_xlpm.films&lt;&gt;"")*(TRIM(_xlpm.grades)&lt;&gt;"")),_xlpm.uniquePairs,_xlfn.UNIQUE(_xlpm.pairs),_xlpm.sortedPairs,_xlfn._xlws.SORT(_xlpm.uniquePairs,1,1),INDEX(_xlpm.sortedPairs,ROWS($M$2:M159),2)),"")</f>
        <v/>
      </c>
      <c r="N159" s="15" t="str" cm="1">
        <f t="array" ref="N159">IF(OR(Table2[[#This Row],[Film]]="",Table2[[#This Row],[Grade]]=""),"",IFERROR(INDEX(Table4[Serial Number],MATCH(1,(Table4[Film]=Table2[[#This Row],[Film]])*(Table4[Grade]=Table2[[#This Row],[Grade]]),0)),""))</f>
        <v/>
      </c>
      <c r="O159" s="52" t="str">
        <f>IF(OR(Table2[[#This Row],[Film]]="",Table2[[#This Row],[Grade]]=""),"",SUMIFS(Table4[Price Calculated(€) Thickness &amp; QTY related],Table4[Film],Table2[[#This Row],[Film]],Table4[Grade],Table2[[#This Row],[Grade]]))</f>
        <v/>
      </c>
      <c r="P159" s="6"/>
      <c r="T159" s="6"/>
    </row>
    <row r="160" spans="1:20">
      <c r="A160" s="29" t="s">
        <v>46</v>
      </c>
      <c r="B160" s="29" t="s">
        <v>5</v>
      </c>
      <c r="C160" s="28"/>
      <c r="D160" s="28" t="str">
        <f>IF(C160="","",IFERROR(_xlfn.XLOOKUP(C160,HELPER!$A$2:$A$81,HELPER!$B$2:$B$81,""),D160))</f>
        <v/>
      </c>
      <c r="E160" s="28" t="str">
        <f>IFERROR(_xlfn.XLOOKUP(D160,HELPER!$B:$B,HELPER!$C:$C,""),"")</f>
        <v/>
      </c>
      <c r="F160" s="27" t="str">
        <f>IFERROR(_xlfn.XLOOKUP(D160,HELPER!$B:$B,HELPER!$D:$D,""),"")</f>
        <v/>
      </c>
      <c r="G160" s="27">
        <v>8</v>
      </c>
      <c r="H160" s="47"/>
      <c r="I160" s="48" t="str">
        <f>IF(AND(H160&lt;&gt;"",IFERROR(_xlfn.XLOOKUP(D160,HELPER!$B:$B,HELPER!$E:$E,""),"")=""),"Missing price",IFERROR(_xlfn.XLOOKUP(D160,HELPER!$B:$B,HELPER!$E:$E,"")," "))</f>
        <v/>
      </c>
      <c r="J160" s="48" t="str">
        <f>IFERROR(H160*(IF(G160=8,I160*HELPER!$G$2,BOM!I160*HELPER!$G$3))," ")</f>
        <v xml:space="preserve"> </v>
      </c>
      <c r="K160" s="6"/>
      <c r="L160" s="14" t="str" cm="1">
        <f t="array" ref="L160">IFERROR(_xlfn.LET(_xlpm.films,Table4[Film],_xlpm.grades,Table4[Grade],_xlpm.pairs,_xlfn._xlws.FILTER(_xlfn.HSTACK(_xlpm.films,_xlpm.grades),(_xlpm.films&lt;&gt;"")*(TRIM(_xlpm.grades)&lt;&gt;"")),_xlpm.uniquePairs,_xlfn.UNIQUE(_xlpm.pairs),_xlpm.sortedPairs,_xlfn._xlws.SORT(_xlpm.uniquePairs,1,1),INDEX(_xlpm.sortedPairs,ROWS($L$2:L160),1)),"")</f>
        <v/>
      </c>
      <c r="M160" s="15" t="str" cm="1">
        <f t="array" ref="M160">IFERROR(_xlfn.LET(_xlpm.films,Table4[Film],_xlpm.grades,Table4[Grade],_xlpm.pairs,_xlfn._xlws.FILTER(_xlfn.HSTACK(_xlpm.films,_xlpm.grades),(_xlpm.films&lt;&gt;"")*(TRIM(_xlpm.grades)&lt;&gt;"")),_xlpm.uniquePairs,_xlfn.UNIQUE(_xlpm.pairs),_xlpm.sortedPairs,_xlfn._xlws.SORT(_xlpm.uniquePairs,1,1),INDEX(_xlpm.sortedPairs,ROWS($M$2:M160),2)),"")</f>
        <v/>
      </c>
      <c r="N160" s="15" t="str" cm="1">
        <f t="array" ref="N160">IF(OR(Table2[[#This Row],[Film]]="",Table2[[#This Row],[Grade]]=""),"",IFERROR(INDEX(Table4[Serial Number],MATCH(1,(Table4[Film]=Table2[[#This Row],[Film]])*(Table4[Grade]=Table2[[#This Row],[Grade]]),0)),""))</f>
        <v/>
      </c>
      <c r="O160" s="52" t="str">
        <f>IF(OR(Table2[[#This Row],[Film]]="",Table2[[#This Row],[Grade]]=""),"",SUMIFS(Table4[Price Calculated(€) Thickness &amp; QTY related],Table4[Film],Table2[[#This Row],[Film]],Table4[Grade],Table2[[#This Row],[Grade]]))</f>
        <v/>
      </c>
      <c r="P160" s="6"/>
      <c r="T160" s="6"/>
    </row>
    <row r="161" spans="1:20">
      <c r="A161" s="29" t="s">
        <v>46</v>
      </c>
      <c r="B161" s="29" t="s">
        <v>5</v>
      </c>
      <c r="C161" s="28"/>
      <c r="D161" s="28" t="str">
        <f>IF(C161="","",IFERROR(_xlfn.XLOOKUP(C161,HELPER!$A$2:$A$81,HELPER!$B$2:$B$81,""),D161))</f>
        <v/>
      </c>
      <c r="E161" s="28" t="str">
        <f>IFERROR(_xlfn.XLOOKUP(D161,HELPER!$B:$B,HELPER!$C:$C,""),"")</f>
        <v/>
      </c>
      <c r="F161" s="27" t="str">
        <f>IFERROR(_xlfn.XLOOKUP(D161,HELPER!$B:$B,HELPER!$D:$D,""),"")</f>
        <v/>
      </c>
      <c r="G161" s="27">
        <v>8</v>
      </c>
      <c r="H161" s="47"/>
      <c r="I161" s="48" t="str">
        <f>IF(AND(H161&lt;&gt;"",IFERROR(_xlfn.XLOOKUP(D161,HELPER!$B:$B,HELPER!$E:$E,""),"")=""),"Missing price",IFERROR(_xlfn.XLOOKUP(D161,HELPER!$B:$B,HELPER!$E:$E,"")," "))</f>
        <v/>
      </c>
      <c r="J161" s="48" t="str">
        <f>IFERROR(H161*(IF(G161=8,I161*HELPER!$G$2,BOM!I161*HELPER!$G$3))," ")</f>
        <v xml:space="preserve"> </v>
      </c>
      <c r="K161" s="6"/>
      <c r="L161" s="14" t="str" cm="1">
        <f t="array" ref="L161">IFERROR(_xlfn.LET(_xlpm.films,Table4[Film],_xlpm.grades,Table4[Grade],_xlpm.pairs,_xlfn._xlws.FILTER(_xlfn.HSTACK(_xlpm.films,_xlpm.grades),(_xlpm.films&lt;&gt;"")*(TRIM(_xlpm.grades)&lt;&gt;"")),_xlpm.uniquePairs,_xlfn.UNIQUE(_xlpm.pairs),_xlpm.sortedPairs,_xlfn._xlws.SORT(_xlpm.uniquePairs,1,1),INDEX(_xlpm.sortedPairs,ROWS($L$2:L161),1)),"")</f>
        <v/>
      </c>
      <c r="M161" s="15" t="str" cm="1">
        <f t="array" ref="M161">IFERROR(_xlfn.LET(_xlpm.films,Table4[Film],_xlpm.grades,Table4[Grade],_xlpm.pairs,_xlfn._xlws.FILTER(_xlfn.HSTACK(_xlpm.films,_xlpm.grades),(_xlpm.films&lt;&gt;"")*(TRIM(_xlpm.grades)&lt;&gt;"")),_xlpm.uniquePairs,_xlfn.UNIQUE(_xlpm.pairs),_xlpm.sortedPairs,_xlfn._xlws.SORT(_xlpm.uniquePairs,1,1),INDEX(_xlpm.sortedPairs,ROWS($M$2:M161),2)),"")</f>
        <v/>
      </c>
      <c r="N161" s="15" t="str" cm="1">
        <f t="array" ref="N161">IF(OR(Table2[[#This Row],[Film]]="",Table2[[#This Row],[Grade]]=""),"",IFERROR(INDEX(Table4[Serial Number],MATCH(1,(Table4[Film]=Table2[[#This Row],[Film]])*(Table4[Grade]=Table2[[#This Row],[Grade]]),0)),""))</f>
        <v/>
      </c>
      <c r="O161" s="52" t="str">
        <f>IF(OR(Table2[[#This Row],[Film]]="",Table2[[#This Row],[Grade]]=""),"",SUMIFS(Table4[Price Calculated(€) Thickness &amp; QTY related],Table4[Film],Table2[[#This Row],[Film]],Table4[Grade],Table2[[#This Row],[Grade]]))</f>
        <v/>
      </c>
      <c r="P161" s="6"/>
      <c r="T161" s="6"/>
    </row>
    <row r="162" spans="1:20">
      <c r="A162" s="29" t="s">
        <v>46</v>
      </c>
      <c r="B162" s="29" t="s">
        <v>6</v>
      </c>
      <c r="C162" s="28"/>
      <c r="D162" s="28" t="str">
        <f>IF(C162="","",IFERROR(_xlfn.XLOOKUP(C162,HELPER!$A$2:$A$81,HELPER!$B$2:$B$81,""),D162))</f>
        <v/>
      </c>
      <c r="E162" s="28" t="str">
        <f>IFERROR(_xlfn.XLOOKUP(D162,HELPER!$B:$B,HELPER!$C:$C,""),"")</f>
        <v/>
      </c>
      <c r="F162" s="27" t="str">
        <f>IFERROR(_xlfn.XLOOKUP(D162,HELPER!$B:$B,HELPER!$D:$D,""),"")</f>
        <v/>
      </c>
      <c r="G162" s="27">
        <v>24</v>
      </c>
      <c r="H162" s="47"/>
      <c r="I162" s="48" t="str">
        <f>IF(AND(H162&lt;&gt;"",IFERROR(_xlfn.XLOOKUP(D162,HELPER!$B:$B,HELPER!$E:$E,""),"")=""),"Missing price",IFERROR(_xlfn.XLOOKUP(D162,HELPER!$B:$B,HELPER!$E:$E,"")," "))</f>
        <v/>
      </c>
      <c r="J162" s="48" t="str">
        <f>IFERROR(H162*(IF(G162=8,I162*HELPER!$G$2,BOM!I162*HELPER!$G$3))," ")</f>
        <v xml:space="preserve"> </v>
      </c>
      <c r="K162" s="6"/>
      <c r="L162" s="14" t="str" cm="1">
        <f t="array" ref="L162">IFERROR(_xlfn.LET(_xlpm.films,Table4[Film],_xlpm.grades,Table4[Grade],_xlpm.pairs,_xlfn._xlws.FILTER(_xlfn.HSTACK(_xlpm.films,_xlpm.grades),(_xlpm.films&lt;&gt;"")*(TRIM(_xlpm.grades)&lt;&gt;"")),_xlpm.uniquePairs,_xlfn.UNIQUE(_xlpm.pairs),_xlpm.sortedPairs,_xlfn._xlws.SORT(_xlpm.uniquePairs,1,1),INDEX(_xlpm.sortedPairs,ROWS($L$2:L162),1)),"")</f>
        <v/>
      </c>
      <c r="M162" s="15" t="str" cm="1">
        <f t="array" ref="M162">IFERROR(_xlfn.LET(_xlpm.films,Table4[Film],_xlpm.grades,Table4[Grade],_xlpm.pairs,_xlfn._xlws.FILTER(_xlfn.HSTACK(_xlpm.films,_xlpm.grades),(_xlpm.films&lt;&gt;"")*(TRIM(_xlpm.grades)&lt;&gt;"")),_xlpm.uniquePairs,_xlfn.UNIQUE(_xlpm.pairs),_xlpm.sortedPairs,_xlfn._xlws.SORT(_xlpm.uniquePairs,1,1),INDEX(_xlpm.sortedPairs,ROWS($M$2:M162),2)),"")</f>
        <v/>
      </c>
      <c r="N162" s="15" t="str" cm="1">
        <f t="array" ref="N162">IF(OR(Table2[[#This Row],[Film]]="",Table2[[#This Row],[Grade]]=""),"",IFERROR(INDEX(Table4[Serial Number],MATCH(1,(Table4[Film]=Table2[[#This Row],[Film]])*(Table4[Grade]=Table2[[#This Row],[Grade]]),0)),""))</f>
        <v/>
      </c>
      <c r="O162" s="52" t="str">
        <f>IF(OR(Table2[[#This Row],[Film]]="",Table2[[#This Row],[Grade]]=""),"",SUMIFS(Table4[Price Calculated(€) Thickness &amp; QTY related],Table4[Film],Table2[[#This Row],[Film]],Table4[Grade],Table2[[#This Row],[Grade]]))</f>
        <v/>
      </c>
      <c r="P162" s="6"/>
      <c r="T162" s="6"/>
    </row>
    <row r="163" spans="1:20">
      <c r="A163" s="29" t="s">
        <v>46</v>
      </c>
      <c r="B163" s="29" t="s">
        <v>6</v>
      </c>
      <c r="C163" s="28" t="s">
        <v>18</v>
      </c>
      <c r="D163" s="28" t="str">
        <f>IF(C163="","",IFERROR(_xlfn.XLOOKUP(C163,HELPER!$A$2:$A$81,HELPER!$B$2:$B$81,""),D163))</f>
        <v>KAB59A</v>
      </c>
      <c r="E163" s="28" t="str">
        <f>IFERROR(_xlfn.XLOOKUP(D163,HELPER!$B:$B,HELPER!$C:$C,""),"")</f>
        <v>RM A KAB59A</v>
      </c>
      <c r="F163" s="27" t="str">
        <f>IFERROR(_xlfn.XLOOKUP(D163,HELPER!$B:$B,HELPER!$D:$D,""),"")</f>
        <v>Resin 8</v>
      </c>
      <c r="G163" s="27">
        <v>24</v>
      </c>
      <c r="H163" s="47"/>
      <c r="I163" s="48">
        <f>IF(AND(H163&lt;&gt;"",IFERROR(_xlfn.XLOOKUP(D163,HELPER!$B:$B,HELPER!$E:$E,""),"")=""),"Missing price",IFERROR(_xlfn.XLOOKUP(D163,HELPER!$B:$B,HELPER!$E:$E,"")," "))</f>
        <v>7.55</v>
      </c>
      <c r="J163" s="48">
        <f>IFERROR(H163*(IF(G163=8,I163*HELPER!$G$2,BOM!I163*HELPER!$G$3))," ")</f>
        <v>0</v>
      </c>
      <c r="K163" s="6"/>
      <c r="L163" s="14" t="str" cm="1">
        <f t="array" ref="L163">IFERROR(_xlfn.LET(_xlpm.films,Table4[Film],_xlpm.grades,Table4[Grade],_xlpm.pairs,_xlfn._xlws.FILTER(_xlfn.HSTACK(_xlpm.films,_xlpm.grades),(_xlpm.films&lt;&gt;"")*(TRIM(_xlpm.grades)&lt;&gt;"")),_xlpm.uniquePairs,_xlfn.UNIQUE(_xlpm.pairs),_xlpm.sortedPairs,_xlfn._xlws.SORT(_xlpm.uniquePairs,1,1),INDEX(_xlpm.sortedPairs,ROWS($L$2:L163),1)),"")</f>
        <v/>
      </c>
      <c r="M163" s="15" t="str" cm="1">
        <f t="array" ref="M163">IFERROR(_xlfn.LET(_xlpm.films,Table4[Film],_xlpm.grades,Table4[Grade],_xlpm.pairs,_xlfn._xlws.FILTER(_xlfn.HSTACK(_xlpm.films,_xlpm.grades),(_xlpm.films&lt;&gt;"")*(TRIM(_xlpm.grades)&lt;&gt;"")),_xlpm.uniquePairs,_xlfn.UNIQUE(_xlpm.pairs),_xlpm.sortedPairs,_xlfn._xlws.SORT(_xlpm.uniquePairs,1,1),INDEX(_xlpm.sortedPairs,ROWS($M$2:M163),2)),"")</f>
        <v/>
      </c>
      <c r="N163" s="15" t="str" cm="1">
        <f t="array" ref="N163">IF(OR(Table2[[#This Row],[Film]]="",Table2[[#This Row],[Grade]]=""),"",IFERROR(INDEX(Table4[Serial Number],MATCH(1,(Table4[Film]=Table2[[#This Row],[Film]])*(Table4[Grade]=Table2[[#This Row],[Grade]]),0)),""))</f>
        <v/>
      </c>
      <c r="O163" s="52" t="str">
        <f>IF(OR(Table2[[#This Row],[Film]]="",Table2[[#This Row],[Grade]]=""),"",SUMIFS(Table4[Price Calculated(€) Thickness &amp; QTY related],Table4[Film],Table2[[#This Row],[Film]],Table4[Grade],Table2[[#This Row],[Grade]]))</f>
        <v/>
      </c>
      <c r="P163" s="6"/>
      <c r="T163" s="6"/>
    </row>
    <row r="164" spans="1:20">
      <c r="A164" s="29" t="s">
        <v>46</v>
      </c>
      <c r="B164" s="29" t="s">
        <v>6</v>
      </c>
      <c r="C164" s="28" t="s">
        <v>13</v>
      </c>
      <c r="D164" s="28" t="str">
        <f>IF(C164="","",IFERROR(_xlfn.XLOOKUP(C164,HELPER!$A$2:$A$81,HELPER!$B$2:$B$81,""),D164))</f>
        <v>LX175</v>
      </c>
      <c r="E164" s="28" t="str">
        <f>IFERROR(_xlfn.XLOOKUP(D164,HELPER!$B:$B,HELPER!$C:$C,""),"")</f>
        <v>RMLX175</v>
      </c>
      <c r="F164" s="27" t="str">
        <f>IFERROR(_xlfn.XLOOKUP(D164,HELPER!$B:$B,HELPER!$D:$D,""),"")</f>
        <v>Resin 1A</v>
      </c>
      <c r="G164" s="27">
        <v>24</v>
      </c>
      <c r="H164" s="47">
        <v>0.71499999999999997</v>
      </c>
      <c r="I164" s="48">
        <f>IF(AND(H164&lt;&gt;"",IFERROR(_xlfn.XLOOKUP(D164,HELPER!$B:$B,HELPER!$E:$E,""),"")=""),"Missing price",IFERROR(_xlfn.XLOOKUP(D164,HELPER!$B:$B,HELPER!$E:$E,"")," "))</f>
        <v>3.17</v>
      </c>
      <c r="J164" s="48">
        <f>IFERROR(H164*(IF(G164=8,I164*HELPER!$G$2,BOM!I164*HELPER!$G$3))," ")</f>
        <v>1.3599299999999999</v>
      </c>
      <c r="K164" s="6"/>
      <c r="L164" s="14" t="str" cm="1">
        <f t="array" ref="L164">IFERROR(_xlfn.LET(_xlpm.films,Table4[Film],_xlpm.grades,Table4[Grade],_xlpm.pairs,_xlfn._xlws.FILTER(_xlfn.HSTACK(_xlpm.films,_xlpm.grades),(_xlpm.films&lt;&gt;"")*(TRIM(_xlpm.grades)&lt;&gt;"")),_xlpm.uniquePairs,_xlfn.UNIQUE(_xlpm.pairs),_xlpm.sortedPairs,_xlfn._xlws.SORT(_xlpm.uniquePairs,1,1),INDEX(_xlpm.sortedPairs,ROWS($L$2:L164),1)),"")</f>
        <v/>
      </c>
      <c r="M164" s="15" t="str" cm="1">
        <f t="array" ref="M164">IFERROR(_xlfn.LET(_xlpm.films,Table4[Film],_xlpm.grades,Table4[Grade],_xlpm.pairs,_xlfn._xlws.FILTER(_xlfn.HSTACK(_xlpm.films,_xlpm.grades),(_xlpm.films&lt;&gt;"")*(TRIM(_xlpm.grades)&lt;&gt;"")),_xlpm.uniquePairs,_xlfn.UNIQUE(_xlpm.pairs),_xlpm.sortedPairs,_xlfn._xlws.SORT(_xlpm.uniquePairs,1,1),INDEX(_xlpm.sortedPairs,ROWS($M$2:M164),2)),"")</f>
        <v/>
      </c>
      <c r="N164" s="15" t="str" cm="1">
        <f t="array" ref="N164">IF(OR(Table2[[#This Row],[Film]]="",Table2[[#This Row],[Grade]]=""),"",IFERROR(INDEX(Table4[Serial Number],MATCH(1,(Table4[Film]=Table2[[#This Row],[Film]])*(Table4[Grade]=Table2[[#This Row],[Grade]]),0)),""))</f>
        <v/>
      </c>
      <c r="O164" s="52" t="str">
        <f>IF(OR(Table2[[#This Row],[Film]]="",Table2[[#This Row],[Grade]]=""),"",SUMIFS(Table4[Price Calculated(€) Thickness &amp; QTY related],Table4[Film],Table2[[#This Row],[Film]],Table4[Grade],Table2[[#This Row],[Grade]]))</f>
        <v/>
      </c>
      <c r="P164" s="6"/>
      <c r="T164" s="6"/>
    </row>
    <row r="165" spans="1:20">
      <c r="A165" s="29" t="s">
        <v>46</v>
      </c>
      <c r="B165" s="29" t="s">
        <v>6</v>
      </c>
      <c r="C165" s="28" t="s">
        <v>15</v>
      </c>
      <c r="D165" s="28" t="str">
        <f>IF(C165="","",IFERROR(_xlfn.XLOOKUP(C165,HELPER!$A$2:$A$81,HELPER!$B$2:$B$81,""),D165))</f>
        <v>P65D</v>
      </c>
      <c r="E165" s="28" t="str">
        <f>IFERROR(_xlfn.XLOOKUP(D165,HELPER!$B:$B,HELPER!$C:$C,""),"")</f>
        <v>RMP65D</v>
      </c>
      <c r="F165" s="27" t="str">
        <f>IFERROR(_xlfn.XLOOKUP(D165,HELPER!$B:$B,HELPER!$D:$D,""),"")</f>
        <v>Resin 4A</v>
      </c>
      <c r="G165" s="27">
        <v>24</v>
      </c>
      <c r="H165" s="47">
        <v>0.17</v>
      </c>
      <c r="I165" s="48">
        <f>IF(AND(H165&lt;&gt;"",IFERROR(_xlfn.XLOOKUP(D165,HELPER!$B:$B,HELPER!$E:$E,""),"")=""),"Missing price",IFERROR(_xlfn.XLOOKUP(D165,HELPER!$B:$B,HELPER!$E:$E,"")," "))</f>
        <v>7.3</v>
      </c>
      <c r="J165" s="48">
        <f>IFERROR(H165*(IF(G165=8,I165*HELPER!$G$2,BOM!I165*HELPER!$G$3))," ")</f>
        <v>0.74460000000000004</v>
      </c>
      <c r="K165" s="6"/>
      <c r="L165" s="14" t="str" cm="1">
        <f t="array" ref="L165">IFERROR(_xlfn.LET(_xlpm.films,Table4[Film],_xlpm.grades,Table4[Grade],_xlpm.pairs,_xlfn._xlws.FILTER(_xlfn.HSTACK(_xlpm.films,_xlpm.grades),(_xlpm.films&lt;&gt;"")*(TRIM(_xlpm.grades)&lt;&gt;"")),_xlpm.uniquePairs,_xlfn.UNIQUE(_xlpm.pairs),_xlpm.sortedPairs,_xlfn._xlws.SORT(_xlpm.uniquePairs,1,1),INDEX(_xlpm.sortedPairs,ROWS($L$2:L165),1)),"")</f>
        <v/>
      </c>
      <c r="M165" s="15" t="str" cm="1">
        <f t="array" ref="M165">IFERROR(_xlfn.LET(_xlpm.films,Table4[Film],_xlpm.grades,Table4[Grade],_xlpm.pairs,_xlfn._xlws.FILTER(_xlfn.HSTACK(_xlpm.films,_xlpm.grades),(_xlpm.films&lt;&gt;"")*(TRIM(_xlpm.grades)&lt;&gt;"")),_xlpm.uniquePairs,_xlfn.UNIQUE(_xlpm.pairs),_xlpm.sortedPairs,_xlfn._xlws.SORT(_xlpm.uniquePairs,1,1),INDEX(_xlpm.sortedPairs,ROWS($M$2:M165),2)),"")</f>
        <v/>
      </c>
      <c r="N165" s="15" t="str" cm="1">
        <f t="array" ref="N165">IF(OR(Table2[[#This Row],[Film]]="",Table2[[#This Row],[Grade]]=""),"",IFERROR(INDEX(Table4[Serial Number],MATCH(1,(Table4[Film]=Table2[[#This Row],[Film]])*(Table4[Grade]=Table2[[#This Row],[Grade]]),0)),""))</f>
        <v/>
      </c>
      <c r="O165" s="52" t="str">
        <f>IF(OR(Table2[[#This Row],[Film]]="",Table2[[#This Row],[Grade]]=""),"",SUMIFS(Table4[Price Calculated(€) Thickness &amp; QTY related],Table4[Film],Table2[[#This Row],[Film]],Table4[Grade],Table2[[#This Row],[Grade]]))</f>
        <v/>
      </c>
      <c r="P165" s="6"/>
      <c r="T165" s="6"/>
    </row>
    <row r="166" spans="1:20">
      <c r="A166" s="29" t="s">
        <v>46</v>
      </c>
      <c r="B166" s="29" t="s">
        <v>6</v>
      </c>
      <c r="C166" s="28" t="s">
        <v>16</v>
      </c>
      <c r="D166" s="28" t="str">
        <f>IF(C166="","",IFERROR(_xlfn.XLOOKUP(C166,HELPER!$A$2:$A$81,HELPER!$B$2:$B$81,""),D166))</f>
        <v>S723</v>
      </c>
      <c r="E166" s="28" t="str">
        <f>IFERROR(_xlfn.XLOOKUP(D166,HELPER!$B:$B,HELPER!$C:$C,""),"")</f>
        <v>RM TA45-08 S723</v>
      </c>
      <c r="F166" s="27" t="str">
        <f>IFERROR(_xlfn.XLOOKUP(D166,HELPER!$B:$B,HELPER!$D:$D,""),"")</f>
        <v>Resin 6</v>
      </c>
      <c r="G166" s="27">
        <v>24</v>
      </c>
      <c r="H166" s="47">
        <v>1.4999999999999999E-2</v>
      </c>
      <c r="I166" s="48">
        <f>IF(AND(H166&lt;&gt;"",IFERROR(_xlfn.XLOOKUP(D166,HELPER!$B:$B,HELPER!$E:$E,""),"")=""),"Missing price",IFERROR(_xlfn.XLOOKUP(D166,HELPER!$B:$B,HELPER!$E:$E,"")," "))</f>
        <v>16.16</v>
      </c>
      <c r="J166" s="48">
        <f>IFERROR(H166*(IF(G166=8,I166*HELPER!$G$2,BOM!I166*HELPER!$G$3))," ")</f>
        <v>0.14543999999999999</v>
      </c>
      <c r="K166" s="6"/>
      <c r="L166" s="14" t="str" cm="1">
        <f t="array" ref="L166">IFERROR(_xlfn.LET(_xlpm.films,Table4[Film],_xlpm.grades,Table4[Grade],_xlpm.pairs,_xlfn._xlws.FILTER(_xlfn.HSTACK(_xlpm.films,_xlpm.grades),(_xlpm.films&lt;&gt;"")*(TRIM(_xlpm.grades)&lt;&gt;"")),_xlpm.uniquePairs,_xlfn.UNIQUE(_xlpm.pairs),_xlpm.sortedPairs,_xlfn._xlws.SORT(_xlpm.uniquePairs,1,1),INDEX(_xlpm.sortedPairs,ROWS($L$2:L166),1)),"")</f>
        <v/>
      </c>
      <c r="M166" s="15" t="str" cm="1">
        <f t="array" ref="M166">IFERROR(_xlfn.LET(_xlpm.films,Table4[Film],_xlpm.grades,Table4[Grade],_xlpm.pairs,_xlfn._xlws.FILTER(_xlfn.HSTACK(_xlpm.films,_xlpm.grades),(_xlpm.films&lt;&gt;"")*(TRIM(_xlpm.grades)&lt;&gt;"")),_xlpm.uniquePairs,_xlfn.UNIQUE(_xlpm.pairs),_xlpm.sortedPairs,_xlfn._xlws.SORT(_xlpm.uniquePairs,1,1),INDEX(_xlpm.sortedPairs,ROWS($M$2:M166),2)),"")</f>
        <v/>
      </c>
      <c r="N166" s="15" t="str" cm="1">
        <f t="array" ref="N166">IF(OR(Table2[[#This Row],[Film]]="",Table2[[#This Row],[Grade]]=""),"",IFERROR(INDEX(Table4[Serial Number],MATCH(1,(Table4[Film]=Table2[[#This Row],[Film]])*(Table4[Grade]=Table2[[#This Row],[Grade]]),0)),""))</f>
        <v/>
      </c>
      <c r="O166" s="52" t="str">
        <f>IF(OR(Table2[[#This Row],[Film]]="",Table2[[#This Row],[Grade]]=""),"",SUMIFS(Table4[Price Calculated(€) Thickness &amp; QTY related],Table4[Film],Table2[[#This Row],[Film]],Table4[Grade],Table2[[#This Row],[Grade]]))</f>
        <v/>
      </c>
      <c r="P166" s="6"/>
      <c r="T166" s="6"/>
    </row>
    <row r="167" spans="1:20">
      <c r="A167" s="29" t="s">
        <v>46</v>
      </c>
      <c r="B167" s="29" t="s">
        <v>6</v>
      </c>
      <c r="C167" s="28" t="s">
        <v>41</v>
      </c>
      <c r="D167" s="28" t="str">
        <f>IF(C167="","",IFERROR(_xlfn.XLOOKUP(C167,HELPER!$A$2:$A$81,HELPER!$B$2:$B$81,""),D167))</f>
        <v>RM WHITE BIO8153</v>
      </c>
      <c r="E167" s="28" t="str">
        <f>IFERROR(_xlfn.XLOOKUP(D167,HELPER!$B:$B,HELPER!$C:$C,""),"")</f>
        <v>RM WHITE BIO8153</v>
      </c>
      <c r="F167" s="27" t="str">
        <f>IFERROR(_xlfn.XLOOKUP(D167,HELPER!$B:$B,HELPER!$D:$D,""),"")</f>
        <v>Resin 13B</v>
      </c>
      <c r="G167" s="27">
        <v>24</v>
      </c>
      <c r="H167" s="47">
        <v>0.1</v>
      </c>
      <c r="I167" s="48">
        <f>IF(AND(H167&lt;&gt;"",IFERROR(_xlfn.XLOOKUP(D167,HELPER!$B:$B,HELPER!$E:$E,""),"")=""),"Missing price",IFERROR(_xlfn.XLOOKUP(D167,HELPER!$B:$B,HELPER!$E:$E,"")," "))</f>
        <v>6.15</v>
      </c>
      <c r="J167" s="48">
        <f>IFERROR(H167*(IF(G167=8,I167*HELPER!$G$2,BOM!I167*HELPER!$G$3))," ")</f>
        <v>0.36899999999999999</v>
      </c>
      <c r="K167" s="6"/>
      <c r="L167" s="14" t="str" cm="1">
        <f t="array" ref="L167">IFERROR(_xlfn.LET(_xlpm.films,Table4[Film],_xlpm.grades,Table4[Grade],_xlpm.pairs,_xlfn._xlws.FILTER(_xlfn.HSTACK(_xlpm.films,_xlpm.grades),(_xlpm.films&lt;&gt;"")*(TRIM(_xlpm.grades)&lt;&gt;"")),_xlpm.uniquePairs,_xlfn.UNIQUE(_xlpm.pairs),_xlpm.sortedPairs,_xlfn._xlws.SORT(_xlpm.uniquePairs,1,1),INDEX(_xlpm.sortedPairs,ROWS($L$2:L167),1)),"")</f>
        <v/>
      </c>
      <c r="M167" s="15" t="str" cm="1">
        <f t="array" ref="M167">IFERROR(_xlfn.LET(_xlpm.films,Table4[Film],_xlpm.grades,Table4[Grade],_xlpm.pairs,_xlfn._xlws.FILTER(_xlfn.HSTACK(_xlpm.films,_xlpm.grades),(_xlpm.films&lt;&gt;"")*(TRIM(_xlpm.grades)&lt;&gt;"")),_xlpm.uniquePairs,_xlfn.UNIQUE(_xlpm.pairs),_xlpm.sortedPairs,_xlfn._xlws.SORT(_xlpm.uniquePairs,1,1),INDEX(_xlpm.sortedPairs,ROWS($M$2:M167),2)),"")</f>
        <v/>
      </c>
      <c r="N167" s="15" t="str" cm="1">
        <f t="array" ref="N167">IF(OR(Table2[[#This Row],[Film]]="",Table2[[#This Row],[Grade]]=""),"",IFERROR(INDEX(Table4[Serial Number],MATCH(1,(Table4[Film]=Table2[[#This Row],[Film]])*(Table4[Grade]=Table2[[#This Row],[Grade]]),0)),""))</f>
        <v/>
      </c>
      <c r="O167" s="52" t="str">
        <f>IF(OR(Table2[[#This Row],[Film]]="",Table2[[#This Row],[Grade]]=""),"",SUMIFS(Table4[Price Calculated(€) Thickness &amp; QTY related],Table4[Film],Table2[[#This Row],[Film]],Table4[Grade],Table2[[#This Row],[Grade]]))</f>
        <v/>
      </c>
      <c r="P167" s="6"/>
      <c r="T167" s="6"/>
    </row>
    <row r="168" spans="1:20">
      <c r="A168" s="29" t="s">
        <v>46</v>
      </c>
      <c r="B168" s="29" t="s">
        <v>6</v>
      </c>
      <c r="C168" s="28" t="s">
        <v>17</v>
      </c>
      <c r="D168" s="28" t="str">
        <f>IF(C168="","",IFERROR(_xlfn.XLOOKUP(C168,HELPER!$A$2:$A$81,HELPER!$B$2:$B$81,""),D168))</f>
        <v>S724</v>
      </c>
      <c r="E168" s="28" t="str">
        <f>IFERROR(_xlfn.XLOOKUP(D168,HELPER!$B:$B,HELPER!$C:$C,""),"")</f>
        <v>RM TA45-08 S724</v>
      </c>
      <c r="F168" s="27" t="str">
        <f>IFERROR(_xlfn.XLOOKUP(D168,HELPER!$B:$B,HELPER!$D:$D,""),"")</f>
        <v>Resin 7</v>
      </c>
      <c r="G168" s="27">
        <v>24</v>
      </c>
      <c r="H168" s="47"/>
      <c r="I168" s="48">
        <f>IF(AND(H168&lt;&gt;"",IFERROR(_xlfn.XLOOKUP(D168,HELPER!$B:$B,HELPER!$E:$E,""),"")=""),"Missing price",IFERROR(_xlfn.XLOOKUP(D168,HELPER!$B:$B,HELPER!$E:$E,"")," "))</f>
        <v>14.7</v>
      </c>
      <c r="J168" s="48">
        <f>IFERROR(H168*(IF(G168=8,I168*HELPER!$G$2,BOM!I168*HELPER!$G$3))," ")</f>
        <v>0</v>
      </c>
      <c r="K168" s="6"/>
      <c r="L168" s="14" t="str" cm="1">
        <f t="array" ref="L168">IFERROR(_xlfn.LET(_xlpm.films,Table4[Film],_xlpm.grades,Table4[Grade],_xlpm.pairs,_xlfn._xlws.FILTER(_xlfn.HSTACK(_xlpm.films,_xlpm.grades),(_xlpm.films&lt;&gt;"")*(TRIM(_xlpm.grades)&lt;&gt;"")),_xlpm.uniquePairs,_xlfn.UNIQUE(_xlpm.pairs),_xlpm.sortedPairs,_xlfn._xlws.SORT(_xlpm.uniquePairs,1,1),INDEX(_xlpm.sortedPairs,ROWS($L$2:L168),1)),"")</f>
        <v/>
      </c>
      <c r="M168" s="15" t="str" cm="1">
        <f t="array" ref="M168">IFERROR(_xlfn.LET(_xlpm.films,Table4[Film],_xlpm.grades,Table4[Grade],_xlpm.pairs,_xlfn._xlws.FILTER(_xlfn.HSTACK(_xlpm.films,_xlpm.grades),(_xlpm.films&lt;&gt;"")*(TRIM(_xlpm.grades)&lt;&gt;"")),_xlpm.uniquePairs,_xlfn.UNIQUE(_xlpm.pairs),_xlpm.sortedPairs,_xlfn._xlws.SORT(_xlpm.uniquePairs,1,1),INDEX(_xlpm.sortedPairs,ROWS($M$2:M168),2)),"")</f>
        <v/>
      </c>
      <c r="N168" s="15" t="str" cm="1">
        <f t="array" ref="N168">IF(OR(Table2[[#This Row],[Film]]="",Table2[[#This Row],[Grade]]=""),"",IFERROR(INDEX(Table4[Serial Number],MATCH(1,(Table4[Film]=Table2[[#This Row],[Film]])*(Table4[Grade]=Table2[[#This Row],[Grade]]),0)),""))</f>
        <v/>
      </c>
      <c r="O168" s="52" t="str">
        <f>IF(OR(Table2[[#This Row],[Film]]="",Table2[[#This Row],[Grade]]=""),"",SUMIFS(Table4[Price Calculated(€) Thickness &amp; QTY related],Table4[Film],Table2[[#This Row],[Film]],Table4[Grade],Table2[[#This Row],[Grade]]))</f>
        <v/>
      </c>
      <c r="P168" s="6"/>
      <c r="T168" s="6"/>
    </row>
    <row r="169" spans="1:20">
      <c r="A169" s="29" t="s">
        <v>46</v>
      </c>
      <c r="B169" s="29" t="s">
        <v>6</v>
      </c>
      <c r="C169" s="28"/>
      <c r="D169" s="28" t="str">
        <f>IF(C169="","",IFERROR(_xlfn.XLOOKUP(C169,HELPER!$A$2:$A$81,HELPER!$B$2:$B$81,""),D169))</f>
        <v/>
      </c>
      <c r="E169" s="28" t="str">
        <f>IFERROR(_xlfn.XLOOKUP(D169,HELPER!$B:$B,HELPER!$C:$C,""),"")</f>
        <v/>
      </c>
      <c r="F169" s="27" t="str">
        <f>IFERROR(_xlfn.XLOOKUP(D169,HELPER!$B:$B,HELPER!$D:$D,""),"")</f>
        <v/>
      </c>
      <c r="G169" s="27">
        <v>24</v>
      </c>
      <c r="H169" s="47"/>
      <c r="I169" s="48" t="str">
        <f>IF(AND(H169&lt;&gt;"",IFERROR(_xlfn.XLOOKUP(D169,HELPER!$B:$B,HELPER!$E:$E,""),"")=""),"Missing price",IFERROR(_xlfn.XLOOKUP(D169,HELPER!$B:$B,HELPER!$E:$E,"")," "))</f>
        <v/>
      </c>
      <c r="J169" s="48" t="str">
        <f>IFERROR(H169*(IF(G169=8,I169*HELPER!$G$2,BOM!I169*HELPER!$G$3))," ")</f>
        <v xml:space="preserve"> </v>
      </c>
      <c r="K169" s="6"/>
      <c r="L169" s="14" t="str" cm="1">
        <f t="array" ref="L169">IFERROR(_xlfn.LET(_xlpm.films,Table4[Film],_xlpm.grades,Table4[Grade],_xlpm.pairs,_xlfn._xlws.FILTER(_xlfn.HSTACK(_xlpm.films,_xlpm.grades),(_xlpm.films&lt;&gt;"")*(TRIM(_xlpm.grades)&lt;&gt;"")),_xlpm.uniquePairs,_xlfn.UNIQUE(_xlpm.pairs),_xlpm.sortedPairs,_xlfn._xlws.SORT(_xlpm.uniquePairs,1,1),INDEX(_xlpm.sortedPairs,ROWS($L$2:L169),1)),"")</f>
        <v/>
      </c>
      <c r="M169" s="15" t="str" cm="1">
        <f t="array" ref="M169">IFERROR(_xlfn.LET(_xlpm.films,Table4[Film],_xlpm.grades,Table4[Grade],_xlpm.pairs,_xlfn._xlws.FILTER(_xlfn.HSTACK(_xlpm.films,_xlpm.grades),(_xlpm.films&lt;&gt;"")*(TRIM(_xlpm.grades)&lt;&gt;"")),_xlpm.uniquePairs,_xlfn.UNIQUE(_xlpm.pairs),_xlpm.sortedPairs,_xlfn._xlws.SORT(_xlpm.uniquePairs,1,1),INDEX(_xlpm.sortedPairs,ROWS($M$2:M169),2)),"")</f>
        <v/>
      </c>
      <c r="N169" s="15" t="str" cm="1">
        <f t="array" ref="N169">IF(OR(Table2[[#This Row],[Film]]="",Table2[[#This Row],[Grade]]=""),"",IFERROR(INDEX(Table4[Serial Number],MATCH(1,(Table4[Film]=Table2[[#This Row],[Film]])*(Table4[Grade]=Table2[[#This Row],[Grade]]),0)),""))</f>
        <v/>
      </c>
      <c r="O169" s="52" t="str">
        <f>IF(OR(Table2[[#This Row],[Film]]="",Table2[[#This Row],[Grade]]=""),"",SUMIFS(Table4[Price Calculated(€) Thickness &amp; QTY related],Table4[Film],Table2[[#This Row],[Film]],Table4[Grade],Table2[[#This Row],[Grade]]))</f>
        <v/>
      </c>
      <c r="P169" s="6"/>
      <c r="T169" s="6"/>
    </row>
    <row r="170" spans="1:20">
      <c r="A170" s="29" t="s">
        <v>46</v>
      </c>
      <c r="B170" s="29" t="s">
        <v>6</v>
      </c>
      <c r="C170" s="28"/>
      <c r="D170" s="28" t="str">
        <f>IF(C170="","",IFERROR(_xlfn.XLOOKUP(C170,HELPER!$A$2:$A$81,HELPER!$B$2:$B$81,""),D170))</f>
        <v/>
      </c>
      <c r="E170" s="28" t="str">
        <f>IFERROR(_xlfn.XLOOKUP(D170,HELPER!$B:$B,HELPER!$C:$C,""),"")</f>
        <v/>
      </c>
      <c r="F170" s="27" t="str">
        <f>IFERROR(_xlfn.XLOOKUP(D170,HELPER!$B:$B,HELPER!$D:$D,""),"")</f>
        <v/>
      </c>
      <c r="G170" s="27">
        <v>24</v>
      </c>
      <c r="H170" s="47"/>
      <c r="I170" s="48" t="str">
        <f>IF(AND(H170&lt;&gt;"",IFERROR(_xlfn.XLOOKUP(D170,HELPER!$B:$B,HELPER!$E:$E,""),"")=""),"Missing price",IFERROR(_xlfn.XLOOKUP(D170,HELPER!$B:$B,HELPER!$E:$E,"")," "))</f>
        <v/>
      </c>
      <c r="J170" s="48" t="str">
        <f>IFERROR(H170*(IF(G170=8,I170*HELPER!$G$2,BOM!I170*HELPER!$G$3))," ")</f>
        <v xml:space="preserve"> </v>
      </c>
      <c r="K170" s="6"/>
      <c r="L170" s="14" t="str" cm="1">
        <f t="array" ref="L170">IFERROR(_xlfn.LET(_xlpm.films,Table4[Film],_xlpm.grades,Table4[Grade],_xlpm.pairs,_xlfn._xlws.FILTER(_xlfn.HSTACK(_xlpm.films,_xlpm.grades),(_xlpm.films&lt;&gt;"")*(TRIM(_xlpm.grades)&lt;&gt;"")),_xlpm.uniquePairs,_xlfn.UNIQUE(_xlpm.pairs),_xlpm.sortedPairs,_xlfn._xlws.SORT(_xlpm.uniquePairs,1,1),INDEX(_xlpm.sortedPairs,ROWS($L$2:L170),1)),"")</f>
        <v/>
      </c>
      <c r="M170" s="15" t="str" cm="1">
        <f t="array" ref="M170">IFERROR(_xlfn.LET(_xlpm.films,Table4[Film],_xlpm.grades,Table4[Grade],_xlpm.pairs,_xlfn._xlws.FILTER(_xlfn.HSTACK(_xlpm.films,_xlpm.grades),(_xlpm.films&lt;&gt;"")*(TRIM(_xlpm.grades)&lt;&gt;"")),_xlpm.uniquePairs,_xlfn.UNIQUE(_xlpm.pairs),_xlpm.sortedPairs,_xlfn._xlws.SORT(_xlpm.uniquePairs,1,1),INDEX(_xlpm.sortedPairs,ROWS($M$2:M170),2)),"")</f>
        <v/>
      </c>
      <c r="N170" s="15" t="str" cm="1">
        <f t="array" ref="N170">IF(OR(Table2[[#This Row],[Film]]="",Table2[[#This Row],[Grade]]=""),"",IFERROR(INDEX(Table4[Serial Number],MATCH(1,(Table4[Film]=Table2[[#This Row],[Film]])*(Table4[Grade]=Table2[[#This Row],[Grade]]),0)),""))</f>
        <v/>
      </c>
      <c r="O170" s="52" t="str">
        <f>IF(OR(Table2[[#This Row],[Film]]="",Table2[[#This Row],[Grade]]=""),"",SUMIFS(Table4[Price Calculated(€) Thickness &amp; QTY related],Table4[Film],Table2[[#This Row],[Film]],Table4[Grade],Table2[[#This Row],[Grade]]))</f>
        <v/>
      </c>
      <c r="P170" s="6"/>
      <c r="T170" s="6"/>
    </row>
    <row r="171" spans="1:20">
      <c r="A171" s="29" t="s">
        <v>46</v>
      </c>
      <c r="B171" s="29" t="s">
        <v>6</v>
      </c>
      <c r="C171" s="28"/>
      <c r="D171" s="28" t="str">
        <f>IF(C171="","",IFERROR(_xlfn.XLOOKUP(C171,HELPER!$A$2:$A$81,HELPER!$B$2:$B$81,""),D171))</f>
        <v/>
      </c>
      <c r="E171" s="28" t="str">
        <f>IFERROR(_xlfn.XLOOKUP(D171,HELPER!$B:$B,HELPER!$C:$C,""),"")</f>
        <v/>
      </c>
      <c r="F171" s="27" t="str">
        <f>IFERROR(_xlfn.XLOOKUP(D171,HELPER!$B:$B,HELPER!$D:$D,""),"")</f>
        <v/>
      </c>
      <c r="G171" s="27">
        <v>24</v>
      </c>
      <c r="H171" s="47"/>
      <c r="I171" s="48" t="str">
        <f>IF(AND(H171&lt;&gt;"",IFERROR(_xlfn.XLOOKUP(D171,HELPER!$B:$B,HELPER!$E:$E,""),"")=""),"Missing price",IFERROR(_xlfn.XLOOKUP(D171,HELPER!$B:$B,HELPER!$E:$E,"")," "))</f>
        <v/>
      </c>
      <c r="J171" s="48" t="str">
        <f>IFERROR(H171*(IF(G171=8,I171*HELPER!$G$2,BOM!I171*HELPER!$G$3))," ")</f>
        <v xml:space="preserve"> </v>
      </c>
      <c r="K171" s="6"/>
      <c r="L171" s="14" t="str" cm="1">
        <f t="array" ref="L171">IFERROR(_xlfn.LET(_xlpm.films,Table4[Film],_xlpm.grades,Table4[Grade],_xlpm.pairs,_xlfn._xlws.FILTER(_xlfn.HSTACK(_xlpm.films,_xlpm.grades),(_xlpm.films&lt;&gt;"")*(TRIM(_xlpm.grades)&lt;&gt;"")),_xlpm.uniquePairs,_xlfn.UNIQUE(_xlpm.pairs),_xlpm.sortedPairs,_xlfn._xlws.SORT(_xlpm.uniquePairs,1,1),INDEX(_xlpm.sortedPairs,ROWS($L$2:L171),1)),"")</f>
        <v/>
      </c>
      <c r="M171" s="15" t="str" cm="1">
        <f t="array" ref="M171">IFERROR(_xlfn.LET(_xlpm.films,Table4[Film],_xlpm.grades,Table4[Grade],_xlpm.pairs,_xlfn._xlws.FILTER(_xlfn.HSTACK(_xlpm.films,_xlpm.grades),(_xlpm.films&lt;&gt;"")*(TRIM(_xlpm.grades)&lt;&gt;"")),_xlpm.uniquePairs,_xlfn.UNIQUE(_xlpm.pairs),_xlpm.sortedPairs,_xlfn._xlws.SORT(_xlpm.uniquePairs,1,1),INDEX(_xlpm.sortedPairs,ROWS($M$2:M171),2)),"")</f>
        <v/>
      </c>
      <c r="N171" s="15" t="str" cm="1">
        <f t="array" ref="N171">IF(OR(Table2[[#This Row],[Film]]="",Table2[[#This Row],[Grade]]=""),"",IFERROR(INDEX(Table4[Serial Number],MATCH(1,(Table4[Film]=Table2[[#This Row],[Film]])*(Table4[Grade]=Table2[[#This Row],[Grade]]),0)),""))</f>
        <v/>
      </c>
      <c r="O171" s="52" t="str">
        <f>IF(OR(Table2[[#This Row],[Film]]="",Table2[[#This Row],[Grade]]=""),"",SUMIFS(Table4[Price Calculated(€) Thickness &amp; QTY related],Table4[Film],Table2[[#This Row],[Film]],Table4[Grade],Table2[[#This Row],[Grade]]))</f>
        <v/>
      </c>
      <c r="P171" s="6"/>
      <c r="T171" s="6"/>
    </row>
    <row r="172" spans="1:20">
      <c r="A172" s="29" t="s">
        <v>46</v>
      </c>
      <c r="B172" s="29" t="s">
        <v>7</v>
      </c>
      <c r="C172" s="28" t="s">
        <v>12</v>
      </c>
      <c r="D172" s="28" t="str">
        <f>IF(C172="","",IFERROR(_xlfn.XLOOKUP(C172,HELPER!$A$2:$A$81,HELPER!$B$2:$B$81,""),D172))</f>
        <v>FD92PM</v>
      </c>
      <c r="E172" s="28" t="str">
        <f>IFERROR(_xlfn.XLOOKUP(D172,HELPER!$B:$B,HELPER!$C:$C,""),"")</f>
        <v>RMPM2</v>
      </c>
      <c r="F172" s="27" t="str">
        <f>IFERROR(_xlfn.XLOOKUP(D172,HELPER!$B:$B,HELPER!$D:$D,""),"")</f>
        <v>Resin 9C</v>
      </c>
      <c r="G172" s="27">
        <v>8</v>
      </c>
      <c r="H172" s="47">
        <v>0.80800000000000005</v>
      </c>
      <c r="I172" s="48">
        <f>IF(AND(H172&lt;&gt;"",IFERROR(_xlfn.XLOOKUP(D172,HELPER!$B:$B,HELPER!$E:$E,""),"")=""),"Missing price",IFERROR(_xlfn.XLOOKUP(D172,HELPER!$B:$B,HELPER!$E:$E,"")," "))</f>
        <v>6.75</v>
      </c>
      <c r="J172" s="48">
        <f>IFERROR(H172*(IF(G172=8,I172*HELPER!$G$2,BOM!I172*HELPER!$G$3))," ")</f>
        <v>1.0908000000000002</v>
      </c>
      <c r="K172" s="6"/>
      <c r="L172" s="14" t="str" cm="1">
        <f t="array" ref="L172">IFERROR(_xlfn.LET(_xlpm.films,Table4[Film],_xlpm.grades,Table4[Grade],_xlpm.pairs,_xlfn._xlws.FILTER(_xlfn.HSTACK(_xlpm.films,_xlpm.grades),(_xlpm.films&lt;&gt;"")*(TRIM(_xlpm.grades)&lt;&gt;"")),_xlpm.uniquePairs,_xlfn.UNIQUE(_xlpm.pairs),_xlpm.sortedPairs,_xlfn._xlws.SORT(_xlpm.uniquePairs,1,1),INDEX(_xlpm.sortedPairs,ROWS($L$2:L172),1)),"")</f>
        <v/>
      </c>
      <c r="M172" s="15" t="str" cm="1">
        <f t="array" ref="M172">IFERROR(_xlfn.LET(_xlpm.films,Table4[Film],_xlpm.grades,Table4[Grade],_xlpm.pairs,_xlfn._xlws.FILTER(_xlfn.HSTACK(_xlpm.films,_xlpm.grades),(_xlpm.films&lt;&gt;"")*(TRIM(_xlpm.grades)&lt;&gt;"")),_xlpm.uniquePairs,_xlfn.UNIQUE(_xlpm.pairs),_xlpm.sortedPairs,_xlfn._xlws.SORT(_xlpm.uniquePairs,1,1),INDEX(_xlpm.sortedPairs,ROWS($M$2:M172),2)),"")</f>
        <v/>
      </c>
      <c r="N172" s="15" t="str" cm="1">
        <f t="array" ref="N172">IF(OR(Table2[[#This Row],[Film]]="",Table2[[#This Row],[Grade]]=""),"",IFERROR(INDEX(Table4[Serial Number],MATCH(1,(Table4[Film]=Table2[[#This Row],[Film]])*(Table4[Grade]=Table2[[#This Row],[Grade]]),0)),""))</f>
        <v/>
      </c>
      <c r="O172" s="52" t="str">
        <f>IF(OR(Table2[[#This Row],[Film]]="",Table2[[#This Row],[Grade]]=""),"",SUMIFS(Table4[Price Calculated(€) Thickness &amp; QTY related],Table4[Film],Table2[[#This Row],[Film]],Table4[Grade],Table2[[#This Row],[Grade]]))</f>
        <v/>
      </c>
      <c r="P172" s="6"/>
      <c r="T172" s="6"/>
    </row>
    <row r="173" spans="1:20">
      <c r="A173" s="29" t="s">
        <v>46</v>
      </c>
      <c r="B173" s="29" t="s">
        <v>7</v>
      </c>
      <c r="C173" s="28" t="s">
        <v>13</v>
      </c>
      <c r="D173" s="28" t="str">
        <f>IF(C173="","",IFERROR(_xlfn.XLOOKUP(C173,HELPER!$A$2:$A$81,HELPER!$B$2:$B$81,""),D173))</f>
        <v>LX175</v>
      </c>
      <c r="E173" s="28" t="str">
        <f>IFERROR(_xlfn.XLOOKUP(D173,HELPER!$B:$B,HELPER!$C:$C,""),"")</f>
        <v>RMLX175</v>
      </c>
      <c r="F173" s="27" t="str">
        <f>IFERROR(_xlfn.XLOOKUP(D173,HELPER!$B:$B,HELPER!$D:$D,""),"")</f>
        <v>Resin 1A</v>
      </c>
      <c r="G173" s="27">
        <v>8</v>
      </c>
      <c r="H173" s="47">
        <v>0.14199999999999999</v>
      </c>
      <c r="I173" s="48">
        <f>IF(AND(H173&lt;&gt;"",IFERROR(_xlfn.XLOOKUP(D173,HELPER!$B:$B,HELPER!$E:$E,""),"")=""),"Missing price",IFERROR(_xlfn.XLOOKUP(D173,HELPER!$B:$B,HELPER!$E:$E,"")," "))</f>
        <v>3.17</v>
      </c>
      <c r="J173" s="48">
        <f>IFERROR(H173*(IF(G173=8,I173*HELPER!$G$2,BOM!I173*HELPER!$G$3))," ")</f>
        <v>9.0027999999999997E-2</v>
      </c>
      <c r="K173" s="6"/>
      <c r="L173" s="14" t="str" cm="1">
        <f t="array" ref="L173">IFERROR(_xlfn.LET(_xlpm.films,Table4[Film],_xlpm.grades,Table4[Grade],_xlpm.pairs,_xlfn._xlws.FILTER(_xlfn.HSTACK(_xlpm.films,_xlpm.grades),(_xlpm.films&lt;&gt;"")*(TRIM(_xlpm.grades)&lt;&gt;"")),_xlpm.uniquePairs,_xlfn.UNIQUE(_xlpm.pairs),_xlpm.sortedPairs,_xlfn._xlws.SORT(_xlpm.uniquePairs,1,1),INDEX(_xlpm.sortedPairs,ROWS($L$2:L173),1)),"")</f>
        <v/>
      </c>
      <c r="M173" s="15" t="str" cm="1">
        <f t="array" ref="M173">IFERROR(_xlfn.LET(_xlpm.films,Table4[Film],_xlpm.grades,Table4[Grade],_xlpm.pairs,_xlfn._xlws.FILTER(_xlfn.HSTACK(_xlpm.films,_xlpm.grades),(_xlpm.films&lt;&gt;"")*(TRIM(_xlpm.grades)&lt;&gt;"")),_xlpm.uniquePairs,_xlfn.UNIQUE(_xlpm.pairs),_xlpm.sortedPairs,_xlfn._xlws.SORT(_xlpm.uniquePairs,1,1),INDEX(_xlpm.sortedPairs,ROWS($M$2:M173),2)),"")</f>
        <v/>
      </c>
      <c r="N173" s="15" t="str" cm="1">
        <f t="array" ref="N173">IF(OR(Table2[[#This Row],[Film]]="",Table2[[#This Row],[Grade]]=""),"",IFERROR(INDEX(Table4[Serial Number],MATCH(1,(Table4[Film]=Table2[[#This Row],[Film]])*(Table4[Grade]=Table2[[#This Row],[Grade]]),0)),""))</f>
        <v/>
      </c>
      <c r="O173" s="52" t="str">
        <f>IF(OR(Table2[[#This Row],[Film]]="",Table2[[#This Row],[Grade]]=""),"",SUMIFS(Table4[Price Calculated(€) Thickness &amp; QTY related],Table4[Film],Table2[[#This Row],[Film]],Table4[Grade],Table2[[#This Row],[Grade]]))</f>
        <v/>
      </c>
      <c r="P173" s="6"/>
      <c r="T173" s="6"/>
    </row>
    <row r="174" spans="1:20">
      <c r="A174" s="29" t="s">
        <v>46</v>
      </c>
      <c r="B174" s="29" t="s">
        <v>7</v>
      </c>
      <c r="C174" s="28" t="s">
        <v>18</v>
      </c>
      <c r="D174" s="28" t="str">
        <f>IF(C174="","",IFERROR(_xlfn.XLOOKUP(C174,HELPER!$A$2:$A$81,HELPER!$B$2:$B$81,""),D174))</f>
        <v>KAB59A</v>
      </c>
      <c r="E174" s="28" t="str">
        <f>IFERROR(_xlfn.XLOOKUP(D174,HELPER!$B:$B,HELPER!$C:$C,""),"")</f>
        <v>RM A KAB59A</v>
      </c>
      <c r="F174" s="27" t="str">
        <f>IFERROR(_xlfn.XLOOKUP(D174,HELPER!$B:$B,HELPER!$D:$D,""),"")</f>
        <v>Resin 8</v>
      </c>
      <c r="G174" s="27">
        <v>8</v>
      </c>
      <c r="H174" s="47">
        <v>1.4999999999999999E-2</v>
      </c>
      <c r="I174" s="48">
        <f>IF(AND(H174&lt;&gt;"",IFERROR(_xlfn.XLOOKUP(D174,HELPER!$B:$B,HELPER!$E:$E,""),"")=""),"Missing price",IFERROR(_xlfn.XLOOKUP(D174,HELPER!$B:$B,HELPER!$E:$E,"")," "))</f>
        <v>7.55</v>
      </c>
      <c r="J174" s="48">
        <f>IFERROR(H174*(IF(G174=8,I174*HELPER!$G$2,BOM!I174*HELPER!$G$3))," ")</f>
        <v>2.265E-2</v>
      </c>
      <c r="K174" s="6"/>
      <c r="L174" s="14" t="str" cm="1">
        <f t="array" ref="L174">IFERROR(_xlfn.LET(_xlpm.films,Table4[Film],_xlpm.grades,Table4[Grade],_xlpm.pairs,_xlfn._xlws.FILTER(_xlfn.HSTACK(_xlpm.films,_xlpm.grades),(_xlpm.films&lt;&gt;"")*(TRIM(_xlpm.grades)&lt;&gt;"")),_xlpm.uniquePairs,_xlfn.UNIQUE(_xlpm.pairs),_xlpm.sortedPairs,_xlfn._xlws.SORT(_xlpm.uniquePairs,1,1),INDEX(_xlpm.sortedPairs,ROWS($L$2:L174),1)),"")</f>
        <v/>
      </c>
      <c r="M174" s="15" t="str" cm="1">
        <f t="array" ref="M174">IFERROR(_xlfn.LET(_xlpm.films,Table4[Film],_xlpm.grades,Table4[Grade],_xlpm.pairs,_xlfn._xlws.FILTER(_xlfn.HSTACK(_xlpm.films,_xlpm.grades),(_xlpm.films&lt;&gt;"")*(TRIM(_xlpm.grades)&lt;&gt;"")),_xlpm.uniquePairs,_xlfn.UNIQUE(_xlpm.pairs),_xlpm.sortedPairs,_xlfn._xlws.SORT(_xlpm.uniquePairs,1,1),INDEX(_xlpm.sortedPairs,ROWS($M$2:M174),2)),"")</f>
        <v/>
      </c>
      <c r="N174" s="15" t="str" cm="1">
        <f t="array" ref="N174">IF(OR(Table2[[#This Row],[Film]]="",Table2[[#This Row],[Grade]]=""),"",IFERROR(INDEX(Table4[Serial Number],MATCH(1,(Table4[Film]=Table2[[#This Row],[Film]])*(Table4[Grade]=Table2[[#This Row],[Grade]]),0)),""))</f>
        <v/>
      </c>
      <c r="O174" s="52" t="str">
        <f>IF(OR(Table2[[#This Row],[Film]]="",Table2[[#This Row],[Grade]]=""),"",SUMIFS(Table4[Price Calculated(€) Thickness &amp; QTY related],Table4[Film],Table2[[#This Row],[Film]],Table4[Grade],Table2[[#This Row],[Grade]]))</f>
        <v/>
      </c>
      <c r="P174" s="6"/>
      <c r="T174" s="6"/>
    </row>
    <row r="175" spans="1:20">
      <c r="A175" s="29" t="s">
        <v>46</v>
      </c>
      <c r="B175" s="29" t="s">
        <v>7</v>
      </c>
      <c r="C175" s="28" t="s">
        <v>16</v>
      </c>
      <c r="D175" s="28" t="str">
        <f>IF(C175="","",IFERROR(_xlfn.XLOOKUP(C175,HELPER!$A$2:$A$81,HELPER!$B$2:$B$81,""),D175))</f>
        <v>S723</v>
      </c>
      <c r="E175" s="28" t="str">
        <f>IFERROR(_xlfn.XLOOKUP(D175,HELPER!$B:$B,HELPER!$C:$C,""),"")</f>
        <v>RM TA45-08 S723</v>
      </c>
      <c r="F175" s="27" t="str">
        <f>IFERROR(_xlfn.XLOOKUP(D175,HELPER!$B:$B,HELPER!$D:$D,""),"")</f>
        <v>Resin 6</v>
      </c>
      <c r="G175" s="27">
        <v>8</v>
      </c>
      <c r="H175" s="47">
        <v>1.4999999999999999E-2</v>
      </c>
      <c r="I175" s="48">
        <f>IF(AND(H175&lt;&gt;"",IFERROR(_xlfn.XLOOKUP(D175,HELPER!$B:$B,HELPER!$E:$E,""),"")=""),"Missing price",IFERROR(_xlfn.XLOOKUP(D175,HELPER!$B:$B,HELPER!$E:$E,"")," "))</f>
        <v>16.16</v>
      </c>
      <c r="J175" s="48">
        <f>IFERROR(H175*(IF(G175=8,I175*HELPER!$G$2,BOM!I175*HELPER!$G$3))," ")</f>
        <v>4.8480000000000002E-2</v>
      </c>
      <c r="K175" s="6"/>
      <c r="L175" s="14" t="str" cm="1">
        <f t="array" ref="L175">IFERROR(_xlfn.LET(_xlpm.films,Table4[Film],_xlpm.grades,Table4[Grade],_xlpm.pairs,_xlfn._xlws.FILTER(_xlfn.HSTACK(_xlpm.films,_xlpm.grades),(_xlpm.films&lt;&gt;"")*(TRIM(_xlpm.grades)&lt;&gt;"")),_xlpm.uniquePairs,_xlfn.UNIQUE(_xlpm.pairs),_xlpm.sortedPairs,_xlfn._xlws.SORT(_xlpm.uniquePairs,1,1),INDEX(_xlpm.sortedPairs,ROWS($L$2:L175),1)),"")</f>
        <v/>
      </c>
      <c r="M175" s="15" t="str" cm="1">
        <f t="array" ref="M175">IFERROR(_xlfn.LET(_xlpm.films,Table4[Film],_xlpm.grades,Table4[Grade],_xlpm.pairs,_xlfn._xlws.FILTER(_xlfn.HSTACK(_xlpm.films,_xlpm.grades),(_xlpm.films&lt;&gt;"")*(TRIM(_xlpm.grades)&lt;&gt;"")),_xlpm.uniquePairs,_xlfn.UNIQUE(_xlpm.pairs),_xlpm.sortedPairs,_xlfn._xlws.SORT(_xlpm.uniquePairs,1,1),INDEX(_xlpm.sortedPairs,ROWS($M$2:M175),2)),"")</f>
        <v/>
      </c>
      <c r="N175" s="15" t="str" cm="1">
        <f t="array" ref="N175">IF(OR(Table2[[#This Row],[Film]]="",Table2[[#This Row],[Grade]]=""),"",IFERROR(INDEX(Table4[Serial Number],MATCH(1,(Table4[Film]=Table2[[#This Row],[Film]])*(Table4[Grade]=Table2[[#This Row],[Grade]]),0)),""))</f>
        <v/>
      </c>
      <c r="O175" s="52" t="str">
        <f>IF(OR(Table2[[#This Row],[Film]]="",Table2[[#This Row],[Grade]]=""),"",SUMIFS(Table4[Price Calculated(€) Thickness &amp; QTY related],Table4[Film],Table2[[#This Row],[Film]],Table4[Grade],Table2[[#This Row],[Grade]]))</f>
        <v/>
      </c>
      <c r="P175" s="6"/>
      <c r="T175" s="6"/>
    </row>
    <row r="176" spans="1:20">
      <c r="A176" s="29" t="s">
        <v>46</v>
      </c>
      <c r="B176" s="29" t="s">
        <v>7</v>
      </c>
      <c r="C176" s="28" t="s">
        <v>17</v>
      </c>
      <c r="D176" s="28" t="str">
        <f>IF(C176="","",IFERROR(_xlfn.XLOOKUP(C176,HELPER!$A$2:$A$81,HELPER!$B$2:$B$81,""),D176))</f>
        <v>S724</v>
      </c>
      <c r="E176" s="28" t="str">
        <f>IFERROR(_xlfn.XLOOKUP(D176,HELPER!$B:$B,HELPER!$C:$C,""),"")</f>
        <v>RM TA45-08 S724</v>
      </c>
      <c r="F176" s="27" t="str">
        <f>IFERROR(_xlfn.XLOOKUP(D176,HELPER!$B:$B,HELPER!$D:$D,""),"")</f>
        <v>Resin 7</v>
      </c>
      <c r="G176" s="27">
        <v>8</v>
      </c>
      <c r="H176" s="47">
        <v>0.02</v>
      </c>
      <c r="I176" s="48">
        <f>IF(AND(H176&lt;&gt;"",IFERROR(_xlfn.XLOOKUP(D176,HELPER!$B:$B,HELPER!$E:$E,""),"")=""),"Missing price",IFERROR(_xlfn.XLOOKUP(D176,HELPER!$B:$B,HELPER!$E:$E,"")," "))</f>
        <v>14.7</v>
      </c>
      <c r="J176" s="48">
        <f>IFERROR(H176*(IF(G176=8,I176*HELPER!$G$2,BOM!I176*HELPER!$G$3))," ")</f>
        <v>5.8799999999999998E-2</v>
      </c>
      <c r="K176" s="6"/>
      <c r="L176" s="14" t="str" cm="1">
        <f t="array" ref="L176">IFERROR(_xlfn.LET(_xlpm.films,Table4[Film],_xlpm.grades,Table4[Grade],_xlpm.pairs,_xlfn._xlws.FILTER(_xlfn.HSTACK(_xlpm.films,_xlpm.grades),(_xlpm.films&lt;&gt;"")*(TRIM(_xlpm.grades)&lt;&gt;"")),_xlpm.uniquePairs,_xlfn.UNIQUE(_xlpm.pairs),_xlpm.sortedPairs,_xlfn._xlws.SORT(_xlpm.uniquePairs,1,1),INDEX(_xlpm.sortedPairs,ROWS($L$2:L176),1)),"")</f>
        <v/>
      </c>
      <c r="M176" s="15" t="str" cm="1">
        <f t="array" ref="M176">IFERROR(_xlfn.LET(_xlpm.films,Table4[Film],_xlpm.grades,Table4[Grade],_xlpm.pairs,_xlfn._xlws.FILTER(_xlfn.HSTACK(_xlpm.films,_xlpm.grades),(_xlpm.films&lt;&gt;"")*(TRIM(_xlpm.grades)&lt;&gt;"")),_xlpm.uniquePairs,_xlfn.UNIQUE(_xlpm.pairs),_xlpm.sortedPairs,_xlfn._xlws.SORT(_xlpm.uniquePairs,1,1),INDEX(_xlpm.sortedPairs,ROWS($M$2:M176),2)),"")</f>
        <v/>
      </c>
      <c r="N176" s="15" t="str" cm="1">
        <f t="array" ref="N176">IF(OR(Table2[[#This Row],[Film]]="",Table2[[#This Row],[Grade]]=""),"",IFERROR(INDEX(Table4[Serial Number],MATCH(1,(Table4[Film]=Table2[[#This Row],[Film]])*(Table4[Grade]=Table2[[#This Row],[Grade]]),0)),""))</f>
        <v/>
      </c>
      <c r="O176" s="52" t="str">
        <f>IF(OR(Table2[[#This Row],[Film]]="",Table2[[#This Row],[Grade]]=""),"",SUMIFS(Table4[Price Calculated(€) Thickness &amp; QTY related],Table4[Film],Table2[[#This Row],[Film]],Table4[Grade],Table2[[#This Row],[Grade]]))</f>
        <v/>
      </c>
      <c r="P176" s="6"/>
      <c r="T176" s="6"/>
    </row>
    <row r="177" spans="1:20">
      <c r="A177" s="29" t="s">
        <v>46</v>
      </c>
      <c r="B177" s="29" t="s">
        <v>7</v>
      </c>
      <c r="C177" s="28"/>
      <c r="D177" s="28" t="str">
        <f>IF(C177="","",IFERROR(_xlfn.XLOOKUP(C177,HELPER!$A$2:$A$81,HELPER!$B$2:$B$81,""),D177))</f>
        <v/>
      </c>
      <c r="E177" s="28" t="str">
        <f>IFERROR(_xlfn.XLOOKUP(D177,HELPER!$B:$B,HELPER!$C:$C,""),"")</f>
        <v/>
      </c>
      <c r="F177" s="27" t="str">
        <f>IFERROR(_xlfn.XLOOKUP(D177,HELPER!$B:$B,HELPER!$D:$D,""),"")</f>
        <v/>
      </c>
      <c r="G177" s="27">
        <v>8</v>
      </c>
      <c r="H177" s="47"/>
      <c r="I177" s="48" t="str">
        <f>IF(AND(H177&lt;&gt;"",IFERROR(_xlfn.XLOOKUP(D177,HELPER!$B:$B,HELPER!$E:$E,""),"")=""),"Missing price",IFERROR(_xlfn.XLOOKUP(D177,HELPER!$B:$B,HELPER!$E:$E,"")," "))</f>
        <v/>
      </c>
      <c r="J177" s="48" t="str">
        <f>IFERROR(H177*(IF(G177=8,I177*HELPER!$G$2,BOM!I177*HELPER!$G$3))," ")</f>
        <v xml:space="preserve"> </v>
      </c>
      <c r="K177" s="6"/>
      <c r="L177" s="14" t="str" cm="1">
        <f t="array" ref="L177">IFERROR(_xlfn.LET(_xlpm.films,Table4[Film],_xlpm.grades,Table4[Grade],_xlpm.pairs,_xlfn._xlws.FILTER(_xlfn.HSTACK(_xlpm.films,_xlpm.grades),(_xlpm.films&lt;&gt;"")*(TRIM(_xlpm.grades)&lt;&gt;"")),_xlpm.uniquePairs,_xlfn.UNIQUE(_xlpm.pairs),_xlpm.sortedPairs,_xlfn._xlws.SORT(_xlpm.uniquePairs,1,1),INDEX(_xlpm.sortedPairs,ROWS($L$2:L177),1)),"")</f>
        <v/>
      </c>
      <c r="M177" s="15" t="str" cm="1">
        <f t="array" ref="M177">IFERROR(_xlfn.LET(_xlpm.films,Table4[Film],_xlpm.grades,Table4[Grade],_xlpm.pairs,_xlfn._xlws.FILTER(_xlfn.HSTACK(_xlpm.films,_xlpm.grades),(_xlpm.films&lt;&gt;"")*(TRIM(_xlpm.grades)&lt;&gt;"")),_xlpm.uniquePairs,_xlfn.UNIQUE(_xlpm.pairs),_xlpm.sortedPairs,_xlfn._xlws.SORT(_xlpm.uniquePairs,1,1),INDEX(_xlpm.sortedPairs,ROWS($M$2:M177),2)),"")</f>
        <v/>
      </c>
      <c r="N177" s="15" t="str" cm="1">
        <f t="array" ref="N177">IF(OR(Table2[[#This Row],[Film]]="",Table2[[#This Row],[Grade]]=""),"",IFERROR(INDEX(Table4[Serial Number],MATCH(1,(Table4[Film]=Table2[[#This Row],[Film]])*(Table4[Grade]=Table2[[#This Row],[Grade]]),0)),""))</f>
        <v/>
      </c>
      <c r="O177" s="52" t="str">
        <f>IF(OR(Table2[[#This Row],[Film]]="",Table2[[#This Row],[Grade]]=""),"",SUMIFS(Table4[Price Calculated(€) Thickness &amp; QTY related],Table4[Film],Table2[[#This Row],[Film]],Table4[Grade],Table2[[#This Row],[Grade]]))</f>
        <v/>
      </c>
      <c r="P177" s="6"/>
      <c r="T177" s="6"/>
    </row>
    <row r="178" spans="1:20">
      <c r="A178" s="29" t="s">
        <v>46</v>
      </c>
      <c r="B178" s="29" t="s">
        <v>7</v>
      </c>
      <c r="C178" s="28"/>
      <c r="D178" s="28" t="str">
        <f>IF(C178="","",IFERROR(_xlfn.XLOOKUP(C178,HELPER!$A$2:$A$81,HELPER!$B$2:$B$81,""),D178))</f>
        <v/>
      </c>
      <c r="E178" s="28" t="str">
        <f>IFERROR(_xlfn.XLOOKUP(D178,HELPER!$B:$B,HELPER!$C:$C,""),"")</f>
        <v/>
      </c>
      <c r="F178" s="27" t="str">
        <f>IFERROR(_xlfn.XLOOKUP(D178,HELPER!$B:$B,HELPER!$D:$D,""),"")</f>
        <v/>
      </c>
      <c r="G178" s="27">
        <v>8</v>
      </c>
      <c r="H178" s="47"/>
      <c r="I178" s="48" t="str">
        <f>IF(AND(H178&lt;&gt;"",IFERROR(_xlfn.XLOOKUP(D178,HELPER!$B:$B,HELPER!$E:$E,""),"")=""),"Missing price",IFERROR(_xlfn.XLOOKUP(D178,HELPER!$B:$B,HELPER!$E:$E,"")," "))</f>
        <v/>
      </c>
      <c r="J178" s="48" t="str">
        <f>IFERROR(H178*(IF(G178=8,I178*HELPER!$G$2,BOM!I178*HELPER!$G$3))," ")</f>
        <v xml:space="preserve"> </v>
      </c>
      <c r="K178" s="6"/>
      <c r="L178" s="14" t="str" cm="1">
        <f t="array" ref="L178">IFERROR(_xlfn.LET(_xlpm.films,Table4[Film],_xlpm.grades,Table4[Grade],_xlpm.pairs,_xlfn._xlws.FILTER(_xlfn.HSTACK(_xlpm.films,_xlpm.grades),(_xlpm.films&lt;&gt;"")*(TRIM(_xlpm.grades)&lt;&gt;"")),_xlpm.uniquePairs,_xlfn.UNIQUE(_xlpm.pairs),_xlpm.sortedPairs,_xlfn._xlws.SORT(_xlpm.uniquePairs,1,1),INDEX(_xlpm.sortedPairs,ROWS($L$2:L178),1)),"")</f>
        <v/>
      </c>
      <c r="M178" s="15" t="str" cm="1">
        <f t="array" ref="M178">IFERROR(_xlfn.LET(_xlpm.films,Table4[Film],_xlpm.grades,Table4[Grade],_xlpm.pairs,_xlfn._xlws.FILTER(_xlfn.HSTACK(_xlpm.films,_xlpm.grades),(_xlpm.films&lt;&gt;"")*(TRIM(_xlpm.grades)&lt;&gt;"")),_xlpm.uniquePairs,_xlfn.UNIQUE(_xlpm.pairs),_xlpm.sortedPairs,_xlfn._xlws.SORT(_xlpm.uniquePairs,1,1),INDEX(_xlpm.sortedPairs,ROWS($M$2:M178),2)),"")</f>
        <v/>
      </c>
      <c r="N178" s="15" t="str" cm="1">
        <f t="array" ref="N178">IF(OR(Table2[[#This Row],[Film]]="",Table2[[#This Row],[Grade]]=""),"",IFERROR(INDEX(Table4[Serial Number],MATCH(1,(Table4[Film]=Table2[[#This Row],[Film]])*(Table4[Grade]=Table2[[#This Row],[Grade]]),0)),""))</f>
        <v/>
      </c>
      <c r="O178" s="52" t="str">
        <f>IF(OR(Table2[[#This Row],[Film]]="",Table2[[#This Row],[Grade]]=""),"",SUMIFS(Table4[Price Calculated(€) Thickness &amp; QTY related],Table4[Film],Table2[[#This Row],[Film]],Table4[Grade],Table2[[#This Row],[Grade]]))</f>
        <v/>
      </c>
      <c r="P178" s="6"/>
      <c r="T178" s="6"/>
    </row>
    <row r="179" spans="1:20">
      <c r="A179" s="29" t="s">
        <v>46</v>
      </c>
      <c r="B179" s="29" t="s">
        <v>7</v>
      </c>
      <c r="C179" s="28"/>
      <c r="D179" s="28" t="str">
        <f>IF(C179="","",IFERROR(_xlfn.XLOOKUP(C179,HELPER!$A$2:$A$81,HELPER!$B$2:$B$81,""),D179))</f>
        <v/>
      </c>
      <c r="E179" s="28" t="str">
        <f>IFERROR(_xlfn.XLOOKUP(D179,HELPER!$B:$B,HELPER!$C:$C,""),"")</f>
        <v/>
      </c>
      <c r="F179" s="27" t="str">
        <f>IFERROR(_xlfn.XLOOKUP(D179,HELPER!$B:$B,HELPER!$D:$D,""),"")</f>
        <v/>
      </c>
      <c r="G179" s="27">
        <v>8</v>
      </c>
      <c r="H179" s="47"/>
      <c r="I179" s="48" t="str">
        <f>IF(AND(H179&lt;&gt;"",IFERROR(_xlfn.XLOOKUP(D179,HELPER!$B:$B,HELPER!$E:$E,""),"")=""),"Missing price",IFERROR(_xlfn.XLOOKUP(D179,HELPER!$B:$B,HELPER!$E:$E,"")," "))</f>
        <v/>
      </c>
      <c r="J179" s="48" t="str">
        <f>IFERROR(H179*(IF(G179=8,I179*HELPER!$G$2,BOM!I179*HELPER!$G$3))," ")</f>
        <v xml:space="preserve"> </v>
      </c>
      <c r="K179" s="6"/>
      <c r="L179" s="14" t="str" cm="1">
        <f t="array" ref="L179">IFERROR(_xlfn.LET(_xlpm.films,Table4[Film],_xlpm.grades,Table4[Grade],_xlpm.pairs,_xlfn._xlws.FILTER(_xlfn.HSTACK(_xlpm.films,_xlpm.grades),(_xlpm.films&lt;&gt;"")*(TRIM(_xlpm.grades)&lt;&gt;"")),_xlpm.uniquePairs,_xlfn.UNIQUE(_xlpm.pairs),_xlpm.sortedPairs,_xlfn._xlws.SORT(_xlpm.uniquePairs,1,1),INDEX(_xlpm.sortedPairs,ROWS($L$2:L179),1)),"")</f>
        <v/>
      </c>
      <c r="M179" s="15" t="str" cm="1">
        <f t="array" ref="M179">IFERROR(_xlfn.LET(_xlpm.films,Table4[Film],_xlpm.grades,Table4[Grade],_xlpm.pairs,_xlfn._xlws.FILTER(_xlfn.HSTACK(_xlpm.films,_xlpm.grades),(_xlpm.films&lt;&gt;"")*(TRIM(_xlpm.grades)&lt;&gt;"")),_xlpm.uniquePairs,_xlfn.UNIQUE(_xlpm.pairs),_xlpm.sortedPairs,_xlfn._xlws.SORT(_xlpm.uniquePairs,1,1),INDEX(_xlpm.sortedPairs,ROWS($M$2:M179),2)),"")</f>
        <v/>
      </c>
      <c r="N179" s="15" t="str" cm="1">
        <f t="array" ref="N179">IF(OR(Table2[[#This Row],[Film]]="",Table2[[#This Row],[Grade]]=""),"",IFERROR(INDEX(Table4[Serial Number],MATCH(1,(Table4[Film]=Table2[[#This Row],[Film]])*(Table4[Grade]=Table2[[#This Row],[Grade]]),0)),""))</f>
        <v/>
      </c>
      <c r="O179" s="52" t="str">
        <f>IF(OR(Table2[[#This Row],[Film]]="",Table2[[#This Row],[Grade]]=""),"",SUMIFS(Table4[Price Calculated(€) Thickness &amp; QTY related],Table4[Film],Table2[[#This Row],[Film]],Table4[Grade],Table2[[#This Row],[Grade]]))</f>
        <v/>
      </c>
      <c r="P179" s="6"/>
      <c r="T179" s="6"/>
    </row>
    <row r="180" spans="1:20">
      <c r="A180" s="29" t="s">
        <v>46</v>
      </c>
      <c r="B180" s="29" t="s">
        <v>7</v>
      </c>
      <c r="C180" s="28"/>
      <c r="D180" s="28" t="str">
        <f>IF(C180="","",IFERROR(_xlfn.XLOOKUP(C180,HELPER!$A$2:$A$81,HELPER!$B$2:$B$81,""),D180))</f>
        <v/>
      </c>
      <c r="E180" s="28" t="str">
        <f>IFERROR(_xlfn.XLOOKUP(D180,HELPER!$B:$B,HELPER!$C:$C,""),"")</f>
        <v/>
      </c>
      <c r="F180" s="27" t="str">
        <f>IFERROR(_xlfn.XLOOKUP(D180,HELPER!$B:$B,HELPER!$D:$D,""),"")</f>
        <v/>
      </c>
      <c r="G180" s="27">
        <v>8</v>
      </c>
      <c r="H180" s="47"/>
      <c r="I180" s="48" t="str">
        <f>IF(AND(H180&lt;&gt;"",IFERROR(_xlfn.XLOOKUP(D180,HELPER!$B:$B,HELPER!$E:$E,""),"")=""),"Missing price",IFERROR(_xlfn.XLOOKUP(D180,HELPER!$B:$B,HELPER!$E:$E,"")," "))</f>
        <v/>
      </c>
      <c r="J180" s="48" t="str">
        <f>IFERROR(H180*(IF(G180=8,I180*HELPER!$G$2,BOM!I180*HELPER!$G$3))," ")</f>
        <v xml:space="preserve"> </v>
      </c>
      <c r="K180" s="6"/>
      <c r="L180" s="14" t="str" cm="1">
        <f t="array" ref="L180">IFERROR(_xlfn.LET(_xlpm.films,Table4[Film],_xlpm.grades,Table4[Grade],_xlpm.pairs,_xlfn._xlws.FILTER(_xlfn.HSTACK(_xlpm.films,_xlpm.grades),(_xlpm.films&lt;&gt;"")*(TRIM(_xlpm.grades)&lt;&gt;"")),_xlpm.uniquePairs,_xlfn.UNIQUE(_xlpm.pairs),_xlpm.sortedPairs,_xlfn._xlws.SORT(_xlpm.uniquePairs,1,1),INDEX(_xlpm.sortedPairs,ROWS($L$2:L180),1)),"")</f>
        <v/>
      </c>
      <c r="M180" s="15" t="str" cm="1">
        <f t="array" ref="M180">IFERROR(_xlfn.LET(_xlpm.films,Table4[Film],_xlpm.grades,Table4[Grade],_xlpm.pairs,_xlfn._xlws.FILTER(_xlfn.HSTACK(_xlpm.films,_xlpm.grades),(_xlpm.films&lt;&gt;"")*(TRIM(_xlpm.grades)&lt;&gt;"")),_xlpm.uniquePairs,_xlfn.UNIQUE(_xlpm.pairs),_xlpm.sortedPairs,_xlfn._xlws.SORT(_xlpm.uniquePairs,1,1),INDEX(_xlpm.sortedPairs,ROWS($M$2:M180),2)),"")</f>
        <v/>
      </c>
      <c r="N180" s="15" t="str" cm="1">
        <f t="array" ref="N180">IF(OR(Table2[[#This Row],[Film]]="",Table2[[#This Row],[Grade]]=""),"",IFERROR(INDEX(Table4[Serial Number],MATCH(1,(Table4[Film]=Table2[[#This Row],[Film]])*(Table4[Grade]=Table2[[#This Row],[Grade]]),0)),""))</f>
        <v/>
      </c>
      <c r="O180" s="52" t="str">
        <f>IF(OR(Table2[[#This Row],[Film]]="",Table2[[#This Row],[Grade]]=""),"",SUMIFS(Table4[Price Calculated(€) Thickness &amp; QTY related],Table4[Film],Table2[[#This Row],[Film]],Table4[Grade],Table2[[#This Row],[Grade]]))</f>
        <v/>
      </c>
      <c r="P180" s="6"/>
      <c r="T180" s="6"/>
    </row>
    <row r="181" spans="1:20">
      <c r="A181" s="29" t="s">
        <v>46</v>
      </c>
      <c r="B181" s="29" t="s">
        <v>7</v>
      </c>
      <c r="C181" s="28"/>
      <c r="D181" s="28" t="str">
        <f>IF(C181="","",IFERROR(_xlfn.XLOOKUP(C181,HELPER!$A$2:$A$81,HELPER!$B$2:$B$81,""),D181))</f>
        <v/>
      </c>
      <c r="E181" s="28" t="str">
        <f>IFERROR(_xlfn.XLOOKUP(D181,HELPER!$B:$B,HELPER!$C:$C,""),"")</f>
        <v/>
      </c>
      <c r="F181" s="27" t="str">
        <f>IFERROR(_xlfn.XLOOKUP(D181,HELPER!$B:$B,HELPER!$D:$D,""),"")</f>
        <v/>
      </c>
      <c r="G181" s="27">
        <v>8</v>
      </c>
      <c r="H181" s="47"/>
      <c r="I181" s="48" t="str">
        <f>IF(AND(H181&lt;&gt;"",IFERROR(_xlfn.XLOOKUP(D181,HELPER!$B:$B,HELPER!$E:$E,""),"")=""),"Missing price",IFERROR(_xlfn.XLOOKUP(D181,HELPER!$B:$B,HELPER!$E:$E,"")," "))</f>
        <v/>
      </c>
      <c r="J181" s="48" t="str">
        <f>IFERROR(H181*(IF(G181=8,I181*HELPER!$G$2,BOM!I181*HELPER!$G$3))," ")</f>
        <v xml:space="preserve"> </v>
      </c>
      <c r="K181" s="6"/>
      <c r="L181" s="14" t="str" cm="1">
        <f t="array" ref="L181">IFERROR(_xlfn.LET(_xlpm.films,Table4[Film],_xlpm.grades,Table4[Grade],_xlpm.pairs,_xlfn._xlws.FILTER(_xlfn.HSTACK(_xlpm.films,_xlpm.grades),(_xlpm.films&lt;&gt;"")*(TRIM(_xlpm.grades)&lt;&gt;"")),_xlpm.uniquePairs,_xlfn.UNIQUE(_xlpm.pairs),_xlpm.sortedPairs,_xlfn._xlws.SORT(_xlpm.uniquePairs,1,1),INDEX(_xlpm.sortedPairs,ROWS($L$2:L181),1)),"")</f>
        <v/>
      </c>
      <c r="M181" s="15" t="str" cm="1">
        <f t="array" ref="M181">IFERROR(_xlfn.LET(_xlpm.films,Table4[Film],_xlpm.grades,Table4[Grade],_xlpm.pairs,_xlfn._xlws.FILTER(_xlfn.HSTACK(_xlpm.films,_xlpm.grades),(_xlpm.films&lt;&gt;"")*(TRIM(_xlpm.grades)&lt;&gt;"")),_xlpm.uniquePairs,_xlfn.UNIQUE(_xlpm.pairs),_xlpm.sortedPairs,_xlfn._xlws.SORT(_xlpm.uniquePairs,1,1),INDEX(_xlpm.sortedPairs,ROWS($M$2:M181),2)),"")</f>
        <v/>
      </c>
      <c r="N181" s="15" t="str" cm="1">
        <f t="array" ref="N181">IF(OR(Table2[[#This Row],[Film]]="",Table2[[#This Row],[Grade]]=""),"",IFERROR(INDEX(Table4[Serial Number],MATCH(1,(Table4[Film]=Table2[[#This Row],[Film]])*(Table4[Grade]=Table2[[#This Row],[Grade]]),0)),""))</f>
        <v/>
      </c>
      <c r="O181" s="52" t="str">
        <f>IF(OR(Table2[[#This Row],[Film]]="",Table2[[#This Row],[Grade]]=""),"",SUMIFS(Table4[Price Calculated(€) Thickness &amp; QTY related],Table4[Film],Table2[[#This Row],[Film]],Table4[Grade],Table2[[#This Row],[Grade]]))</f>
        <v/>
      </c>
      <c r="P181" s="6"/>
      <c r="T181" s="6"/>
    </row>
    <row r="182" spans="1:20">
      <c r="A182" s="29" t="s">
        <v>47</v>
      </c>
      <c r="B182" s="29" t="s">
        <v>5</v>
      </c>
      <c r="C182" s="28" t="s">
        <v>12</v>
      </c>
      <c r="D182" s="28" t="str">
        <f>IF(C182="","",IFERROR(_xlfn.XLOOKUP(C182,HELPER!$A$2:$A$81,HELPER!$B$2:$B$81,""),D182))</f>
        <v>FD92PM</v>
      </c>
      <c r="E182" s="28" t="str">
        <f>IFERROR(_xlfn.XLOOKUP(D182,HELPER!$B:$B,HELPER!$C:$C,""),"")</f>
        <v>RMPM2</v>
      </c>
      <c r="F182" s="27" t="str">
        <f>IFERROR(_xlfn.XLOOKUP(D182,HELPER!$B:$B,HELPER!$D:$D,""),"")</f>
        <v>Resin 9C</v>
      </c>
      <c r="G182" s="27">
        <v>24</v>
      </c>
      <c r="H182" s="47">
        <v>0.80300000000000005</v>
      </c>
      <c r="I182" s="48">
        <f>IF(AND(H182&lt;&gt;"",IFERROR(_xlfn.XLOOKUP(D182,HELPER!$B:$B,HELPER!$E:$E,""),"")=""),"Missing price",IFERROR(_xlfn.XLOOKUP(D182,HELPER!$B:$B,HELPER!$E:$E,"")," "))</f>
        <v>6.75</v>
      </c>
      <c r="J182" s="48">
        <f>IFERROR(H182*(IF(G182=8,I182*HELPER!$G$2,BOM!I182*HELPER!$G$3))," ")</f>
        <v>3.2521499999999999</v>
      </c>
      <c r="K182" s="6"/>
      <c r="L182" s="14" t="str" cm="1">
        <f t="array" ref="L182">IFERROR(_xlfn.LET(_xlpm.films,Table4[Film],_xlpm.grades,Table4[Grade],_xlpm.pairs,_xlfn._xlws.FILTER(_xlfn.HSTACK(_xlpm.films,_xlpm.grades),(_xlpm.films&lt;&gt;"")*(TRIM(_xlpm.grades)&lt;&gt;"")),_xlpm.uniquePairs,_xlfn.UNIQUE(_xlpm.pairs),_xlpm.sortedPairs,_xlfn._xlws.SORT(_xlpm.uniquePairs,1,1),INDEX(_xlpm.sortedPairs,ROWS($L$2:L182),1)),"")</f>
        <v/>
      </c>
      <c r="M182" s="15" t="str" cm="1">
        <f t="array" ref="M182">IFERROR(_xlfn.LET(_xlpm.films,Table4[Film],_xlpm.grades,Table4[Grade],_xlpm.pairs,_xlfn._xlws.FILTER(_xlfn.HSTACK(_xlpm.films,_xlpm.grades),(_xlpm.films&lt;&gt;"")*(TRIM(_xlpm.grades)&lt;&gt;"")),_xlpm.uniquePairs,_xlfn.UNIQUE(_xlpm.pairs),_xlpm.sortedPairs,_xlfn._xlws.SORT(_xlpm.uniquePairs,1,1),INDEX(_xlpm.sortedPairs,ROWS($M$2:M182),2)),"")</f>
        <v/>
      </c>
      <c r="N182" s="15" t="str" cm="1">
        <f t="array" ref="N182">IF(OR(Table2[[#This Row],[Film]]="",Table2[[#This Row],[Grade]]=""),"",IFERROR(INDEX(Table4[Serial Number],MATCH(1,(Table4[Film]=Table2[[#This Row],[Film]])*(Table4[Grade]=Table2[[#This Row],[Grade]]),0)),""))</f>
        <v/>
      </c>
      <c r="O182" s="52" t="str">
        <f>IF(OR(Table2[[#This Row],[Film]]="",Table2[[#This Row],[Grade]]=""),"",SUMIFS(Table4[Price Calculated(€) Thickness &amp; QTY related],Table4[Film],Table2[[#This Row],[Film]],Table4[Grade],Table2[[#This Row],[Grade]]))</f>
        <v/>
      </c>
      <c r="P182" s="6"/>
      <c r="T182" s="6"/>
    </row>
    <row r="183" spans="1:20">
      <c r="A183" s="29" t="s">
        <v>47</v>
      </c>
      <c r="B183" s="29" t="s">
        <v>5</v>
      </c>
      <c r="C183" s="28" t="s">
        <v>13</v>
      </c>
      <c r="D183" s="28" t="str">
        <f>IF(C183="","",IFERROR(_xlfn.XLOOKUP(C183,HELPER!$A$2:$A$81,HELPER!$B$2:$B$81,""),D183))</f>
        <v>LX175</v>
      </c>
      <c r="E183" s="28" t="str">
        <f>IFERROR(_xlfn.XLOOKUP(D183,HELPER!$B:$B,HELPER!$C:$C,""),"")</f>
        <v>RMLX175</v>
      </c>
      <c r="F183" s="27" t="str">
        <f>IFERROR(_xlfn.XLOOKUP(D183,HELPER!$B:$B,HELPER!$D:$D,""),"")</f>
        <v>Resin 1A</v>
      </c>
      <c r="G183" s="27">
        <v>24</v>
      </c>
      <c r="H183" s="47">
        <v>0.14199999999999999</v>
      </c>
      <c r="I183" s="48">
        <f>IF(AND(H183&lt;&gt;"",IFERROR(_xlfn.XLOOKUP(D183,HELPER!$B:$B,HELPER!$E:$E,""),"")=""),"Missing price",IFERROR(_xlfn.XLOOKUP(D183,HELPER!$B:$B,HELPER!$E:$E,"")," "))</f>
        <v>3.17</v>
      </c>
      <c r="J183" s="48">
        <f>IFERROR(H183*(IF(G183=8,I183*HELPER!$G$2,BOM!I183*HELPER!$G$3))," ")</f>
        <v>0.27008399999999999</v>
      </c>
      <c r="K183" s="6"/>
      <c r="L183" s="14" t="str" cm="1">
        <f t="array" ref="L183">IFERROR(_xlfn.LET(_xlpm.films,Table4[Film],_xlpm.grades,Table4[Grade],_xlpm.pairs,_xlfn._xlws.FILTER(_xlfn.HSTACK(_xlpm.films,_xlpm.grades),(_xlpm.films&lt;&gt;"")*(TRIM(_xlpm.grades)&lt;&gt;"")),_xlpm.uniquePairs,_xlfn.UNIQUE(_xlpm.pairs),_xlpm.sortedPairs,_xlfn._xlws.SORT(_xlpm.uniquePairs,1,1),INDEX(_xlpm.sortedPairs,ROWS($L$2:L183),1)),"")</f>
        <v/>
      </c>
      <c r="M183" s="15" t="str" cm="1">
        <f t="array" ref="M183">IFERROR(_xlfn.LET(_xlpm.films,Table4[Film],_xlpm.grades,Table4[Grade],_xlpm.pairs,_xlfn._xlws.FILTER(_xlfn.HSTACK(_xlpm.films,_xlpm.grades),(_xlpm.films&lt;&gt;"")*(TRIM(_xlpm.grades)&lt;&gt;"")),_xlpm.uniquePairs,_xlfn.UNIQUE(_xlpm.pairs),_xlpm.sortedPairs,_xlfn._xlws.SORT(_xlpm.uniquePairs,1,1),INDEX(_xlpm.sortedPairs,ROWS($M$2:M183),2)),"")</f>
        <v/>
      </c>
      <c r="N183" s="15" t="str" cm="1">
        <f t="array" ref="N183">IF(OR(Table2[[#This Row],[Film]]="",Table2[[#This Row],[Grade]]=""),"",IFERROR(INDEX(Table4[Serial Number],MATCH(1,(Table4[Film]=Table2[[#This Row],[Film]])*(Table4[Grade]=Table2[[#This Row],[Grade]]),0)),""))</f>
        <v/>
      </c>
      <c r="O183" s="52" t="str">
        <f>IF(OR(Table2[[#This Row],[Film]]="",Table2[[#This Row],[Grade]]=""),"",SUMIFS(Table4[Price Calculated(€) Thickness &amp; QTY related],Table4[Film],Table2[[#This Row],[Film]],Table4[Grade],Table2[[#This Row],[Grade]]))</f>
        <v/>
      </c>
      <c r="P183" s="6"/>
      <c r="T183" s="6"/>
    </row>
    <row r="184" spans="1:20">
      <c r="A184" s="29" t="s">
        <v>47</v>
      </c>
      <c r="B184" s="29" t="s">
        <v>5</v>
      </c>
      <c r="C184" s="28" t="s">
        <v>16</v>
      </c>
      <c r="D184" s="28" t="str">
        <f>IF(C184="","",IFERROR(_xlfn.XLOOKUP(C184,HELPER!$A$2:$A$81,HELPER!$B$2:$B$81,""),D184))</f>
        <v>S723</v>
      </c>
      <c r="E184" s="28" t="str">
        <f>IFERROR(_xlfn.XLOOKUP(D184,HELPER!$B:$B,HELPER!$C:$C,""),"")</f>
        <v>RM TA45-08 S723</v>
      </c>
      <c r="F184" s="27" t="str">
        <f>IFERROR(_xlfn.XLOOKUP(D184,HELPER!$B:$B,HELPER!$D:$D,""),"")</f>
        <v>Resin 6</v>
      </c>
      <c r="G184" s="27">
        <v>24</v>
      </c>
      <c r="H184" s="47">
        <v>0.02</v>
      </c>
      <c r="I184" s="48">
        <f>IF(AND(H184&lt;&gt;"",IFERROR(_xlfn.XLOOKUP(D184,HELPER!$B:$B,HELPER!$E:$E,""),"")=""),"Missing price",IFERROR(_xlfn.XLOOKUP(D184,HELPER!$B:$B,HELPER!$E:$E,"")," "))</f>
        <v>16.16</v>
      </c>
      <c r="J184" s="48">
        <f>IFERROR(H184*(IF(G184=8,I184*HELPER!$G$2,BOM!I184*HELPER!$G$3))," ")</f>
        <v>0.19392000000000001</v>
      </c>
      <c r="K184" s="6"/>
      <c r="L184" s="14" t="str" cm="1">
        <f t="array" ref="L184">IFERROR(_xlfn.LET(_xlpm.films,Table4[Film],_xlpm.grades,Table4[Grade],_xlpm.pairs,_xlfn._xlws.FILTER(_xlfn.HSTACK(_xlpm.films,_xlpm.grades),(_xlpm.films&lt;&gt;"")*(TRIM(_xlpm.grades)&lt;&gt;"")),_xlpm.uniquePairs,_xlfn.UNIQUE(_xlpm.pairs),_xlpm.sortedPairs,_xlfn._xlws.SORT(_xlpm.uniquePairs,1,1),INDEX(_xlpm.sortedPairs,ROWS($L$2:L184),1)),"")</f>
        <v/>
      </c>
      <c r="M184" s="15" t="str" cm="1">
        <f t="array" ref="M184">IFERROR(_xlfn.LET(_xlpm.films,Table4[Film],_xlpm.grades,Table4[Grade],_xlpm.pairs,_xlfn._xlws.FILTER(_xlfn.HSTACK(_xlpm.films,_xlpm.grades),(_xlpm.films&lt;&gt;"")*(TRIM(_xlpm.grades)&lt;&gt;"")),_xlpm.uniquePairs,_xlfn.UNIQUE(_xlpm.pairs),_xlpm.sortedPairs,_xlfn._xlws.SORT(_xlpm.uniquePairs,1,1),INDEX(_xlpm.sortedPairs,ROWS($M$2:M184),2)),"")</f>
        <v/>
      </c>
      <c r="N184" s="15" t="str" cm="1">
        <f t="array" ref="N184">IF(OR(Table2[[#This Row],[Film]]="",Table2[[#This Row],[Grade]]=""),"",IFERROR(INDEX(Table4[Serial Number],MATCH(1,(Table4[Film]=Table2[[#This Row],[Film]])*(Table4[Grade]=Table2[[#This Row],[Grade]]),0)),""))</f>
        <v/>
      </c>
      <c r="O184" s="52" t="str">
        <f>IF(OR(Table2[[#This Row],[Film]]="",Table2[[#This Row],[Grade]]=""),"",SUMIFS(Table4[Price Calculated(€) Thickness &amp; QTY related],Table4[Film],Table2[[#This Row],[Film]],Table4[Grade],Table2[[#This Row],[Grade]]))</f>
        <v/>
      </c>
      <c r="P184" s="6"/>
      <c r="T184" s="6"/>
    </row>
    <row r="185" spans="1:20">
      <c r="A185" s="29" t="s">
        <v>47</v>
      </c>
      <c r="B185" s="29" t="s">
        <v>5</v>
      </c>
      <c r="C185" s="28" t="s">
        <v>17</v>
      </c>
      <c r="D185" s="28" t="str">
        <f>IF(C185="","",IFERROR(_xlfn.XLOOKUP(C185,HELPER!$A$2:$A$81,HELPER!$B$2:$B$81,""),D185))</f>
        <v>S724</v>
      </c>
      <c r="E185" s="28" t="str">
        <f>IFERROR(_xlfn.XLOOKUP(D185,HELPER!$B:$B,HELPER!$C:$C,""),"")</f>
        <v>RM TA45-08 S724</v>
      </c>
      <c r="F185" s="27" t="str">
        <f>IFERROR(_xlfn.XLOOKUP(D185,HELPER!$B:$B,HELPER!$D:$D,""),"")</f>
        <v>Resin 7</v>
      </c>
      <c r="G185" s="27">
        <v>24</v>
      </c>
      <c r="H185" s="47">
        <v>0.02</v>
      </c>
      <c r="I185" s="48">
        <f>IF(AND(H185&lt;&gt;"",IFERROR(_xlfn.XLOOKUP(D185,HELPER!$B:$B,HELPER!$E:$E,""),"")=""),"Missing price",IFERROR(_xlfn.XLOOKUP(D185,HELPER!$B:$B,HELPER!$E:$E,"")," "))</f>
        <v>14.7</v>
      </c>
      <c r="J185" s="48">
        <f>IFERROR(H185*(IF(G185=8,I185*HELPER!$G$2,BOM!I185*HELPER!$G$3))," ")</f>
        <v>0.17639999999999997</v>
      </c>
      <c r="K185" s="6"/>
      <c r="L185" s="14" t="str" cm="1">
        <f t="array" ref="L185">IFERROR(_xlfn.LET(_xlpm.films,Table4[Film],_xlpm.grades,Table4[Grade],_xlpm.pairs,_xlfn._xlws.FILTER(_xlfn.HSTACK(_xlpm.films,_xlpm.grades),(_xlpm.films&lt;&gt;"")*(TRIM(_xlpm.grades)&lt;&gt;"")),_xlpm.uniquePairs,_xlfn.UNIQUE(_xlpm.pairs),_xlpm.sortedPairs,_xlfn._xlws.SORT(_xlpm.uniquePairs,1,1),INDEX(_xlpm.sortedPairs,ROWS($L$2:L185),1)),"")</f>
        <v/>
      </c>
      <c r="M185" s="15" t="str" cm="1">
        <f t="array" ref="M185">IFERROR(_xlfn.LET(_xlpm.films,Table4[Film],_xlpm.grades,Table4[Grade],_xlpm.pairs,_xlfn._xlws.FILTER(_xlfn.HSTACK(_xlpm.films,_xlpm.grades),(_xlpm.films&lt;&gt;"")*(TRIM(_xlpm.grades)&lt;&gt;"")),_xlpm.uniquePairs,_xlfn.UNIQUE(_xlpm.pairs),_xlpm.sortedPairs,_xlfn._xlws.SORT(_xlpm.uniquePairs,1,1),INDEX(_xlpm.sortedPairs,ROWS($M$2:M185),2)),"")</f>
        <v/>
      </c>
      <c r="N185" s="15" t="str" cm="1">
        <f t="array" ref="N185">IF(OR(Table2[[#This Row],[Film]]="",Table2[[#This Row],[Grade]]=""),"",IFERROR(INDEX(Table4[Serial Number],MATCH(1,(Table4[Film]=Table2[[#This Row],[Film]])*(Table4[Grade]=Table2[[#This Row],[Grade]]),0)),""))</f>
        <v/>
      </c>
      <c r="O185" s="52" t="str">
        <f>IF(OR(Table2[[#This Row],[Film]]="",Table2[[#This Row],[Grade]]=""),"",SUMIFS(Table4[Price Calculated(€) Thickness &amp; QTY related],Table4[Film],Table2[[#This Row],[Film]],Table4[Grade],Table2[[#This Row],[Grade]]))</f>
        <v/>
      </c>
      <c r="P185" s="6"/>
      <c r="T185" s="6"/>
    </row>
    <row r="186" spans="1:20">
      <c r="A186" s="29" t="s">
        <v>47</v>
      </c>
      <c r="B186" s="29" t="s">
        <v>5</v>
      </c>
      <c r="C186" s="28" t="s">
        <v>18</v>
      </c>
      <c r="D186" s="28" t="str">
        <f>IF(C186="","",IFERROR(_xlfn.XLOOKUP(C186,HELPER!$A$2:$A$81,HELPER!$B$2:$B$81,""),D186))</f>
        <v>KAB59A</v>
      </c>
      <c r="E186" s="28" t="str">
        <f>IFERROR(_xlfn.XLOOKUP(D186,HELPER!$B:$B,HELPER!$C:$C,""),"")</f>
        <v>RM A KAB59A</v>
      </c>
      <c r="F186" s="27" t="str">
        <f>IFERROR(_xlfn.XLOOKUP(D186,HELPER!$B:$B,HELPER!$D:$D,""),"")</f>
        <v>Resin 8</v>
      </c>
      <c r="G186" s="27">
        <v>24</v>
      </c>
      <c r="H186" s="47">
        <v>1.4999999999999999E-2</v>
      </c>
      <c r="I186" s="48">
        <f>IF(AND(H186&lt;&gt;"",IFERROR(_xlfn.XLOOKUP(D186,HELPER!$B:$B,HELPER!$E:$E,""),"")=""),"Missing price",IFERROR(_xlfn.XLOOKUP(D186,HELPER!$B:$B,HELPER!$E:$E,"")," "))</f>
        <v>7.55</v>
      </c>
      <c r="J186" s="48">
        <f>IFERROR(H186*(IF(G186=8,I186*HELPER!$G$2,BOM!I186*HELPER!$G$3))," ")</f>
        <v>6.7949999999999983E-2</v>
      </c>
      <c r="K186" s="6"/>
      <c r="L186" s="14" t="str" cm="1">
        <f t="array" ref="L186">IFERROR(_xlfn.LET(_xlpm.films,Table4[Film],_xlpm.grades,Table4[Grade],_xlpm.pairs,_xlfn._xlws.FILTER(_xlfn.HSTACK(_xlpm.films,_xlpm.grades),(_xlpm.films&lt;&gt;"")*(TRIM(_xlpm.grades)&lt;&gt;"")),_xlpm.uniquePairs,_xlfn.UNIQUE(_xlpm.pairs),_xlpm.sortedPairs,_xlfn._xlws.SORT(_xlpm.uniquePairs,1,1),INDEX(_xlpm.sortedPairs,ROWS($L$2:L186),1)),"")</f>
        <v/>
      </c>
      <c r="M186" s="15" t="str" cm="1">
        <f t="array" ref="M186">IFERROR(_xlfn.LET(_xlpm.films,Table4[Film],_xlpm.grades,Table4[Grade],_xlpm.pairs,_xlfn._xlws.FILTER(_xlfn.HSTACK(_xlpm.films,_xlpm.grades),(_xlpm.films&lt;&gt;"")*(TRIM(_xlpm.grades)&lt;&gt;"")),_xlpm.uniquePairs,_xlfn.UNIQUE(_xlpm.pairs),_xlpm.sortedPairs,_xlfn._xlws.SORT(_xlpm.uniquePairs,1,1),INDEX(_xlpm.sortedPairs,ROWS($M$2:M186),2)),"")</f>
        <v/>
      </c>
      <c r="N186" s="15" t="str" cm="1">
        <f t="array" ref="N186">IF(OR(Table2[[#This Row],[Film]]="",Table2[[#This Row],[Grade]]=""),"",IFERROR(INDEX(Table4[Serial Number],MATCH(1,(Table4[Film]=Table2[[#This Row],[Film]])*(Table4[Grade]=Table2[[#This Row],[Grade]]),0)),""))</f>
        <v/>
      </c>
      <c r="O186" s="52" t="str">
        <f>IF(OR(Table2[[#This Row],[Film]]="",Table2[[#This Row],[Grade]]=""),"",SUMIFS(Table4[Price Calculated(€) Thickness &amp; QTY related],Table4[Film],Table2[[#This Row],[Film]],Table4[Grade],Table2[[#This Row],[Grade]]))</f>
        <v/>
      </c>
      <c r="P186" s="6"/>
      <c r="T186" s="6"/>
    </row>
    <row r="187" spans="1:20">
      <c r="A187" s="29" t="s">
        <v>47</v>
      </c>
      <c r="B187" s="29" t="s">
        <v>5</v>
      </c>
      <c r="C187" s="28"/>
      <c r="D187" s="28" t="str">
        <f>IF(C187="","",IFERROR(_xlfn.XLOOKUP(C187,HELPER!$A$2:$A$81,HELPER!$B$2:$B$81,""),D187))</f>
        <v/>
      </c>
      <c r="E187" s="28" t="str">
        <f>IFERROR(_xlfn.XLOOKUP(D187,HELPER!$B:$B,HELPER!$C:$C,""),"")</f>
        <v/>
      </c>
      <c r="F187" s="27" t="str">
        <f>IFERROR(_xlfn.XLOOKUP(D187,HELPER!$B:$B,HELPER!$D:$D,""),"")</f>
        <v/>
      </c>
      <c r="G187" s="27">
        <v>24</v>
      </c>
      <c r="H187" s="47"/>
      <c r="I187" s="48" t="str">
        <f>IF(AND(H187&lt;&gt;"",IFERROR(_xlfn.XLOOKUP(D187,HELPER!$B:$B,HELPER!$E:$E,""),"")=""),"Missing price",IFERROR(_xlfn.XLOOKUP(D187,HELPER!$B:$B,HELPER!$E:$E,"")," "))</f>
        <v/>
      </c>
      <c r="J187" s="48" t="str">
        <f>IFERROR(H187*(IF(G187=8,I187*HELPER!$G$2,BOM!I187*HELPER!$G$3))," ")</f>
        <v xml:space="preserve"> </v>
      </c>
      <c r="K187" s="6"/>
      <c r="L187" s="14" t="str" cm="1">
        <f t="array" ref="L187">IFERROR(_xlfn.LET(_xlpm.films,Table4[Film],_xlpm.grades,Table4[Grade],_xlpm.pairs,_xlfn._xlws.FILTER(_xlfn.HSTACK(_xlpm.films,_xlpm.grades),(_xlpm.films&lt;&gt;"")*(TRIM(_xlpm.grades)&lt;&gt;"")),_xlpm.uniquePairs,_xlfn.UNIQUE(_xlpm.pairs),_xlpm.sortedPairs,_xlfn._xlws.SORT(_xlpm.uniquePairs,1,1),INDEX(_xlpm.sortedPairs,ROWS($L$2:L187),1)),"")</f>
        <v/>
      </c>
      <c r="M187" s="15" t="str" cm="1">
        <f t="array" ref="M187">IFERROR(_xlfn.LET(_xlpm.films,Table4[Film],_xlpm.grades,Table4[Grade],_xlpm.pairs,_xlfn._xlws.FILTER(_xlfn.HSTACK(_xlpm.films,_xlpm.grades),(_xlpm.films&lt;&gt;"")*(TRIM(_xlpm.grades)&lt;&gt;"")),_xlpm.uniquePairs,_xlfn.UNIQUE(_xlpm.pairs),_xlpm.sortedPairs,_xlfn._xlws.SORT(_xlpm.uniquePairs,1,1),INDEX(_xlpm.sortedPairs,ROWS($M$2:M187),2)),"")</f>
        <v/>
      </c>
      <c r="N187" s="15" t="str" cm="1">
        <f t="array" ref="N187">IF(OR(Table2[[#This Row],[Film]]="",Table2[[#This Row],[Grade]]=""),"",IFERROR(INDEX(Table4[Serial Number],MATCH(1,(Table4[Film]=Table2[[#This Row],[Film]])*(Table4[Grade]=Table2[[#This Row],[Grade]]),0)),""))</f>
        <v/>
      </c>
      <c r="O187" s="52" t="str">
        <f>IF(OR(Table2[[#This Row],[Film]]="",Table2[[#This Row],[Grade]]=""),"",SUMIFS(Table4[Price Calculated(€) Thickness &amp; QTY related],Table4[Film],Table2[[#This Row],[Film]],Table4[Grade],Table2[[#This Row],[Grade]]))</f>
        <v/>
      </c>
      <c r="P187" s="6"/>
      <c r="T187" s="6"/>
    </row>
    <row r="188" spans="1:20">
      <c r="A188" s="29" t="s">
        <v>47</v>
      </c>
      <c r="B188" s="29" t="s">
        <v>5</v>
      </c>
      <c r="C188" s="28"/>
      <c r="D188" s="28" t="str">
        <f>IF(C188="","",IFERROR(_xlfn.XLOOKUP(C188,HELPER!$A$2:$A$81,HELPER!$B$2:$B$81,""),D188))</f>
        <v/>
      </c>
      <c r="E188" s="28" t="str">
        <f>IFERROR(_xlfn.XLOOKUP(D188,HELPER!$B:$B,HELPER!$C:$C,""),"")</f>
        <v/>
      </c>
      <c r="F188" s="27" t="str">
        <f>IFERROR(_xlfn.XLOOKUP(D188,HELPER!$B:$B,HELPER!$D:$D,""),"")</f>
        <v/>
      </c>
      <c r="G188" s="27">
        <v>24</v>
      </c>
      <c r="H188" s="47"/>
      <c r="I188" s="48" t="str">
        <f>IF(AND(H188&lt;&gt;"",IFERROR(_xlfn.XLOOKUP(D188,HELPER!$B:$B,HELPER!$E:$E,""),"")=""),"Missing price",IFERROR(_xlfn.XLOOKUP(D188,HELPER!$B:$B,HELPER!$E:$E,"")," "))</f>
        <v/>
      </c>
      <c r="J188" s="48" t="str">
        <f>IFERROR(H188*(IF(G188=8,I188*HELPER!$G$2,BOM!I188*HELPER!$G$3))," ")</f>
        <v xml:space="preserve"> </v>
      </c>
      <c r="K188" s="6"/>
      <c r="L188" s="14" t="str" cm="1">
        <f t="array" ref="L188">IFERROR(_xlfn.LET(_xlpm.films,Table4[Film],_xlpm.grades,Table4[Grade],_xlpm.pairs,_xlfn._xlws.FILTER(_xlfn.HSTACK(_xlpm.films,_xlpm.grades),(_xlpm.films&lt;&gt;"")*(TRIM(_xlpm.grades)&lt;&gt;"")),_xlpm.uniquePairs,_xlfn.UNIQUE(_xlpm.pairs),_xlpm.sortedPairs,_xlfn._xlws.SORT(_xlpm.uniquePairs,1,1),INDEX(_xlpm.sortedPairs,ROWS($L$2:L188),1)),"")</f>
        <v/>
      </c>
      <c r="M188" s="15" t="str" cm="1">
        <f t="array" ref="M188">IFERROR(_xlfn.LET(_xlpm.films,Table4[Film],_xlpm.grades,Table4[Grade],_xlpm.pairs,_xlfn._xlws.FILTER(_xlfn.HSTACK(_xlpm.films,_xlpm.grades),(_xlpm.films&lt;&gt;"")*(TRIM(_xlpm.grades)&lt;&gt;"")),_xlpm.uniquePairs,_xlfn.UNIQUE(_xlpm.pairs),_xlpm.sortedPairs,_xlfn._xlws.SORT(_xlpm.uniquePairs,1,1),INDEX(_xlpm.sortedPairs,ROWS($M$2:M188),2)),"")</f>
        <v/>
      </c>
      <c r="N188" s="15" t="str" cm="1">
        <f t="array" ref="N188">IF(OR(Table2[[#This Row],[Film]]="",Table2[[#This Row],[Grade]]=""),"",IFERROR(INDEX(Table4[Serial Number],MATCH(1,(Table4[Film]=Table2[[#This Row],[Film]])*(Table4[Grade]=Table2[[#This Row],[Grade]]),0)),""))</f>
        <v/>
      </c>
      <c r="O188" s="52" t="str">
        <f>IF(OR(Table2[[#This Row],[Film]]="",Table2[[#This Row],[Grade]]=""),"",SUMIFS(Table4[Price Calculated(€) Thickness &amp; QTY related],Table4[Film],Table2[[#This Row],[Film]],Table4[Grade],Table2[[#This Row],[Grade]]))</f>
        <v/>
      </c>
      <c r="P188" s="6"/>
      <c r="T188" s="6"/>
    </row>
    <row r="189" spans="1:20">
      <c r="A189" s="29" t="s">
        <v>47</v>
      </c>
      <c r="B189" s="29" t="s">
        <v>5</v>
      </c>
      <c r="C189" s="28"/>
      <c r="D189" s="28" t="str">
        <f>IF(C189="","",IFERROR(_xlfn.XLOOKUP(C189,HELPER!$A$2:$A$81,HELPER!$B$2:$B$81,""),D189))</f>
        <v/>
      </c>
      <c r="E189" s="28" t="str">
        <f>IFERROR(_xlfn.XLOOKUP(D189,HELPER!$B:$B,HELPER!$C:$C,""),"")</f>
        <v/>
      </c>
      <c r="F189" s="27" t="str">
        <f>IFERROR(_xlfn.XLOOKUP(D189,HELPER!$B:$B,HELPER!$D:$D,""),"")</f>
        <v/>
      </c>
      <c r="G189" s="27">
        <v>24</v>
      </c>
      <c r="H189" s="47"/>
      <c r="I189" s="48" t="str">
        <f>IF(AND(H189&lt;&gt;"",IFERROR(_xlfn.XLOOKUP(D189,HELPER!$B:$B,HELPER!$E:$E,""),"")=""),"Missing price",IFERROR(_xlfn.XLOOKUP(D189,HELPER!$B:$B,HELPER!$E:$E,"")," "))</f>
        <v/>
      </c>
      <c r="J189" s="48" t="str">
        <f>IFERROR(H189*(IF(G189=8,I189*HELPER!$G$2,BOM!I189*HELPER!$G$3))," ")</f>
        <v xml:space="preserve"> </v>
      </c>
      <c r="K189" s="6"/>
      <c r="L189" s="14" t="str" cm="1">
        <f t="array" ref="L189">IFERROR(_xlfn.LET(_xlpm.films,Table4[Film],_xlpm.grades,Table4[Grade],_xlpm.pairs,_xlfn._xlws.FILTER(_xlfn.HSTACK(_xlpm.films,_xlpm.grades),(_xlpm.films&lt;&gt;"")*(TRIM(_xlpm.grades)&lt;&gt;"")),_xlpm.uniquePairs,_xlfn.UNIQUE(_xlpm.pairs),_xlpm.sortedPairs,_xlfn._xlws.SORT(_xlpm.uniquePairs,1,1),INDEX(_xlpm.sortedPairs,ROWS($L$2:L189),1)),"")</f>
        <v/>
      </c>
      <c r="M189" s="15" t="str" cm="1">
        <f t="array" ref="M189">IFERROR(_xlfn.LET(_xlpm.films,Table4[Film],_xlpm.grades,Table4[Grade],_xlpm.pairs,_xlfn._xlws.FILTER(_xlfn.HSTACK(_xlpm.films,_xlpm.grades),(_xlpm.films&lt;&gt;"")*(TRIM(_xlpm.grades)&lt;&gt;"")),_xlpm.uniquePairs,_xlfn.UNIQUE(_xlpm.pairs),_xlpm.sortedPairs,_xlfn._xlws.SORT(_xlpm.uniquePairs,1,1),INDEX(_xlpm.sortedPairs,ROWS($M$2:M189),2)),"")</f>
        <v/>
      </c>
      <c r="N189" s="15" t="str" cm="1">
        <f t="array" ref="N189">IF(OR(Table2[[#This Row],[Film]]="",Table2[[#This Row],[Grade]]=""),"",IFERROR(INDEX(Table4[Serial Number],MATCH(1,(Table4[Film]=Table2[[#This Row],[Film]])*(Table4[Grade]=Table2[[#This Row],[Grade]]),0)),""))</f>
        <v/>
      </c>
      <c r="O189" s="52" t="str">
        <f>IF(OR(Table2[[#This Row],[Film]]="",Table2[[#This Row],[Grade]]=""),"",SUMIFS(Table4[Price Calculated(€) Thickness &amp; QTY related],Table4[Film],Table2[[#This Row],[Film]],Table4[Grade],Table2[[#This Row],[Grade]]))</f>
        <v/>
      </c>
      <c r="P189" s="6"/>
      <c r="T189" s="6"/>
    </row>
    <row r="190" spans="1:20">
      <c r="A190" s="29" t="s">
        <v>47</v>
      </c>
      <c r="B190" s="29" t="s">
        <v>5</v>
      </c>
      <c r="C190" s="28"/>
      <c r="D190" s="28" t="str">
        <f>IF(C190="","",IFERROR(_xlfn.XLOOKUP(C190,HELPER!$A$2:$A$81,HELPER!$B$2:$B$81,""),D190))</f>
        <v/>
      </c>
      <c r="E190" s="28" t="str">
        <f>IFERROR(_xlfn.XLOOKUP(D190,HELPER!$B:$B,HELPER!$C:$C,""),"")</f>
        <v/>
      </c>
      <c r="F190" s="27" t="str">
        <f>IFERROR(_xlfn.XLOOKUP(D190,HELPER!$B:$B,HELPER!$D:$D,""),"")</f>
        <v/>
      </c>
      <c r="G190" s="27">
        <v>24</v>
      </c>
      <c r="H190" s="47"/>
      <c r="I190" s="48" t="str">
        <f>IF(AND(H190&lt;&gt;"",IFERROR(_xlfn.XLOOKUP(D190,HELPER!$B:$B,HELPER!$E:$E,""),"")=""),"Missing price",IFERROR(_xlfn.XLOOKUP(D190,HELPER!$B:$B,HELPER!$E:$E,"")," "))</f>
        <v/>
      </c>
      <c r="J190" s="48" t="str">
        <f>IFERROR(H190*(IF(G190=8,I190*HELPER!$G$2,BOM!I190*HELPER!$G$3))," ")</f>
        <v xml:space="preserve"> </v>
      </c>
      <c r="K190" s="6"/>
      <c r="L190" s="14" t="str" cm="1">
        <f t="array" ref="L190">IFERROR(_xlfn.LET(_xlpm.films,Table4[Film],_xlpm.grades,Table4[Grade],_xlpm.pairs,_xlfn._xlws.FILTER(_xlfn.HSTACK(_xlpm.films,_xlpm.grades),(_xlpm.films&lt;&gt;"")*(TRIM(_xlpm.grades)&lt;&gt;"")),_xlpm.uniquePairs,_xlfn.UNIQUE(_xlpm.pairs),_xlpm.sortedPairs,_xlfn._xlws.SORT(_xlpm.uniquePairs,1,1),INDEX(_xlpm.sortedPairs,ROWS($L$2:L190),1)),"")</f>
        <v/>
      </c>
      <c r="M190" s="15" t="str" cm="1">
        <f t="array" ref="M190">IFERROR(_xlfn.LET(_xlpm.films,Table4[Film],_xlpm.grades,Table4[Grade],_xlpm.pairs,_xlfn._xlws.FILTER(_xlfn.HSTACK(_xlpm.films,_xlpm.grades),(_xlpm.films&lt;&gt;"")*(TRIM(_xlpm.grades)&lt;&gt;"")),_xlpm.uniquePairs,_xlfn.UNIQUE(_xlpm.pairs),_xlpm.sortedPairs,_xlfn._xlws.SORT(_xlpm.uniquePairs,1,1),INDEX(_xlpm.sortedPairs,ROWS($M$2:M190),2)),"")</f>
        <v/>
      </c>
      <c r="N190" s="15" t="str" cm="1">
        <f t="array" ref="N190">IF(OR(Table2[[#This Row],[Film]]="",Table2[[#This Row],[Grade]]=""),"",IFERROR(INDEX(Table4[Serial Number],MATCH(1,(Table4[Film]=Table2[[#This Row],[Film]])*(Table4[Grade]=Table2[[#This Row],[Grade]]),0)),""))</f>
        <v/>
      </c>
      <c r="O190" s="52" t="str">
        <f>IF(OR(Table2[[#This Row],[Film]]="",Table2[[#This Row],[Grade]]=""),"",SUMIFS(Table4[Price Calculated(€) Thickness &amp; QTY related],Table4[Film],Table2[[#This Row],[Film]],Table4[Grade],Table2[[#This Row],[Grade]]))</f>
        <v/>
      </c>
      <c r="P190" s="6"/>
      <c r="T190" s="6"/>
    </row>
    <row r="191" spans="1:20">
      <c r="A191" s="29" t="s">
        <v>47</v>
      </c>
      <c r="B191" s="29" t="s">
        <v>5</v>
      </c>
      <c r="C191" s="28"/>
      <c r="D191" s="28" t="str">
        <f>IF(C191="","",IFERROR(_xlfn.XLOOKUP(C191,HELPER!$A$2:$A$81,HELPER!$B$2:$B$81,""),D191))</f>
        <v/>
      </c>
      <c r="E191" s="28" t="str">
        <f>IFERROR(_xlfn.XLOOKUP(D191,HELPER!$B:$B,HELPER!$C:$C,""),"")</f>
        <v/>
      </c>
      <c r="F191" s="27" t="str">
        <f>IFERROR(_xlfn.XLOOKUP(D191,HELPER!$B:$B,HELPER!$D:$D,""),"")</f>
        <v/>
      </c>
      <c r="G191" s="27">
        <v>24</v>
      </c>
      <c r="H191" s="47"/>
      <c r="I191" s="48" t="str">
        <f>IF(AND(H191&lt;&gt;"",IFERROR(_xlfn.XLOOKUP(D191,HELPER!$B:$B,HELPER!$E:$E,""),"")=""),"Missing price",IFERROR(_xlfn.XLOOKUP(D191,HELPER!$B:$B,HELPER!$E:$E,"")," "))</f>
        <v/>
      </c>
      <c r="J191" s="48" t="str">
        <f>IFERROR(H191*(IF(G191=8,I191*HELPER!$G$2,BOM!I191*HELPER!$G$3))," ")</f>
        <v xml:space="preserve"> </v>
      </c>
      <c r="K191" s="6"/>
      <c r="L191" s="14" t="str" cm="1">
        <f t="array" ref="L191">IFERROR(_xlfn.LET(_xlpm.films,Table4[Film],_xlpm.grades,Table4[Grade],_xlpm.pairs,_xlfn._xlws.FILTER(_xlfn.HSTACK(_xlpm.films,_xlpm.grades),(_xlpm.films&lt;&gt;"")*(TRIM(_xlpm.grades)&lt;&gt;"")),_xlpm.uniquePairs,_xlfn.UNIQUE(_xlpm.pairs),_xlpm.sortedPairs,_xlfn._xlws.SORT(_xlpm.uniquePairs,1,1),INDEX(_xlpm.sortedPairs,ROWS($L$2:L191),1)),"")</f>
        <v/>
      </c>
      <c r="M191" s="15" t="str" cm="1">
        <f t="array" ref="M191">IFERROR(_xlfn.LET(_xlpm.films,Table4[Film],_xlpm.grades,Table4[Grade],_xlpm.pairs,_xlfn._xlws.FILTER(_xlfn.HSTACK(_xlpm.films,_xlpm.grades),(_xlpm.films&lt;&gt;"")*(TRIM(_xlpm.grades)&lt;&gt;"")),_xlpm.uniquePairs,_xlfn.UNIQUE(_xlpm.pairs),_xlpm.sortedPairs,_xlfn._xlws.SORT(_xlpm.uniquePairs,1,1),INDEX(_xlpm.sortedPairs,ROWS($M$2:M191),2)),"")</f>
        <v/>
      </c>
      <c r="N191" s="15" t="str" cm="1">
        <f t="array" ref="N191">IF(OR(Table2[[#This Row],[Film]]="",Table2[[#This Row],[Grade]]=""),"",IFERROR(INDEX(Table4[Serial Number],MATCH(1,(Table4[Film]=Table2[[#This Row],[Film]])*(Table4[Grade]=Table2[[#This Row],[Grade]]),0)),""))</f>
        <v/>
      </c>
      <c r="O191" s="52" t="str">
        <f>IF(OR(Table2[[#This Row],[Film]]="",Table2[[#This Row],[Grade]]=""),"",SUMIFS(Table4[Price Calculated(€) Thickness &amp; QTY related],Table4[Film],Table2[[#This Row],[Film]],Table4[Grade],Table2[[#This Row],[Grade]]))</f>
        <v/>
      </c>
      <c r="P191" s="6"/>
      <c r="T191" s="6"/>
    </row>
    <row r="192" spans="1:20">
      <c r="A192" s="29" t="s">
        <v>47</v>
      </c>
      <c r="B192" s="29" t="s">
        <v>6</v>
      </c>
      <c r="C192" s="28" t="s">
        <v>19</v>
      </c>
      <c r="D192" s="28" t="str">
        <f>IF(C192="","",IFERROR(_xlfn.XLOOKUP(C192,HELPER!$A$2:$A$81,HELPER!$B$2:$B$81,""),D192))</f>
        <v>BVE8049P</v>
      </c>
      <c r="E192" s="28" t="str">
        <f>IFERROR(_xlfn.XLOOKUP(D192,HELPER!$B:$B,HELPER!$C:$C,""),"")</f>
        <v>BVE8049P</v>
      </c>
      <c r="F192" s="27" t="str">
        <f>IFERROR(_xlfn.XLOOKUP(D192,HELPER!$B:$B,HELPER!$D:$D,""),"")</f>
        <v>BVE8049P</v>
      </c>
      <c r="G192" s="27">
        <v>8</v>
      </c>
      <c r="H192" s="47">
        <v>0.98</v>
      </c>
      <c r="I192" s="48">
        <f>IF(AND(H192&lt;&gt;"",IFERROR(_xlfn.XLOOKUP(D192,HELPER!$B:$B,HELPER!$E:$E,""),"")=""),"Missing price",IFERROR(_xlfn.XLOOKUP(D192,HELPER!$B:$B,HELPER!$E:$E,"")," "))</f>
        <v>18.5</v>
      </c>
      <c r="J192" s="48">
        <f>IFERROR(H192*(IF(G192=8,I192*HELPER!$G$2,BOM!I192*HELPER!$G$3))," ")</f>
        <v>3.6259999999999999</v>
      </c>
      <c r="K192" s="6"/>
      <c r="L192" s="14" t="str" cm="1">
        <f t="array" ref="L192">IFERROR(_xlfn.LET(_xlpm.films,Table4[Film],_xlpm.grades,Table4[Grade],_xlpm.pairs,_xlfn._xlws.FILTER(_xlfn.HSTACK(_xlpm.films,_xlpm.grades),(_xlpm.films&lt;&gt;"")*(TRIM(_xlpm.grades)&lt;&gt;"")),_xlpm.uniquePairs,_xlfn.UNIQUE(_xlpm.pairs),_xlpm.sortedPairs,_xlfn._xlws.SORT(_xlpm.uniquePairs,1,1),INDEX(_xlpm.sortedPairs,ROWS($L$2:L192),1)),"")</f>
        <v/>
      </c>
      <c r="M192" s="15" t="str" cm="1">
        <f t="array" ref="M192">IFERROR(_xlfn.LET(_xlpm.films,Table4[Film],_xlpm.grades,Table4[Grade],_xlpm.pairs,_xlfn._xlws.FILTER(_xlfn.HSTACK(_xlpm.films,_xlpm.grades),(_xlpm.films&lt;&gt;"")*(TRIM(_xlpm.grades)&lt;&gt;"")),_xlpm.uniquePairs,_xlfn.UNIQUE(_xlpm.pairs),_xlpm.sortedPairs,_xlfn._xlws.SORT(_xlpm.uniquePairs,1,1),INDEX(_xlpm.sortedPairs,ROWS($M$2:M192),2)),"")</f>
        <v/>
      </c>
      <c r="N192" s="15" t="str" cm="1">
        <f t="array" ref="N192">IF(OR(Table2[[#This Row],[Film]]="",Table2[[#This Row],[Grade]]=""),"",IFERROR(INDEX(Table4[Serial Number],MATCH(1,(Table4[Film]=Table2[[#This Row],[Film]])*(Table4[Grade]=Table2[[#This Row],[Grade]]),0)),""))</f>
        <v/>
      </c>
      <c r="O192" s="52" t="str">
        <f>IF(OR(Table2[[#This Row],[Film]]="",Table2[[#This Row],[Grade]]=""),"",SUMIFS(Table4[Price Calculated(€) Thickness &amp; QTY related],Table4[Film],Table2[[#This Row],[Film]],Table4[Grade],Table2[[#This Row],[Grade]]))</f>
        <v/>
      </c>
      <c r="P192" s="6"/>
      <c r="T192" s="6"/>
    </row>
    <row r="193" spans="1:20">
      <c r="A193" s="29" t="s">
        <v>47</v>
      </c>
      <c r="B193" s="29" t="s">
        <v>6</v>
      </c>
      <c r="C193" s="28" t="s">
        <v>16</v>
      </c>
      <c r="D193" s="28" t="str">
        <f>IF(C193="","",IFERROR(_xlfn.XLOOKUP(C193,HELPER!$A$2:$A$81,HELPER!$B$2:$B$81,""),D193))</f>
        <v>S723</v>
      </c>
      <c r="E193" s="28" t="str">
        <f>IFERROR(_xlfn.XLOOKUP(D193,HELPER!$B:$B,HELPER!$C:$C,""),"")</f>
        <v>RM TA45-08 S723</v>
      </c>
      <c r="F193" s="27" t="str">
        <f>IFERROR(_xlfn.XLOOKUP(D193,HELPER!$B:$B,HELPER!$D:$D,""),"")</f>
        <v>Resin 6</v>
      </c>
      <c r="G193" s="27">
        <v>8</v>
      </c>
      <c r="H193" s="47">
        <v>0.02</v>
      </c>
      <c r="I193" s="48">
        <f>IF(AND(H193&lt;&gt;"",IFERROR(_xlfn.XLOOKUP(D193,HELPER!$B:$B,HELPER!$E:$E,""),"")=""),"Missing price",IFERROR(_xlfn.XLOOKUP(D193,HELPER!$B:$B,HELPER!$E:$E,"")," "))</f>
        <v>16.16</v>
      </c>
      <c r="J193" s="48">
        <f>IFERROR(H193*(IF(G193=8,I193*HELPER!$G$2,BOM!I193*HELPER!$G$3))," ")</f>
        <v>6.4640000000000003E-2</v>
      </c>
      <c r="K193" s="6"/>
      <c r="L193" s="14" t="str" cm="1">
        <f t="array" ref="L193">IFERROR(_xlfn.LET(_xlpm.films,Table4[Film],_xlpm.grades,Table4[Grade],_xlpm.pairs,_xlfn._xlws.FILTER(_xlfn.HSTACK(_xlpm.films,_xlpm.grades),(_xlpm.films&lt;&gt;"")*(TRIM(_xlpm.grades)&lt;&gt;"")),_xlpm.uniquePairs,_xlfn.UNIQUE(_xlpm.pairs),_xlpm.sortedPairs,_xlfn._xlws.SORT(_xlpm.uniquePairs,1,1),INDEX(_xlpm.sortedPairs,ROWS($L$2:L193),1)),"")</f>
        <v/>
      </c>
      <c r="M193" s="15" t="str" cm="1">
        <f t="array" ref="M193">IFERROR(_xlfn.LET(_xlpm.films,Table4[Film],_xlpm.grades,Table4[Grade],_xlpm.pairs,_xlfn._xlws.FILTER(_xlfn.HSTACK(_xlpm.films,_xlpm.grades),(_xlpm.films&lt;&gt;"")*(TRIM(_xlpm.grades)&lt;&gt;"")),_xlpm.uniquePairs,_xlfn.UNIQUE(_xlpm.pairs),_xlpm.sortedPairs,_xlfn._xlws.SORT(_xlpm.uniquePairs,1,1),INDEX(_xlpm.sortedPairs,ROWS($M$2:M193),2)),"")</f>
        <v/>
      </c>
      <c r="N193" s="15" t="str" cm="1">
        <f t="array" ref="N193">IF(OR(Table2[[#This Row],[Film]]="",Table2[[#This Row],[Grade]]=""),"",IFERROR(INDEX(Table4[Serial Number],MATCH(1,(Table4[Film]=Table2[[#This Row],[Film]])*(Table4[Grade]=Table2[[#This Row],[Grade]]),0)),""))</f>
        <v/>
      </c>
      <c r="O193" s="52" t="str">
        <f>IF(OR(Table2[[#This Row],[Film]]="",Table2[[#This Row],[Grade]]=""),"",SUMIFS(Table4[Price Calculated(€) Thickness &amp; QTY related],Table4[Film],Table2[[#This Row],[Film]],Table4[Grade],Table2[[#This Row],[Grade]]))</f>
        <v/>
      </c>
      <c r="P193" s="6"/>
      <c r="T193" s="6"/>
    </row>
    <row r="194" spans="1:20">
      <c r="A194" s="29" t="s">
        <v>47</v>
      </c>
      <c r="B194" s="29" t="s">
        <v>6</v>
      </c>
      <c r="C194" s="28"/>
      <c r="D194" s="28" t="str">
        <f>IF(C194="","",IFERROR(_xlfn.XLOOKUP(C194,HELPER!$A$2:$A$81,HELPER!$B$2:$B$81,""),D194))</f>
        <v/>
      </c>
      <c r="E194" s="28" t="str">
        <f>IFERROR(_xlfn.XLOOKUP(D194,HELPER!$B:$B,HELPER!$C:$C,""),"")</f>
        <v/>
      </c>
      <c r="F194" s="27" t="str">
        <f>IFERROR(_xlfn.XLOOKUP(D194,HELPER!$B:$B,HELPER!$D:$D,""),"")</f>
        <v/>
      </c>
      <c r="G194" s="27">
        <v>8</v>
      </c>
      <c r="H194" s="47"/>
      <c r="I194" s="48" t="str">
        <f>IF(AND(H194&lt;&gt;"",IFERROR(_xlfn.XLOOKUP(D194,HELPER!$B:$B,HELPER!$E:$E,""),"")=""),"Missing price",IFERROR(_xlfn.XLOOKUP(D194,HELPER!$B:$B,HELPER!$E:$E,"")," "))</f>
        <v/>
      </c>
      <c r="J194" s="48" t="str">
        <f>IFERROR(H194*(IF(G194=8,I194*HELPER!$G$2,BOM!I194*HELPER!$G$3))," ")</f>
        <v xml:space="preserve"> </v>
      </c>
      <c r="K194" s="6"/>
      <c r="L194" s="14" t="str" cm="1">
        <f t="array" ref="L194">IFERROR(_xlfn.LET(_xlpm.films,Table4[Film],_xlpm.grades,Table4[Grade],_xlpm.pairs,_xlfn._xlws.FILTER(_xlfn.HSTACK(_xlpm.films,_xlpm.grades),(_xlpm.films&lt;&gt;"")*(TRIM(_xlpm.grades)&lt;&gt;"")),_xlpm.uniquePairs,_xlfn.UNIQUE(_xlpm.pairs),_xlpm.sortedPairs,_xlfn._xlws.SORT(_xlpm.uniquePairs,1,1),INDEX(_xlpm.sortedPairs,ROWS($L$2:L194),1)),"")</f>
        <v/>
      </c>
      <c r="M194" s="15" t="str" cm="1">
        <f t="array" ref="M194">IFERROR(_xlfn.LET(_xlpm.films,Table4[Film],_xlpm.grades,Table4[Grade],_xlpm.pairs,_xlfn._xlws.FILTER(_xlfn.HSTACK(_xlpm.films,_xlpm.grades),(_xlpm.films&lt;&gt;"")*(TRIM(_xlpm.grades)&lt;&gt;"")),_xlpm.uniquePairs,_xlfn.UNIQUE(_xlpm.pairs),_xlpm.sortedPairs,_xlfn._xlws.SORT(_xlpm.uniquePairs,1,1),INDEX(_xlpm.sortedPairs,ROWS($M$2:M194),2)),"")</f>
        <v/>
      </c>
      <c r="N194" s="15" t="str" cm="1">
        <f t="array" ref="N194">IF(OR(Table2[[#This Row],[Film]]="",Table2[[#This Row],[Grade]]=""),"",IFERROR(INDEX(Table4[Serial Number],MATCH(1,(Table4[Film]=Table2[[#This Row],[Film]])*(Table4[Grade]=Table2[[#This Row],[Grade]]),0)),""))</f>
        <v/>
      </c>
      <c r="O194" s="52" t="str">
        <f>IF(OR(Table2[[#This Row],[Film]]="",Table2[[#This Row],[Grade]]=""),"",SUMIFS(Table4[Price Calculated(€) Thickness &amp; QTY related],Table4[Film],Table2[[#This Row],[Film]],Table4[Grade],Table2[[#This Row],[Grade]]))</f>
        <v/>
      </c>
      <c r="P194" s="6"/>
      <c r="T194" s="6"/>
    </row>
    <row r="195" spans="1:20">
      <c r="A195" s="29" t="s">
        <v>47</v>
      </c>
      <c r="B195" s="29" t="s">
        <v>6</v>
      </c>
      <c r="C195" s="28"/>
      <c r="D195" s="28" t="str">
        <f>IF(C195="","",IFERROR(_xlfn.XLOOKUP(C195,HELPER!$A$2:$A$81,HELPER!$B$2:$B$81,""),D195))</f>
        <v/>
      </c>
      <c r="E195" s="28" t="str">
        <f>IFERROR(_xlfn.XLOOKUP(D195,HELPER!$B:$B,HELPER!$C:$C,""),"")</f>
        <v/>
      </c>
      <c r="F195" s="27" t="str">
        <f>IFERROR(_xlfn.XLOOKUP(D195,HELPER!$B:$B,HELPER!$D:$D,""),"")</f>
        <v/>
      </c>
      <c r="G195" s="27">
        <v>8</v>
      </c>
      <c r="H195" s="47"/>
      <c r="I195" s="48" t="str">
        <f>IF(AND(H195&lt;&gt;"",IFERROR(_xlfn.XLOOKUP(D195,HELPER!$B:$B,HELPER!$E:$E,""),"")=""),"Missing price",IFERROR(_xlfn.XLOOKUP(D195,HELPER!$B:$B,HELPER!$E:$E,"")," "))</f>
        <v/>
      </c>
      <c r="J195" s="48" t="str">
        <f>IFERROR(H195*(IF(G195=8,I195*HELPER!$G$2,BOM!I195*HELPER!$G$3))," ")</f>
        <v xml:space="preserve"> </v>
      </c>
      <c r="K195" s="6"/>
      <c r="L195" s="14" t="str" cm="1">
        <f t="array" ref="L195">IFERROR(_xlfn.LET(_xlpm.films,Table4[Film],_xlpm.grades,Table4[Grade],_xlpm.pairs,_xlfn._xlws.FILTER(_xlfn.HSTACK(_xlpm.films,_xlpm.grades),(_xlpm.films&lt;&gt;"")*(TRIM(_xlpm.grades)&lt;&gt;"")),_xlpm.uniquePairs,_xlfn.UNIQUE(_xlpm.pairs),_xlpm.sortedPairs,_xlfn._xlws.SORT(_xlpm.uniquePairs,1,1),INDEX(_xlpm.sortedPairs,ROWS($L$2:L195),1)),"")</f>
        <v/>
      </c>
      <c r="M195" s="15" t="str" cm="1">
        <f t="array" ref="M195">IFERROR(_xlfn.LET(_xlpm.films,Table4[Film],_xlpm.grades,Table4[Grade],_xlpm.pairs,_xlfn._xlws.FILTER(_xlfn.HSTACK(_xlpm.films,_xlpm.grades),(_xlpm.films&lt;&gt;"")*(TRIM(_xlpm.grades)&lt;&gt;"")),_xlpm.uniquePairs,_xlfn.UNIQUE(_xlpm.pairs),_xlpm.sortedPairs,_xlfn._xlws.SORT(_xlpm.uniquePairs,1,1),INDEX(_xlpm.sortedPairs,ROWS($M$2:M195),2)),"")</f>
        <v/>
      </c>
      <c r="N195" s="15" t="str" cm="1">
        <f t="array" ref="N195">IF(OR(Table2[[#This Row],[Film]]="",Table2[[#This Row],[Grade]]=""),"",IFERROR(INDEX(Table4[Serial Number],MATCH(1,(Table4[Film]=Table2[[#This Row],[Film]])*(Table4[Grade]=Table2[[#This Row],[Grade]]),0)),""))</f>
        <v/>
      </c>
      <c r="O195" s="52" t="str">
        <f>IF(OR(Table2[[#This Row],[Film]]="",Table2[[#This Row],[Grade]]=""),"",SUMIFS(Table4[Price Calculated(€) Thickness &amp; QTY related],Table4[Film],Table2[[#This Row],[Film]],Table4[Grade],Table2[[#This Row],[Grade]]))</f>
        <v/>
      </c>
      <c r="P195" s="6"/>
      <c r="T195" s="6"/>
    </row>
    <row r="196" spans="1:20">
      <c r="A196" s="29" t="s">
        <v>47</v>
      </c>
      <c r="B196" s="29" t="s">
        <v>6</v>
      </c>
      <c r="C196" s="28"/>
      <c r="D196" s="28" t="str">
        <f>IF(C196="","",IFERROR(_xlfn.XLOOKUP(C196,HELPER!$A$2:$A$81,HELPER!$B$2:$B$81,""),D196))</f>
        <v/>
      </c>
      <c r="E196" s="28" t="str">
        <f>IFERROR(_xlfn.XLOOKUP(D196,HELPER!$B:$B,HELPER!$C:$C,""),"")</f>
        <v/>
      </c>
      <c r="F196" s="27" t="str">
        <f>IFERROR(_xlfn.XLOOKUP(D196,HELPER!$B:$B,HELPER!$D:$D,""),"")</f>
        <v/>
      </c>
      <c r="G196" s="27">
        <v>8</v>
      </c>
      <c r="H196" s="47"/>
      <c r="I196" s="48" t="str">
        <f>IF(AND(H196&lt;&gt;"",IFERROR(_xlfn.XLOOKUP(D196,HELPER!$B:$B,HELPER!$E:$E,""),"")=""),"Missing price",IFERROR(_xlfn.XLOOKUP(D196,HELPER!$B:$B,HELPER!$E:$E,"")," "))</f>
        <v/>
      </c>
      <c r="J196" s="48" t="str">
        <f>IFERROR(H196*(IF(G196=8,I196*HELPER!$G$2,BOM!I196*HELPER!$G$3))," ")</f>
        <v xml:space="preserve"> </v>
      </c>
      <c r="K196" s="6"/>
      <c r="L196" s="14" t="str" cm="1">
        <f t="array" ref="L196">IFERROR(_xlfn.LET(_xlpm.films,Table4[Film],_xlpm.grades,Table4[Grade],_xlpm.pairs,_xlfn._xlws.FILTER(_xlfn.HSTACK(_xlpm.films,_xlpm.grades),(_xlpm.films&lt;&gt;"")*(TRIM(_xlpm.grades)&lt;&gt;"")),_xlpm.uniquePairs,_xlfn.UNIQUE(_xlpm.pairs),_xlpm.sortedPairs,_xlfn._xlws.SORT(_xlpm.uniquePairs,1,1),INDEX(_xlpm.sortedPairs,ROWS($L$2:L196),1)),"")</f>
        <v/>
      </c>
      <c r="M196" s="15" t="str" cm="1">
        <f t="array" ref="M196">IFERROR(_xlfn.LET(_xlpm.films,Table4[Film],_xlpm.grades,Table4[Grade],_xlpm.pairs,_xlfn._xlws.FILTER(_xlfn.HSTACK(_xlpm.films,_xlpm.grades),(_xlpm.films&lt;&gt;"")*(TRIM(_xlpm.grades)&lt;&gt;"")),_xlpm.uniquePairs,_xlfn.UNIQUE(_xlpm.pairs),_xlpm.sortedPairs,_xlfn._xlws.SORT(_xlpm.uniquePairs,1,1),INDEX(_xlpm.sortedPairs,ROWS($M$2:M196),2)),"")</f>
        <v/>
      </c>
      <c r="N196" s="15" t="str" cm="1">
        <f t="array" ref="N196">IF(OR(Table2[[#This Row],[Film]]="",Table2[[#This Row],[Grade]]=""),"",IFERROR(INDEX(Table4[Serial Number],MATCH(1,(Table4[Film]=Table2[[#This Row],[Film]])*(Table4[Grade]=Table2[[#This Row],[Grade]]),0)),""))</f>
        <v/>
      </c>
      <c r="O196" s="52" t="str">
        <f>IF(OR(Table2[[#This Row],[Film]]="",Table2[[#This Row],[Grade]]=""),"",SUMIFS(Table4[Price Calculated(€) Thickness &amp; QTY related],Table4[Film],Table2[[#This Row],[Film]],Table4[Grade],Table2[[#This Row],[Grade]]))</f>
        <v/>
      </c>
      <c r="P196" s="6"/>
      <c r="T196" s="6"/>
    </row>
    <row r="197" spans="1:20">
      <c r="A197" s="29" t="s">
        <v>47</v>
      </c>
      <c r="B197" s="29" t="s">
        <v>6</v>
      </c>
      <c r="C197" s="28"/>
      <c r="D197" s="28" t="str">
        <f>IF(C197="","",IFERROR(_xlfn.XLOOKUP(C197,HELPER!$A$2:$A$81,HELPER!$B$2:$B$81,""),D197))</f>
        <v/>
      </c>
      <c r="E197" s="28" t="str">
        <f>IFERROR(_xlfn.XLOOKUP(D197,HELPER!$B:$B,HELPER!$C:$C,""),"")</f>
        <v/>
      </c>
      <c r="F197" s="27" t="str">
        <f>IFERROR(_xlfn.XLOOKUP(D197,HELPER!$B:$B,HELPER!$D:$D,""),"")</f>
        <v/>
      </c>
      <c r="G197" s="27">
        <v>8</v>
      </c>
      <c r="H197" s="47"/>
      <c r="I197" s="48" t="str">
        <f>IF(AND(H197&lt;&gt;"",IFERROR(_xlfn.XLOOKUP(D197,HELPER!$B:$B,HELPER!$E:$E,""),"")=""),"Missing price",IFERROR(_xlfn.XLOOKUP(D197,HELPER!$B:$B,HELPER!$E:$E,"")," "))</f>
        <v/>
      </c>
      <c r="J197" s="48" t="str">
        <f>IFERROR(H197*(IF(G197=8,I197*HELPER!$G$2,BOM!I197*HELPER!$G$3))," ")</f>
        <v xml:space="preserve"> </v>
      </c>
      <c r="K197" s="6"/>
      <c r="L197" s="14" t="str" cm="1">
        <f t="array" ref="L197">IFERROR(_xlfn.LET(_xlpm.films,Table4[Film],_xlpm.grades,Table4[Grade],_xlpm.pairs,_xlfn._xlws.FILTER(_xlfn.HSTACK(_xlpm.films,_xlpm.grades),(_xlpm.films&lt;&gt;"")*(TRIM(_xlpm.grades)&lt;&gt;"")),_xlpm.uniquePairs,_xlfn.UNIQUE(_xlpm.pairs),_xlpm.sortedPairs,_xlfn._xlws.SORT(_xlpm.uniquePairs,1,1),INDEX(_xlpm.sortedPairs,ROWS($L$2:L197),1)),"")</f>
        <v/>
      </c>
      <c r="M197" s="15" t="str" cm="1">
        <f t="array" ref="M197">IFERROR(_xlfn.LET(_xlpm.films,Table4[Film],_xlpm.grades,Table4[Grade],_xlpm.pairs,_xlfn._xlws.FILTER(_xlfn.HSTACK(_xlpm.films,_xlpm.grades),(_xlpm.films&lt;&gt;"")*(TRIM(_xlpm.grades)&lt;&gt;"")),_xlpm.uniquePairs,_xlfn.UNIQUE(_xlpm.pairs),_xlpm.sortedPairs,_xlfn._xlws.SORT(_xlpm.uniquePairs,1,1),INDEX(_xlpm.sortedPairs,ROWS($M$2:M197),2)),"")</f>
        <v/>
      </c>
      <c r="N197" s="15" t="str" cm="1">
        <f t="array" ref="N197">IF(OR(Table2[[#This Row],[Film]]="",Table2[[#This Row],[Grade]]=""),"",IFERROR(INDEX(Table4[Serial Number],MATCH(1,(Table4[Film]=Table2[[#This Row],[Film]])*(Table4[Grade]=Table2[[#This Row],[Grade]]),0)),""))</f>
        <v/>
      </c>
      <c r="O197" s="52" t="str">
        <f>IF(OR(Table2[[#This Row],[Film]]="",Table2[[#This Row],[Grade]]=""),"",SUMIFS(Table4[Price Calculated(€) Thickness &amp; QTY related],Table4[Film],Table2[[#This Row],[Film]],Table4[Grade],Table2[[#This Row],[Grade]]))</f>
        <v/>
      </c>
      <c r="P197" s="6"/>
      <c r="T197" s="6"/>
    </row>
    <row r="198" spans="1:20">
      <c r="A198" s="29" t="s">
        <v>47</v>
      </c>
      <c r="B198" s="29" t="s">
        <v>6</v>
      </c>
      <c r="C198" s="28"/>
      <c r="D198" s="28" t="str">
        <f>IF(C198="","",IFERROR(_xlfn.XLOOKUP(C198,HELPER!$A$2:$A$81,HELPER!$B$2:$B$81,""),D198))</f>
        <v/>
      </c>
      <c r="E198" s="28" t="str">
        <f>IFERROR(_xlfn.XLOOKUP(D198,HELPER!$B:$B,HELPER!$C:$C,""),"")</f>
        <v/>
      </c>
      <c r="F198" s="27" t="str">
        <f>IFERROR(_xlfn.XLOOKUP(D198,HELPER!$B:$B,HELPER!$D:$D,""),"")</f>
        <v/>
      </c>
      <c r="G198" s="27">
        <v>8</v>
      </c>
      <c r="H198" s="47"/>
      <c r="I198" s="48" t="str">
        <f>IF(AND(H198&lt;&gt;"",IFERROR(_xlfn.XLOOKUP(D198,HELPER!$B:$B,HELPER!$E:$E,""),"")=""),"Missing price",IFERROR(_xlfn.XLOOKUP(D198,HELPER!$B:$B,HELPER!$E:$E,"")," "))</f>
        <v/>
      </c>
      <c r="J198" s="48" t="str">
        <f>IFERROR(H198*(IF(G198=8,I198*HELPER!$G$2,BOM!I198*HELPER!$G$3))," ")</f>
        <v xml:space="preserve"> </v>
      </c>
      <c r="K198" s="6"/>
      <c r="L198" s="14" t="str" cm="1">
        <f t="array" ref="L198">IFERROR(_xlfn.LET(_xlpm.films,Table4[Film],_xlpm.grades,Table4[Grade],_xlpm.pairs,_xlfn._xlws.FILTER(_xlfn.HSTACK(_xlpm.films,_xlpm.grades),(_xlpm.films&lt;&gt;"")*(TRIM(_xlpm.grades)&lt;&gt;"")),_xlpm.uniquePairs,_xlfn.UNIQUE(_xlpm.pairs),_xlpm.sortedPairs,_xlfn._xlws.SORT(_xlpm.uniquePairs,1,1),INDEX(_xlpm.sortedPairs,ROWS($L$2:L198),1)),"")</f>
        <v/>
      </c>
      <c r="M198" s="15" t="str" cm="1">
        <f t="array" ref="M198">IFERROR(_xlfn.LET(_xlpm.films,Table4[Film],_xlpm.grades,Table4[Grade],_xlpm.pairs,_xlfn._xlws.FILTER(_xlfn.HSTACK(_xlpm.films,_xlpm.grades),(_xlpm.films&lt;&gt;"")*(TRIM(_xlpm.grades)&lt;&gt;"")),_xlpm.uniquePairs,_xlfn.UNIQUE(_xlpm.pairs),_xlpm.sortedPairs,_xlfn._xlws.SORT(_xlpm.uniquePairs,1,1),INDEX(_xlpm.sortedPairs,ROWS($M$2:M198),2)),"")</f>
        <v/>
      </c>
      <c r="N198" s="15" t="str" cm="1">
        <f t="array" ref="N198">IF(OR(Table2[[#This Row],[Film]]="",Table2[[#This Row],[Grade]]=""),"",IFERROR(INDEX(Table4[Serial Number],MATCH(1,(Table4[Film]=Table2[[#This Row],[Film]])*(Table4[Grade]=Table2[[#This Row],[Grade]]),0)),""))</f>
        <v/>
      </c>
      <c r="O198" s="52" t="str">
        <f>IF(OR(Table2[[#This Row],[Film]]="",Table2[[#This Row],[Grade]]=""),"",SUMIFS(Table4[Price Calculated(€) Thickness &amp; QTY related],Table4[Film],Table2[[#This Row],[Film]],Table4[Grade],Table2[[#This Row],[Grade]]))</f>
        <v/>
      </c>
      <c r="P198" s="6"/>
      <c r="T198" s="6"/>
    </row>
    <row r="199" spans="1:20">
      <c r="A199" s="29" t="s">
        <v>47</v>
      </c>
      <c r="B199" s="29" t="s">
        <v>6</v>
      </c>
      <c r="C199" s="28"/>
      <c r="D199" s="28" t="str">
        <f>IF(C199="","",IFERROR(_xlfn.XLOOKUP(C199,HELPER!$A$2:$A$81,HELPER!$B$2:$B$81,""),D199))</f>
        <v/>
      </c>
      <c r="E199" s="28" t="str">
        <f>IFERROR(_xlfn.XLOOKUP(D199,HELPER!$B:$B,HELPER!$C:$C,""),"")</f>
        <v/>
      </c>
      <c r="F199" s="27" t="str">
        <f>IFERROR(_xlfn.XLOOKUP(D199,HELPER!$B:$B,HELPER!$D:$D,""),"")</f>
        <v/>
      </c>
      <c r="G199" s="27">
        <v>8</v>
      </c>
      <c r="H199" s="47"/>
      <c r="I199" s="48" t="str">
        <f>IF(AND(H199&lt;&gt;"",IFERROR(_xlfn.XLOOKUP(D199,HELPER!$B:$B,HELPER!$E:$E,""),"")=""),"Missing price",IFERROR(_xlfn.XLOOKUP(D199,HELPER!$B:$B,HELPER!$E:$E,"")," "))</f>
        <v/>
      </c>
      <c r="J199" s="48" t="str">
        <f>IFERROR(H199*(IF(G199=8,I199*HELPER!$G$2,BOM!I199*HELPER!$G$3))," ")</f>
        <v xml:space="preserve"> </v>
      </c>
      <c r="K199" s="6"/>
      <c r="L199" s="14" t="str" cm="1">
        <f t="array" ref="L199">IFERROR(_xlfn.LET(_xlpm.films,Table4[Film],_xlpm.grades,Table4[Grade],_xlpm.pairs,_xlfn._xlws.FILTER(_xlfn.HSTACK(_xlpm.films,_xlpm.grades),(_xlpm.films&lt;&gt;"")*(TRIM(_xlpm.grades)&lt;&gt;"")),_xlpm.uniquePairs,_xlfn.UNIQUE(_xlpm.pairs),_xlpm.sortedPairs,_xlfn._xlws.SORT(_xlpm.uniquePairs,1,1),INDEX(_xlpm.sortedPairs,ROWS($L$2:L199),1)),"")</f>
        <v/>
      </c>
      <c r="M199" s="15" t="str" cm="1">
        <f t="array" ref="M199">IFERROR(_xlfn.LET(_xlpm.films,Table4[Film],_xlpm.grades,Table4[Grade],_xlpm.pairs,_xlfn._xlws.FILTER(_xlfn.HSTACK(_xlpm.films,_xlpm.grades),(_xlpm.films&lt;&gt;"")*(TRIM(_xlpm.grades)&lt;&gt;"")),_xlpm.uniquePairs,_xlfn.UNIQUE(_xlpm.pairs),_xlpm.sortedPairs,_xlfn._xlws.SORT(_xlpm.uniquePairs,1,1),INDEX(_xlpm.sortedPairs,ROWS($M$2:M199),2)),"")</f>
        <v/>
      </c>
      <c r="N199" s="15" t="str" cm="1">
        <f t="array" ref="N199">IF(OR(Table2[[#This Row],[Film]]="",Table2[[#This Row],[Grade]]=""),"",IFERROR(INDEX(Table4[Serial Number],MATCH(1,(Table4[Film]=Table2[[#This Row],[Film]])*(Table4[Grade]=Table2[[#This Row],[Grade]]),0)),""))</f>
        <v/>
      </c>
      <c r="O199" s="52" t="str">
        <f>IF(OR(Table2[[#This Row],[Film]]="",Table2[[#This Row],[Grade]]=""),"",SUMIFS(Table4[Price Calculated(€) Thickness &amp; QTY related],Table4[Film],Table2[[#This Row],[Film]],Table4[Grade],Table2[[#This Row],[Grade]]))</f>
        <v/>
      </c>
      <c r="P199" s="6"/>
      <c r="T199" s="6"/>
    </row>
    <row r="200" spans="1:20">
      <c r="A200" s="29" t="s">
        <v>47</v>
      </c>
      <c r="B200" s="29" t="s">
        <v>6</v>
      </c>
      <c r="C200" s="28"/>
      <c r="D200" s="28" t="str">
        <f>IF(C200="","",IFERROR(_xlfn.XLOOKUP(C200,HELPER!$A$2:$A$81,HELPER!$B$2:$B$81,""),D200))</f>
        <v/>
      </c>
      <c r="E200" s="28" t="str">
        <f>IFERROR(_xlfn.XLOOKUP(D200,HELPER!$B:$B,HELPER!$C:$C,""),"")</f>
        <v/>
      </c>
      <c r="F200" s="27" t="str">
        <f>IFERROR(_xlfn.XLOOKUP(D200,HELPER!$B:$B,HELPER!$D:$D,""),"")</f>
        <v/>
      </c>
      <c r="G200" s="27">
        <v>8</v>
      </c>
      <c r="H200" s="47"/>
      <c r="I200" s="48" t="str">
        <f>IF(AND(H200&lt;&gt;"",IFERROR(_xlfn.XLOOKUP(D200,HELPER!$B:$B,HELPER!$E:$E,""),"")=""),"Missing price",IFERROR(_xlfn.XLOOKUP(D200,HELPER!$B:$B,HELPER!$E:$E,"")," "))</f>
        <v/>
      </c>
      <c r="J200" s="48" t="str">
        <f>IFERROR(H200*(IF(G200=8,I200*HELPER!$G$2,BOM!I200*HELPER!$G$3))," ")</f>
        <v xml:space="preserve"> </v>
      </c>
      <c r="K200" s="6"/>
      <c r="L200" s="14" t="str" cm="1">
        <f t="array" ref="L200">IFERROR(_xlfn.LET(_xlpm.films,Table4[Film],_xlpm.grades,Table4[Grade],_xlpm.pairs,_xlfn._xlws.FILTER(_xlfn.HSTACK(_xlpm.films,_xlpm.grades),(_xlpm.films&lt;&gt;"")*(TRIM(_xlpm.grades)&lt;&gt;"")),_xlpm.uniquePairs,_xlfn.UNIQUE(_xlpm.pairs),_xlpm.sortedPairs,_xlfn._xlws.SORT(_xlpm.uniquePairs,1,1),INDEX(_xlpm.sortedPairs,ROWS($L$2:L200),1)),"")</f>
        <v/>
      </c>
      <c r="M200" s="15" t="str" cm="1">
        <f t="array" ref="M200">IFERROR(_xlfn.LET(_xlpm.films,Table4[Film],_xlpm.grades,Table4[Grade],_xlpm.pairs,_xlfn._xlws.FILTER(_xlfn.HSTACK(_xlpm.films,_xlpm.grades),(_xlpm.films&lt;&gt;"")*(TRIM(_xlpm.grades)&lt;&gt;"")),_xlpm.uniquePairs,_xlfn.UNIQUE(_xlpm.pairs),_xlpm.sortedPairs,_xlfn._xlws.SORT(_xlpm.uniquePairs,1,1),INDEX(_xlpm.sortedPairs,ROWS($M$2:M200),2)),"")</f>
        <v/>
      </c>
      <c r="N200" s="15" t="str" cm="1">
        <f t="array" ref="N200">IF(OR(Table2[[#This Row],[Film]]="",Table2[[#This Row],[Grade]]=""),"",IFERROR(INDEX(Table4[Serial Number],MATCH(1,(Table4[Film]=Table2[[#This Row],[Film]])*(Table4[Grade]=Table2[[#This Row],[Grade]]),0)),""))</f>
        <v/>
      </c>
      <c r="O200" s="52" t="str">
        <f>IF(OR(Table2[[#This Row],[Film]]="",Table2[[#This Row],[Grade]]=""),"",SUMIFS(Table4[Price Calculated(€) Thickness &amp; QTY related],Table4[Film],Table2[[#This Row],[Film]],Table4[Grade],Table2[[#This Row],[Grade]]))</f>
        <v/>
      </c>
      <c r="P200" s="6"/>
      <c r="T200" s="6"/>
    </row>
    <row r="201" spans="1:20">
      <c r="A201" s="29" t="s">
        <v>47</v>
      </c>
      <c r="B201" s="29" t="s">
        <v>6</v>
      </c>
      <c r="C201" s="28"/>
      <c r="D201" s="28" t="str">
        <f>IF(C201="","",IFERROR(_xlfn.XLOOKUP(C201,HELPER!$A$2:$A$81,HELPER!$B$2:$B$81,""),D201))</f>
        <v/>
      </c>
      <c r="E201" s="28" t="str">
        <f>IFERROR(_xlfn.XLOOKUP(D201,HELPER!$B:$B,HELPER!$C:$C,""),"")</f>
        <v/>
      </c>
      <c r="F201" s="27" t="str">
        <f>IFERROR(_xlfn.XLOOKUP(D201,HELPER!$B:$B,HELPER!$D:$D,""),"")</f>
        <v/>
      </c>
      <c r="G201" s="27">
        <v>8</v>
      </c>
      <c r="H201" s="47"/>
      <c r="I201" s="48" t="str">
        <f>IF(AND(H201&lt;&gt;"",IFERROR(_xlfn.XLOOKUP(D201,HELPER!$B:$B,HELPER!$E:$E,""),"")=""),"Missing price",IFERROR(_xlfn.XLOOKUP(D201,HELPER!$B:$B,HELPER!$E:$E,"")," "))</f>
        <v/>
      </c>
      <c r="J201" s="48" t="str">
        <f>IFERROR(H201*(IF(G201=8,I201*HELPER!$G$2,BOM!I201*HELPER!$G$3))," ")</f>
        <v xml:space="preserve"> </v>
      </c>
      <c r="K201" s="6"/>
      <c r="L201" s="14" t="str" cm="1">
        <f t="array" ref="L201">IFERROR(_xlfn.LET(_xlpm.films,Table4[Film],_xlpm.grades,Table4[Grade],_xlpm.pairs,_xlfn._xlws.FILTER(_xlfn.HSTACK(_xlpm.films,_xlpm.grades),(_xlpm.films&lt;&gt;"")*(TRIM(_xlpm.grades)&lt;&gt;"")),_xlpm.uniquePairs,_xlfn.UNIQUE(_xlpm.pairs),_xlpm.sortedPairs,_xlfn._xlws.SORT(_xlpm.uniquePairs,1,1),INDEX(_xlpm.sortedPairs,ROWS($L$2:L201),1)),"")</f>
        <v/>
      </c>
      <c r="M201" s="15" t="str" cm="1">
        <f t="array" ref="M201">IFERROR(_xlfn.LET(_xlpm.films,Table4[Film],_xlpm.grades,Table4[Grade],_xlpm.pairs,_xlfn._xlws.FILTER(_xlfn.HSTACK(_xlpm.films,_xlpm.grades),(_xlpm.films&lt;&gt;"")*(TRIM(_xlpm.grades)&lt;&gt;"")),_xlpm.uniquePairs,_xlfn.UNIQUE(_xlpm.pairs),_xlpm.sortedPairs,_xlfn._xlws.SORT(_xlpm.uniquePairs,1,1),INDEX(_xlpm.sortedPairs,ROWS($M$2:M201),2)),"")</f>
        <v/>
      </c>
      <c r="N201" s="15" t="str" cm="1">
        <f t="array" ref="N201">IF(OR(Table2[[#This Row],[Film]]="",Table2[[#This Row],[Grade]]=""),"",IFERROR(INDEX(Table4[Serial Number],MATCH(1,(Table4[Film]=Table2[[#This Row],[Film]])*(Table4[Grade]=Table2[[#This Row],[Grade]]),0)),""))</f>
        <v/>
      </c>
      <c r="O201" s="52" t="str">
        <f>IF(OR(Table2[[#This Row],[Film]]="",Table2[[#This Row],[Grade]]=""),"",SUMIFS(Table4[Price Calculated(€) Thickness &amp; QTY related],Table4[Film],Table2[[#This Row],[Film]],Table4[Grade],Table2[[#This Row],[Grade]]))</f>
        <v/>
      </c>
      <c r="P201" s="6"/>
      <c r="T201" s="6"/>
    </row>
    <row r="202" spans="1:20">
      <c r="A202" s="29" t="s">
        <v>47</v>
      </c>
      <c r="B202" s="29" t="s">
        <v>7</v>
      </c>
      <c r="C202" s="28" t="s">
        <v>14</v>
      </c>
      <c r="D202" s="28" t="str">
        <f>IF(C202="","",IFERROR(_xlfn.XLOOKUP(C202,HELPER!$A$2:$A$81,HELPER!$B$2:$B$81,""),D202))</f>
        <v>B12</v>
      </c>
      <c r="E202" s="28" t="str">
        <f>IFERROR(_xlfn.XLOOKUP(D202,HELPER!$B:$B,HELPER!$C:$C,""),"")</f>
        <v>RMB12</v>
      </c>
      <c r="F202" s="27" t="str">
        <f>IFERROR(_xlfn.XLOOKUP(D202,HELPER!$B:$B,HELPER!$D:$D,""),"")</f>
        <v>Resin 2A</v>
      </c>
      <c r="G202" s="27">
        <v>8</v>
      </c>
      <c r="H202" s="47">
        <v>0.69</v>
      </c>
      <c r="I202" s="48">
        <f>IF(AND(H202&lt;&gt;"",IFERROR(_xlfn.XLOOKUP(D202,HELPER!$B:$B,HELPER!$E:$E,""),"")=""),"Missing price",IFERROR(_xlfn.XLOOKUP(D202,HELPER!$B:$B,HELPER!$E:$E,"")," "))</f>
        <v>1.81</v>
      </c>
      <c r="J202" s="48">
        <f>IFERROR(H202*(IF(G202=8,I202*HELPER!$G$2,BOM!I202*HELPER!$G$3))," ")</f>
        <v>0.24978</v>
      </c>
      <c r="K202" s="6"/>
      <c r="L202" s="14" t="str" cm="1">
        <f t="array" ref="L202">IFERROR(_xlfn.LET(_xlpm.films,Table4[Film],_xlpm.grades,Table4[Grade],_xlpm.pairs,_xlfn._xlws.FILTER(_xlfn.HSTACK(_xlpm.films,_xlpm.grades),(_xlpm.films&lt;&gt;"")*(TRIM(_xlpm.grades)&lt;&gt;"")),_xlpm.uniquePairs,_xlfn.UNIQUE(_xlpm.pairs),_xlpm.sortedPairs,_xlfn._xlws.SORT(_xlpm.uniquePairs,1,1),INDEX(_xlpm.sortedPairs,ROWS($L$2:L202),1)),"")</f>
        <v/>
      </c>
      <c r="M202" s="15" t="str" cm="1">
        <f t="array" ref="M202">IFERROR(_xlfn.LET(_xlpm.films,Table4[Film],_xlpm.grades,Table4[Grade],_xlpm.pairs,_xlfn._xlws.FILTER(_xlfn.HSTACK(_xlpm.films,_xlpm.grades),(_xlpm.films&lt;&gt;"")*(TRIM(_xlpm.grades)&lt;&gt;"")),_xlpm.uniquePairs,_xlfn.UNIQUE(_xlpm.pairs),_xlpm.sortedPairs,_xlfn._xlws.SORT(_xlpm.uniquePairs,1,1),INDEX(_xlpm.sortedPairs,ROWS($M$2:M202),2)),"")</f>
        <v/>
      </c>
      <c r="N202" s="15" t="str" cm="1">
        <f t="array" ref="N202">IF(OR(Table2[[#This Row],[Film]]="",Table2[[#This Row],[Grade]]=""),"",IFERROR(INDEX(Table4[Serial Number],MATCH(1,(Table4[Film]=Table2[[#This Row],[Film]])*(Table4[Grade]=Table2[[#This Row],[Grade]]),0)),""))</f>
        <v/>
      </c>
      <c r="O202" s="52" t="str">
        <f>IF(OR(Table2[[#This Row],[Film]]="",Table2[[#This Row],[Grade]]=""),"",SUMIFS(Table4[Price Calculated(€) Thickness &amp; QTY related],Table4[Film],Table2[[#This Row],[Film]],Table4[Grade],Table2[[#This Row],[Grade]]))</f>
        <v/>
      </c>
      <c r="P202" s="6"/>
      <c r="T202" s="6"/>
    </row>
    <row r="203" spans="1:20">
      <c r="A203" s="29" t="s">
        <v>47</v>
      </c>
      <c r="B203" s="29" t="s">
        <v>7</v>
      </c>
      <c r="C203" s="28" t="s">
        <v>19</v>
      </c>
      <c r="D203" s="28" t="str">
        <f>IF(C203="","",IFERROR(_xlfn.XLOOKUP(C203,HELPER!$A$2:$A$81,HELPER!$B$2:$B$81,""),D203))</f>
        <v>BVE8049P</v>
      </c>
      <c r="E203" s="28" t="str">
        <f>IFERROR(_xlfn.XLOOKUP(D203,HELPER!$B:$B,HELPER!$C:$C,""),"")</f>
        <v>BVE8049P</v>
      </c>
      <c r="F203" s="27" t="str">
        <f>IFERROR(_xlfn.XLOOKUP(D203,HELPER!$B:$B,HELPER!$D:$D,""),"")</f>
        <v>BVE8049P</v>
      </c>
      <c r="G203" s="27">
        <v>8</v>
      </c>
      <c r="H203" s="47">
        <v>0.28999999999999998</v>
      </c>
      <c r="I203" s="48">
        <f>IF(AND(H203&lt;&gt;"",IFERROR(_xlfn.XLOOKUP(D203,HELPER!$B:$B,HELPER!$E:$E,""),"")=""),"Missing price",IFERROR(_xlfn.XLOOKUP(D203,HELPER!$B:$B,HELPER!$E:$E,"")," "))</f>
        <v>18.5</v>
      </c>
      <c r="J203" s="48">
        <f>IFERROR(H203*(IF(G203=8,I203*HELPER!$G$2,BOM!I203*HELPER!$G$3))," ")</f>
        <v>1.073</v>
      </c>
      <c r="K203" s="6"/>
      <c r="L203" s="14" t="str" cm="1">
        <f t="array" ref="L203">IFERROR(_xlfn.LET(_xlpm.films,Table4[Film],_xlpm.grades,Table4[Grade],_xlpm.pairs,_xlfn._xlws.FILTER(_xlfn.HSTACK(_xlpm.films,_xlpm.grades),(_xlpm.films&lt;&gt;"")*(TRIM(_xlpm.grades)&lt;&gt;"")),_xlpm.uniquePairs,_xlfn.UNIQUE(_xlpm.pairs),_xlpm.sortedPairs,_xlfn._xlws.SORT(_xlpm.uniquePairs,1,1),INDEX(_xlpm.sortedPairs,ROWS($L$2:L203),1)),"")</f>
        <v/>
      </c>
      <c r="M203" s="15" t="str" cm="1">
        <f t="array" ref="M203">IFERROR(_xlfn.LET(_xlpm.films,Table4[Film],_xlpm.grades,Table4[Grade],_xlpm.pairs,_xlfn._xlws.FILTER(_xlfn.HSTACK(_xlpm.films,_xlpm.grades),(_xlpm.films&lt;&gt;"")*(TRIM(_xlpm.grades)&lt;&gt;"")),_xlpm.uniquePairs,_xlfn.UNIQUE(_xlpm.pairs),_xlpm.sortedPairs,_xlfn._xlws.SORT(_xlpm.uniquePairs,1,1),INDEX(_xlpm.sortedPairs,ROWS($M$2:M203),2)),"")</f>
        <v/>
      </c>
      <c r="N203" s="15" t="str" cm="1">
        <f t="array" ref="N203">IF(OR(Table2[[#This Row],[Film]]="",Table2[[#This Row],[Grade]]=""),"",IFERROR(INDEX(Table4[Serial Number],MATCH(1,(Table4[Film]=Table2[[#This Row],[Film]])*(Table4[Grade]=Table2[[#This Row],[Grade]]),0)),""))</f>
        <v/>
      </c>
      <c r="O203" s="52" t="str">
        <f>IF(OR(Table2[[#This Row],[Film]]="",Table2[[#This Row],[Grade]]=""),"",SUMIFS(Table4[Price Calculated(€) Thickness &amp; QTY related],Table4[Film],Table2[[#This Row],[Film]],Table4[Grade],Table2[[#This Row],[Grade]]))</f>
        <v/>
      </c>
      <c r="P203" s="6"/>
      <c r="T203" s="6"/>
    </row>
    <row r="204" spans="1:20">
      <c r="A204" s="29" t="s">
        <v>47</v>
      </c>
      <c r="B204" s="29" t="s">
        <v>7</v>
      </c>
      <c r="C204" s="28" t="s">
        <v>16</v>
      </c>
      <c r="D204" s="28" t="str">
        <f>IF(C204="","",IFERROR(_xlfn.XLOOKUP(C204,HELPER!$A$2:$A$81,HELPER!$B$2:$B$81,""),D204))</f>
        <v>S723</v>
      </c>
      <c r="E204" s="28" t="str">
        <f>IFERROR(_xlfn.XLOOKUP(D204,HELPER!$B:$B,HELPER!$C:$C,""),"")</f>
        <v>RM TA45-08 S723</v>
      </c>
      <c r="F204" s="27" t="str">
        <f>IFERROR(_xlfn.XLOOKUP(D204,HELPER!$B:$B,HELPER!$D:$D,""),"")</f>
        <v>Resin 6</v>
      </c>
      <c r="G204" s="27">
        <v>8</v>
      </c>
      <c r="H204" s="47">
        <v>0.02</v>
      </c>
      <c r="I204" s="48">
        <f>IF(AND(H204&lt;&gt;"",IFERROR(_xlfn.XLOOKUP(D204,HELPER!$B:$B,HELPER!$E:$E,""),"")=""),"Missing price",IFERROR(_xlfn.XLOOKUP(D204,HELPER!$B:$B,HELPER!$E:$E,"")," "))</f>
        <v>16.16</v>
      </c>
      <c r="J204" s="48">
        <f>IFERROR(H204*(IF(G204=8,I204*HELPER!$G$2,BOM!I204*HELPER!$G$3))," ")</f>
        <v>6.4640000000000003E-2</v>
      </c>
      <c r="K204" s="6"/>
      <c r="L204" s="14" t="str" cm="1">
        <f t="array" ref="L204">IFERROR(_xlfn.LET(_xlpm.films,Table4[Film],_xlpm.grades,Table4[Grade],_xlpm.pairs,_xlfn._xlws.FILTER(_xlfn.HSTACK(_xlpm.films,_xlpm.grades),(_xlpm.films&lt;&gt;"")*(TRIM(_xlpm.grades)&lt;&gt;"")),_xlpm.uniquePairs,_xlfn.UNIQUE(_xlpm.pairs),_xlpm.sortedPairs,_xlfn._xlws.SORT(_xlpm.uniquePairs,1,1),INDEX(_xlpm.sortedPairs,ROWS($L$2:L204),1)),"")</f>
        <v/>
      </c>
      <c r="M204" s="15" t="str" cm="1">
        <f t="array" ref="M204">IFERROR(_xlfn.LET(_xlpm.films,Table4[Film],_xlpm.grades,Table4[Grade],_xlpm.pairs,_xlfn._xlws.FILTER(_xlfn.HSTACK(_xlpm.films,_xlpm.grades),(_xlpm.films&lt;&gt;"")*(TRIM(_xlpm.grades)&lt;&gt;"")),_xlpm.uniquePairs,_xlfn.UNIQUE(_xlpm.pairs),_xlpm.sortedPairs,_xlfn._xlws.SORT(_xlpm.uniquePairs,1,1),INDEX(_xlpm.sortedPairs,ROWS($M$2:M204),2)),"")</f>
        <v/>
      </c>
      <c r="N204" s="15" t="str" cm="1">
        <f t="array" ref="N204">IF(OR(Table2[[#This Row],[Film]]="",Table2[[#This Row],[Grade]]=""),"",IFERROR(INDEX(Table4[Serial Number],MATCH(1,(Table4[Film]=Table2[[#This Row],[Film]])*(Table4[Grade]=Table2[[#This Row],[Grade]]),0)),""))</f>
        <v/>
      </c>
      <c r="O204" s="52" t="str">
        <f>IF(OR(Table2[[#This Row],[Film]]="",Table2[[#This Row],[Grade]]=""),"",SUMIFS(Table4[Price Calculated(€) Thickness &amp; QTY related],Table4[Film],Table2[[#This Row],[Film]],Table4[Grade],Table2[[#This Row],[Grade]]))</f>
        <v/>
      </c>
      <c r="P204" s="6"/>
      <c r="T204" s="6"/>
    </row>
    <row r="205" spans="1:20">
      <c r="A205" s="29" t="s">
        <v>47</v>
      </c>
      <c r="B205" s="29" t="s">
        <v>7</v>
      </c>
      <c r="C205" s="28"/>
      <c r="D205" s="28" t="str">
        <f>IF(C205="","",IFERROR(_xlfn.XLOOKUP(C205,HELPER!$A$2:$A$81,HELPER!$B$2:$B$81,""),D205))</f>
        <v/>
      </c>
      <c r="E205" s="28" t="str">
        <f>IFERROR(_xlfn.XLOOKUP(D205,HELPER!$B:$B,HELPER!$C:$C,""),"")</f>
        <v/>
      </c>
      <c r="F205" s="27" t="str">
        <f>IFERROR(_xlfn.XLOOKUP(D205,HELPER!$B:$B,HELPER!$D:$D,""),"")</f>
        <v/>
      </c>
      <c r="G205" s="27">
        <v>8</v>
      </c>
      <c r="H205" s="47"/>
      <c r="I205" s="48" t="str">
        <f>IF(AND(H205&lt;&gt;"",IFERROR(_xlfn.XLOOKUP(D205,HELPER!$B:$B,HELPER!$E:$E,""),"")=""),"Missing price",IFERROR(_xlfn.XLOOKUP(D205,HELPER!$B:$B,HELPER!$E:$E,"")," "))</f>
        <v/>
      </c>
      <c r="J205" s="48" t="str">
        <f>IFERROR(H205*(IF(G205=8,I205*HELPER!$G$2,BOM!I205*HELPER!$G$3))," ")</f>
        <v xml:space="preserve"> </v>
      </c>
      <c r="K205" s="6"/>
      <c r="L205" s="14" t="str" cm="1">
        <f t="array" ref="L205">IFERROR(_xlfn.LET(_xlpm.films,Table4[Film],_xlpm.grades,Table4[Grade],_xlpm.pairs,_xlfn._xlws.FILTER(_xlfn.HSTACK(_xlpm.films,_xlpm.grades),(_xlpm.films&lt;&gt;"")*(TRIM(_xlpm.grades)&lt;&gt;"")),_xlpm.uniquePairs,_xlfn.UNIQUE(_xlpm.pairs),_xlpm.sortedPairs,_xlfn._xlws.SORT(_xlpm.uniquePairs,1,1),INDEX(_xlpm.sortedPairs,ROWS($L$2:L205),1)),"")</f>
        <v/>
      </c>
      <c r="M205" s="15" t="str" cm="1">
        <f t="array" ref="M205">IFERROR(_xlfn.LET(_xlpm.films,Table4[Film],_xlpm.grades,Table4[Grade],_xlpm.pairs,_xlfn._xlws.FILTER(_xlfn.HSTACK(_xlpm.films,_xlpm.grades),(_xlpm.films&lt;&gt;"")*(TRIM(_xlpm.grades)&lt;&gt;"")),_xlpm.uniquePairs,_xlfn.UNIQUE(_xlpm.pairs),_xlpm.sortedPairs,_xlfn._xlws.SORT(_xlpm.uniquePairs,1,1),INDEX(_xlpm.sortedPairs,ROWS($M$2:M205),2)),"")</f>
        <v/>
      </c>
      <c r="N205" s="15" t="str" cm="1">
        <f t="array" ref="N205">IF(OR(Table2[[#This Row],[Film]]="",Table2[[#This Row],[Grade]]=""),"",IFERROR(INDEX(Table4[Serial Number],MATCH(1,(Table4[Film]=Table2[[#This Row],[Film]])*(Table4[Grade]=Table2[[#This Row],[Grade]]),0)),""))</f>
        <v/>
      </c>
      <c r="O205" s="52" t="str">
        <f>IF(OR(Table2[[#This Row],[Film]]="",Table2[[#This Row],[Grade]]=""),"",SUMIFS(Table4[Price Calculated(€) Thickness &amp; QTY related],Table4[Film],Table2[[#This Row],[Film]],Table4[Grade],Table2[[#This Row],[Grade]]))</f>
        <v/>
      </c>
      <c r="P205" s="6"/>
      <c r="T205" s="6"/>
    </row>
    <row r="206" spans="1:20">
      <c r="A206" s="29" t="s">
        <v>47</v>
      </c>
      <c r="B206" s="29" t="s">
        <v>7</v>
      </c>
      <c r="C206" s="28"/>
      <c r="D206" s="28" t="str">
        <f>IF(C206="","",IFERROR(_xlfn.XLOOKUP(C206,HELPER!$A$2:$A$81,HELPER!$B$2:$B$81,""),D206))</f>
        <v/>
      </c>
      <c r="E206" s="28" t="str">
        <f>IFERROR(_xlfn.XLOOKUP(D206,HELPER!$B:$B,HELPER!$C:$C,""),"")</f>
        <v/>
      </c>
      <c r="F206" s="27" t="str">
        <f>IFERROR(_xlfn.XLOOKUP(D206,HELPER!$B:$B,HELPER!$D:$D,""),"")</f>
        <v/>
      </c>
      <c r="G206" s="27">
        <v>8</v>
      </c>
      <c r="H206" s="47"/>
      <c r="I206" s="48" t="str">
        <f>IF(AND(H206&lt;&gt;"",IFERROR(_xlfn.XLOOKUP(D206,HELPER!$B:$B,HELPER!$E:$E,""),"")=""),"Missing price",IFERROR(_xlfn.XLOOKUP(D206,HELPER!$B:$B,HELPER!$E:$E,"")," "))</f>
        <v/>
      </c>
      <c r="J206" s="48" t="str">
        <f>IFERROR(H206*(IF(G206=8,I206*HELPER!$G$2,BOM!I206*HELPER!$G$3))," ")</f>
        <v xml:space="preserve"> </v>
      </c>
      <c r="K206" s="6"/>
      <c r="L206" s="14" t="str" cm="1">
        <f t="array" ref="L206">IFERROR(_xlfn.LET(_xlpm.films,Table4[Film],_xlpm.grades,Table4[Grade],_xlpm.pairs,_xlfn._xlws.FILTER(_xlfn.HSTACK(_xlpm.films,_xlpm.grades),(_xlpm.films&lt;&gt;"")*(TRIM(_xlpm.grades)&lt;&gt;"")),_xlpm.uniquePairs,_xlfn.UNIQUE(_xlpm.pairs),_xlpm.sortedPairs,_xlfn._xlws.SORT(_xlpm.uniquePairs,1,1),INDEX(_xlpm.sortedPairs,ROWS($L$2:L206),1)),"")</f>
        <v/>
      </c>
      <c r="M206" s="15" t="str" cm="1">
        <f t="array" ref="M206">IFERROR(_xlfn.LET(_xlpm.films,Table4[Film],_xlpm.grades,Table4[Grade],_xlpm.pairs,_xlfn._xlws.FILTER(_xlfn.HSTACK(_xlpm.films,_xlpm.grades),(_xlpm.films&lt;&gt;"")*(TRIM(_xlpm.grades)&lt;&gt;"")),_xlpm.uniquePairs,_xlfn.UNIQUE(_xlpm.pairs),_xlpm.sortedPairs,_xlfn._xlws.SORT(_xlpm.uniquePairs,1,1),INDEX(_xlpm.sortedPairs,ROWS($M$2:M206),2)),"")</f>
        <v/>
      </c>
      <c r="N206" s="15" t="str" cm="1">
        <f t="array" ref="N206">IF(OR(Table2[[#This Row],[Film]]="",Table2[[#This Row],[Grade]]=""),"",IFERROR(INDEX(Table4[Serial Number],MATCH(1,(Table4[Film]=Table2[[#This Row],[Film]])*(Table4[Grade]=Table2[[#This Row],[Grade]]),0)),""))</f>
        <v/>
      </c>
      <c r="O206" s="52" t="str">
        <f>IF(OR(Table2[[#This Row],[Film]]="",Table2[[#This Row],[Grade]]=""),"",SUMIFS(Table4[Price Calculated(€) Thickness &amp; QTY related],Table4[Film],Table2[[#This Row],[Film]],Table4[Grade],Table2[[#This Row],[Grade]]))</f>
        <v/>
      </c>
      <c r="P206" s="6"/>
      <c r="T206" s="6"/>
    </row>
    <row r="207" spans="1:20">
      <c r="A207" s="29" t="s">
        <v>47</v>
      </c>
      <c r="B207" s="29" t="s">
        <v>7</v>
      </c>
      <c r="C207" s="28"/>
      <c r="D207" s="28" t="str">
        <f>IF(C207="","",IFERROR(_xlfn.XLOOKUP(C207,HELPER!$A$2:$A$81,HELPER!$B$2:$B$81,""),D207))</f>
        <v/>
      </c>
      <c r="E207" s="28" t="str">
        <f>IFERROR(_xlfn.XLOOKUP(D207,HELPER!$B:$B,HELPER!$C:$C,""),"")</f>
        <v/>
      </c>
      <c r="F207" s="27" t="str">
        <f>IFERROR(_xlfn.XLOOKUP(D207,HELPER!$B:$B,HELPER!$D:$D,""),"")</f>
        <v/>
      </c>
      <c r="G207" s="27">
        <v>8</v>
      </c>
      <c r="H207" s="47"/>
      <c r="I207" s="48" t="str">
        <f>IF(AND(H207&lt;&gt;"",IFERROR(_xlfn.XLOOKUP(D207,HELPER!$B:$B,HELPER!$E:$E,""),"")=""),"Missing price",IFERROR(_xlfn.XLOOKUP(D207,HELPER!$B:$B,HELPER!$E:$E,"")," "))</f>
        <v/>
      </c>
      <c r="J207" s="48" t="str">
        <f>IFERROR(H207*(IF(G207=8,I207*HELPER!$G$2,BOM!I207*HELPER!$G$3))," ")</f>
        <v xml:space="preserve"> </v>
      </c>
      <c r="K207" s="6"/>
      <c r="L207" s="14" t="str" cm="1">
        <f t="array" ref="L207">IFERROR(_xlfn.LET(_xlpm.films,Table4[Film],_xlpm.grades,Table4[Grade],_xlpm.pairs,_xlfn._xlws.FILTER(_xlfn.HSTACK(_xlpm.films,_xlpm.grades),(_xlpm.films&lt;&gt;"")*(TRIM(_xlpm.grades)&lt;&gt;"")),_xlpm.uniquePairs,_xlfn.UNIQUE(_xlpm.pairs),_xlpm.sortedPairs,_xlfn._xlws.SORT(_xlpm.uniquePairs,1,1),INDEX(_xlpm.sortedPairs,ROWS($L$2:L207),1)),"")</f>
        <v/>
      </c>
      <c r="M207" s="15" t="str" cm="1">
        <f t="array" ref="M207">IFERROR(_xlfn.LET(_xlpm.films,Table4[Film],_xlpm.grades,Table4[Grade],_xlpm.pairs,_xlfn._xlws.FILTER(_xlfn.HSTACK(_xlpm.films,_xlpm.grades),(_xlpm.films&lt;&gt;"")*(TRIM(_xlpm.grades)&lt;&gt;"")),_xlpm.uniquePairs,_xlfn.UNIQUE(_xlpm.pairs),_xlpm.sortedPairs,_xlfn._xlws.SORT(_xlpm.uniquePairs,1,1),INDEX(_xlpm.sortedPairs,ROWS($M$2:M207),2)),"")</f>
        <v/>
      </c>
      <c r="N207" s="15" t="str" cm="1">
        <f t="array" ref="N207">IF(OR(Table2[[#This Row],[Film]]="",Table2[[#This Row],[Grade]]=""),"",IFERROR(INDEX(Table4[Serial Number],MATCH(1,(Table4[Film]=Table2[[#This Row],[Film]])*(Table4[Grade]=Table2[[#This Row],[Grade]]),0)),""))</f>
        <v/>
      </c>
      <c r="O207" s="52" t="str">
        <f>IF(OR(Table2[[#This Row],[Film]]="",Table2[[#This Row],[Grade]]=""),"",SUMIFS(Table4[Price Calculated(€) Thickness &amp; QTY related],Table4[Film],Table2[[#This Row],[Film]],Table4[Grade],Table2[[#This Row],[Grade]]))</f>
        <v/>
      </c>
      <c r="P207" s="6"/>
      <c r="T207" s="6"/>
    </row>
    <row r="208" spans="1:20">
      <c r="A208" s="29" t="s">
        <v>47</v>
      </c>
      <c r="B208" s="29" t="s">
        <v>7</v>
      </c>
      <c r="C208" s="28"/>
      <c r="D208" s="28" t="str">
        <f>IF(C208="","",IFERROR(_xlfn.XLOOKUP(C208,HELPER!$A$2:$A$81,HELPER!$B$2:$B$81,""),D208))</f>
        <v/>
      </c>
      <c r="E208" s="28" t="str">
        <f>IFERROR(_xlfn.XLOOKUP(D208,HELPER!$B:$B,HELPER!$C:$C,""),"")</f>
        <v/>
      </c>
      <c r="F208" s="27" t="str">
        <f>IFERROR(_xlfn.XLOOKUP(D208,HELPER!$B:$B,HELPER!$D:$D,""),"")</f>
        <v/>
      </c>
      <c r="G208" s="27">
        <v>8</v>
      </c>
      <c r="H208" s="47"/>
      <c r="I208" s="48" t="str">
        <f>IF(AND(H208&lt;&gt;"",IFERROR(_xlfn.XLOOKUP(D208,HELPER!$B:$B,HELPER!$E:$E,""),"")=""),"Missing price",IFERROR(_xlfn.XLOOKUP(D208,HELPER!$B:$B,HELPER!$E:$E,"")," "))</f>
        <v/>
      </c>
      <c r="J208" s="48" t="str">
        <f>IFERROR(H208*(IF(G208=8,I208*HELPER!$G$2,BOM!I208*HELPER!$G$3))," ")</f>
        <v xml:space="preserve"> </v>
      </c>
      <c r="K208" s="6"/>
      <c r="L208" s="14" t="str" cm="1">
        <f t="array" ref="L208">IFERROR(_xlfn.LET(_xlpm.films,Table4[Film],_xlpm.grades,Table4[Grade],_xlpm.pairs,_xlfn._xlws.FILTER(_xlfn.HSTACK(_xlpm.films,_xlpm.grades),(_xlpm.films&lt;&gt;"")*(TRIM(_xlpm.grades)&lt;&gt;"")),_xlpm.uniquePairs,_xlfn.UNIQUE(_xlpm.pairs),_xlpm.sortedPairs,_xlfn._xlws.SORT(_xlpm.uniquePairs,1,1),INDEX(_xlpm.sortedPairs,ROWS($L$2:L208),1)),"")</f>
        <v/>
      </c>
      <c r="M208" s="15" t="str" cm="1">
        <f t="array" ref="M208">IFERROR(_xlfn.LET(_xlpm.films,Table4[Film],_xlpm.grades,Table4[Grade],_xlpm.pairs,_xlfn._xlws.FILTER(_xlfn.HSTACK(_xlpm.films,_xlpm.grades),(_xlpm.films&lt;&gt;"")*(TRIM(_xlpm.grades)&lt;&gt;"")),_xlpm.uniquePairs,_xlfn.UNIQUE(_xlpm.pairs),_xlpm.sortedPairs,_xlfn._xlws.SORT(_xlpm.uniquePairs,1,1),INDEX(_xlpm.sortedPairs,ROWS($M$2:M208),2)),"")</f>
        <v/>
      </c>
      <c r="N208" s="15" t="str" cm="1">
        <f t="array" ref="N208">IF(OR(Table2[[#This Row],[Film]]="",Table2[[#This Row],[Grade]]=""),"",IFERROR(INDEX(Table4[Serial Number],MATCH(1,(Table4[Film]=Table2[[#This Row],[Film]])*(Table4[Grade]=Table2[[#This Row],[Grade]]),0)),""))</f>
        <v/>
      </c>
      <c r="O208" s="52" t="str">
        <f>IF(OR(Table2[[#This Row],[Film]]="",Table2[[#This Row],[Grade]]=""),"",SUMIFS(Table4[Price Calculated(€) Thickness &amp; QTY related],Table4[Film],Table2[[#This Row],[Film]],Table4[Grade],Table2[[#This Row],[Grade]]))</f>
        <v/>
      </c>
      <c r="P208" s="6"/>
      <c r="T208" s="6"/>
    </row>
    <row r="209" spans="1:20">
      <c r="A209" s="29" t="s">
        <v>47</v>
      </c>
      <c r="B209" s="29" t="s">
        <v>7</v>
      </c>
      <c r="C209" s="28"/>
      <c r="D209" s="28" t="str">
        <f>IF(C209="","",IFERROR(_xlfn.XLOOKUP(C209,HELPER!$A$2:$A$81,HELPER!$B$2:$B$81,""),D209))</f>
        <v/>
      </c>
      <c r="E209" s="28" t="str">
        <f>IFERROR(_xlfn.XLOOKUP(D209,HELPER!$B:$B,HELPER!$C:$C,""),"")</f>
        <v/>
      </c>
      <c r="F209" s="27" t="str">
        <f>IFERROR(_xlfn.XLOOKUP(D209,HELPER!$B:$B,HELPER!$D:$D,""),"")</f>
        <v/>
      </c>
      <c r="G209" s="27">
        <v>8</v>
      </c>
      <c r="H209" s="47"/>
      <c r="I209" s="48" t="str">
        <f>IF(AND(H209&lt;&gt;"",IFERROR(_xlfn.XLOOKUP(D209,HELPER!$B:$B,HELPER!$E:$E,""),"")=""),"Missing price",IFERROR(_xlfn.XLOOKUP(D209,HELPER!$B:$B,HELPER!$E:$E,"")," "))</f>
        <v/>
      </c>
      <c r="J209" s="48" t="str">
        <f>IFERROR(H209*(IF(G209=8,I209*HELPER!$G$2,BOM!I209*HELPER!$G$3))," ")</f>
        <v xml:space="preserve"> </v>
      </c>
      <c r="K209" s="6"/>
      <c r="L209" s="14" t="str" cm="1">
        <f t="array" ref="L209">IFERROR(_xlfn.LET(_xlpm.films,Table4[Film],_xlpm.grades,Table4[Grade],_xlpm.pairs,_xlfn._xlws.FILTER(_xlfn.HSTACK(_xlpm.films,_xlpm.grades),(_xlpm.films&lt;&gt;"")*(TRIM(_xlpm.grades)&lt;&gt;"")),_xlpm.uniquePairs,_xlfn.UNIQUE(_xlpm.pairs),_xlpm.sortedPairs,_xlfn._xlws.SORT(_xlpm.uniquePairs,1,1),INDEX(_xlpm.sortedPairs,ROWS($L$2:L209),1)),"")</f>
        <v/>
      </c>
      <c r="M209" s="15" t="str" cm="1">
        <f t="array" ref="M209">IFERROR(_xlfn.LET(_xlpm.films,Table4[Film],_xlpm.grades,Table4[Grade],_xlpm.pairs,_xlfn._xlws.FILTER(_xlfn.HSTACK(_xlpm.films,_xlpm.grades),(_xlpm.films&lt;&gt;"")*(TRIM(_xlpm.grades)&lt;&gt;"")),_xlpm.uniquePairs,_xlfn.UNIQUE(_xlpm.pairs),_xlpm.sortedPairs,_xlfn._xlws.SORT(_xlpm.uniquePairs,1,1),INDEX(_xlpm.sortedPairs,ROWS($M$2:M209),2)),"")</f>
        <v/>
      </c>
      <c r="N209" s="15" t="str" cm="1">
        <f t="array" ref="N209">IF(OR(Table2[[#This Row],[Film]]="",Table2[[#This Row],[Grade]]=""),"",IFERROR(INDEX(Table4[Serial Number],MATCH(1,(Table4[Film]=Table2[[#This Row],[Film]])*(Table4[Grade]=Table2[[#This Row],[Grade]]),0)),""))</f>
        <v/>
      </c>
      <c r="O209" s="52" t="str">
        <f>IF(OR(Table2[[#This Row],[Film]]="",Table2[[#This Row],[Grade]]=""),"",SUMIFS(Table4[Price Calculated(€) Thickness &amp; QTY related],Table4[Film],Table2[[#This Row],[Film]],Table4[Grade],Table2[[#This Row],[Grade]]))</f>
        <v/>
      </c>
      <c r="P209" s="6"/>
      <c r="T209" s="6"/>
    </row>
    <row r="210" spans="1:20">
      <c r="A210" s="29" t="s">
        <v>47</v>
      </c>
      <c r="B210" s="29" t="s">
        <v>7</v>
      </c>
      <c r="C210" s="28"/>
      <c r="D210" s="28" t="str">
        <f>IF(C210="","",IFERROR(_xlfn.XLOOKUP(C210,HELPER!$A$2:$A$81,HELPER!$B$2:$B$81,""),D210))</f>
        <v/>
      </c>
      <c r="E210" s="28" t="str">
        <f>IFERROR(_xlfn.XLOOKUP(D210,HELPER!$B:$B,HELPER!$C:$C,""),"")</f>
        <v/>
      </c>
      <c r="F210" s="27" t="str">
        <f>IFERROR(_xlfn.XLOOKUP(D210,HELPER!$B:$B,HELPER!$D:$D,""),"")</f>
        <v/>
      </c>
      <c r="G210" s="27">
        <v>8</v>
      </c>
      <c r="H210" s="47"/>
      <c r="I210" s="48" t="str">
        <f>IF(AND(H210&lt;&gt;"",IFERROR(_xlfn.XLOOKUP(D210,HELPER!$B:$B,HELPER!$E:$E,""),"")=""),"Missing price",IFERROR(_xlfn.XLOOKUP(D210,HELPER!$B:$B,HELPER!$E:$E,"")," "))</f>
        <v/>
      </c>
      <c r="J210" s="48" t="str">
        <f>IFERROR(H210*(IF(G210=8,I210*HELPER!$G$2,BOM!I210*HELPER!$G$3))," ")</f>
        <v xml:space="preserve"> </v>
      </c>
      <c r="K210" s="6"/>
      <c r="L210" s="14" t="str" cm="1">
        <f t="array" ref="L210">IFERROR(_xlfn.LET(_xlpm.films,Table4[Film],_xlpm.grades,Table4[Grade],_xlpm.pairs,_xlfn._xlws.FILTER(_xlfn.HSTACK(_xlpm.films,_xlpm.grades),(_xlpm.films&lt;&gt;"")*(TRIM(_xlpm.grades)&lt;&gt;"")),_xlpm.uniquePairs,_xlfn.UNIQUE(_xlpm.pairs),_xlpm.sortedPairs,_xlfn._xlws.SORT(_xlpm.uniquePairs,1,1),INDEX(_xlpm.sortedPairs,ROWS($L$2:L210),1)),"")</f>
        <v/>
      </c>
      <c r="M210" s="15" t="str" cm="1">
        <f t="array" ref="M210">IFERROR(_xlfn.LET(_xlpm.films,Table4[Film],_xlpm.grades,Table4[Grade],_xlpm.pairs,_xlfn._xlws.FILTER(_xlfn.HSTACK(_xlpm.films,_xlpm.grades),(_xlpm.films&lt;&gt;"")*(TRIM(_xlpm.grades)&lt;&gt;"")),_xlpm.uniquePairs,_xlfn.UNIQUE(_xlpm.pairs),_xlpm.sortedPairs,_xlfn._xlws.SORT(_xlpm.uniquePairs,1,1),INDEX(_xlpm.sortedPairs,ROWS($M$2:M210),2)),"")</f>
        <v/>
      </c>
      <c r="N210" s="15" t="str" cm="1">
        <f t="array" ref="N210">IF(OR(Table2[[#This Row],[Film]]="",Table2[[#This Row],[Grade]]=""),"",IFERROR(INDEX(Table4[Serial Number],MATCH(1,(Table4[Film]=Table2[[#This Row],[Film]])*(Table4[Grade]=Table2[[#This Row],[Grade]]),0)),""))</f>
        <v/>
      </c>
      <c r="O210" s="52" t="str">
        <f>IF(OR(Table2[[#This Row],[Film]]="",Table2[[#This Row],[Grade]]=""),"",SUMIFS(Table4[Price Calculated(€) Thickness &amp; QTY related],Table4[Film],Table2[[#This Row],[Film]],Table4[Grade],Table2[[#This Row],[Grade]]))</f>
        <v/>
      </c>
      <c r="P210" s="6"/>
      <c r="T210" s="6"/>
    </row>
    <row r="211" spans="1:20">
      <c r="A211" s="29" t="s">
        <v>47</v>
      </c>
      <c r="B211" s="29" t="s">
        <v>7</v>
      </c>
      <c r="C211" s="28"/>
      <c r="D211" s="28" t="str">
        <f>IF(C211="","",IFERROR(_xlfn.XLOOKUP(C211,HELPER!$A$2:$A$81,HELPER!$B$2:$B$81,""),D211))</f>
        <v/>
      </c>
      <c r="E211" s="28" t="str">
        <f>IFERROR(_xlfn.XLOOKUP(D211,HELPER!$B:$B,HELPER!$C:$C,""),"")</f>
        <v/>
      </c>
      <c r="F211" s="27" t="str">
        <f>IFERROR(_xlfn.XLOOKUP(D211,HELPER!$B:$B,HELPER!$D:$D,""),"")</f>
        <v/>
      </c>
      <c r="G211" s="27">
        <v>8</v>
      </c>
      <c r="H211" s="47"/>
      <c r="I211" s="48" t="str">
        <f>IF(AND(H211&lt;&gt;"",IFERROR(_xlfn.XLOOKUP(D211,HELPER!$B:$B,HELPER!$E:$E,""),"")=""),"Missing price",IFERROR(_xlfn.XLOOKUP(D211,HELPER!$B:$B,HELPER!$E:$E,"")," "))</f>
        <v/>
      </c>
      <c r="J211" s="48" t="str">
        <f>IFERROR(H211*(IF(G211=8,I211*HELPER!$G$2,BOM!I211*HELPER!$G$3))," ")</f>
        <v xml:space="preserve"> </v>
      </c>
      <c r="K211" s="6"/>
      <c r="L211" s="14" t="str" cm="1">
        <f t="array" ref="L211">IFERROR(_xlfn.LET(_xlpm.films,Table4[Film],_xlpm.grades,Table4[Grade],_xlpm.pairs,_xlfn._xlws.FILTER(_xlfn.HSTACK(_xlpm.films,_xlpm.grades),(_xlpm.films&lt;&gt;"")*(TRIM(_xlpm.grades)&lt;&gt;"")),_xlpm.uniquePairs,_xlfn.UNIQUE(_xlpm.pairs),_xlpm.sortedPairs,_xlfn._xlws.SORT(_xlpm.uniquePairs,1,1),INDEX(_xlpm.sortedPairs,ROWS($L$2:L211),1)),"")</f>
        <v/>
      </c>
      <c r="M211" s="15" t="str" cm="1">
        <f t="array" ref="M211">IFERROR(_xlfn.LET(_xlpm.films,Table4[Film],_xlpm.grades,Table4[Grade],_xlpm.pairs,_xlfn._xlws.FILTER(_xlfn.HSTACK(_xlpm.films,_xlpm.grades),(_xlpm.films&lt;&gt;"")*(TRIM(_xlpm.grades)&lt;&gt;"")),_xlpm.uniquePairs,_xlfn.UNIQUE(_xlpm.pairs),_xlpm.sortedPairs,_xlfn._xlws.SORT(_xlpm.uniquePairs,1,1),INDEX(_xlpm.sortedPairs,ROWS($M$2:M211),2)),"")</f>
        <v/>
      </c>
      <c r="N211" s="15" t="str" cm="1">
        <f t="array" ref="N211">IF(OR(Table2[[#This Row],[Film]]="",Table2[[#This Row],[Grade]]=""),"",IFERROR(INDEX(Table4[Serial Number],MATCH(1,(Table4[Film]=Table2[[#This Row],[Film]])*(Table4[Grade]=Table2[[#This Row],[Grade]]),0)),""))</f>
        <v/>
      </c>
      <c r="O211" s="52" t="str">
        <f>IF(OR(Table2[[#This Row],[Film]]="",Table2[[#This Row],[Grade]]=""),"",SUMIFS(Table4[Price Calculated(€) Thickness &amp; QTY related],Table4[Film],Table2[[#This Row],[Film]],Table4[Grade],Table2[[#This Row],[Grade]]))</f>
        <v/>
      </c>
      <c r="P211" s="6"/>
      <c r="T211" s="6"/>
    </row>
    <row r="212" spans="1:20">
      <c r="A212" s="29" t="s">
        <v>48</v>
      </c>
      <c r="B212" s="29" t="s">
        <v>5</v>
      </c>
      <c r="C212" s="28" t="s">
        <v>13</v>
      </c>
      <c r="D212" s="28" t="str">
        <f>IF(C212="","",IFERROR(_xlfn.XLOOKUP(C212,HELPER!$A$2:$A$81,HELPER!$B$2:$B$81,""),D212))</f>
        <v>LX175</v>
      </c>
      <c r="E212" s="28" t="str">
        <f>IFERROR(_xlfn.XLOOKUP(D212,HELPER!$B:$B,HELPER!$C:$C,""),"")</f>
        <v>RMLX175</v>
      </c>
      <c r="F212" s="27" t="str">
        <f>IFERROR(_xlfn.XLOOKUP(D212,HELPER!$B:$B,HELPER!$D:$D,""),"")</f>
        <v>Resin 1A</v>
      </c>
      <c r="G212" s="27">
        <v>24</v>
      </c>
      <c r="H212" s="47">
        <v>0.79</v>
      </c>
      <c r="I212" s="48">
        <f>IF(AND(H212&lt;&gt;"",IFERROR(_xlfn.XLOOKUP(D212,HELPER!$B:$B,HELPER!$E:$E,""),"")=""),"Missing price",IFERROR(_xlfn.XLOOKUP(D212,HELPER!$B:$B,HELPER!$E:$E,"")," "))</f>
        <v>3.17</v>
      </c>
      <c r="J212" s="48">
        <f>IFERROR(H212*(IF(G212=8,I212*HELPER!$G$2,BOM!I212*HELPER!$G$3))," ")</f>
        <v>1.50258</v>
      </c>
      <c r="K212" s="6"/>
      <c r="L212" s="14" t="str" cm="1">
        <f t="array" ref="L212">IFERROR(_xlfn.LET(_xlpm.films,Table4[Film],_xlpm.grades,Table4[Grade],_xlpm.pairs,_xlfn._xlws.FILTER(_xlfn.HSTACK(_xlpm.films,_xlpm.grades),(_xlpm.films&lt;&gt;"")*(TRIM(_xlpm.grades)&lt;&gt;"")),_xlpm.uniquePairs,_xlfn.UNIQUE(_xlpm.pairs),_xlpm.sortedPairs,_xlfn._xlws.SORT(_xlpm.uniquePairs,1,1),INDEX(_xlpm.sortedPairs,ROWS($L$2:L212),1)),"")</f>
        <v/>
      </c>
      <c r="M212" s="15" t="str" cm="1">
        <f t="array" ref="M212">IFERROR(_xlfn.LET(_xlpm.films,Table4[Film],_xlpm.grades,Table4[Grade],_xlpm.pairs,_xlfn._xlws.FILTER(_xlfn.HSTACK(_xlpm.films,_xlpm.grades),(_xlpm.films&lt;&gt;"")*(TRIM(_xlpm.grades)&lt;&gt;"")),_xlpm.uniquePairs,_xlfn.UNIQUE(_xlpm.pairs),_xlpm.sortedPairs,_xlfn._xlws.SORT(_xlpm.uniquePairs,1,1),INDEX(_xlpm.sortedPairs,ROWS($M$2:M212),2)),"")</f>
        <v/>
      </c>
      <c r="N212" s="15" t="str" cm="1">
        <f t="array" ref="N212">IF(OR(Table2[[#This Row],[Film]]="",Table2[[#This Row],[Grade]]=""),"",IFERROR(INDEX(Table4[Serial Number],MATCH(1,(Table4[Film]=Table2[[#This Row],[Film]])*(Table4[Grade]=Table2[[#This Row],[Grade]]),0)),""))</f>
        <v/>
      </c>
      <c r="O212" s="52" t="str">
        <f>IF(OR(Table2[[#This Row],[Film]]="",Table2[[#This Row],[Grade]]=""),"",SUMIFS(Table4[Price Calculated(€) Thickness &amp; QTY related],Table4[Film],Table2[[#This Row],[Film]],Table4[Grade],Table2[[#This Row],[Grade]]))</f>
        <v/>
      </c>
      <c r="P212" s="6"/>
      <c r="T212" s="6"/>
    </row>
    <row r="213" spans="1:20">
      <c r="A213" s="29" t="s">
        <v>48</v>
      </c>
      <c r="B213" s="29" t="s">
        <v>5</v>
      </c>
      <c r="C213" s="28" t="s">
        <v>15</v>
      </c>
      <c r="D213" s="28" t="str">
        <f>IF(C213="","",IFERROR(_xlfn.XLOOKUP(C213,HELPER!$A$2:$A$81,HELPER!$B$2:$B$81,""),D213))</f>
        <v>P65D</v>
      </c>
      <c r="E213" s="28" t="str">
        <f>IFERROR(_xlfn.XLOOKUP(D213,HELPER!$B:$B,HELPER!$C:$C,""),"")</f>
        <v>RMP65D</v>
      </c>
      <c r="F213" s="27" t="str">
        <f>IFERROR(_xlfn.XLOOKUP(D213,HELPER!$B:$B,HELPER!$D:$D,""),"")</f>
        <v>Resin 4A</v>
      </c>
      <c r="G213" s="27">
        <v>24</v>
      </c>
      <c r="H213" s="47">
        <v>0.19</v>
      </c>
      <c r="I213" s="48">
        <f>IF(AND(H213&lt;&gt;"",IFERROR(_xlfn.XLOOKUP(D213,HELPER!$B:$B,HELPER!$E:$E,""),"")=""),"Missing price",IFERROR(_xlfn.XLOOKUP(D213,HELPER!$B:$B,HELPER!$E:$E,"")," "))</f>
        <v>7.3</v>
      </c>
      <c r="J213" s="48">
        <f>IFERROR(H213*(IF(G213=8,I213*HELPER!$G$2,BOM!I213*HELPER!$G$3))," ")</f>
        <v>0.83219999999999994</v>
      </c>
      <c r="K213" s="6"/>
      <c r="L213" s="14" t="str" cm="1">
        <f t="array" ref="L213">IFERROR(_xlfn.LET(_xlpm.films,Table4[Film],_xlpm.grades,Table4[Grade],_xlpm.pairs,_xlfn._xlws.FILTER(_xlfn.HSTACK(_xlpm.films,_xlpm.grades),(_xlpm.films&lt;&gt;"")*(TRIM(_xlpm.grades)&lt;&gt;"")),_xlpm.uniquePairs,_xlfn.UNIQUE(_xlpm.pairs),_xlpm.sortedPairs,_xlfn._xlws.SORT(_xlpm.uniquePairs,1,1),INDEX(_xlpm.sortedPairs,ROWS($L$2:L213),1)),"")</f>
        <v/>
      </c>
      <c r="M213" s="15" t="str" cm="1">
        <f t="array" ref="M213">IFERROR(_xlfn.LET(_xlpm.films,Table4[Film],_xlpm.grades,Table4[Grade],_xlpm.pairs,_xlfn._xlws.FILTER(_xlfn.HSTACK(_xlpm.films,_xlpm.grades),(_xlpm.films&lt;&gt;"")*(TRIM(_xlpm.grades)&lt;&gt;"")),_xlpm.uniquePairs,_xlfn.UNIQUE(_xlpm.pairs),_xlpm.sortedPairs,_xlfn._xlws.SORT(_xlpm.uniquePairs,1,1),INDEX(_xlpm.sortedPairs,ROWS($M$2:M213),2)),"")</f>
        <v/>
      </c>
      <c r="N213" s="15" t="str" cm="1">
        <f t="array" ref="N213">IF(OR(Table2[[#This Row],[Film]]="",Table2[[#This Row],[Grade]]=""),"",IFERROR(INDEX(Table4[Serial Number],MATCH(1,(Table4[Film]=Table2[[#This Row],[Film]])*(Table4[Grade]=Table2[[#This Row],[Grade]]),0)),""))</f>
        <v/>
      </c>
      <c r="O213" s="52" t="str">
        <f>IF(OR(Table2[[#This Row],[Film]]="",Table2[[#This Row],[Grade]]=""),"",SUMIFS(Table4[Price Calculated(€) Thickness &amp; QTY related],Table4[Film],Table2[[#This Row],[Film]],Table4[Grade],Table2[[#This Row],[Grade]]))</f>
        <v/>
      </c>
      <c r="P213" s="6"/>
      <c r="T213" s="6"/>
    </row>
    <row r="214" spans="1:20">
      <c r="A214" s="29" t="s">
        <v>48</v>
      </c>
      <c r="B214" s="29" t="s">
        <v>5</v>
      </c>
      <c r="C214" s="28" t="s">
        <v>16</v>
      </c>
      <c r="D214" s="28" t="str">
        <f>IF(C214="","",IFERROR(_xlfn.XLOOKUP(C214,HELPER!$A$2:$A$81,HELPER!$B$2:$B$81,""),D214))</f>
        <v>S723</v>
      </c>
      <c r="E214" s="28" t="str">
        <f>IFERROR(_xlfn.XLOOKUP(D214,HELPER!$B:$B,HELPER!$C:$C,""),"")</f>
        <v>RM TA45-08 S723</v>
      </c>
      <c r="F214" s="27" t="str">
        <f>IFERROR(_xlfn.XLOOKUP(D214,HELPER!$B:$B,HELPER!$D:$D,""),"")</f>
        <v>Resin 6</v>
      </c>
      <c r="G214" s="27">
        <v>24</v>
      </c>
      <c r="H214" s="47">
        <v>0.02</v>
      </c>
      <c r="I214" s="48">
        <f>IF(AND(H214&lt;&gt;"",IFERROR(_xlfn.XLOOKUP(D214,HELPER!$B:$B,HELPER!$E:$E,""),"")=""),"Missing price",IFERROR(_xlfn.XLOOKUP(D214,HELPER!$B:$B,HELPER!$E:$E,"")," "))</f>
        <v>16.16</v>
      </c>
      <c r="J214" s="48">
        <f>IFERROR(H214*(IF(G214=8,I214*HELPER!$G$2,BOM!I214*HELPER!$G$3))," ")</f>
        <v>0.19392000000000001</v>
      </c>
      <c r="K214" s="6"/>
      <c r="L214" s="14" t="str" cm="1">
        <f t="array" ref="L214">IFERROR(_xlfn.LET(_xlpm.films,Table4[Film],_xlpm.grades,Table4[Grade],_xlpm.pairs,_xlfn._xlws.FILTER(_xlfn.HSTACK(_xlpm.films,_xlpm.grades),(_xlpm.films&lt;&gt;"")*(TRIM(_xlpm.grades)&lt;&gt;"")),_xlpm.uniquePairs,_xlfn.UNIQUE(_xlpm.pairs),_xlpm.sortedPairs,_xlfn._xlws.SORT(_xlpm.uniquePairs,1,1),INDEX(_xlpm.sortedPairs,ROWS($L$2:L214),1)),"")</f>
        <v/>
      </c>
      <c r="M214" s="15" t="str" cm="1">
        <f t="array" ref="M214">IFERROR(_xlfn.LET(_xlpm.films,Table4[Film],_xlpm.grades,Table4[Grade],_xlpm.pairs,_xlfn._xlws.FILTER(_xlfn.HSTACK(_xlpm.films,_xlpm.grades),(_xlpm.films&lt;&gt;"")*(TRIM(_xlpm.grades)&lt;&gt;"")),_xlpm.uniquePairs,_xlfn.UNIQUE(_xlpm.pairs),_xlpm.sortedPairs,_xlfn._xlws.SORT(_xlpm.uniquePairs,1,1),INDEX(_xlpm.sortedPairs,ROWS($M$2:M214),2)),"")</f>
        <v/>
      </c>
      <c r="N214" s="15" t="str" cm="1">
        <f t="array" ref="N214">IF(OR(Table2[[#This Row],[Film]]="",Table2[[#This Row],[Grade]]=""),"",IFERROR(INDEX(Table4[Serial Number],MATCH(1,(Table4[Film]=Table2[[#This Row],[Film]])*(Table4[Grade]=Table2[[#This Row],[Grade]]),0)),""))</f>
        <v/>
      </c>
      <c r="O214" s="52" t="str">
        <f>IF(OR(Table2[[#This Row],[Film]]="",Table2[[#This Row],[Grade]]=""),"",SUMIFS(Table4[Price Calculated(€) Thickness &amp; QTY related],Table4[Film],Table2[[#This Row],[Film]],Table4[Grade],Table2[[#This Row],[Grade]]))</f>
        <v/>
      </c>
      <c r="P214" s="6"/>
      <c r="T214" s="6"/>
    </row>
    <row r="215" spans="1:20">
      <c r="A215" s="29" t="s">
        <v>48</v>
      </c>
      <c r="B215" s="29" t="s">
        <v>5</v>
      </c>
      <c r="C215" s="28"/>
      <c r="D215" s="28" t="str">
        <f>IF(C215="","",IFERROR(_xlfn.XLOOKUP(C215,HELPER!$A$2:$A$81,HELPER!$B$2:$B$81,""),D215))</f>
        <v/>
      </c>
      <c r="E215" s="28" t="str">
        <f>IFERROR(_xlfn.XLOOKUP(D215,HELPER!$B:$B,HELPER!$C:$C,""),"")</f>
        <v/>
      </c>
      <c r="F215" s="27" t="str">
        <f>IFERROR(_xlfn.XLOOKUP(D215,HELPER!$B:$B,HELPER!$D:$D,""),"")</f>
        <v/>
      </c>
      <c r="G215" s="27">
        <v>24</v>
      </c>
      <c r="H215" s="47"/>
      <c r="I215" s="48" t="str">
        <f>IF(AND(H215&lt;&gt;"",IFERROR(_xlfn.XLOOKUP(D215,HELPER!$B:$B,HELPER!$E:$E,""),"")=""),"Missing price",IFERROR(_xlfn.XLOOKUP(D215,HELPER!$B:$B,HELPER!$E:$E,"")," "))</f>
        <v/>
      </c>
      <c r="J215" s="48" t="str">
        <f>IFERROR(H215*(IF(G215=8,I215*HELPER!$G$2,BOM!I215*HELPER!$G$3))," ")</f>
        <v xml:space="preserve"> </v>
      </c>
      <c r="K215" s="6"/>
      <c r="L215" s="14" t="str" cm="1">
        <f t="array" ref="L215">IFERROR(_xlfn.LET(_xlpm.films,Table4[Film],_xlpm.grades,Table4[Grade],_xlpm.pairs,_xlfn._xlws.FILTER(_xlfn.HSTACK(_xlpm.films,_xlpm.grades),(_xlpm.films&lt;&gt;"")*(TRIM(_xlpm.grades)&lt;&gt;"")),_xlpm.uniquePairs,_xlfn.UNIQUE(_xlpm.pairs),_xlpm.sortedPairs,_xlfn._xlws.SORT(_xlpm.uniquePairs,1,1),INDEX(_xlpm.sortedPairs,ROWS($L$2:L215),1)),"")</f>
        <v/>
      </c>
      <c r="M215" s="15" t="str" cm="1">
        <f t="array" ref="M215">IFERROR(_xlfn.LET(_xlpm.films,Table4[Film],_xlpm.grades,Table4[Grade],_xlpm.pairs,_xlfn._xlws.FILTER(_xlfn.HSTACK(_xlpm.films,_xlpm.grades),(_xlpm.films&lt;&gt;"")*(TRIM(_xlpm.grades)&lt;&gt;"")),_xlpm.uniquePairs,_xlfn.UNIQUE(_xlpm.pairs),_xlpm.sortedPairs,_xlfn._xlws.SORT(_xlpm.uniquePairs,1,1),INDEX(_xlpm.sortedPairs,ROWS($M$2:M215),2)),"")</f>
        <v/>
      </c>
      <c r="N215" s="15" t="str" cm="1">
        <f t="array" ref="N215">IF(OR(Table2[[#This Row],[Film]]="",Table2[[#This Row],[Grade]]=""),"",IFERROR(INDEX(Table4[Serial Number],MATCH(1,(Table4[Film]=Table2[[#This Row],[Film]])*(Table4[Grade]=Table2[[#This Row],[Grade]]),0)),""))</f>
        <v/>
      </c>
      <c r="O215" s="52" t="str">
        <f>IF(OR(Table2[[#This Row],[Film]]="",Table2[[#This Row],[Grade]]=""),"",SUMIFS(Table4[Price Calculated(€) Thickness &amp; QTY related],Table4[Film],Table2[[#This Row],[Film]],Table4[Grade],Table2[[#This Row],[Grade]]))</f>
        <v/>
      </c>
      <c r="P215" s="6"/>
      <c r="T215" s="6"/>
    </row>
    <row r="216" spans="1:20">
      <c r="A216" s="29" t="s">
        <v>48</v>
      </c>
      <c r="B216" s="29" t="s">
        <v>5</v>
      </c>
      <c r="C216" s="28"/>
      <c r="D216" s="28" t="str">
        <f>IF(C216="","",IFERROR(_xlfn.XLOOKUP(C216,HELPER!$A$2:$A$81,HELPER!$B$2:$B$81,""),D216))</f>
        <v/>
      </c>
      <c r="E216" s="28" t="str">
        <f>IFERROR(_xlfn.XLOOKUP(D216,HELPER!$B:$B,HELPER!$C:$C,""),"")</f>
        <v/>
      </c>
      <c r="F216" s="27" t="str">
        <f>IFERROR(_xlfn.XLOOKUP(D216,HELPER!$B:$B,HELPER!$D:$D,""),"")</f>
        <v/>
      </c>
      <c r="G216" s="27">
        <v>24</v>
      </c>
      <c r="H216" s="47"/>
      <c r="I216" s="48" t="str">
        <f>IF(AND(H216&lt;&gt;"",IFERROR(_xlfn.XLOOKUP(D216,HELPER!$B:$B,HELPER!$E:$E,""),"")=""),"Missing price",IFERROR(_xlfn.XLOOKUP(D216,HELPER!$B:$B,HELPER!$E:$E,"")," "))</f>
        <v/>
      </c>
      <c r="J216" s="48" t="str">
        <f>IFERROR(H216*(IF(G216=8,I216*HELPER!$G$2,BOM!I216*HELPER!$G$3))," ")</f>
        <v xml:space="preserve"> </v>
      </c>
      <c r="K216" s="6"/>
      <c r="L216" s="14" t="str" cm="1">
        <f t="array" ref="L216">IFERROR(_xlfn.LET(_xlpm.films,Table4[Film],_xlpm.grades,Table4[Grade],_xlpm.pairs,_xlfn._xlws.FILTER(_xlfn.HSTACK(_xlpm.films,_xlpm.grades),(_xlpm.films&lt;&gt;"")*(TRIM(_xlpm.grades)&lt;&gt;"")),_xlpm.uniquePairs,_xlfn.UNIQUE(_xlpm.pairs),_xlpm.sortedPairs,_xlfn._xlws.SORT(_xlpm.uniquePairs,1,1),INDEX(_xlpm.sortedPairs,ROWS($L$2:L216),1)),"")</f>
        <v/>
      </c>
      <c r="M216" s="15" t="str" cm="1">
        <f t="array" ref="M216">IFERROR(_xlfn.LET(_xlpm.films,Table4[Film],_xlpm.grades,Table4[Grade],_xlpm.pairs,_xlfn._xlws.FILTER(_xlfn.HSTACK(_xlpm.films,_xlpm.grades),(_xlpm.films&lt;&gt;"")*(TRIM(_xlpm.grades)&lt;&gt;"")),_xlpm.uniquePairs,_xlfn.UNIQUE(_xlpm.pairs),_xlpm.sortedPairs,_xlfn._xlws.SORT(_xlpm.uniquePairs,1,1),INDEX(_xlpm.sortedPairs,ROWS($M$2:M216),2)),"")</f>
        <v/>
      </c>
      <c r="N216" s="15" t="str" cm="1">
        <f t="array" ref="N216">IF(OR(Table2[[#This Row],[Film]]="",Table2[[#This Row],[Grade]]=""),"",IFERROR(INDEX(Table4[Serial Number],MATCH(1,(Table4[Film]=Table2[[#This Row],[Film]])*(Table4[Grade]=Table2[[#This Row],[Grade]]),0)),""))</f>
        <v/>
      </c>
      <c r="O216" s="52" t="str">
        <f>IF(OR(Table2[[#This Row],[Film]]="",Table2[[#This Row],[Grade]]=""),"",SUMIFS(Table4[Price Calculated(€) Thickness &amp; QTY related],Table4[Film],Table2[[#This Row],[Film]],Table4[Grade],Table2[[#This Row],[Grade]]))</f>
        <v/>
      </c>
      <c r="P216" s="6"/>
      <c r="T216" s="6"/>
    </row>
    <row r="217" spans="1:20">
      <c r="A217" s="29" t="s">
        <v>48</v>
      </c>
      <c r="B217" s="29" t="s">
        <v>5</v>
      </c>
      <c r="C217" s="28"/>
      <c r="D217" s="28" t="str">
        <f>IF(C217="","",IFERROR(_xlfn.XLOOKUP(C217,HELPER!$A$2:$A$81,HELPER!$B$2:$B$81,""),D217))</f>
        <v/>
      </c>
      <c r="E217" s="28" t="str">
        <f>IFERROR(_xlfn.XLOOKUP(D217,HELPER!$B:$B,HELPER!$C:$C,""),"")</f>
        <v/>
      </c>
      <c r="F217" s="27" t="str">
        <f>IFERROR(_xlfn.XLOOKUP(D217,HELPER!$B:$B,HELPER!$D:$D,""),"")</f>
        <v/>
      </c>
      <c r="G217" s="27">
        <v>24</v>
      </c>
      <c r="H217" s="47"/>
      <c r="I217" s="48" t="str">
        <f>IF(AND(H217&lt;&gt;"",IFERROR(_xlfn.XLOOKUP(D217,HELPER!$B:$B,HELPER!$E:$E,""),"")=""),"Missing price",IFERROR(_xlfn.XLOOKUP(D217,HELPER!$B:$B,HELPER!$E:$E,"")," "))</f>
        <v/>
      </c>
      <c r="J217" s="48" t="str">
        <f>IFERROR(H217*(IF(G217=8,I217*HELPER!$G$2,BOM!I217*HELPER!$G$3))," ")</f>
        <v xml:space="preserve"> </v>
      </c>
      <c r="K217" s="6"/>
      <c r="L217" s="14" t="str" cm="1">
        <f t="array" ref="L217">IFERROR(_xlfn.LET(_xlpm.films,Table4[Film],_xlpm.grades,Table4[Grade],_xlpm.pairs,_xlfn._xlws.FILTER(_xlfn.HSTACK(_xlpm.films,_xlpm.grades),(_xlpm.films&lt;&gt;"")*(TRIM(_xlpm.grades)&lt;&gt;"")),_xlpm.uniquePairs,_xlfn.UNIQUE(_xlpm.pairs),_xlpm.sortedPairs,_xlfn._xlws.SORT(_xlpm.uniquePairs,1,1),INDEX(_xlpm.sortedPairs,ROWS($L$2:L217),1)),"")</f>
        <v/>
      </c>
      <c r="M217" s="15" t="str" cm="1">
        <f t="array" ref="M217">IFERROR(_xlfn.LET(_xlpm.films,Table4[Film],_xlpm.grades,Table4[Grade],_xlpm.pairs,_xlfn._xlws.FILTER(_xlfn.HSTACK(_xlpm.films,_xlpm.grades),(_xlpm.films&lt;&gt;"")*(TRIM(_xlpm.grades)&lt;&gt;"")),_xlpm.uniquePairs,_xlfn.UNIQUE(_xlpm.pairs),_xlpm.sortedPairs,_xlfn._xlws.SORT(_xlpm.uniquePairs,1,1),INDEX(_xlpm.sortedPairs,ROWS($M$2:M217),2)),"")</f>
        <v/>
      </c>
      <c r="N217" s="15" t="str" cm="1">
        <f t="array" ref="N217">IF(OR(Table2[[#This Row],[Film]]="",Table2[[#This Row],[Grade]]=""),"",IFERROR(INDEX(Table4[Serial Number],MATCH(1,(Table4[Film]=Table2[[#This Row],[Film]])*(Table4[Grade]=Table2[[#This Row],[Grade]]),0)),""))</f>
        <v/>
      </c>
      <c r="O217" s="52" t="str">
        <f>IF(OR(Table2[[#This Row],[Film]]="",Table2[[#This Row],[Grade]]=""),"",SUMIFS(Table4[Price Calculated(€) Thickness &amp; QTY related],Table4[Film],Table2[[#This Row],[Film]],Table4[Grade],Table2[[#This Row],[Grade]]))</f>
        <v/>
      </c>
      <c r="P217" s="6"/>
      <c r="T217" s="6"/>
    </row>
    <row r="218" spans="1:20">
      <c r="A218" s="29" t="s">
        <v>48</v>
      </c>
      <c r="B218" s="29" t="s">
        <v>5</v>
      </c>
      <c r="C218" s="28"/>
      <c r="D218" s="28" t="str">
        <f>IF(C218="","",IFERROR(_xlfn.XLOOKUP(C218,HELPER!$A$2:$A$81,HELPER!$B$2:$B$81,""),D218))</f>
        <v/>
      </c>
      <c r="E218" s="28" t="str">
        <f>IFERROR(_xlfn.XLOOKUP(D218,HELPER!$B:$B,HELPER!$C:$C,""),"")</f>
        <v/>
      </c>
      <c r="F218" s="27" t="str">
        <f>IFERROR(_xlfn.XLOOKUP(D218,HELPER!$B:$B,HELPER!$D:$D,""),"")</f>
        <v/>
      </c>
      <c r="G218" s="27">
        <v>24</v>
      </c>
      <c r="H218" s="47"/>
      <c r="I218" s="48" t="str">
        <f>IF(AND(H218&lt;&gt;"",IFERROR(_xlfn.XLOOKUP(D218,HELPER!$B:$B,HELPER!$E:$E,""),"")=""),"Missing price",IFERROR(_xlfn.XLOOKUP(D218,HELPER!$B:$B,HELPER!$E:$E,"")," "))</f>
        <v/>
      </c>
      <c r="J218" s="48" t="str">
        <f>IFERROR(H218*(IF(G218=8,I218*HELPER!$G$2,BOM!I218*HELPER!$G$3))," ")</f>
        <v xml:space="preserve"> </v>
      </c>
      <c r="K218" s="6"/>
      <c r="L218" s="14" t="str" cm="1">
        <f t="array" ref="L218">IFERROR(_xlfn.LET(_xlpm.films,Table4[Film],_xlpm.grades,Table4[Grade],_xlpm.pairs,_xlfn._xlws.FILTER(_xlfn.HSTACK(_xlpm.films,_xlpm.grades),(_xlpm.films&lt;&gt;"")*(TRIM(_xlpm.grades)&lt;&gt;"")),_xlpm.uniquePairs,_xlfn.UNIQUE(_xlpm.pairs),_xlpm.sortedPairs,_xlfn._xlws.SORT(_xlpm.uniquePairs,1,1),INDEX(_xlpm.sortedPairs,ROWS($L$2:L218),1)),"")</f>
        <v/>
      </c>
      <c r="M218" s="15" t="str" cm="1">
        <f t="array" ref="M218">IFERROR(_xlfn.LET(_xlpm.films,Table4[Film],_xlpm.grades,Table4[Grade],_xlpm.pairs,_xlfn._xlws.FILTER(_xlfn.HSTACK(_xlpm.films,_xlpm.grades),(_xlpm.films&lt;&gt;"")*(TRIM(_xlpm.grades)&lt;&gt;"")),_xlpm.uniquePairs,_xlfn.UNIQUE(_xlpm.pairs),_xlpm.sortedPairs,_xlfn._xlws.SORT(_xlpm.uniquePairs,1,1),INDEX(_xlpm.sortedPairs,ROWS($M$2:M218),2)),"")</f>
        <v/>
      </c>
      <c r="N218" s="15" t="str" cm="1">
        <f t="array" ref="N218">IF(OR(Table2[[#This Row],[Film]]="",Table2[[#This Row],[Grade]]=""),"",IFERROR(INDEX(Table4[Serial Number],MATCH(1,(Table4[Film]=Table2[[#This Row],[Film]])*(Table4[Grade]=Table2[[#This Row],[Grade]]),0)),""))</f>
        <v/>
      </c>
      <c r="O218" s="52" t="str">
        <f>IF(OR(Table2[[#This Row],[Film]]="",Table2[[#This Row],[Grade]]=""),"",SUMIFS(Table4[Price Calculated(€) Thickness &amp; QTY related],Table4[Film],Table2[[#This Row],[Film]],Table4[Grade],Table2[[#This Row],[Grade]]))</f>
        <v/>
      </c>
      <c r="P218" s="6"/>
      <c r="T218" s="6"/>
    </row>
    <row r="219" spans="1:20">
      <c r="A219" s="29" t="s">
        <v>48</v>
      </c>
      <c r="B219" s="29" t="s">
        <v>5</v>
      </c>
      <c r="C219" s="28"/>
      <c r="D219" s="28" t="str">
        <f>IF(C219="","",IFERROR(_xlfn.XLOOKUP(C219,HELPER!$A$2:$A$81,HELPER!$B$2:$B$81,""),D219))</f>
        <v/>
      </c>
      <c r="E219" s="28" t="str">
        <f>IFERROR(_xlfn.XLOOKUP(D219,HELPER!$B:$B,HELPER!$C:$C,""),"")</f>
        <v/>
      </c>
      <c r="F219" s="27" t="str">
        <f>IFERROR(_xlfn.XLOOKUP(D219,HELPER!$B:$B,HELPER!$D:$D,""),"")</f>
        <v/>
      </c>
      <c r="G219" s="27">
        <v>24</v>
      </c>
      <c r="H219" s="47"/>
      <c r="I219" s="48" t="str">
        <f>IF(AND(H219&lt;&gt;"",IFERROR(_xlfn.XLOOKUP(D219,HELPER!$B:$B,HELPER!$E:$E,""),"")=""),"Missing price",IFERROR(_xlfn.XLOOKUP(D219,HELPER!$B:$B,HELPER!$E:$E,"")," "))</f>
        <v/>
      </c>
      <c r="J219" s="48" t="str">
        <f>IFERROR(H219*(IF(G219=8,I219*HELPER!$G$2,BOM!I219*HELPER!$G$3))," ")</f>
        <v xml:space="preserve"> </v>
      </c>
      <c r="K219" s="6"/>
      <c r="L219" s="14" t="str" cm="1">
        <f t="array" ref="L219">IFERROR(_xlfn.LET(_xlpm.films,Table4[Film],_xlpm.grades,Table4[Grade],_xlpm.pairs,_xlfn._xlws.FILTER(_xlfn.HSTACK(_xlpm.films,_xlpm.grades),(_xlpm.films&lt;&gt;"")*(TRIM(_xlpm.grades)&lt;&gt;"")),_xlpm.uniquePairs,_xlfn.UNIQUE(_xlpm.pairs),_xlpm.sortedPairs,_xlfn._xlws.SORT(_xlpm.uniquePairs,1,1),INDEX(_xlpm.sortedPairs,ROWS($L$2:L219),1)),"")</f>
        <v/>
      </c>
      <c r="M219" s="15" t="str" cm="1">
        <f t="array" ref="M219">IFERROR(_xlfn.LET(_xlpm.films,Table4[Film],_xlpm.grades,Table4[Grade],_xlpm.pairs,_xlfn._xlws.FILTER(_xlfn.HSTACK(_xlpm.films,_xlpm.grades),(_xlpm.films&lt;&gt;"")*(TRIM(_xlpm.grades)&lt;&gt;"")),_xlpm.uniquePairs,_xlfn.UNIQUE(_xlpm.pairs),_xlpm.sortedPairs,_xlfn._xlws.SORT(_xlpm.uniquePairs,1,1),INDEX(_xlpm.sortedPairs,ROWS($M$2:M219),2)),"")</f>
        <v/>
      </c>
      <c r="N219" s="15" t="str" cm="1">
        <f t="array" ref="N219">IF(OR(Table2[[#This Row],[Film]]="",Table2[[#This Row],[Grade]]=""),"",IFERROR(INDEX(Table4[Serial Number],MATCH(1,(Table4[Film]=Table2[[#This Row],[Film]])*(Table4[Grade]=Table2[[#This Row],[Grade]]),0)),""))</f>
        <v/>
      </c>
      <c r="O219" s="52" t="str">
        <f>IF(OR(Table2[[#This Row],[Film]]="",Table2[[#This Row],[Grade]]=""),"",SUMIFS(Table4[Price Calculated(€) Thickness &amp; QTY related],Table4[Film],Table2[[#This Row],[Film]],Table4[Grade],Table2[[#This Row],[Grade]]))</f>
        <v/>
      </c>
      <c r="P219" s="6"/>
      <c r="T219" s="6"/>
    </row>
    <row r="220" spans="1:20">
      <c r="A220" s="29" t="s">
        <v>48</v>
      </c>
      <c r="B220" s="29" t="s">
        <v>5</v>
      </c>
      <c r="C220" s="28"/>
      <c r="D220" s="28" t="str">
        <f>IF(C220="","",IFERROR(_xlfn.XLOOKUP(C220,HELPER!$A$2:$A$81,HELPER!$B$2:$B$81,""),D220))</f>
        <v/>
      </c>
      <c r="E220" s="28" t="str">
        <f>IFERROR(_xlfn.XLOOKUP(D220,HELPER!$B:$B,HELPER!$C:$C,""),"")</f>
        <v/>
      </c>
      <c r="F220" s="27" t="str">
        <f>IFERROR(_xlfn.XLOOKUP(D220,HELPER!$B:$B,HELPER!$D:$D,""),"")</f>
        <v/>
      </c>
      <c r="G220" s="27">
        <v>24</v>
      </c>
      <c r="H220" s="47"/>
      <c r="I220" s="48" t="str">
        <f>IF(AND(H220&lt;&gt;"",IFERROR(_xlfn.XLOOKUP(D220,HELPER!$B:$B,HELPER!$E:$E,""),"")=""),"Missing price",IFERROR(_xlfn.XLOOKUP(D220,HELPER!$B:$B,HELPER!$E:$E,"")," "))</f>
        <v/>
      </c>
      <c r="J220" s="48" t="str">
        <f>IFERROR(H220*(IF(G220=8,I220*HELPER!$G$2,BOM!I220*HELPER!$G$3))," ")</f>
        <v xml:space="preserve"> </v>
      </c>
      <c r="K220" s="6"/>
      <c r="L220" s="14" t="str" cm="1">
        <f t="array" ref="L220">IFERROR(_xlfn.LET(_xlpm.films,Table4[Film],_xlpm.grades,Table4[Grade],_xlpm.pairs,_xlfn._xlws.FILTER(_xlfn.HSTACK(_xlpm.films,_xlpm.grades),(_xlpm.films&lt;&gt;"")*(TRIM(_xlpm.grades)&lt;&gt;"")),_xlpm.uniquePairs,_xlfn.UNIQUE(_xlpm.pairs),_xlpm.sortedPairs,_xlfn._xlws.SORT(_xlpm.uniquePairs,1,1),INDEX(_xlpm.sortedPairs,ROWS($L$2:L220),1)),"")</f>
        <v/>
      </c>
      <c r="M220" s="15" t="str" cm="1">
        <f t="array" ref="M220">IFERROR(_xlfn.LET(_xlpm.films,Table4[Film],_xlpm.grades,Table4[Grade],_xlpm.pairs,_xlfn._xlws.FILTER(_xlfn.HSTACK(_xlpm.films,_xlpm.grades),(_xlpm.films&lt;&gt;"")*(TRIM(_xlpm.grades)&lt;&gt;"")),_xlpm.uniquePairs,_xlfn.UNIQUE(_xlpm.pairs),_xlpm.sortedPairs,_xlfn._xlws.SORT(_xlpm.uniquePairs,1,1),INDEX(_xlpm.sortedPairs,ROWS($M$2:M220),2)),"")</f>
        <v/>
      </c>
      <c r="N220" s="15" t="str" cm="1">
        <f t="array" ref="N220">IF(OR(Table2[[#This Row],[Film]]="",Table2[[#This Row],[Grade]]=""),"",IFERROR(INDEX(Table4[Serial Number],MATCH(1,(Table4[Film]=Table2[[#This Row],[Film]])*(Table4[Grade]=Table2[[#This Row],[Grade]]),0)),""))</f>
        <v/>
      </c>
      <c r="O220" s="52" t="str">
        <f>IF(OR(Table2[[#This Row],[Film]]="",Table2[[#This Row],[Grade]]=""),"",SUMIFS(Table4[Price Calculated(€) Thickness &amp; QTY related],Table4[Film],Table2[[#This Row],[Film]],Table4[Grade],Table2[[#This Row],[Grade]]))</f>
        <v/>
      </c>
      <c r="P220" s="6"/>
      <c r="T220" s="6"/>
    </row>
    <row r="221" spans="1:20">
      <c r="A221" s="29" t="s">
        <v>48</v>
      </c>
      <c r="B221" s="29" t="s">
        <v>5</v>
      </c>
      <c r="C221" s="28"/>
      <c r="D221" s="28" t="str">
        <f>IF(C221="","",IFERROR(_xlfn.XLOOKUP(C221,HELPER!$A$2:$A$81,HELPER!$B$2:$B$81,""),D221))</f>
        <v/>
      </c>
      <c r="E221" s="28" t="str">
        <f>IFERROR(_xlfn.XLOOKUP(D221,HELPER!$B:$B,HELPER!$C:$C,""),"")</f>
        <v/>
      </c>
      <c r="F221" s="27" t="str">
        <f>IFERROR(_xlfn.XLOOKUP(D221,HELPER!$B:$B,HELPER!$D:$D,""),"")</f>
        <v/>
      </c>
      <c r="G221" s="27">
        <v>24</v>
      </c>
      <c r="H221" s="47"/>
      <c r="I221" s="48" t="str">
        <f>IF(AND(H221&lt;&gt;"",IFERROR(_xlfn.XLOOKUP(D221,HELPER!$B:$B,HELPER!$E:$E,""),"")=""),"Missing price",IFERROR(_xlfn.XLOOKUP(D221,HELPER!$B:$B,HELPER!$E:$E,"")," "))</f>
        <v/>
      </c>
      <c r="J221" s="48" t="str">
        <f>IFERROR(H221*(IF(G221=8,I221*HELPER!$G$2,BOM!I221*HELPER!$G$3))," ")</f>
        <v xml:space="preserve"> </v>
      </c>
      <c r="K221" s="6"/>
      <c r="L221" s="14" t="str" cm="1">
        <f t="array" ref="L221">IFERROR(_xlfn.LET(_xlpm.films,Table4[Film],_xlpm.grades,Table4[Grade],_xlpm.pairs,_xlfn._xlws.FILTER(_xlfn.HSTACK(_xlpm.films,_xlpm.grades),(_xlpm.films&lt;&gt;"")*(TRIM(_xlpm.grades)&lt;&gt;"")),_xlpm.uniquePairs,_xlfn.UNIQUE(_xlpm.pairs),_xlpm.sortedPairs,_xlfn._xlws.SORT(_xlpm.uniquePairs,1,1),INDEX(_xlpm.sortedPairs,ROWS($L$2:L221),1)),"")</f>
        <v/>
      </c>
      <c r="M221" s="15" t="str" cm="1">
        <f t="array" ref="M221">IFERROR(_xlfn.LET(_xlpm.films,Table4[Film],_xlpm.grades,Table4[Grade],_xlpm.pairs,_xlfn._xlws.FILTER(_xlfn.HSTACK(_xlpm.films,_xlpm.grades),(_xlpm.films&lt;&gt;"")*(TRIM(_xlpm.grades)&lt;&gt;"")),_xlpm.uniquePairs,_xlfn.UNIQUE(_xlpm.pairs),_xlpm.sortedPairs,_xlfn._xlws.SORT(_xlpm.uniquePairs,1,1),INDEX(_xlpm.sortedPairs,ROWS($M$2:M221),2)),"")</f>
        <v/>
      </c>
      <c r="N221" s="15" t="str" cm="1">
        <f t="array" ref="N221">IF(OR(Table2[[#This Row],[Film]]="",Table2[[#This Row],[Grade]]=""),"",IFERROR(INDEX(Table4[Serial Number],MATCH(1,(Table4[Film]=Table2[[#This Row],[Film]])*(Table4[Grade]=Table2[[#This Row],[Grade]]),0)),""))</f>
        <v/>
      </c>
      <c r="O221" s="52" t="str">
        <f>IF(OR(Table2[[#This Row],[Film]]="",Table2[[#This Row],[Grade]]=""),"",SUMIFS(Table4[Price Calculated(€) Thickness &amp; QTY related],Table4[Film],Table2[[#This Row],[Film]],Table4[Grade],Table2[[#This Row],[Grade]]))</f>
        <v/>
      </c>
      <c r="P221" s="6"/>
      <c r="T221" s="6"/>
    </row>
    <row r="222" spans="1:20">
      <c r="A222" s="29" t="s">
        <v>48</v>
      </c>
      <c r="B222" s="29" t="s">
        <v>6</v>
      </c>
      <c r="C222" s="28" t="s">
        <v>19</v>
      </c>
      <c r="D222" s="28" t="str">
        <f>IF(C222="","",IFERROR(_xlfn.XLOOKUP(C222,HELPER!$A$2:$A$81,HELPER!$B$2:$B$81,""),D222))</f>
        <v>BVE8049P</v>
      </c>
      <c r="E222" s="28" t="str">
        <f>IFERROR(_xlfn.XLOOKUP(D222,HELPER!$B:$B,HELPER!$C:$C,""),"")</f>
        <v>BVE8049P</v>
      </c>
      <c r="F222" s="27" t="str">
        <f>IFERROR(_xlfn.XLOOKUP(D222,HELPER!$B:$B,HELPER!$D:$D,""),"")</f>
        <v>BVE8049P</v>
      </c>
      <c r="G222" s="27">
        <v>8</v>
      </c>
      <c r="H222" s="47">
        <v>0.98</v>
      </c>
      <c r="I222" s="48">
        <f>IF(AND(H222&lt;&gt;"",IFERROR(_xlfn.XLOOKUP(D222,HELPER!$B:$B,HELPER!$E:$E,""),"")=""),"Missing price",IFERROR(_xlfn.XLOOKUP(D222,HELPER!$B:$B,HELPER!$E:$E,"")," "))</f>
        <v>18.5</v>
      </c>
      <c r="J222" s="48">
        <f>IFERROR(H222*(IF(G222=8,I222*HELPER!$G$2,BOM!I222*HELPER!$G$3))," ")</f>
        <v>3.6259999999999999</v>
      </c>
      <c r="K222" s="6"/>
      <c r="L222" s="14" t="str" cm="1">
        <f t="array" ref="L222">IFERROR(_xlfn.LET(_xlpm.films,Table4[Film],_xlpm.grades,Table4[Grade],_xlpm.pairs,_xlfn._xlws.FILTER(_xlfn.HSTACK(_xlpm.films,_xlpm.grades),(_xlpm.films&lt;&gt;"")*(TRIM(_xlpm.grades)&lt;&gt;"")),_xlpm.uniquePairs,_xlfn.UNIQUE(_xlpm.pairs),_xlpm.sortedPairs,_xlfn._xlws.SORT(_xlpm.uniquePairs,1,1),INDEX(_xlpm.sortedPairs,ROWS($L$2:L222),1)),"")</f>
        <v/>
      </c>
      <c r="M222" s="15" t="str" cm="1">
        <f t="array" ref="M222">IFERROR(_xlfn.LET(_xlpm.films,Table4[Film],_xlpm.grades,Table4[Grade],_xlpm.pairs,_xlfn._xlws.FILTER(_xlfn.HSTACK(_xlpm.films,_xlpm.grades),(_xlpm.films&lt;&gt;"")*(TRIM(_xlpm.grades)&lt;&gt;"")),_xlpm.uniquePairs,_xlfn.UNIQUE(_xlpm.pairs),_xlpm.sortedPairs,_xlfn._xlws.SORT(_xlpm.uniquePairs,1,1),INDEX(_xlpm.sortedPairs,ROWS($M$2:M222),2)),"")</f>
        <v/>
      </c>
      <c r="N222" s="15" t="str" cm="1">
        <f t="array" ref="N222">IF(OR(Table2[[#This Row],[Film]]="",Table2[[#This Row],[Grade]]=""),"",IFERROR(INDEX(Table4[Serial Number],MATCH(1,(Table4[Film]=Table2[[#This Row],[Film]])*(Table4[Grade]=Table2[[#This Row],[Grade]]),0)),""))</f>
        <v/>
      </c>
      <c r="O222" s="52" t="str">
        <f>IF(OR(Table2[[#This Row],[Film]]="",Table2[[#This Row],[Grade]]=""),"",SUMIFS(Table4[Price Calculated(€) Thickness &amp; QTY related],Table4[Film],Table2[[#This Row],[Film]],Table4[Grade],Table2[[#This Row],[Grade]]))</f>
        <v/>
      </c>
      <c r="P222" s="6"/>
      <c r="T222" s="6"/>
    </row>
    <row r="223" spans="1:20">
      <c r="A223" s="29" t="s">
        <v>48</v>
      </c>
      <c r="B223" s="29" t="s">
        <v>6</v>
      </c>
      <c r="C223" s="28" t="s">
        <v>16</v>
      </c>
      <c r="D223" s="28" t="str">
        <f>IF(C223="","",IFERROR(_xlfn.XLOOKUP(C223,HELPER!$A$2:$A$81,HELPER!$B$2:$B$81,""),D223))</f>
        <v>S723</v>
      </c>
      <c r="E223" s="28" t="str">
        <f>IFERROR(_xlfn.XLOOKUP(D223,HELPER!$B:$B,HELPER!$C:$C,""),"")</f>
        <v>RM TA45-08 S723</v>
      </c>
      <c r="F223" s="27" t="str">
        <f>IFERROR(_xlfn.XLOOKUP(D223,HELPER!$B:$B,HELPER!$D:$D,""),"")</f>
        <v>Resin 6</v>
      </c>
      <c r="G223" s="27">
        <v>8</v>
      </c>
      <c r="H223" s="47">
        <v>0.02</v>
      </c>
      <c r="I223" s="48">
        <f>IF(AND(H223&lt;&gt;"",IFERROR(_xlfn.XLOOKUP(D223,HELPER!$B:$B,HELPER!$E:$E,""),"")=""),"Missing price",IFERROR(_xlfn.XLOOKUP(D223,HELPER!$B:$B,HELPER!$E:$E,"")," "))</f>
        <v>16.16</v>
      </c>
      <c r="J223" s="48">
        <f>IFERROR(H223*(IF(G223=8,I223*HELPER!$G$2,BOM!I223*HELPER!$G$3))," ")</f>
        <v>6.4640000000000003E-2</v>
      </c>
      <c r="K223" s="6"/>
      <c r="L223" s="14" t="str" cm="1">
        <f t="array" ref="L223">IFERROR(_xlfn.LET(_xlpm.films,Table4[Film],_xlpm.grades,Table4[Grade],_xlpm.pairs,_xlfn._xlws.FILTER(_xlfn.HSTACK(_xlpm.films,_xlpm.grades),(_xlpm.films&lt;&gt;"")*(TRIM(_xlpm.grades)&lt;&gt;"")),_xlpm.uniquePairs,_xlfn.UNIQUE(_xlpm.pairs),_xlpm.sortedPairs,_xlfn._xlws.SORT(_xlpm.uniquePairs,1,1),INDEX(_xlpm.sortedPairs,ROWS($L$2:L223),1)),"")</f>
        <v/>
      </c>
      <c r="M223" s="15" t="str" cm="1">
        <f t="array" ref="M223">IFERROR(_xlfn.LET(_xlpm.films,Table4[Film],_xlpm.grades,Table4[Grade],_xlpm.pairs,_xlfn._xlws.FILTER(_xlfn.HSTACK(_xlpm.films,_xlpm.grades),(_xlpm.films&lt;&gt;"")*(TRIM(_xlpm.grades)&lt;&gt;"")),_xlpm.uniquePairs,_xlfn.UNIQUE(_xlpm.pairs),_xlpm.sortedPairs,_xlfn._xlws.SORT(_xlpm.uniquePairs,1,1),INDEX(_xlpm.sortedPairs,ROWS($M$2:M223),2)),"")</f>
        <v/>
      </c>
      <c r="N223" s="15" t="str" cm="1">
        <f t="array" ref="N223">IF(OR(Table2[[#This Row],[Film]]="",Table2[[#This Row],[Grade]]=""),"",IFERROR(INDEX(Table4[Serial Number],MATCH(1,(Table4[Film]=Table2[[#This Row],[Film]])*(Table4[Grade]=Table2[[#This Row],[Grade]]),0)),""))</f>
        <v/>
      </c>
      <c r="O223" s="52" t="str">
        <f>IF(OR(Table2[[#This Row],[Film]]="",Table2[[#This Row],[Grade]]=""),"",SUMIFS(Table4[Price Calculated(€) Thickness &amp; QTY related],Table4[Film],Table2[[#This Row],[Film]],Table4[Grade],Table2[[#This Row],[Grade]]))</f>
        <v/>
      </c>
      <c r="P223" s="6"/>
      <c r="T223" s="6"/>
    </row>
    <row r="224" spans="1:20">
      <c r="A224" s="29" t="s">
        <v>48</v>
      </c>
      <c r="B224" s="29" t="s">
        <v>6</v>
      </c>
      <c r="C224" s="28"/>
      <c r="D224" s="28" t="str">
        <f>IF(C224="","",IFERROR(_xlfn.XLOOKUP(C224,HELPER!$A$2:$A$81,HELPER!$B$2:$B$81,""),D224))</f>
        <v/>
      </c>
      <c r="E224" s="28" t="str">
        <f>IFERROR(_xlfn.XLOOKUP(D224,HELPER!$B:$B,HELPER!$C:$C,""),"")</f>
        <v/>
      </c>
      <c r="F224" s="27" t="str">
        <f>IFERROR(_xlfn.XLOOKUP(D224,HELPER!$B:$B,HELPER!$D:$D,""),"")</f>
        <v/>
      </c>
      <c r="G224" s="27">
        <v>8</v>
      </c>
      <c r="H224" s="47"/>
      <c r="I224" s="48" t="str">
        <f>IF(AND(H224&lt;&gt;"",IFERROR(_xlfn.XLOOKUP(D224,HELPER!$B:$B,HELPER!$E:$E,""),"")=""),"Missing price",IFERROR(_xlfn.XLOOKUP(D224,HELPER!$B:$B,HELPER!$E:$E,"")," "))</f>
        <v/>
      </c>
      <c r="J224" s="48" t="str">
        <f>IFERROR(H224*(IF(G224=8,I224*HELPER!$G$2,BOM!I224*HELPER!$G$3))," ")</f>
        <v xml:space="preserve"> </v>
      </c>
      <c r="K224" s="6"/>
      <c r="L224" s="14" t="str" cm="1">
        <f t="array" ref="L224">IFERROR(_xlfn.LET(_xlpm.films,Table4[Film],_xlpm.grades,Table4[Grade],_xlpm.pairs,_xlfn._xlws.FILTER(_xlfn.HSTACK(_xlpm.films,_xlpm.grades),(_xlpm.films&lt;&gt;"")*(TRIM(_xlpm.grades)&lt;&gt;"")),_xlpm.uniquePairs,_xlfn.UNIQUE(_xlpm.pairs),_xlpm.sortedPairs,_xlfn._xlws.SORT(_xlpm.uniquePairs,1,1),INDEX(_xlpm.sortedPairs,ROWS($L$2:L224),1)),"")</f>
        <v/>
      </c>
      <c r="M224" s="15" t="str" cm="1">
        <f t="array" ref="M224">IFERROR(_xlfn.LET(_xlpm.films,Table4[Film],_xlpm.grades,Table4[Grade],_xlpm.pairs,_xlfn._xlws.FILTER(_xlfn.HSTACK(_xlpm.films,_xlpm.grades),(_xlpm.films&lt;&gt;"")*(TRIM(_xlpm.grades)&lt;&gt;"")),_xlpm.uniquePairs,_xlfn.UNIQUE(_xlpm.pairs),_xlpm.sortedPairs,_xlfn._xlws.SORT(_xlpm.uniquePairs,1,1),INDEX(_xlpm.sortedPairs,ROWS($M$2:M224),2)),"")</f>
        <v/>
      </c>
      <c r="N224" s="15" t="str" cm="1">
        <f t="array" ref="N224">IF(OR(Table2[[#This Row],[Film]]="",Table2[[#This Row],[Grade]]=""),"",IFERROR(INDEX(Table4[Serial Number],MATCH(1,(Table4[Film]=Table2[[#This Row],[Film]])*(Table4[Grade]=Table2[[#This Row],[Grade]]),0)),""))</f>
        <v/>
      </c>
      <c r="O224" s="52" t="str">
        <f>IF(OR(Table2[[#This Row],[Film]]="",Table2[[#This Row],[Grade]]=""),"",SUMIFS(Table4[Price Calculated(€) Thickness &amp; QTY related],Table4[Film],Table2[[#This Row],[Film]],Table4[Grade],Table2[[#This Row],[Grade]]))</f>
        <v/>
      </c>
      <c r="P224" s="6"/>
      <c r="T224" s="6"/>
    </row>
    <row r="225" spans="1:20">
      <c r="A225" s="29" t="s">
        <v>48</v>
      </c>
      <c r="B225" s="29" t="s">
        <v>6</v>
      </c>
      <c r="C225" s="28"/>
      <c r="D225" s="28" t="str">
        <f>IF(C225="","",IFERROR(_xlfn.XLOOKUP(C225,HELPER!$A$2:$A$81,HELPER!$B$2:$B$81,""),D225))</f>
        <v/>
      </c>
      <c r="E225" s="28" t="str">
        <f>IFERROR(_xlfn.XLOOKUP(D225,HELPER!$B:$B,HELPER!$C:$C,""),"")</f>
        <v/>
      </c>
      <c r="F225" s="27" t="str">
        <f>IFERROR(_xlfn.XLOOKUP(D225,HELPER!$B:$B,HELPER!$D:$D,""),"")</f>
        <v/>
      </c>
      <c r="G225" s="27">
        <v>8</v>
      </c>
      <c r="H225" s="47"/>
      <c r="I225" s="48" t="str">
        <f>IF(AND(H225&lt;&gt;"",IFERROR(_xlfn.XLOOKUP(D225,HELPER!$B:$B,HELPER!$E:$E,""),"")=""),"Missing price",IFERROR(_xlfn.XLOOKUP(D225,HELPER!$B:$B,HELPER!$E:$E,"")," "))</f>
        <v/>
      </c>
      <c r="J225" s="48" t="str">
        <f>IFERROR(H225*(IF(G225=8,I225*HELPER!$G$2,BOM!I225*HELPER!$G$3))," ")</f>
        <v xml:space="preserve"> </v>
      </c>
      <c r="K225" s="6"/>
      <c r="L225" s="14" t="str" cm="1">
        <f t="array" ref="L225">IFERROR(_xlfn.LET(_xlpm.films,Table4[Film],_xlpm.grades,Table4[Grade],_xlpm.pairs,_xlfn._xlws.FILTER(_xlfn.HSTACK(_xlpm.films,_xlpm.grades),(_xlpm.films&lt;&gt;"")*(TRIM(_xlpm.grades)&lt;&gt;"")),_xlpm.uniquePairs,_xlfn.UNIQUE(_xlpm.pairs),_xlpm.sortedPairs,_xlfn._xlws.SORT(_xlpm.uniquePairs,1,1),INDEX(_xlpm.sortedPairs,ROWS($L$2:L225),1)),"")</f>
        <v/>
      </c>
      <c r="M225" s="15" t="str" cm="1">
        <f t="array" ref="M225">IFERROR(_xlfn.LET(_xlpm.films,Table4[Film],_xlpm.grades,Table4[Grade],_xlpm.pairs,_xlfn._xlws.FILTER(_xlfn.HSTACK(_xlpm.films,_xlpm.grades),(_xlpm.films&lt;&gt;"")*(TRIM(_xlpm.grades)&lt;&gt;"")),_xlpm.uniquePairs,_xlfn.UNIQUE(_xlpm.pairs),_xlpm.sortedPairs,_xlfn._xlws.SORT(_xlpm.uniquePairs,1,1),INDEX(_xlpm.sortedPairs,ROWS($M$2:M225),2)),"")</f>
        <v/>
      </c>
      <c r="N225" s="15" t="str" cm="1">
        <f t="array" ref="N225">IF(OR(Table2[[#This Row],[Film]]="",Table2[[#This Row],[Grade]]=""),"",IFERROR(INDEX(Table4[Serial Number],MATCH(1,(Table4[Film]=Table2[[#This Row],[Film]])*(Table4[Grade]=Table2[[#This Row],[Grade]]),0)),""))</f>
        <v/>
      </c>
      <c r="O225" s="52" t="str">
        <f>IF(OR(Table2[[#This Row],[Film]]="",Table2[[#This Row],[Grade]]=""),"",SUMIFS(Table4[Price Calculated(€) Thickness &amp; QTY related],Table4[Film],Table2[[#This Row],[Film]],Table4[Grade],Table2[[#This Row],[Grade]]))</f>
        <v/>
      </c>
      <c r="P225" s="6"/>
      <c r="T225" s="6"/>
    </row>
    <row r="226" spans="1:20">
      <c r="A226" s="29" t="s">
        <v>48</v>
      </c>
      <c r="B226" s="29" t="s">
        <v>6</v>
      </c>
      <c r="C226" s="28"/>
      <c r="D226" s="28" t="str">
        <f>IF(C226="","",IFERROR(_xlfn.XLOOKUP(C226,HELPER!$A$2:$A$81,HELPER!$B$2:$B$81,""),D226))</f>
        <v/>
      </c>
      <c r="E226" s="28" t="str">
        <f>IFERROR(_xlfn.XLOOKUP(D226,HELPER!$B:$B,HELPER!$C:$C,""),"")</f>
        <v/>
      </c>
      <c r="F226" s="27" t="str">
        <f>IFERROR(_xlfn.XLOOKUP(D226,HELPER!$B:$B,HELPER!$D:$D,""),"")</f>
        <v/>
      </c>
      <c r="G226" s="27">
        <v>8</v>
      </c>
      <c r="H226" s="47"/>
      <c r="I226" s="48" t="str">
        <f>IF(AND(H226&lt;&gt;"",IFERROR(_xlfn.XLOOKUP(D226,HELPER!$B:$B,HELPER!$E:$E,""),"")=""),"Missing price",IFERROR(_xlfn.XLOOKUP(D226,HELPER!$B:$B,HELPER!$E:$E,"")," "))</f>
        <v/>
      </c>
      <c r="J226" s="48" t="str">
        <f>IFERROR(H226*(IF(G226=8,I226*HELPER!$G$2,BOM!I226*HELPER!$G$3))," ")</f>
        <v xml:space="preserve"> </v>
      </c>
      <c r="K226" s="6"/>
      <c r="L226" s="14" t="str" cm="1">
        <f t="array" ref="L226">IFERROR(_xlfn.LET(_xlpm.films,Table4[Film],_xlpm.grades,Table4[Grade],_xlpm.pairs,_xlfn._xlws.FILTER(_xlfn.HSTACK(_xlpm.films,_xlpm.grades),(_xlpm.films&lt;&gt;"")*(TRIM(_xlpm.grades)&lt;&gt;"")),_xlpm.uniquePairs,_xlfn.UNIQUE(_xlpm.pairs),_xlpm.sortedPairs,_xlfn._xlws.SORT(_xlpm.uniquePairs,1,1),INDEX(_xlpm.sortedPairs,ROWS($L$2:L226),1)),"")</f>
        <v/>
      </c>
      <c r="M226" s="15" t="str" cm="1">
        <f t="array" ref="M226">IFERROR(_xlfn.LET(_xlpm.films,Table4[Film],_xlpm.grades,Table4[Grade],_xlpm.pairs,_xlfn._xlws.FILTER(_xlfn.HSTACK(_xlpm.films,_xlpm.grades),(_xlpm.films&lt;&gt;"")*(TRIM(_xlpm.grades)&lt;&gt;"")),_xlpm.uniquePairs,_xlfn.UNIQUE(_xlpm.pairs),_xlpm.sortedPairs,_xlfn._xlws.SORT(_xlpm.uniquePairs,1,1),INDEX(_xlpm.sortedPairs,ROWS($M$2:M226),2)),"")</f>
        <v/>
      </c>
      <c r="N226" s="15" t="str" cm="1">
        <f t="array" ref="N226">IF(OR(Table2[[#This Row],[Film]]="",Table2[[#This Row],[Grade]]=""),"",IFERROR(INDEX(Table4[Serial Number],MATCH(1,(Table4[Film]=Table2[[#This Row],[Film]])*(Table4[Grade]=Table2[[#This Row],[Grade]]),0)),""))</f>
        <v/>
      </c>
      <c r="O226" s="52" t="str">
        <f>IF(OR(Table2[[#This Row],[Film]]="",Table2[[#This Row],[Grade]]=""),"",SUMIFS(Table4[Price Calculated(€) Thickness &amp; QTY related],Table4[Film],Table2[[#This Row],[Film]],Table4[Grade],Table2[[#This Row],[Grade]]))</f>
        <v/>
      </c>
      <c r="P226" s="6"/>
      <c r="T226" s="6"/>
    </row>
    <row r="227" spans="1:20">
      <c r="A227" s="29" t="s">
        <v>48</v>
      </c>
      <c r="B227" s="29" t="s">
        <v>6</v>
      </c>
      <c r="C227" s="28"/>
      <c r="D227" s="28" t="str">
        <f>IF(C227="","",IFERROR(_xlfn.XLOOKUP(C227,HELPER!$A$2:$A$81,HELPER!$B$2:$B$81,""),D227))</f>
        <v/>
      </c>
      <c r="E227" s="28" t="str">
        <f>IFERROR(_xlfn.XLOOKUP(D227,HELPER!$B:$B,HELPER!$C:$C,""),"")</f>
        <v/>
      </c>
      <c r="F227" s="27" t="str">
        <f>IFERROR(_xlfn.XLOOKUP(D227,HELPER!$B:$B,HELPER!$D:$D,""),"")</f>
        <v/>
      </c>
      <c r="G227" s="27">
        <v>8</v>
      </c>
      <c r="H227" s="47"/>
      <c r="I227" s="48" t="str">
        <f>IF(AND(H227&lt;&gt;"",IFERROR(_xlfn.XLOOKUP(D227,HELPER!$B:$B,HELPER!$E:$E,""),"")=""),"Missing price",IFERROR(_xlfn.XLOOKUP(D227,HELPER!$B:$B,HELPER!$E:$E,"")," "))</f>
        <v/>
      </c>
      <c r="J227" s="48" t="str">
        <f>IFERROR(H227*(IF(G227=8,I227*HELPER!$G$2,BOM!I227*HELPER!$G$3))," ")</f>
        <v xml:space="preserve"> </v>
      </c>
      <c r="K227" s="6"/>
      <c r="L227" s="14" t="str" cm="1">
        <f t="array" ref="L227">IFERROR(_xlfn.LET(_xlpm.films,Table4[Film],_xlpm.grades,Table4[Grade],_xlpm.pairs,_xlfn._xlws.FILTER(_xlfn.HSTACK(_xlpm.films,_xlpm.grades),(_xlpm.films&lt;&gt;"")*(TRIM(_xlpm.grades)&lt;&gt;"")),_xlpm.uniquePairs,_xlfn.UNIQUE(_xlpm.pairs),_xlpm.sortedPairs,_xlfn._xlws.SORT(_xlpm.uniquePairs,1,1),INDEX(_xlpm.sortedPairs,ROWS($L$2:L227),1)),"")</f>
        <v/>
      </c>
      <c r="M227" s="15" t="str" cm="1">
        <f t="array" ref="M227">IFERROR(_xlfn.LET(_xlpm.films,Table4[Film],_xlpm.grades,Table4[Grade],_xlpm.pairs,_xlfn._xlws.FILTER(_xlfn.HSTACK(_xlpm.films,_xlpm.grades),(_xlpm.films&lt;&gt;"")*(TRIM(_xlpm.grades)&lt;&gt;"")),_xlpm.uniquePairs,_xlfn.UNIQUE(_xlpm.pairs),_xlpm.sortedPairs,_xlfn._xlws.SORT(_xlpm.uniquePairs,1,1),INDEX(_xlpm.sortedPairs,ROWS($M$2:M227),2)),"")</f>
        <v/>
      </c>
      <c r="N227" s="15" t="str" cm="1">
        <f t="array" ref="N227">IF(OR(Table2[[#This Row],[Film]]="",Table2[[#This Row],[Grade]]=""),"",IFERROR(INDEX(Table4[Serial Number],MATCH(1,(Table4[Film]=Table2[[#This Row],[Film]])*(Table4[Grade]=Table2[[#This Row],[Grade]]),0)),""))</f>
        <v/>
      </c>
      <c r="O227" s="52" t="str">
        <f>IF(OR(Table2[[#This Row],[Film]]="",Table2[[#This Row],[Grade]]=""),"",SUMIFS(Table4[Price Calculated(€) Thickness &amp; QTY related],Table4[Film],Table2[[#This Row],[Film]],Table4[Grade],Table2[[#This Row],[Grade]]))</f>
        <v/>
      </c>
      <c r="P227" s="6"/>
      <c r="T227" s="6"/>
    </row>
    <row r="228" spans="1:20">
      <c r="A228" s="29" t="s">
        <v>48</v>
      </c>
      <c r="B228" s="29" t="s">
        <v>6</v>
      </c>
      <c r="C228" s="28"/>
      <c r="D228" s="28" t="str">
        <f>IF(C228="","",IFERROR(_xlfn.XLOOKUP(C228,HELPER!$A$2:$A$81,HELPER!$B$2:$B$81,""),D228))</f>
        <v/>
      </c>
      <c r="E228" s="28" t="str">
        <f>IFERROR(_xlfn.XLOOKUP(D228,HELPER!$B:$B,HELPER!$C:$C,""),"")</f>
        <v/>
      </c>
      <c r="F228" s="27" t="str">
        <f>IFERROR(_xlfn.XLOOKUP(D228,HELPER!$B:$B,HELPER!$D:$D,""),"")</f>
        <v/>
      </c>
      <c r="G228" s="27">
        <v>8</v>
      </c>
      <c r="H228" s="47"/>
      <c r="I228" s="48" t="str">
        <f>IF(AND(H228&lt;&gt;"",IFERROR(_xlfn.XLOOKUP(D228,HELPER!$B:$B,HELPER!$E:$E,""),"")=""),"Missing price",IFERROR(_xlfn.XLOOKUP(D228,HELPER!$B:$B,HELPER!$E:$E,"")," "))</f>
        <v/>
      </c>
      <c r="J228" s="48" t="str">
        <f>IFERROR(H228*(IF(G228=8,I228*HELPER!$G$2,BOM!I228*HELPER!$G$3))," ")</f>
        <v xml:space="preserve"> </v>
      </c>
      <c r="K228" s="6"/>
      <c r="L228" s="14" t="str" cm="1">
        <f t="array" ref="L228">IFERROR(_xlfn.LET(_xlpm.films,Table4[Film],_xlpm.grades,Table4[Grade],_xlpm.pairs,_xlfn._xlws.FILTER(_xlfn.HSTACK(_xlpm.films,_xlpm.grades),(_xlpm.films&lt;&gt;"")*(TRIM(_xlpm.grades)&lt;&gt;"")),_xlpm.uniquePairs,_xlfn.UNIQUE(_xlpm.pairs),_xlpm.sortedPairs,_xlfn._xlws.SORT(_xlpm.uniquePairs,1,1),INDEX(_xlpm.sortedPairs,ROWS($L$2:L228),1)),"")</f>
        <v/>
      </c>
      <c r="M228" s="15" t="str" cm="1">
        <f t="array" ref="M228">IFERROR(_xlfn.LET(_xlpm.films,Table4[Film],_xlpm.grades,Table4[Grade],_xlpm.pairs,_xlfn._xlws.FILTER(_xlfn.HSTACK(_xlpm.films,_xlpm.grades),(_xlpm.films&lt;&gt;"")*(TRIM(_xlpm.grades)&lt;&gt;"")),_xlpm.uniquePairs,_xlfn.UNIQUE(_xlpm.pairs),_xlpm.sortedPairs,_xlfn._xlws.SORT(_xlpm.uniquePairs,1,1),INDEX(_xlpm.sortedPairs,ROWS($M$2:M228),2)),"")</f>
        <v/>
      </c>
      <c r="N228" s="15" t="str" cm="1">
        <f t="array" ref="N228">IF(OR(Table2[[#This Row],[Film]]="",Table2[[#This Row],[Grade]]=""),"",IFERROR(INDEX(Table4[Serial Number],MATCH(1,(Table4[Film]=Table2[[#This Row],[Film]])*(Table4[Grade]=Table2[[#This Row],[Grade]]),0)),""))</f>
        <v/>
      </c>
      <c r="O228" s="52" t="str">
        <f>IF(OR(Table2[[#This Row],[Film]]="",Table2[[#This Row],[Grade]]=""),"",SUMIFS(Table4[Price Calculated(€) Thickness &amp; QTY related],Table4[Film],Table2[[#This Row],[Film]],Table4[Grade],Table2[[#This Row],[Grade]]))</f>
        <v/>
      </c>
      <c r="P228" s="6"/>
      <c r="T228" s="6"/>
    </row>
    <row r="229" spans="1:20">
      <c r="A229" s="29" t="s">
        <v>48</v>
      </c>
      <c r="B229" s="29" t="s">
        <v>6</v>
      </c>
      <c r="C229" s="28"/>
      <c r="D229" s="28" t="str">
        <f>IF(C229="","",IFERROR(_xlfn.XLOOKUP(C229,HELPER!$A$2:$A$81,HELPER!$B$2:$B$81,""),D229))</f>
        <v/>
      </c>
      <c r="E229" s="28" t="str">
        <f>IFERROR(_xlfn.XLOOKUP(D229,HELPER!$B:$B,HELPER!$C:$C,""),"")</f>
        <v/>
      </c>
      <c r="F229" s="27" t="str">
        <f>IFERROR(_xlfn.XLOOKUP(D229,HELPER!$B:$B,HELPER!$D:$D,""),"")</f>
        <v/>
      </c>
      <c r="G229" s="27">
        <v>8</v>
      </c>
      <c r="H229" s="47"/>
      <c r="I229" s="48" t="str">
        <f>IF(AND(H229&lt;&gt;"",IFERROR(_xlfn.XLOOKUP(D229,HELPER!$B:$B,HELPER!$E:$E,""),"")=""),"Missing price",IFERROR(_xlfn.XLOOKUP(D229,HELPER!$B:$B,HELPER!$E:$E,"")," "))</f>
        <v/>
      </c>
      <c r="J229" s="48" t="str">
        <f>IFERROR(H229*(IF(G229=8,I229*HELPER!$G$2,BOM!I229*HELPER!$G$3))," ")</f>
        <v xml:space="preserve"> </v>
      </c>
      <c r="K229" s="6"/>
      <c r="L229" s="14" t="str" cm="1">
        <f t="array" ref="L229">IFERROR(_xlfn.LET(_xlpm.films,Table4[Film],_xlpm.grades,Table4[Grade],_xlpm.pairs,_xlfn._xlws.FILTER(_xlfn.HSTACK(_xlpm.films,_xlpm.grades),(_xlpm.films&lt;&gt;"")*(TRIM(_xlpm.grades)&lt;&gt;"")),_xlpm.uniquePairs,_xlfn.UNIQUE(_xlpm.pairs),_xlpm.sortedPairs,_xlfn._xlws.SORT(_xlpm.uniquePairs,1,1),INDEX(_xlpm.sortedPairs,ROWS($L$2:L229),1)),"")</f>
        <v/>
      </c>
      <c r="M229" s="15" t="str" cm="1">
        <f t="array" ref="M229">IFERROR(_xlfn.LET(_xlpm.films,Table4[Film],_xlpm.grades,Table4[Grade],_xlpm.pairs,_xlfn._xlws.FILTER(_xlfn.HSTACK(_xlpm.films,_xlpm.grades),(_xlpm.films&lt;&gt;"")*(TRIM(_xlpm.grades)&lt;&gt;"")),_xlpm.uniquePairs,_xlfn.UNIQUE(_xlpm.pairs),_xlpm.sortedPairs,_xlfn._xlws.SORT(_xlpm.uniquePairs,1,1),INDEX(_xlpm.sortedPairs,ROWS($M$2:M229),2)),"")</f>
        <v/>
      </c>
      <c r="N229" s="15" t="str" cm="1">
        <f t="array" ref="N229">IF(OR(Table2[[#This Row],[Film]]="",Table2[[#This Row],[Grade]]=""),"",IFERROR(INDEX(Table4[Serial Number],MATCH(1,(Table4[Film]=Table2[[#This Row],[Film]])*(Table4[Grade]=Table2[[#This Row],[Grade]]),0)),""))</f>
        <v/>
      </c>
      <c r="O229" s="52" t="str">
        <f>IF(OR(Table2[[#This Row],[Film]]="",Table2[[#This Row],[Grade]]=""),"",SUMIFS(Table4[Price Calculated(€) Thickness &amp; QTY related],Table4[Film],Table2[[#This Row],[Film]],Table4[Grade],Table2[[#This Row],[Grade]]))</f>
        <v/>
      </c>
      <c r="P229" s="6"/>
      <c r="T229" s="6"/>
    </row>
    <row r="230" spans="1:20">
      <c r="A230" s="29" t="s">
        <v>48</v>
      </c>
      <c r="B230" s="29" t="s">
        <v>6</v>
      </c>
      <c r="C230" s="28"/>
      <c r="D230" s="28" t="str">
        <f>IF(C230="","",IFERROR(_xlfn.XLOOKUP(C230,HELPER!$A$2:$A$81,HELPER!$B$2:$B$81,""),D230))</f>
        <v/>
      </c>
      <c r="E230" s="28" t="str">
        <f>IFERROR(_xlfn.XLOOKUP(D230,HELPER!$B:$B,HELPER!$C:$C,""),"")</f>
        <v/>
      </c>
      <c r="F230" s="27" t="str">
        <f>IFERROR(_xlfn.XLOOKUP(D230,HELPER!$B:$B,HELPER!$D:$D,""),"")</f>
        <v/>
      </c>
      <c r="G230" s="27">
        <v>8</v>
      </c>
      <c r="H230" s="47"/>
      <c r="I230" s="48" t="str">
        <f>IF(AND(H230&lt;&gt;"",IFERROR(_xlfn.XLOOKUP(D230,HELPER!$B:$B,HELPER!$E:$E,""),"")=""),"Missing price",IFERROR(_xlfn.XLOOKUP(D230,HELPER!$B:$B,HELPER!$E:$E,"")," "))</f>
        <v/>
      </c>
      <c r="J230" s="48" t="str">
        <f>IFERROR(H230*(IF(G230=8,I230*HELPER!$G$2,BOM!I230*HELPER!$G$3))," ")</f>
        <v xml:space="preserve"> </v>
      </c>
      <c r="K230" s="6"/>
      <c r="L230" s="14" t="str" cm="1">
        <f t="array" ref="L230">IFERROR(_xlfn.LET(_xlpm.films,Table4[Film],_xlpm.grades,Table4[Grade],_xlpm.pairs,_xlfn._xlws.FILTER(_xlfn.HSTACK(_xlpm.films,_xlpm.grades),(_xlpm.films&lt;&gt;"")*(TRIM(_xlpm.grades)&lt;&gt;"")),_xlpm.uniquePairs,_xlfn.UNIQUE(_xlpm.pairs),_xlpm.sortedPairs,_xlfn._xlws.SORT(_xlpm.uniquePairs,1,1),INDEX(_xlpm.sortedPairs,ROWS($L$2:L230),1)),"")</f>
        <v/>
      </c>
      <c r="M230" s="15" t="str" cm="1">
        <f t="array" ref="M230">IFERROR(_xlfn.LET(_xlpm.films,Table4[Film],_xlpm.grades,Table4[Grade],_xlpm.pairs,_xlfn._xlws.FILTER(_xlfn.HSTACK(_xlpm.films,_xlpm.grades),(_xlpm.films&lt;&gt;"")*(TRIM(_xlpm.grades)&lt;&gt;"")),_xlpm.uniquePairs,_xlfn.UNIQUE(_xlpm.pairs),_xlpm.sortedPairs,_xlfn._xlws.SORT(_xlpm.uniquePairs,1,1),INDEX(_xlpm.sortedPairs,ROWS($M$2:M230),2)),"")</f>
        <v/>
      </c>
      <c r="N230" s="15" t="str" cm="1">
        <f t="array" ref="N230">IF(OR(Table2[[#This Row],[Film]]="",Table2[[#This Row],[Grade]]=""),"",IFERROR(INDEX(Table4[Serial Number],MATCH(1,(Table4[Film]=Table2[[#This Row],[Film]])*(Table4[Grade]=Table2[[#This Row],[Grade]]),0)),""))</f>
        <v/>
      </c>
      <c r="O230" s="52" t="str">
        <f>IF(OR(Table2[[#This Row],[Film]]="",Table2[[#This Row],[Grade]]=""),"",SUMIFS(Table4[Price Calculated(€) Thickness &amp; QTY related],Table4[Film],Table2[[#This Row],[Film]],Table4[Grade],Table2[[#This Row],[Grade]]))</f>
        <v/>
      </c>
      <c r="P230" s="6"/>
      <c r="T230" s="6"/>
    </row>
    <row r="231" spans="1:20">
      <c r="A231" s="29" t="s">
        <v>48</v>
      </c>
      <c r="B231" s="29" t="s">
        <v>6</v>
      </c>
      <c r="C231" s="28"/>
      <c r="D231" s="28" t="str">
        <f>IF(C231="","",IFERROR(_xlfn.XLOOKUP(C231,HELPER!$A$2:$A$81,HELPER!$B$2:$B$81,""),D231))</f>
        <v/>
      </c>
      <c r="E231" s="28" t="str">
        <f>IFERROR(_xlfn.XLOOKUP(D231,HELPER!$B:$B,HELPER!$C:$C,""),"")</f>
        <v/>
      </c>
      <c r="F231" s="27" t="str">
        <f>IFERROR(_xlfn.XLOOKUP(D231,HELPER!$B:$B,HELPER!$D:$D,""),"")</f>
        <v/>
      </c>
      <c r="G231" s="27">
        <v>8</v>
      </c>
      <c r="H231" s="47"/>
      <c r="I231" s="48" t="str">
        <f>IF(AND(H231&lt;&gt;"",IFERROR(_xlfn.XLOOKUP(D231,HELPER!$B:$B,HELPER!$E:$E,""),"")=""),"Missing price",IFERROR(_xlfn.XLOOKUP(D231,HELPER!$B:$B,HELPER!$E:$E,"")," "))</f>
        <v/>
      </c>
      <c r="J231" s="48" t="str">
        <f>IFERROR(H231*(IF(G231=8,I231*HELPER!$G$2,BOM!I231*HELPER!$G$3))," ")</f>
        <v xml:space="preserve"> </v>
      </c>
      <c r="K231" s="6"/>
      <c r="L231" s="14" t="str" cm="1">
        <f t="array" ref="L231">IFERROR(_xlfn.LET(_xlpm.films,Table4[Film],_xlpm.grades,Table4[Grade],_xlpm.pairs,_xlfn._xlws.FILTER(_xlfn.HSTACK(_xlpm.films,_xlpm.grades),(_xlpm.films&lt;&gt;"")*(TRIM(_xlpm.grades)&lt;&gt;"")),_xlpm.uniquePairs,_xlfn.UNIQUE(_xlpm.pairs),_xlpm.sortedPairs,_xlfn._xlws.SORT(_xlpm.uniquePairs,1,1),INDEX(_xlpm.sortedPairs,ROWS($L$2:L231),1)),"")</f>
        <v/>
      </c>
      <c r="M231" s="15" t="str" cm="1">
        <f t="array" ref="M231">IFERROR(_xlfn.LET(_xlpm.films,Table4[Film],_xlpm.grades,Table4[Grade],_xlpm.pairs,_xlfn._xlws.FILTER(_xlfn.HSTACK(_xlpm.films,_xlpm.grades),(_xlpm.films&lt;&gt;"")*(TRIM(_xlpm.grades)&lt;&gt;"")),_xlpm.uniquePairs,_xlfn.UNIQUE(_xlpm.pairs),_xlpm.sortedPairs,_xlfn._xlws.SORT(_xlpm.uniquePairs,1,1),INDEX(_xlpm.sortedPairs,ROWS($M$2:M231),2)),"")</f>
        <v/>
      </c>
      <c r="N231" s="15" t="str" cm="1">
        <f t="array" ref="N231">IF(OR(Table2[[#This Row],[Film]]="",Table2[[#This Row],[Grade]]=""),"",IFERROR(INDEX(Table4[Serial Number],MATCH(1,(Table4[Film]=Table2[[#This Row],[Film]])*(Table4[Grade]=Table2[[#This Row],[Grade]]),0)),""))</f>
        <v/>
      </c>
      <c r="O231" s="52" t="str">
        <f>IF(OR(Table2[[#This Row],[Film]]="",Table2[[#This Row],[Grade]]=""),"",SUMIFS(Table4[Price Calculated(€) Thickness &amp; QTY related],Table4[Film],Table2[[#This Row],[Film]],Table4[Grade],Table2[[#This Row],[Grade]]))</f>
        <v/>
      </c>
      <c r="P231" s="6"/>
      <c r="T231" s="6"/>
    </row>
    <row r="232" spans="1:20">
      <c r="A232" s="29" t="s">
        <v>48</v>
      </c>
      <c r="B232" s="29" t="s">
        <v>7</v>
      </c>
      <c r="C232" s="28" t="s">
        <v>14</v>
      </c>
      <c r="D232" s="28" t="str">
        <f>IF(C232="","",IFERROR(_xlfn.XLOOKUP(C232,HELPER!$A$2:$A$81,HELPER!$B$2:$B$81,""),D232))</f>
        <v>B12</v>
      </c>
      <c r="E232" s="28" t="str">
        <f>IFERROR(_xlfn.XLOOKUP(D232,HELPER!$B:$B,HELPER!$C:$C,""),"")</f>
        <v>RMB12</v>
      </c>
      <c r="F232" s="27" t="str">
        <f>IFERROR(_xlfn.XLOOKUP(D232,HELPER!$B:$B,HELPER!$D:$D,""),"")</f>
        <v>Resin 2A</v>
      </c>
      <c r="G232" s="27">
        <v>8</v>
      </c>
      <c r="H232" s="47">
        <v>0.69</v>
      </c>
      <c r="I232" s="48">
        <f>IF(AND(H232&lt;&gt;"",IFERROR(_xlfn.XLOOKUP(D232,HELPER!$B:$B,HELPER!$E:$E,""),"")=""),"Missing price",IFERROR(_xlfn.XLOOKUP(D232,HELPER!$B:$B,HELPER!$E:$E,"")," "))</f>
        <v>1.81</v>
      </c>
      <c r="J232" s="48">
        <f>IFERROR(H232*(IF(G232=8,I232*HELPER!$G$2,BOM!I232*HELPER!$G$3))," ")</f>
        <v>0.24978</v>
      </c>
      <c r="K232" s="6"/>
      <c r="L232" s="14" t="str" cm="1">
        <f t="array" ref="L232">IFERROR(_xlfn.LET(_xlpm.films,Table4[Film],_xlpm.grades,Table4[Grade],_xlpm.pairs,_xlfn._xlws.FILTER(_xlfn.HSTACK(_xlpm.films,_xlpm.grades),(_xlpm.films&lt;&gt;"")*(TRIM(_xlpm.grades)&lt;&gt;"")),_xlpm.uniquePairs,_xlfn.UNIQUE(_xlpm.pairs),_xlpm.sortedPairs,_xlfn._xlws.SORT(_xlpm.uniquePairs,1,1),INDEX(_xlpm.sortedPairs,ROWS($L$2:L232),1)),"")</f>
        <v/>
      </c>
      <c r="M232" s="15" t="str" cm="1">
        <f t="array" ref="M232">IFERROR(_xlfn.LET(_xlpm.films,Table4[Film],_xlpm.grades,Table4[Grade],_xlpm.pairs,_xlfn._xlws.FILTER(_xlfn.HSTACK(_xlpm.films,_xlpm.grades),(_xlpm.films&lt;&gt;"")*(TRIM(_xlpm.grades)&lt;&gt;"")),_xlpm.uniquePairs,_xlfn.UNIQUE(_xlpm.pairs),_xlpm.sortedPairs,_xlfn._xlws.SORT(_xlpm.uniquePairs,1,1),INDEX(_xlpm.sortedPairs,ROWS($M$2:M232),2)),"")</f>
        <v/>
      </c>
      <c r="N232" s="15" t="str" cm="1">
        <f t="array" ref="N232">IF(OR(Table2[[#This Row],[Film]]="",Table2[[#This Row],[Grade]]=""),"",IFERROR(INDEX(Table4[Serial Number],MATCH(1,(Table4[Film]=Table2[[#This Row],[Film]])*(Table4[Grade]=Table2[[#This Row],[Grade]]),0)),""))</f>
        <v/>
      </c>
      <c r="O232" s="52" t="str">
        <f>IF(OR(Table2[[#This Row],[Film]]="",Table2[[#This Row],[Grade]]=""),"",SUMIFS(Table4[Price Calculated(€) Thickness &amp; QTY related],Table4[Film],Table2[[#This Row],[Film]],Table4[Grade],Table2[[#This Row],[Grade]]))</f>
        <v/>
      </c>
      <c r="P232" s="6"/>
      <c r="T232" s="6"/>
    </row>
    <row r="233" spans="1:20">
      <c r="A233" s="29" t="s">
        <v>48</v>
      </c>
      <c r="B233" s="29" t="s">
        <v>7</v>
      </c>
      <c r="C233" s="28" t="s">
        <v>19</v>
      </c>
      <c r="D233" s="28" t="str">
        <f>IF(C233="","",IFERROR(_xlfn.XLOOKUP(C233,HELPER!$A$2:$A$81,HELPER!$B$2:$B$81,""),D233))</f>
        <v>BVE8049P</v>
      </c>
      <c r="E233" s="28" t="str">
        <f>IFERROR(_xlfn.XLOOKUP(D233,HELPER!$B:$B,HELPER!$C:$C,""),"")</f>
        <v>BVE8049P</v>
      </c>
      <c r="F233" s="27" t="str">
        <f>IFERROR(_xlfn.XLOOKUP(D233,HELPER!$B:$B,HELPER!$D:$D,""),"")</f>
        <v>BVE8049P</v>
      </c>
      <c r="G233" s="27">
        <v>8</v>
      </c>
      <c r="H233" s="47">
        <v>0.28999999999999998</v>
      </c>
      <c r="I233" s="48">
        <f>IF(AND(H233&lt;&gt;"",IFERROR(_xlfn.XLOOKUP(D233,HELPER!$B:$B,HELPER!$E:$E,""),"")=""),"Missing price",IFERROR(_xlfn.XLOOKUP(D233,HELPER!$B:$B,HELPER!$E:$E,"")," "))</f>
        <v>18.5</v>
      </c>
      <c r="J233" s="48">
        <f>IFERROR(H233*(IF(G233=8,I233*HELPER!$G$2,BOM!I233*HELPER!$G$3))," ")</f>
        <v>1.073</v>
      </c>
      <c r="K233" s="6"/>
      <c r="L233" s="14" t="str" cm="1">
        <f t="array" ref="L233">IFERROR(_xlfn.LET(_xlpm.films,Table4[Film],_xlpm.grades,Table4[Grade],_xlpm.pairs,_xlfn._xlws.FILTER(_xlfn.HSTACK(_xlpm.films,_xlpm.grades),(_xlpm.films&lt;&gt;"")*(TRIM(_xlpm.grades)&lt;&gt;"")),_xlpm.uniquePairs,_xlfn.UNIQUE(_xlpm.pairs),_xlpm.sortedPairs,_xlfn._xlws.SORT(_xlpm.uniquePairs,1,1),INDEX(_xlpm.sortedPairs,ROWS($L$2:L233),1)),"")</f>
        <v/>
      </c>
      <c r="M233" s="15" t="str" cm="1">
        <f t="array" ref="M233">IFERROR(_xlfn.LET(_xlpm.films,Table4[Film],_xlpm.grades,Table4[Grade],_xlpm.pairs,_xlfn._xlws.FILTER(_xlfn.HSTACK(_xlpm.films,_xlpm.grades),(_xlpm.films&lt;&gt;"")*(TRIM(_xlpm.grades)&lt;&gt;"")),_xlpm.uniquePairs,_xlfn.UNIQUE(_xlpm.pairs),_xlpm.sortedPairs,_xlfn._xlws.SORT(_xlpm.uniquePairs,1,1),INDEX(_xlpm.sortedPairs,ROWS($M$2:M233),2)),"")</f>
        <v/>
      </c>
      <c r="N233" s="15" t="str" cm="1">
        <f t="array" ref="N233">IF(OR(Table2[[#This Row],[Film]]="",Table2[[#This Row],[Grade]]=""),"",IFERROR(INDEX(Table4[Serial Number],MATCH(1,(Table4[Film]=Table2[[#This Row],[Film]])*(Table4[Grade]=Table2[[#This Row],[Grade]]),0)),""))</f>
        <v/>
      </c>
      <c r="O233" s="52" t="str">
        <f>IF(OR(Table2[[#This Row],[Film]]="",Table2[[#This Row],[Grade]]=""),"",SUMIFS(Table4[Price Calculated(€) Thickness &amp; QTY related],Table4[Film],Table2[[#This Row],[Film]],Table4[Grade],Table2[[#This Row],[Grade]]))</f>
        <v/>
      </c>
      <c r="P233" s="6"/>
      <c r="T233" s="6"/>
    </row>
    <row r="234" spans="1:20">
      <c r="A234" s="29" t="s">
        <v>48</v>
      </c>
      <c r="B234" s="29" t="s">
        <v>7</v>
      </c>
      <c r="C234" s="28" t="s">
        <v>16</v>
      </c>
      <c r="D234" s="28" t="str">
        <f>IF(C234="","",IFERROR(_xlfn.XLOOKUP(C234,HELPER!$A$2:$A$81,HELPER!$B$2:$B$81,""),D234))</f>
        <v>S723</v>
      </c>
      <c r="E234" s="28" t="str">
        <f>IFERROR(_xlfn.XLOOKUP(D234,HELPER!$B:$B,HELPER!$C:$C,""),"")</f>
        <v>RM TA45-08 S723</v>
      </c>
      <c r="F234" s="27" t="str">
        <f>IFERROR(_xlfn.XLOOKUP(D234,HELPER!$B:$B,HELPER!$D:$D,""),"")</f>
        <v>Resin 6</v>
      </c>
      <c r="G234" s="27">
        <v>8</v>
      </c>
      <c r="H234" s="47">
        <v>0.02</v>
      </c>
      <c r="I234" s="48">
        <f>IF(AND(H234&lt;&gt;"",IFERROR(_xlfn.XLOOKUP(D234,HELPER!$B:$B,HELPER!$E:$E,""),"")=""),"Missing price",IFERROR(_xlfn.XLOOKUP(D234,HELPER!$B:$B,HELPER!$E:$E,"")," "))</f>
        <v>16.16</v>
      </c>
      <c r="J234" s="48">
        <f>IFERROR(H234*(IF(G234=8,I234*HELPER!$G$2,BOM!I234*HELPER!$G$3))," ")</f>
        <v>6.4640000000000003E-2</v>
      </c>
      <c r="K234" s="6"/>
      <c r="L234" s="14" t="str" cm="1">
        <f t="array" ref="L234">IFERROR(_xlfn.LET(_xlpm.films,Table4[Film],_xlpm.grades,Table4[Grade],_xlpm.pairs,_xlfn._xlws.FILTER(_xlfn.HSTACK(_xlpm.films,_xlpm.grades),(_xlpm.films&lt;&gt;"")*(TRIM(_xlpm.grades)&lt;&gt;"")),_xlpm.uniquePairs,_xlfn.UNIQUE(_xlpm.pairs),_xlpm.sortedPairs,_xlfn._xlws.SORT(_xlpm.uniquePairs,1,1),INDEX(_xlpm.sortedPairs,ROWS($L$2:L234),1)),"")</f>
        <v/>
      </c>
      <c r="M234" s="15" t="str" cm="1">
        <f t="array" ref="M234">IFERROR(_xlfn.LET(_xlpm.films,Table4[Film],_xlpm.grades,Table4[Grade],_xlpm.pairs,_xlfn._xlws.FILTER(_xlfn.HSTACK(_xlpm.films,_xlpm.grades),(_xlpm.films&lt;&gt;"")*(TRIM(_xlpm.grades)&lt;&gt;"")),_xlpm.uniquePairs,_xlfn.UNIQUE(_xlpm.pairs),_xlpm.sortedPairs,_xlfn._xlws.SORT(_xlpm.uniquePairs,1,1),INDEX(_xlpm.sortedPairs,ROWS($M$2:M234),2)),"")</f>
        <v/>
      </c>
      <c r="N234" s="15" t="str" cm="1">
        <f t="array" ref="N234">IF(OR(Table2[[#This Row],[Film]]="",Table2[[#This Row],[Grade]]=""),"",IFERROR(INDEX(Table4[Serial Number],MATCH(1,(Table4[Film]=Table2[[#This Row],[Film]])*(Table4[Grade]=Table2[[#This Row],[Grade]]),0)),""))</f>
        <v/>
      </c>
      <c r="O234" s="52" t="str">
        <f>IF(OR(Table2[[#This Row],[Film]]="",Table2[[#This Row],[Grade]]=""),"",SUMIFS(Table4[Price Calculated(€) Thickness &amp; QTY related],Table4[Film],Table2[[#This Row],[Film]],Table4[Grade],Table2[[#This Row],[Grade]]))</f>
        <v/>
      </c>
      <c r="P234" s="6"/>
      <c r="T234" s="6"/>
    </row>
    <row r="235" spans="1:20">
      <c r="A235" s="29" t="s">
        <v>48</v>
      </c>
      <c r="B235" s="29" t="s">
        <v>7</v>
      </c>
      <c r="C235" s="28"/>
      <c r="D235" s="28" t="str">
        <f>IF(C235="","",IFERROR(_xlfn.XLOOKUP(C235,HELPER!$A$2:$A$81,HELPER!$B$2:$B$81,""),D235))</f>
        <v/>
      </c>
      <c r="E235" s="28" t="str">
        <f>IFERROR(_xlfn.XLOOKUP(D235,HELPER!$B:$B,HELPER!$C:$C,""),"")</f>
        <v/>
      </c>
      <c r="F235" s="27" t="str">
        <f>IFERROR(_xlfn.XLOOKUP(D235,HELPER!$B:$B,HELPER!$D:$D,""),"")</f>
        <v/>
      </c>
      <c r="G235" s="27">
        <v>8</v>
      </c>
      <c r="H235" s="47"/>
      <c r="I235" s="48" t="str">
        <f>IF(AND(H235&lt;&gt;"",IFERROR(_xlfn.XLOOKUP(D235,HELPER!$B:$B,HELPER!$E:$E,""),"")=""),"Missing price",IFERROR(_xlfn.XLOOKUP(D235,HELPER!$B:$B,HELPER!$E:$E,"")," "))</f>
        <v/>
      </c>
      <c r="J235" s="48" t="str">
        <f>IFERROR(H235*(IF(G235=8,I235*HELPER!$G$2,BOM!I235*HELPER!$G$3))," ")</f>
        <v xml:space="preserve"> </v>
      </c>
      <c r="K235" s="6"/>
      <c r="L235" s="14" t="str" cm="1">
        <f t="array" ref="L235">IFERROR(_xlfn.LET(_xlpm.films,Table4[Film],_xlpm.grades,Table4[Grade],_xlpm.pairs,_xlfn._xlws.FILTER(_xlfn.HSTACK(_xlpm.films,_xlpm.grades),(_xlpm.films&lt;&gt;"")*(TRIM(_xlpm.grades)&lt;&gt;"")),_xlpm.uniquePairs,_xlfn.UNIQUE(_xlpm.pairs),_xlpm.sortedPairs,_xlfn._xlws.SORT(_xlpm.uniquePairs,1,1),INDEX(_xlpm.sortedPairs,ROWS($L$2:L235),1)),"")</f>
        <v/>
      </c>
      <c r="M235" s="15" t="str" cm="1">
        <f t="array" ref="M235">IFERROR(_xlfn.LET(_xlpm.films,Table4[Film],_xlpm.grades,Table4[Grade],_xlpm.pairs,_xlfn._xlws.FILTER(_xlfn.HSTACK(_xlpm.films,_xlpm.grades),(_xlpm.films&lt;&gt;"")*(TRIM(_xlpm.grades)&lt;&gt;"")),_xlpm.uniquePairs,_xlfn.UNIQUE(_xlpm.pairs),_xlpm.sortedPairs,_xlfn._xlws.SORT(_xlpm.uniquePairs,1,1),INDEX(_xlpm.sortedPairs,ROWS($M$2:M235),2)),"")</f>
        <v/>
      </c>
      <c r="N235" s="15" t="str" cm="1">
        <f t="array" ref="N235">IF(OR(Table2[[#This Row],[Film]]="",Table2[[#This Row],[Grade]]=""),"",IFERROR(INDEX(Table4[Serial Number],MATCH(1,(Table4[Film]=Table2[[#This Row],[Film]])*(Table4[Grade]=Table2[[#This Row],[Grade]]),0)),""))</f>
        <v/>
      </c>
      <c r="O235" s="52" t="str">
        <f>IF(OR(Table2[[#This Row],[Film]]="",Table2[[#This Row],[Grade]]=""),"",SUMIFS(Table4[Price Calculated(€) Thickness &amp; QTY related],Table4[Film],Table2[[#This Row],[Film]],Table4[Grade],Table2[[#This Row],[Grade]]))</f>
        <v/>
      </c>
      <c r="P235" s="6"/>
      <c r="T235" s="6"/>
    </row>
    <row r="236" spans="1:20">
      <c r="A236" s="29" t="s">
        <v>48</v>
      </c>
      <c r="B236" s="29" t="s">
        <v>7</v>
      </c>
      <c r="C236" s="28"/>
      <c r="D236" s="28" t="str">
        <f>IF(C236="","",IFERROR(_xlfn.XLOOKUP(C236,HELPER!$A$2:$A$81,HELPER!$B$2:$B$81,""),D236))</f>
        <v/>
      </c>
      <c r="E236" s="28" t="str">
        <f>IFERROR(_xlfn.XLOOKUP(D236,HELPER!$B:$B,HELPER!$C:$C,""),"")</f>
        <v/>
      </c>
      <c r="F236" s="27" t="str">
        <f>IFERROR(_xlfn.XLOOKUP(D236,HELPER!$B:$B,HELPER!$D:$D,""),"")</f>
        <v/>
      </c>
      <c r="G236" s="27">
        <v>8</v>
      </c>
      <c r="H236" s="47"/>
      <c r="I236" s="48" t="str">
        <f>IF(AND(H236&lt;&gt;"",IFERROR(_xlfn.XLOOKUP(D236,HELPER!$B:$B,HELPER!$E:$E,""),"")=""),"Missing price",IFERROR(_xlfn.XLOOKUP(D236,HELPER!$B:$B,HELPER!$E:$E,"")," "))</f>
        <v/>
      </c>
      <c r="J236" s="48" t="str">
        <f>IFERROR(H236*(IF(G236=8,I236*HELPER!$G$2,BOM!I236*HELPER!$G$3))," ")</f>
        <v xml:space="preserve"> </v>
      </c>
      <c r="K236" s="6"/>
      <c r="L236" s="14" t="str" cm="1">
        <f t="array" ref="L236">IFERROR(_xlfn.LET(_xlpm.films,Table4[Film],_xlpm.grades,Table4[Grade],_xlpm.pairs,_xlfn._xlws.FILTER(_xlfn.HSTACK(_xlpm.films,_xlpm.grades),(_xlpm.films&lt;&gt;"")*(TRIM(_xlpm.grades)&lt;&gt;"")),_xlpm.uniquePairs,_xlfn.UNIQUE(_xlpm.pairs),_xlpm.sortedPairs,_xlfn._xlws.SORT(_xlpm.uniquePairs,1,1),INDEX(_xlpm.sortedPairs,ROWS($L$2:L236),1)),"")</f>
        <v/>
      </c>
      <c r="M236" s="15" t="str" cm="1">
        <f t="array" ref="M236">IFERROR(_xlfn.LET(_xlpm.films,Table4[Film],_xlpm.grades,Table4[Grade],_xlpm.pairs,_xlfn._xlws.FILTER(_xlfn.HSTACK(_xlpm.films,_xlpm.grades),(_xlpm.films&lt;&gt;"")*(TRIM(_xlpm.grades)&lt;&gt;"")),_xlpm.uniquePairs,_xlfn.UNIQUE(_xlpm.pairs),_xlpm.sortedPairs,_xlfn._xlws.SORT(_xlpm.uniquePairs,1,1),INDEX(_xlpm.sortedPairs,ROWS($M$2:M236),2)),"")</f>
        <v/>
      </c>
      <c r="N236" s="15" t="str" cm="1">
        <f t="array" ref="N236">IF(OR(Table2[[#This Row],[Film]]="",Table2[[#This Row],[Grade]]=""),"",IFERROR(INDEX(Table4[Serial Number],MATCH(1,(Table4[Film]=Table2[[#This Row],[Film]])*(Table4[Grade]=Table2[[#This Row],[Grade]]),0)),""))</f>
        <v/>
      </c>
      <c r="O236" s="52" t="str">
        <f>IF(OR(Table2[[#This Row],[Film]]="",Table2[[#This Row],[Grade]]=""),"",SUMIFS(Table4[Price Calculated(€) Thickness &amp; QTY related],Table4[Film],Table2[[#This Row],[Film]],Table4[Grade],Table2[[#This Row],[Grade]]))</f>
        <v/>
      </c>
      <c r="P236" s="6"/>
      <c r="T236" s="6"/>
    </row>
    <row r="237" spans="1:20">
      <c r="A237" s="29" t="s">
        <v>48</v>
      </c>
      <c r="B237" s="29" t="s">
        <v>7</v>
      </c>
      <c r="C237" s="28"/>
      <c r="D237" s="28" t="str">
        <f>IF(C237="","",IFERROR(_xlfn.XLOOKUP(C237,HELPER!$A$2:$A$81,HELPER!$B$2:$B$81,""),D237))</f>
        <v/>
      </c>
      <c r="E237" s="28" t="str">
        <f>IFERROR(_xlfn.XLOOKUP(D237,HELPER!$B:$B,HELPER!$C:$C,""),"")</f>
        <v/>
      </c>
      <c r="F237" s="27" t="str">
        <f>IFERROR(_xlfn.XLOOKUP(D237,HELPER!$B:$B,HELPER!$D:$D,""),"")</f>
        <v/>
      </c>
      <c r="G237" s="27">
        <v>8</v>
      </c>
      <c r="H237" s="47"/>
      <c r="I237" s="48" t="str">
        <f>IF(AND(H237&lt;&gt;"",IFERROR(_xlfn.XLOOKUP(D237,HELPER!$B:$B,HELPER!$E:$E,""),"")=""),"Missing price",IFERROR(_xlfn.XLOOKUP(D237,HELPER!$B:$B,HELPER!$E:$E,"")," "))</f>
        <v/>
      </c>
      <c r="J237" s="48" t="str">
        <f>IFERROR(H237*(IF(G237=8,I237*HELPER!$G$2,BOM!I237*HELPER!$G$3))," ")</f>
        <v xml:space="preserve"> </v>
      </c>
      <c r="K237" s="6"/>
      <c r="L237" s="14" t="str" cm="1">
        <f t="array" ref="L237">IFERROR(_xlfn.LET(_xlpm.films,Table4[Film],_xlpm.grades,Table4[Grade],_xlpm.pairs,_xlfn._xlws.FILTER(_xlfn.HSTACK(_xlpm.films,_xlpm.grades),(_xlpm.films&lt;&gt;"")*(TRIM(_xlpm.grades)&lt;&gt;"")),_xlpm.uniquePairs,_xlfn.UNIQUE(_xlpm.pairs),_xlpm.sortedPairs,_xlfn._xlws.SORT(_xlpm.uniquePairs,1,1),INDEX(_xlpm.sortedPairs,ROWS($L$2:L237),1)),"")</f>
        <v/>
      </c>
      <c r="M237" s="15" t="str" cm="1">
        <f t="array" ref="M237">IFERROR(_xlfn.LET(_xlpm.films,Table4[Film],_xlpm.grades,Table4[Grade],_xlpm.pairs,_xlfn._xlws.FILTER(_xlfn.HSTACK(_xlpm.films,_xlpm.grades),(_xlpm.films&lt;&gt;"")*(TRIM(_xlpm.grades)&lt;&gt;"")),_xlpm.uniquePairs,_xlfn.UNIQUE(_xlpm.pairs),_xlpm.sortedPairs,_xlfn._xlws.SORT(_xlpm.uniquePairs,1,1),INDEX(_xlpm.sortedPairs,ROWS($M$2:M237),2)),"")</f>
        <v/>
      </c>
      <c r="N237" s="15" t="str" cm="1">
        <f t="array" ref="N237">IF(OR(Table2[[#This Row],[Film]]="",Table2[[#This Row],[Grade]]=""),"",IFERROR(INDEX(Table4[Serial Number],MATCH(1,(Table4[Film]=Table2[[#This Row],[Film]])*(Table4[Grade]=Table2[[#This Row],[Grade]]),0)),""))</f>
        <v/>
      </c>
      <c r="O237" s="52" t="str">
        <f>IF(OR(Table2[[#This Row],[Film]]="",Table2[[#This Row],[Grade]]=""),"",SUMIFS(Table4[Price Calculated(€) Thickness &amp; QTY related],Table4[Film],Table2[[#This Row],[Film]],Table4[Grade],Table2[[#This Row],[Grade]]))</f>
        <v/>
      </c>
      <c r="P237" s="6"/>
      <c r="T237" s="6"/>
    </row>
    <row r="238" spans="1:20">
      <c r="A238" s="29" t="s">
        <v>48</v>
      </c>
      <c r="B238" s="29" t="s">
        <v>7</v>
      </c>
      <c r="C238" s="28"/>
      <c r="D238" s="28" t="str">
        <f>IF(C238="","",IFERROR(_xlfn.XLOOKUP(C238,HELPER!$A$2:$A$81,HELPER!$B$2:$B$81,""),D238))</f>
        <v/>
      </c>
      <c r="E238" s="28" t="str">
        <f>IFERROR(_xlfn.XLOOKUP(D238,HELPER!$B:$B,HELPER!$C:$C,""),"")</f>
        <v/>
      </c>
      <c r="F238" s="27" t="str">
        <f>IFERROR(_xlfn.XLOOKUP(D238,HELPER!$B:$B,HELPER!$D:$D,""),"")</f>
        <v/>
      </c>
      <c r="G238" s="27">
        <v>8</v>
      </c>
      <c r="H238" s="47"/>
      <c r="I238" s="48" t="str">
        <f>IF(AND(H238&lt;&gt;"",IFERROR(_xlfn.XLOOKUP(D238,HELPER!$B:$B,HELPER!$E:$E,""),"")=""),"Missing price",IFERROR(_xlfn.XLOOKUP(D238,HELPER!$B:$B,HELPER!$E:$E,"")," "))</f>
        <v/>
      </c>
      <c r="J238" s="48" t="str">
        <f>IFERROR(H238*(IF(G238=8,I238*HELPER!$G$2,BOM!I238*HELPER!$G$3))," ")</f>
        <v xml:space="preserve"> </v>
      </c>
      <c r="K238" s="6"/>
      <c r="L238" s="14" t="str" cm="1">
        <f t="array" ref="L238">IFERROR(_xlfn.LET(_xlpm.films,Table4[Film],_xlpm.grades,Table4[Grade],_xlpm.pairs,_xlfn._xlws.FILTER(_xlfn.HSTACK(_xlpm.films,_xlpm.grades),(_xlpm.films&lt;&gt;"")*(TRIM(_xlpm.grades)&lt;&gt;"")),_xlpm.uniquePairs,_xlfn.UNIQUE(_xlpm.pairs),_xlpm.sortedPairs,_xlfn._xlws.SORT(_xlpm.uniquePairs,1,1),INDEX(_xlpm.sortedPairs,ROWS($L$2:L238),1)),"")</f>
        <v/>
      </c>
      <c r="M238" s="15" t="str" cm="1">
        <f t="array" ref="M238">IFERROR(_xlfn.LET(_xlpm.films,Table4[Film],_xlpm.grades,Table4[Grade],_xlpm.pairs,_xlfn._xlws.FILTER(_xlfn.HSTACK(_xlpm.films,_xlpm.grades),(_xlpm.films&lt;&gt;"")*(TRIM(_xlpm.grades)&lt;&gt;"")),_xlpm.uniquePairs,_xlfn.UNIQUE(_xlpm.pairs),_xlpm.sortedPairs,_xlfn._xlws.SORT(_xlpm.uniquePairs,1,1),INDEX(_xlpm.sortedPairs,ROWS($M$2:M238),2)),"")</f>
        <v/>
      </c>
      <c r="N238" s="15" t="str" cm="1">
        <f t="array" ref="N238">IF(OR(Table2[[#This Row],[Film]]="",Table2[[#This Row],[Grade]]=""),"",IFERROR(INDEX(Table4[Serial Number],MATCH(1,(Table4[Film]=Table2[[#This Row],[Film]])*(Table4[Grade]=Table2[[#This Row],[Grade]]),0)),""))</f>
        <v/>
      </c>
      <c r="O238" s="52" t="str">
        <f>IF(OR(Table2[[#This Row],[Film]]="",Table2[[#This Row],[Grade]]=""),"",SUMIFS(Table4[Price Calculated(€) Thickness &amp; QTY related],Table4[Film],Table2[[#This Row],[Film]],Table4[Grade],Table2[[#This Row],[Grade]]))</f>
        <v/>
      </c>
      <c r="P238" s="6"/>
      <c r="T238" s="6"/>
    </row>
    <row r="239" spans="1:20">
      <c r="A239" s="29" t="s">
        <v>48</v>
      </c>
      <c r="B239" s="29" t="s">
        <v>7</v>
      </c>
      <c r="C239" s="28"/>
      <c r="D239" s="28" t="str">
        <f>IF(C239="","",IFERROR(_xlfn.XLOOKUP(C239,HELPER!$A$2:$A$81,HELPER!$B$2:$B$81,""),D239))</f>
        <v/>
      </c>
      <c r="E239" s="28" t="str">
        <f>IFERROR(_xlfn.XLOOKUP(D239,HELPER!$B:$B,HELPER!$C:$C,""),"")</f>
        <v/>
      </c>
      <c r="F239" s="27" t="str">
        <f>IFERROR(_xlfn.XLOOKUP(D239,HELPER!$B:$B,HELPER!$D:$D,""),"")</f>
        <v/>
      </c>
      <c r="G239" s="27">
        <v>8</v>
      </c>
      <c r="H239" s="47"/>
      <c r="I239" s="48" t="str">
        <f>IF(AND(H239&lt;&gt;"",IFERROR(_xlfn.XLOOKUP(D239,HELPER!$B:$B,HELPER!$E:$E,""),"")=""),"Missing price",IFERROR(_xlfn.XLOOKUP(D239,HELPER!$B:$B,HELPER!$E:$E,"")," "))</f>
        <v/>
      </c>
      <c r="J239" s="48" t="str">
        <f>IFERROR(H239*(IF(G239=8,I239*HELPER!$G$2,BOM!I239*HELPER!$G$3))," ")</f>
        <v xml:space="preserve"> </v>
      </c>
      <c r="K239" s="6"/>
      <c r="L239" s="14" t="str" cm="1">
        <f t="array" ref="L239">IFERROR(_xlfn.LET(_xlpm.films,Table4[Film],_xlpm.grades,Table4[Grade],_xlpm.pairs,_xlfn._xlws.FILTER(_xlfn.HSTACK(_xlpm.films,_xlpm.grades),(_xlpm.films&lt;&gt;"")*(TRIM(_xlpm.grades)&lt;&gt;"")),_xlpm.uniquePairs,_xlfn.UNIQUE(_xlpm.pairs),_xlpm.sortedPairs,_xlfn._xlws.SORT(_xlpm.uniquePairs,1,1),INDEX(_xlpm.sortedPairs,ROWS($L$2:L239),1)),"")</f>
        <v/>
      </c>
      <c r="M239" s="15" t="str" cm="1">
        <f t="array" ref="M239">IFERROR(_xlfn.LET(_xlpm.films,Table4[Film],_xlpm.grades,Table4[Grade],_xlpm.pairs,_xlfn._xlws.FILTER(_xlfn.HSTACK(_xlpm.films,_xlpm.grades),(_xlpm.films&lt;&gt;"")*(TRIM(_xlpm.grades)&lt;&gt;"")),_xlpm.uniquePairs,_xlfn.UNIQUE(_xlpm.pairs),_xlpm.sortedPairs,_xlfn._xlws.SORT(_xlpm.uniquePairs,1,1),INDEX(_xlpm.sortedPairs,ROWS($M$2:M239),2)),"")</f>
        <v/>
      </c>
      <c r="N239" s="15" t="str" cm="1">
        <f t="array" ref="N239">IF(OR(Table2[[#This Row],[Film]]="",Table2[[#This Row],[Grade]]=""),"",IFERROR(INDEX(Table4[Serial Number],MATCH(1,(Table4[Film]=Table2[[#This Row],[Film]])*(Table4[Grade]=Table2[[#This Row],[Grade]]),0)),""))</f>
        <v/>
      </c>
      <c r="O239" s="52" t="str">
        <f>IF(OR(Table2[[#This Row],[Film]]="",Table2[[#This Row],[Grade]]=""),"",SUMIFS(Table4[Price Calculated(€) Thickness &amp; QTY related],Table4[Film],Table2[[#This Row],[Film]],Table4[Grade],Table2[[#This Row],[Grade]]))</f>
        <v/>
      </c>
      <c r="P239" s="6"/>
      <c r="T239" s="6"/>
    </row>
    <row r="240" spans="1:20">
      <c r="A240" s="29" t="s">
        <v>48</v>
      </c>
      <c r="B240" s="29" t="s">
        <v>7</v>
      </c>
      <c r="C240" s="28"/>
      <c r="D240" s="28" t="str">
        <f>IF(C240="","",IFERROR(_xlfn.XLOOKUP(C240,HELPER!$A$2:$A$81,HELPER!$B$2:$B$81,""),D240))</f>
        <v/>
      </c>
      <c r="E240" s="28" t="str">
        <f>IFERROR(_xlfn.XLOOKUP(D240,HELPER!$B:$B,HELPER!$C:$C,""),"")</f>
        <v/>
      </c>
      <c r="F240" s="27" t="str">
        <f>IFERROR(_xlfn.XLOOKUP(D240,HELPER!$B:$B,HELPER!$D:$D,""),"")</f>
        <v/>
      </c>
      <c r="G240" s="27">
        <v>8</v>
      </c>
      <c r="H240" s="47"/>
      <c r="I240" s="48" t="str">
        <f>IF(AND(H240&lt;&gt;"",IFERROR(_xlfn.XLOOKUP(D240,HELPER!$B:$B,HELPER!$E:$E,""),"")=""),"Missing price",IFERROR(_xlfn.XLOOKUP(D240,HELPER!$B:$B,HELPER!$E:$E,"")," "))</f>
        <v/>
      </c>
      <c r="J240" s="48" t="str">
        <f>IFERROR(H240*(IF(G240=8,I240*HELPER!$G$2,BOM!I240*HELPER!$G$3))," ")</f>
        <v xml:space="preserve"> </v>
      </c>
      <c r="K240" s="6"/>
      <c r="L240" s="14" t="str" cm="1">
        <f t="array" ref="L240">IFERROR(_xlfn.LET(_xlpm.films,Table4[Film],_xlpm.grades,Table4[Grade],_xlpm.pairs,_xlfn._xlws.FILTER(_xlfn.HSTACK(_xlpm.films,_xlpm.grades),(_xlpm.films&lt;&gt;"")*(TRIM(_xlpm.grades)&lt;&gt;"")),_xlpm.uniquePairs,_xlfn.UNIQUE(_xlpm.pairs),_xlpm.sortedPairs,_xlfn._xlws.SORT(_xlpm.uniquePairs,1,1),INDEX(_xlpm.sortedPairs,ROWS($L$2:L240),1)),"")</f>
        <v/>
      </c>
      <c r="M240" s="15" t="str" cm="1">
        <f t="array" ref="M240">IFERROR(_xlfn.LET(_xlpm.films,Table4[Film],_xlpm.grades,Table4[Grade],_xlpm.pairs,_xlfn._xlws.FILTER(_xlfn.HSTACK(_xlpm.films,_xlpm.grades),(_xlpm.films&lt;&gt;"")*(TRIM(_xlpm.grades)&lt;&gt;"")),_xlpm.uniquePairs,_xlfn.UNIQUE(_xlpm.pairs),_xlpm.sortedPairs,_xlfn._xlws.SORT(_xlpm.uniquePairs,1,1),INDEX(_xlpm.sortedPairs,ROWS($M$2:M240),2)),"")</f>
        <v/>
      </c>
      <c r="N240" s="15" t="str" cm="1">
        <f t="array" ref="N240">IF(OR(Table2[[#This Row],[Film]]="",Table2[[#This Row],[Grade]]=""),"",IFERROR(INDEX(Table4[Serial Number],MATCH(1,(Table4[Film]=Table2[[#This Row],[Film]])*(Table4[Grade]=Table2[[#This Row],[Grade]]),0)),""))</f>
        <v/>
      </c>
      <c r="O240" s="52" t="str">
        <f>IF(OR(Table2[[#This Row],[Film]]="",Table2[[#This Row],[Grade]]=""),"",SUMIFS(Table4[Price Calculated(€) Thickness &amp; QTY related],Table4[Film],Table2[[#This Row],[Film]],Table4[Grade],Table2[[#This Row],[Grade]]))</f>
        <v/>
      </c>
      <c r="P240" s="6"/>
      <c r="T240" s="6"/>
    </row>
    <row r="241" spans="1:20">
      <c r="A241" s="29" t="s">
        <v>48</v>
      </c>
      <c r="B241" s="29" t="s">
        <v>7</v>
      </c>
      <c r="C241" s="28"/>
      <c r="D241" s="28" t="str">
        <f>IF(C241="","",IFERROR(_xlfn.XLOOKUP(C241,HELPER!$A$2:$A$81,HELPER!$B$2:$B$81,""),D241))</f>
        <v/>
      </c>
      <c r="E241" s="28" t="str">
        <f>IFERROR(_xlfn.XLOOKUP(D241,HELPER!$B:$B,HELPER!$C:$C,""),"")</f>
        <v/>
      </c>
      <c r="F241" s="27" t="str">
        <f>IFERROR(_xlfn.XLOOKUP(D241,HELPER!$B:$B,HELPER!$D:$D,""),"")</f>
        <v/>
      </c>
      <c r="G241" s="27">
        <v>8</v>
      </c>
      <c r="H241" s="47"/>
      <c r="I241" s="48" t="str">
        <f>IF(AND(H241&lt;&gt;"",IFERROR(_xlfn.XLOOKUP(D241,HELPER!$B:$B,HELPER!$E:$E,""),"")=""),"Missing price",IFERROR(_xlfn.XLOOKUP(D241,HELPER!$B:$B,HELPER!$E:$E,"")," "))</f>
        <v/>
      </c>
      <c r="J241" s="48" t="str">
        <f>IFERROR(H241*(IF(G241=8,I241*HELPER!$G$2,BOM!I241*HELPER!$G$3))," ")</f>
        <v xml:space="preserve"> </v>
      </c>
      <c r="K241" s="6"/>
      <c r="L241" s="14" t="str" cm="1">
        <f t="array" ref="L241">IFERROR(_xlfn.LET(_xlpm.films,Table4[Film],_xlpm.grades,Table4[Grade],_xlpm.pairs,_xlfn._xlws.FILTER(_xlfn.HSTACK(_xlpm.films,_xlpm.grades),(_xlpm.films&lt;&gt;"")*(TRIM(_xlpm.grades)&lt;&gt;"")),_xlpm.uniquePairs,_xlfn.UNIQUE(_xlpm.pairs),_xlpm.sortedPairs,_xlfn._xlws.SORT(_xlpm.uniquePairs,1,1),INDEX(_xlpm.sortedPairs,ROWS($L$2:L241),1)),"")</f>
        <v/>
      </c>
      <c r="M241" s="15" t="str" cm="1">
        <f t="array" ref="M241">IFERROR(_xlfn.LET(_xlpm.films,Table4[Film],_xlpm.grades,Table4[Grade],_xlpm.pairs,_xlfn._xlws.FILTER(_xlfn.HSTACK(_xlpm.films,_xlpm.grades),(_xlpm.films&lt;&gt;"")*(TRIM(_xlpm.grades)&lt;&gt;"")),_xlpm.uniquePairs,_xlfn.UNIQUE(_xlpm.pairs),_xlpm.sortedPairs,_xlfn._xlws.SORT(_xlpm.uniquePairs,1,1),INDEX(_xlpm.sortedPairs,ROWS($M$2:M241),2)),"")</f>
        <v/>
      </c>
      <c r="N241" s="15" t="str" cm="1">
        <f t="array" ref="N241">IF(OR(Table2[[#This Row],[Film]]="",Table2[[#This Row],[Grade]]=""),"",IFERROR(INDEX(Table4[Serial Number],MATCH(1,(Table4[Film]=Table2[[#This Row],[Film]])*(Table4[Grade]=Table2[[#This Row],[Grade]]),0)),""))</f>
        <v/>
      </c>
      <c r="O241" s="52" t="str">
        <f>IF(OR(Table2[[#This Row],[Film]]="",Table2[[#This Row],[Grade]]=""),"",SUMIFS(Table4[Price Calculated(€) Thickness &amp; QTY related],Table4[Film],Table2[[#This Row],[Film]],Table4[Grade],Table2[[#This Row],[Grade]]))</f>
        <v/>
      </c>
      <c r="P241" s="6"/>
      <c r="T241" s="6"/>
    </row>
    <row r="242" spans="1:20">
      <c r="A242" s="29" t="s">
        <v>49</v>
      </c>
      <c r="B242" s="29" t="s">
        <v>5</v>
      </c>
      <c r="C242" s="28" t="s">
        <v>13</v>
      </c>
      <c r="D242" s="28" t="str">
        <f>IF(C242="","",IFERROR(_xlfn.XLOOKUP(C242,HELPER!$A$2:$A$81,HELPER!$B$2:$B$81,""),D242))</f>
        <v>LX175</v>
      </c>
      <c r="E242" s="28" t="str">
        <f>IFERROR(_xlfn.XLOOKUP(D242,HELPER!$B:$B,HELPER!$C:$C,""),"")</f>
        <v>RMLX175</v>
      </c>
      <c r="F242" s="27" t="str">
        <f>IFERROR(_xlfn.XLOOKUP(D242,HELPER!$B:$B,HELPER!$D:$D,""),"")</f>
        <v>Resin 1A</v>
      </c>
      <c r="G242" s="27">
        <v>24</v>
      </c>
      <c r="H242" s="47">
        <v>0.79</v>
      </c>
      <c r="I242" s="48">
        <f>IF(AND(H242&lt;&gt;"",IFERROR(_xlfn.XLOOKUP(D242,HELPER!$B:$B,HELPER!$E:$E,""),"")=""),"Missing price",IFERROR(_xlfn.XLOOKUP(D242,HELPER!$B:$B,HELPER!$E:$E,"")," "))</f>
        <v>3.17</v>
      </c>
      <c r="J242" s="48">
        <f>IFERROR(H242*(IF(G242=8,I242*HELPER!$G$2,BOM!I242*HELPER!$G$3))," ")</f>
        <v>1.50258</v>
      </c>
      <c r="K242" s="6"/>
      <c r="L242" s="14" t="str" cm="1">
        <f t="array" ref="L242">IFERROR(_xlfn.LET(_xlpm.films,Table4[Film],_xlpm.grades,Table4[Grade],_xlpm.pairs,_xlfn._xlws.FILTER(_xlfn.HSTACK(_xlpm.films,_xlpm.grades),(_xlpm.films&lt;&gt;"")*(TRIM(_xlpm.grades)&lt;&gt;"")),_xlpm.uniquePairs,_xlfn.UNIQUE(_xlpm.pairs),_xlpm.sortedPairs,_xlfn._xlws.SORT(_xlpm.uniquePairs,1,1),INDEX(_xlpm.sortedPairs,ROWS($L$2:L242),1)),"")</f>
        <v/>
      </c>
      <c r="M242" s="15" t="str" cm="1">
        <f t="array" ref="M242">IFERROR(_xlfn.LET(_xlpm.films,Table4[Film],_xlpm.grades,Table4[Grade],_xlpm.pairs,_xlfn._xlws.FILTER(_xlfn.HSTACK(_xlpm.films,_xlpm.grades),(_xlpm.films&lt;&gt;"")*(TRIM(_xlpm.grades)&lt;&gt;"")),_xlpm.uniquePairs,_xlfn.UNIQUE(_xlpm.pairs),_xlpm.sortedPairs,_xlfn._xlws.SORT(_xlpm.uniquePairs,1,1),INDEX(_xlpm.sortedPairs,ROWS($M$2:M242),2)),"")</f>
        <v/>
      </c>
      <c r="N242" s="15" t="str" cm="1">
        <f t="array" ref="N242">IF(OR(Table2[[#This Row],[Film]]="",Table2[[#This Row],[Grade]]=""),"",IFERROR(INDEX(Table4[Serial Number],MATCH(1,(Table4[Film]=Table2[[#This Row],[Film]])*(Table4[Grade]=Table2[[#This Row],[Grade]]),0)),""))</f>
        <v/>
      </c>
      <c r="O242" s="52" t="str">
        <f>IF(OR(Table2[[#This Row],[Film]]="",Table2[[#This Row],[Grade]]=""),"",SUMIFS(Table4[Price Calculated(€) Thickness &amp; QTY related],Table4[Film],Table2[[#This Row],[Film]],Table4[Grade],Table2[[#This Row],[Grade]]))</f>
        <v/>
      </c>
      <c r="P242" s="6"/>
      <c r="T242" s="6"/>
    </row>
    <row r="243" spans="1:20">
      <c r="A243" s="29" t="s">
        <v>49</v>
      </c>
      <c r="B243" s="29" t="s">
        <v>5</v>
      </c>
      <c r="C243" s="28" t="s">
        <v>15</v>
      </c>
      <c r="D243" s="28" t="str">
        <f>IF(C243="","",IFERROR(_xlfn.XLOOKUP(C243,HELPER!$A$2:$A$81,HELPER!$B$2:$B$81,""),D243))</f>
        <v>P65D</v>
      </c>
      <c r="E243" s="28" t="str">
        <f>IFERROR(_xlfn.XLOOKUP(D243,HELPER!$B:$B,HELPER!$C:$C,""),"")</f>
        <v>RMP65D</v>
      </c>
      <c r="F243" s="27" t="str">
        <f>IFERROR(_xlfn.XLOOKUP(D243,HELPER!$B:$B,HELPER!$D:$D,""),"")</f>
        <v>Resin 4A</v>
      </c>
      <c r="G243" s="27">
        <v>24</v>
      </c>
      <c r="H243" s="47">
        <v>0.19</v>
      </c>
      <c r="I243" s="48">
        <f>IF(AND(H243&lt;&gt;"",IFERROR(_xlfn.XLOOKUP(D243,HELPER!$B:$B,HELPER!$E:$E,""),"")=""),"Missing price",IFERROR(_xlfn.XLOOKUP(D243,HELPER!$B:$B,HELPER!$E:$E,"")," "))</f>
        <v>7.3</v>
      </c>
      <c r="J243" s="48">
        <f>IFERROR(H243*(IF(G243=8,I243*HELPER!$G$2,BOM!I243*HELPER!$G$3))," ")</f>
        <v>0.83219999999999994</v>
      </c>
      <c r="K243" s="6"/>
      <c r="L243" s="14" t="str" cm="1">
        <f t="array" ref="L243">IFERROR(_xlfn.LET(_xlpm.films,Table4[Film],_xlpm.grades,Table4[Grade],_xlpm.pairs,_xlfn._xlws.FILTER(_xlfn.HSTACK(_xlpm.films,_xlpm.grades),(_xlpm.films&lt;&gt;"")*(TRIM(_xlpm.grades)&lt;&gt;"")),_xlpm.uniquePairs,_xlfn.UNIQUE(_xlpm.pairs),_xlpm.sortedPairs,_xlfn._xlws.SORT(_xlpm.uniquePairs,1,1),INDEX(_xlpm.sortedPairs,ROWS($L$2:L243),1)),"")</f>
        <v/>
      </c>
      <c r="M243" s="15" t="str" cm="1">
        <f t="array" ref="M243">IFERROR(_xlfn.LET(_xlpm.films,Table4[Film],_xlpm.grades,Table4[Grade],_xlpm.pairs,_xlfn._xlws.FILTER(_xlfn.HSTACK(_xlpm.films,_xlpm.grades),(_xlpm.films&lt;&gt;"")*(TRIM(_xlpm.grades)&lt;&gt;"")),_xlpm.uniquePairs,_xlfn.UNIQUE(_xlpm.pairs),_xlpm.sortedPairs,_xlfn._xlws.SORT(_xlpm.uniquePairs,1,1),INDEX(_xlpm.sortedPairs,ROWS($M$2:M243),2)),"")</f>
        <v/>
      </c>
      <c r="N243" s="15" t="str" cm="1">
        <f t="array" ref="N243">IF(OR(Table2[[#This Row],[Film]]="",Table2[[#This Row],[Grade]]=""),"",IFERROR(INDEX(Table4[Serial Number],MATCH(1,(Table4[Film]=Table2[[#This Row],[Film]])*(Table4[Grade]=Table2[[#This Row],[Grade]]),0)),""))</f>
        <v/>
      </c>
      <c r="O243" s="52" t="str">
        <f>IF(OR(Table2[[#This Row],[Film]]="",Table2[[#This Row],[Grade]]=""),"",SUMIFS(Table4[Price Calculated(€) Thickness &amp; QTY related],Table4[Film],Table2[[#This Row],[Film]],Table4[Grade],Table2[[#This Row],[Grade]]))</f>
        <v/>
      </c>
      <c r="P243" s="6"/>
      <c r="T243" s="6"/>
    </row>
    <row r="244" spans="1:20">
      <c r="A244" s="29" t="s">
        <v>49</v>
      </c>
      <c r="B244" s="29" t="s">
        <v>5</v>
      </c>
      <c r="C244" s="28" t="s">
        <v>16</v>
      </c>
      <c r="D244" s="28" t="str">
        <f>IF(C244="","",IFERROR(_xlfn.XLOOKUP(C244,HELPER!$A$2:$A$81,HELPER!$B$2:$B$81,""),D244))</f>
        <v>S723</v>
      </c>
      <c r="E244" s="28" t="str">
        <f>IFERROR(_xlfn.XLOOKUP(D244,HELPER!$B:$B,HELPER!$C:$C,""),"")</f>
        <v>RM TA45-08 S723</v>
      </c>
      <c r="F244" s="27" t="str">
        <f>IFERROR(_xlfn.XLOOKUP(D244,HELPER!$B:$B,HELPER!$D:$D,""),"")</f>
        <v>Resin 6</v>
      </c>
      <c r="G244" s="27">
        <v>24</v>
      </c>
      <c r="H244" s="47">
        <v>0.02</v>
      </c>
      <c r="I244" s="48">
        <f>IF(AND(H244&lt;&gt;"",IFERROR(_xlfn.XLOOKUP(D244,HELPER!$B:$B,HELPER!$E:$E,""),"")=""),"Missing price",IFERROR(_xlfn.XLOOKUP(D244,HELPER!$B:$B,HELPER!$E:$E,"")," "))</f>
        <v>16.16</v>
      </c>
      <c r="J244" s="48">
        <f>IFERROR(H244*(IF(G244=8,I244*HELPER!$G$2,BOM!I244*HELPER!$G$3))," ")</f>
        <v>0.19392000000000001</v>
      </c>
      <c r="K244" s="6"/>
      <c r="L244" s="14" t="str" cm="1">
        <f t="array" ref="L244">IFERROR(_xlfn.LET(_xlpm.films,Table4[Film],_xlpm.grades,Table4[Grade],_xlpm.pairs,_xlfn._xlws.FILTER(_xlfn.HSTACK(_xlpm.films,_xlpm.grades),(_xlpm.films&lt;&gt;"")*(TRIM(_xlpm.grades)&lt;&gt;"")),_xlpm.uniquePairs,_xlfn.UNIQUE(_xlpm.pairs),_xlpm.sortedPairs,_xlfn._xlws.SORT(_xlpm.uniquePairs,1,1),INDEX(_xlpm.sortedPairs,ROWS($L$2:L244),1)),"")</f>
        <v/>
      </c>
      <c r="M244" s="15" t="str" cm="1">
        <f t="array" ref="M244">IFERROR(_xlfn.LET(_xlpm.films,Table4[Film],_xlpm.grades,Table4[Grade],_xlpm.pairs,_xlfn._xlws.FILTER(_xlfn.HSTACK(_xlpm.films,_xlpm.grades),(_xlpm.films&lt;&gt;"")*(TRIM(_xlpm.grades)&lt;&gt;"")),_xlpm.uniquePairs,_xlfn.UNIQUE(_xlpm.pairs),_xlpm.sortedPairs,_xlfn._xlws.SORT(_xlpm.uniquePairs,1,1),INDEX(_xlpm.sortedPairs,ROWS($M$2:M244),2)),"")</f>
        <v/>
      </c>
      <c r="N244" s="15" t="str" cm="1">
        <f t="array" ref="N244">IF(OR(Table2[[#This Row],[Film]]="",Table2[[#This Row],[Grade]]=""),"",IFERROR(INDEX(Table4[Serial Number],MATCH(1,(Table4[Film]=Table2[[#This Row],[Film]])*(Table4[Grade]=Table2[[#This Row],[Grade]]),0)),""))</f>
        <v/>
      </c>
      <c r="O244" s="52" t="str">
        <f>IF(OR(Table2[[#This Row],[Film]]="",Table2[[#This Row],[Grade]]=""),"",SUMIFS(Table4[Price Calculated(€) Thickness &amp; QTY related],Table4[Film],Table2[[#This Row],[Film]],Table4[Grade],Table2[[#This Row],[Grade]]))</f>
        <v/>
      </c>
      <c r="P244" s="6"/>
      <c r="T244" s="6"/>
    </row>
    <row r="245" spans="1:20">
      <c r="A245" s="29" t="s">
        <v>49</v>
      </c>
      <c r="B245" s="29" t="s">
        <v>5</v>
      </c>
      <c r="C245" s="28"/>
      <c r="D245" s="28" t="str">
        <f>IF(C245="","",IFERROR(_xlfn.XLOOKUP(C245,HELPER!$A$2:$A$81,HELPER!$B$2:$B$81,""),D245))</f>
        <v/>
      </c>
      <c r="E245" s="28" t="str">
        <f>IFERROR(_xlfn.XLOOKUP(D245,HELPER!$B:$B,HELPER!$C:$C,""),"")</f>
        <v/>
      </c>
      <c r="F245" s="27" t="str">
        <f>IFERROR(_xlfn.XLOOKUP(D245,HELPER!$B:$B,HELPER!$D:$D,""),"")</f>
        <v/>
      </c>
      <c r="G245" s="27">
        <v>24</v>
      </c>
      <c r="H245" s="47"/>
      <c r="I245" s="48" t="str">
        <f>IF(AND(H245&lt;&gt;"",IFERROR(_xlfn.XLOOKUP(D245,HELPER!$B:$B,HELPER!$E:$E,""),"")=""),"Missing price",IFERROR(_xlfn.XLOOKUP(D245,HELPER!$B:$B,HELPER!$E:$E,"")," "))</f>
        <v/>
      </c>
      <c r="J245" s="48" t="str">
        <f>IFERROR(H245*(IF(G245=8,I245*HELPER!$G$2,BOM!I245*HELPER!$G$3))," ")</f>
        <v xml:space="preserve"> </v>
      </c>
      <c r="K245" s="6"/>
      <c r="L245" s="14" t="str" cm="1">
        <f t="array" ref="L245">IFERROR(_xlfn.LET(_xlpm.films,Table4[Film],_xlpm.grades,Table4[Grade],_xlpm.pairs,_xlfn._xlws.FILTER(_xlfn.HSTACK(_xlpm.films,_xlpm.grades),(_xlpm.films&lt;&gt;"")*(TRIM(_xlpm.grades)&lt;&gt;"")),_xlpm.uniquePairs,_xlfn.UNIQUE(_xlpm.pairs),_xlpm.sortedPairs,_xlfn._xlws.SORT(_xlpm.uniquePairs,1,1),INDEX(_xlpm.sortedPairs,ROWS($L$2:L245),1)),"")</f>
        <v/>
      </c>
      <c r="M245" s="15" t="str" cm="1">
        <f t="array" ref="M245">IFERROR(_xlfn.LET(_xlpm.films,Table4[Film],_xlpm.grades,Table4[Grade],_xlpm.pairs,_xlfn._xlws.FILTER(_xlfn.HSTACK(_xlpm.films,_xlpm.grades),(_xlpm.films&lt;&gt;"")*(TRIM(_xlpm.grades)&lt;&gt;"")),_xlpm.uniquePairs,_xlfn.UNIQUE(_xlpm.pairs),_xlpm.sortedPairs,_xlfn._xlws.SORT(_xlpm.uniquePairs,1,1),INDEX(_xlpm.sortedPairs,ROWS($M$2:M245),2)),"")</f>
        <v/>
      </c>
      <c r="N245" s="15" t="str" cm="1">
        <f t="array" ref="N245">IF(OR(Table2[[#This Row],[Film]]="",Table2[[#This Row],[Grade]]=""),"",IFERROR(INDEX(Table4[Serial Number],MATCH(1,(Table4[Film]=Table2[[#This Row],[Film]])*(Table4[Grade]=Table2[[#This Row],[Grade]]),0)),""))</f>
        <v/>
      </c>
      <c r="O245" s="52" t="str">
        <f>IF(OR(Table2[[#This Row],[Film]]="",Table2[[#This Row],[Grade]]=""),"",SUMIFS(Table4[Price Calculated(€) Thickness &amp; QTY related],Table4[Film],Table2[[#This Row],[Film]],Table4[Grade],Table2[[#This Row],[Grade]]))</f>
        <v/>
      </c>
      <c r="P245" s="6"/>
      <c r="T245" s="6"/>
    </row>
    <row r="246" spans="1:20">
      <c r="A246" s="29" t="s">
        <v>49</v>
      </c>
      <c r="B246" s="29" t="s">
        <v>5</v>
      </c>
      <c r="C246" s="28"/>
      <c r="D246" s="28" t="str">
        <f>IF(C246="","",IFERROR(_xlfn.XLOOKUP(C246,HELPER!$A$2:$A$81,HELPER!$B$2:$B$81,""),D246))</f>
        <v/>
      </c>
      <c r="E246" s="28" t="str">
        <f>IFERROR(_xlfn.XLOOKUP(D246,HELPER!$B:$B,HELPER!$C:$C,""),"")</f>
        <v/>
      </c>
      <c r="F246" s="27" t="str">
        <f>IFERROR(_xlfn.XLOOKUP(D246,HELPER!$B:$B,HELPER!$D:$D,""),"")</f>
        <v/>
      </c>
      <c r="G246" s="27">
        <v>24</v>
      </c>
      <c r="H246" s="47"/>
      <c r="I246" s="48" t="str">
        <f>IF(AND(H246&lt;&gt;"",IFERROR(_xlfn.XLOOKUP(D246,HELPER!$B:$B,HELPER!$E:$E,""),"")=""),"Missing price",IFERROR(_xlfn.XLOOKUP(D246,HELPER!$B:$B,HELPER!$E:$E,"")," "))</f>
        <v/>
      </c>
      <c r="J246" s="48" t="str">
        <f>IFERROR(H246*(IF(G246=8,I246*HELPER!$G$2,BOM!I246*HELPER!$G$3))," ")</f>
        <v xml:space="preserve"> </v>
      </c>
      <c r="K246" s="6"/>
      <c r="L246" s="14" t="str" cm="1">
        <f t="array" ref="L246">IFERROR(_xlfn.LET(_xlpm.films,Table4[Film],_xlpm.grades,Table4[Grade],_xlpm.pairs,_xlfn._xlws.FILTER(_xlfn.HSTACK(_xlpm.films,_xlpm.grades),(_xlpm.films&lt;&gt;"")*(TRIM(_xlpm.grades)&lt;&gt;"")),_xlpm.uniquePairs,_xlfn.UNIQUE(_xlpm.pairs),_xlpm.sortedPairs,_xlfn._xlws.SORT(_xlpm.uniquePairs,1,1),INDEX(_xlpm.sortedPairs,ROWS($L$2:L246),1)),"")</f>
        <v/>
      </c>
      <c r="M246" s="15" t="str" cm="1">
        <f t="array" ref="M246">IFERROR(_xlfn.LET(_xlpm.films,Table4[Film],_xlpm.grades,Table4[Grade],_xlpm.pairs,_xlfn._xlws.FILTER(_xlfn.HSTACK(_xlpm.films,_xlpm.grades),(_xlpm.films&lt;&gt;"")*(TRIM(_xlpm.grades)&lt;&gt;"")),_xlpm.uniquePairs,_xlfn.UNIQUE(_xlpm.pairs),_xlpm.sortedPairs,_xlfn._xlws.SORT(_xlpm.uniquePairs,1,1),INDEX(_xlpm.sortedPairs,ROWS($M$2:M246),2)),"")</f>
        <v/>
      </c>
      <c r="N246" s="15" t="str" cm="1">
        <f t="array" ref="N246">IF(OR(Table2[[#This Row],[Film]]="",Table2[[#This Row],[Grade]]=""),"",IFERROR(INDEX(Table4[Serial Number],MATCH(1,(Table4[Film]=Table2[[#This Row],[Film]])*(Table4[Grade]=Table2[[#This Row],[Grade]]),0)),""))</f>
        <v/>
      </c>
      <c r="O246" s="52" t="str">
        <f>IF(OR(Table2[[#This Row],[Film]]="",Table2[[#This Row],[Grade]]=""),"",SUMIFS(Table4[Price Calculated(€) Thickness &amp; QTY related],Table4[Film],Table2[[#This Row],[Film]],Table4[Grade],Table2[[#This Row],[Grade]]))</f>
        <v/>
      </c>
      <c r="P246" s="6"/>
      <c r="T246" s="6"/>
    </row>
    <row r="247" spans="1:20">
      <c r="A247" s="29" t="s">
        <v>49</v>
      </c>
      <c r="B247" s="29" t="s">
        <v>5</v>
      </c>
      <c r="C247" s="28"/>
      <c r="D247" s="28" t="str">
        <f>IF(C247="","",IFERROR(_xlfn.XLOOKUP(C247,HELPER!$A$2:$A$81,HELPER!$B$2:$B$81,""),D247))</f>
        <v/>
      </c>
      <c r="E247" s="28" t="str">
        <f>IFERROR(_xlfn.XLOOKUP(D247,HELPER!$B:$B,HELPER!$C:$C,""),"")</f>
        <v/>
      </c>
      <c r="F247" s="27" t="str">
        <f>IFERROR(_xlfn.XLOOKUP(D247,HELPER!$B:$B,HELPER!$D:$D,""),"")</f>
        <v/>
      </c>
      <c r="G247" s="27">
        <v>24</v>
      </c>
      <c r="H247" s="47"/>
      <c r="I247" s="48" t="str">
        <f>IF(AND(H247&lt;&gt;"",IFERROR(_xlfn.XLOOKUP(D247,HELPER!$B:$B,HELPER!$E:$E,""),"")=""),"Missing price",IFERROR(_xlfn.XLOOKUP(D247,HELPER!$B:$B,HELPER!$E:$E,"")," "))</f>
        <v/>
      </c>
      <c r="J247" s="48" t="str">
        <f>IFERROR(H247*(IF(G247=8,I247*HELPER!$G$2,BOM!I247*HELPER!$G$3))," ")</f>
        <v xml:space="preserve"> </v>
      </c>
      <c r="K247" s="6"/>
      <c r="L247" s="14" t="str" cm="1">
        <f t="array" ref="L247">IFERROR(_xlfn.LET(_xlpm.films,Table4[Film],_xlpm.grades,Table4[Grade],_xlpm.pairs,_xlfn._xlws.FILTER(_xlfn.HSTACK(_xlpm.films,_xlpm.grades),(_xlpm.films&lt;&gt;"")*(TRIM(_xlpm.grades)&lt;&gt;"")),_xlpm.uniquePairs,_xlfn.UNIQUE(_xlpm.pairs),_xlpm.sortedPairs,_xlfn._xlws.SORT(_xlpm.uniquePairs,1,1),INDEX(_xlpm.sortedPairs,ROWS($L$2:L247),1)),"")</f>
        <v/>
      </c>
      <c r="M247" s="15" t="str" cm="1">
        <f t="array" ref="M247">IFERROR(_xlfn.LET(_xlpm.films,Table4[Film],_xlpm.grades,Table4[Grade],_xlpm.pairs,_xlfn._xlws.FILTER(_xlfn.HSTACK(_xlpm.films,_xlpm.grades),(_xlpm.films&lt;&gt;"")*(TRIM(_xlpm.grades)&lt;&gt;"")),_xlpm.uniquePairs,_xlfn.UNIQUE(_xlpm.pairs),_xlpm.sortedPairs,_xlfn._xlws.SORT(_xlpm.uniquePairs,1,1),INDEX(_xlpm.sortedPairs,ROWS($M$2:M247),2)),"")</f>
        <v/>
      </c>
      <c r="N247" s="15" t="str" cm="1">
        <f t="array" ref="N247">IF(OR(Table2[[#This Row],[Film]]="",Table2[[#This Row],[Grade]]=""),"",IFERROR(INDEX(Table4[Serial Number],MATCH(1,(Table4[Film]=Table2[[#This Row],[Film]])*(Table4[Grade]=Table2[[#This Row],[Grade]]),0)),""))</f>
        <v/>
      </c>
      <c r="O247" s="52" t="str">
        <f>IF(OR(Table2[[#This Row],[Film]]="",Table2[[#This Row],[Grade]]=""),"",SUMIFS(Table4[Price Calculated(€) Thickness &amp; QTY related],Table4[Film],Table2[[#This Row],[Film]],Table4[Grade],Table2[[#This Row],[Grade]]))</f>
        <v/>
      </c>
      <c r="P247" s="6"/>
      <c r="T247" s="6"/>
    </row>
    <row r="248" spans="1:20">
      <c r="A248" s="29" t="s">
        <v>49</v>
      </c>
      <c r="B248" s="29" t="s">
        <v>5</v>
      </c>
      <c r="C248" s="28"/>
      <c r="D248" s="28" t="str">
        <f>IF(C248="","",IFERROR(_xlfn.XLOOKUP(C248,HELPER!$A$2:$A$81,HELPER!$B$2:$B$81,""),D248))</f>
        <v/>
      </c>
      <c r="E248" s="28" t="str">
        <f>IFERROR(_xlfn.XLOOKUP(D248,HELPER!$B:$B,HELPER!$C:$C,""),"")</f>
        <v/>
      </c>
      <c r="F248" s="27" t="str">
        <f>IFERROR(_xlfn.XLOOKUP(D248,HELPER!$B:$B,HELPER!$D:$D,""),"")</f>
        <v/>
      </c>
      <c r="G248" s="27">
        <v>24</v>
      </c>
      <c r="H248" s="47"/>
      <c r="I248" s="48" t="str">
        <f>IF(AND(H248&lt;&gt;"",IFERROR(_xlfn.XLOOKUP(D248,HELPER!$B:$B,HELPER!$E:$E,""),"")=""),"Missing price",IFERROR(_xlfn.XLOOKUP(D248,HELPER!$B:$B,HELPER!$E:$E,"")," "))</f>
        <v/>
      </c>
      <c r="J248" s="48" t="str">
        <f>IFERROR(H248*(IF(G248=8,I248*HELPER!$G$2,BOM!I248*HELPER!$G$3))," ")</f>
        <v xml:space="preserve"> </v>
      </c>
      <c r="K248" s="6"/>
      <c r="L248" s="14" t="str" cm="1">
        <f t="array" ref="L248">IFERROR(_xlfn.LET(_xlpm.films,Table4[Film],_xlpm.grades,Table4[Grade],_xlpm.pairs,_xlfn._xlws.FILTER(_xlfn.HSTACK(_xlpm.films,_xlpm.grades),(_xlpm.films&lt;&gt;"")*(TRIM(_xlpm.grades)&lt;&gt;"")),_xlpm.uniquePairs,_xlfn.UNIQUE(_xlpm.pairs),_xlpm.sortedPairs,_xlfn._xlws.SORT(_xlpm.uniquePairs,1,1),INDEX(_xlpm.sortedPairs,ROWS($L$2:L248),1)),"")</f>
        <v/>
      </c>
      <c r="M248" s="15" t="str" cm="1">
        <f t="array" ref="M248">IFERROR(_xlfn.LET(_xlpm.films,Table4[Film],_xlpm.grades,Table4[Grade],_xlpm.pairs,_xlfn._xlws.FILTER(_xlfn.HSTACK(_xlpm.films,_xlpm.grades),(_xlpm.films&lt;&gt;"")*(TRIM(_xlpm.grades)&lt;&gt;"")),_xlpm.uniquePairs,_xlfn.UNIQUE(_xlpm.pairs),_xlpm.sortedPairs,_xlfn._xlws.SORT(_xlpm.uniquePairs,1,1),INDEX(_xlpm.sortedPairs,ROWS($M$2:M248),2)),"")</f>
        <v/>
      </c>
      <c r="N248" s="15" t="str" cm="1">
        <f t="array" ref="N248">IF(OR(Table2[[#This Row],[Film]]="",Table2[[#This Row],[Grade]]=""),"",IFERROR(INDEX(Table4[Serial Number],MATCH(1,(Table4[Film]=Table2[[#This Row],[Film]])*(Table4[Grade]=Table2[[#This Row],[Grade]]),0)),""))</f>
        <v/>
      </c>
      <c r="O248" s="52" t="str">
        <f>IF(OR(Table2[[#This Row],[Film]]="",Table2[[#This Row],[Grade]]=""),"",SUMIFS(Table4[Price Calculated(€) Thickness &amp; QTY related],Table4[Film],Table2[[#This Row],[Film]],Table4[Grade],Table2[[#This Row],[Grade]]))</f>
        <v/>
      </c>
      <c r="P248" s="6"/>
      <c r="T248" s="6"/>
    </row>
    <row r="249" spans="1:20">
      <c r="A249" s="29" t="s">
        <v>49</v>
      </c>
      <c r="B249" s="29" t="s">
        <v>5</v>
      </c>
      <c r="C249" s="28"/>
      <c r="D249" s="28" t="str">
        <f>IF(C249="","",IFERROR(_xlfn.XLOOKUP(C249,HELPER!$A$2:$A$81,HELPER!$B$2:$B$81,""),D249))</f>
        <v/>
      </c>
      <c r="E249" s="28" t="str">
        <f>IFERROR(_xlfn.XLOOKUP(D249,HELPER!$B:$B,HELPER!$C:$C,""),"")</f>
        <v/>
      </c>
      <c r="F249" s="27" t="str">
        <f>IFERROR(_xlfn.XLOOKUP(D249,HELPER!$B:$B,HELPER!$D:$D,""),"")</f>
        <v/>
      </c>
      <c r="G249" s="27">
        <v>24</v>
      </c>
      <c r="H249" s="47"/>
      <c r="I249" s="48" t="str">
        <f>IF(AND(H249&lt;&gt;"",IFERROR(_xlfn.XLOOKUP(D249,HELPER!$B:$B,HELPER!$E:$E,""),"")=""),"Missing price",IFERROR(_xlfn.XLOOKUP(D249,HELPER!$B:$B,HELPER!$E:$E,"")," "))</f>
        <v/>
      </c>
      <c r="J249" s="48" t="str">
        <f>IFERROR(H249*(IF(G249=8,I249*HELPER!$G$2,BOM!I249*HELPER!$G$3))," ")</f>
        <v xml:space="preserve"> </v>
      </c>
      <c r="K249" s="6"/>
      <c r="L249" s="14" t="str" cm="1">
        <f t="array" ref="L249">IFERROR(_xlfn.LET(_xlpm.films,Table4[Film],_xlpm.grades,Table4[Grade],_xlpm.pairs,_xlfn._xlws.FILTER(_xlfn.HSTACK(_xlpm.films,_xlpm.grades),(_xlpm.films&lt;&gt;"")*(TRIM(_xlpm.grades)&lt;&gt;"")),_xlpm.uniquePairs,_xlfn.UNIQUE(_xlpm.pairs),_xlpm.sortedPairs,_xlfn._xlws.SORT(_xlpm.uniquePairs,1,1),INDEX(_xlpm.sortedPairs,ROWS($L$2:L249),1)),"")</f>
        <v/>
      </c>
      <c r="M249" s="15" t="str" cm="1">
        <f t="array" ref="M249">IFERROR(_xlfn.LET(_xlpm.films,Table4[Film],_xlpm.grades,Table4[Grade],_xlpm.pairs,_xlfn._xlws.FILTER(_xlfn.HSTACK(_xlpm.films,_xlpm.grades),(_xlpm.films&lt;&gt;"")*(TRIM(_xlpm.grades)&lt;&gt;"")),_xlpm.uniquePairs,_xlfn.UNIQUE(_xlpm.pairs),_xlpm.sortedPairs,_xlfn._xlws.SORT(_xlpm.uniquePairs,1,1),INDEX(_xlpm.sortedPairs,ROWS($M$2:M249),2)),"")</f>
        <v/>
      </c>
      <c r="N249" s="15" t="str" cm="1">
        <f t="array" ref="N249">IF(OR(Table2[[#This Row],[Film]]="",Table2[[#This Row],[Grade]]=""),"",IFERROR(INDEX(Table4[Serial Number],MATCH(1,(Table4[Film]=Table2[[#This Row],[Film]])*(Table4[Grade]=Table2[[#This Row],[Grade]]),0)),""))</f>
        <v/>
      </c>
      <c r="O249" s="52" t="str">
        <f>IF(OR(Table2[[#This Row],[Film]]="",Table2[[#This Row],[Grade]]=""),"",SUMIFS(Table4[Price Calculated(€) Thickness &amp; QTY related],Table4[Film],Table2[[#This Row],[Film]],Table4[Grade],Table2[[#This Row],[Grade]]))</f>
        <v/>
      </c>
      <c r="P249" s="6"/>
      <c r="T249" s="6"/>
    </row>
    <row r="250" spans="1:20">
      <c r="A250" s="29" t="s">
        <v>49</v>
      </c>
      <c r="B250" s="29" t="s">
        <v>5</v>
      </c>
      <c r="C250" s="28"/>
      <c r="D250" s="28" t="str">
        <f>IF(C250="","",IFERROR(_xlfn.XLOOKUP(C250,HELPER!$A$2:$A$81,HELPER!$B$2:$B$81,""),D250))</f>
        <v/>
      </c>
      <c r="E250" s="28" t="str">
        <f>IFERROR(_xlfn.XLOOKUP(D250,HELPER!$B:$B,HELPER!$C:$C,""),"")</f>
        <v/>
      </c>
      <c r="F250" s="27" t="str">
        <f>IFERROR(_xlfn.XLOOKUP(D250,HELPER!$B:$B,HELPER!$D:$D,""),"")</f>
        <v/>
      </c>
      <c r="G250" s="27">
        <v>24</v>
      </c>
      <c r="H250" s="47"/>
      <c r="I250" s="48" t="str">
        <f>IF(AND(H250&lt;&gt;"",IFERROR(_xlfn.XLOOKUP(D250,HELPER!$B:$B,HELPER!$E:$E,""),"")=""),"Missing price",IFERROR(_xlfn.XLOOKUP(D250,HELPER!$B:$B,HELPER!$E:$E,"")," "))</f>
        <v/>
      </c>
      <c r="J250" s="48" t="str">
        <f>IFERROR(H250*(IF(G250=8,I250*HELPER!$G$2,BOM!I250*HELPER!$G$3))," ")</f>
        <v xml:space="preserve"> </v>
      </c>
      <c r="K250" s="6"/>
      <c r="L250" s="14" t="str" cm="1">
        <f t="array" ref="L250">IFERROR(_xlfn.LET(_xlpm.films,Table4[Film],_xlpm.grades,Table4[Grade],_xlpm.pairs,_xlfn._xlws.FILTER(_xlfn.HSTACK(_xlpm.films,_xlpm.grades),(_xlpm.films&lt;&gt;"")*(TRIM(_xlpm.grades)&lt;&gt;"")),_xlpm.uniquePairs,_xlfn.UNIQUE(_xlpm.pairs),_xlpm.sortedPairs,_xlfn._xlws.SORT(_xlpm.uniquePairs,1,1),INDEX(_xlpm.sortedPairs,ROWS($L$2:L250),1)),"")</f>
        <v/>
      </c>
      <c r="M250" s="15" t="str" cm="1">
        <f t="array" ref="M250">IFERROR(_xlfn.LET(_xlpm.films,Table4[Film],_xlpm.grades,Table4[Grade],_xlpm.pairs,_xlfn._xlws.FILTER(_xlfn.HSTACK(_xlpm.films,_xlpm.grades),(_xlpm.films&lt;&gt;"")*(TRIM(_xlpm.grades)&lt;&gt;"")),_xlpm.uniquePairs,_xlfn.UNIQUE(_xlpm.pairs),_xlpm.sortedPairs,_xlfn._xlws.SORT(_xlpm.uniquePairs,1,1),INDEX(_xlpm.sortedPairs,ROWS($M$2:M250),2)),"")</f>
        <v/>
      </c>
      <c r="N250" s="15" t="str" cm="1">
        <f t="array" ref="N250">IF(OR(Table2[[#This Row],[Film]]="",Table2[[#This Row],[Grade]]=""),"",IFERROR(INDEX(Table4[Serial Number],MATCH(1,(Table4[Film]=Table2[[#This Row],[Film]])*(Table4[Grade]=Table2[[#This Row],[Grade]]),0)),""))</f>
        <v/>
      </c>
      <c r="O250" s="52" t="str">
        <f>IF(OR(Table2[[#This Row],[Film]]="",Table2[[#This Row],[Grade]]=""),"",SUMIFS(Table4[Price Calculated(€) Thickness &amp; QTY related],Table4[Film],Table2[[#This Row],[Film]],Table4[Grade],Table2[[#This Row],[Grade]]))</f>
        <v/>
      </c>
      <c r="P250" s="6"/>
      <c r="T250" s="6"/>
    </row>
    <row r="251" spans="1:20">
      <c r="A251" s="29" t="s">
        <v>49</v>
      </c>
      <c r="B251" s="29" t="s">
        <v>5</v>
      </c>
      <c r="C251" s="28"/>
      <c r="D251" s="28" t="str">
        <f>IF(C251="","",IFERROR(_xlfn.XLOOKUP(C251,HELPER!$A$2:$A$81,HELPER!$B$2:$B$81,""),D251))</f>
        <v/>
      </c>
      <c r="E251" s="28" t="str">
        <f>IFERROR(_xlfn.XLOOKUP(D251,HELPER!$B:$B,HELPER!$C:$C,""),"")</f>
        <v/>
      </c>
      <c r="F251" s="27" t="str">
        <f>IFERROR(_xlfn.XLOOKUP(D251,HELPER!$B:$B,HELPER!$D:$D,""),"")</f>
        <v/>
      </c>
      <c r="G251" s="27">
        <v>24</v>
      </c>
      <c r="H251" s="47"/>
      <c r="I251" s="48" t="str">
        <f>IF(AND(H251&lt;&gt;"",IFERROR(_xlfn.XLOOKUP(D251,HELPER!$B:$B,HELPER!$E:$E,""),"")=""),"Missing price",IFERROR(_xlfn.XLOOKUP(D251,HELPER!$B:$B,HELPER!$E:$E,"")," "))</f>
        <v/>
      </c>
      <c r="J251" s="48" t="str">
        <f>IFERROR(H251*(IF(G251=8,I251*HELPER!$G$2,BOM!I251*HELPER!$G$3))," ")</f>
        <v xml:space="preserve"> </v>
      </c>
      <c r="K251" s="6"/>
      <c r="L251" s="14" t="str" cm="1">
        <f t="array" ref="L251">IFERROR(_xlfn.LET(_xlpm.films,Table4[Film],_xlpm.grades,Table4[Grade],_xlpm.pairs,_xlfn._xlws.FILTER(_xlfn.HSTACK(_xlpm.films,_xlpm.grades),(_xlpm.films&lt;&gt;"")*(TRIM(_xlpm.grades)&lt;&gt;"")),_xlpm.uniquePairs,_xlfn.UNIQUE(_xlpm.pairs),_xlpm.sortedPairs,_xlfn._xlws.SORT(_xlpm.uniquePairs,1,1),INDEX(_xlpm.sortedPairs,ROWS($L$2:L251),1)),"")</f>
        <v/>
      </c>
      <c r="M251" s="15" t="str" cm="1">
        <f t="array" ref="M251">IFERROR(_xlfn.LET(_xlpm.films,Table4[Film],_xlpm.grades,Table4[Grade],_xlpm.pairs,_xlfn._xlws.FILTER(_xlfn.HSTACK(_xlpm.films,_xlpm.grades),(_xlpm.films&lt;&gt;"")*(TRIM(_xlpm.grades)&lt;&gt;"")),_xlpm.uniquePairs,_xlfn.UNIQUE(_xlpm.pairs),_xlpm.sortedPairs,_xlfn._xlws.SORT(_xlpm.uniquePairs,1,1),INDEX(_xlpm.sortedPairs,ROWS($M$2:M251),2)),"")</f>
        <v/>
      </c>
      <c r="N251" s="15" t="str" cm="1">
        <f t="array" ref="N251">IF(OR(Table2[[#This Row],[Film]]="",Table2[[#This Row],[Grade]]=""),"",IFERROR(INDEX(Table4[Serial Number],MATCH(1,(Table4[Film]=Table2[[#This Row],[Film]])*(Table4[Grade]=Table2[[#This Row],[Grade]]),0)),""))</f>
        <v/>
      </c>
      <c r="O251" s="52" t="str">
        <f>IF(OR(Table2[[#This Row],[Film]]="",Table2[[#This Row],[Grade]]=""),"",SUMIFS(Table4[Price Calculated(€) Thickness &amp; QTY related],Table4[Film],Table2[[#This Row],[Film]],Table4[Grade],Table2[[#This Row],[Grade]]))</f>
        <v/>
      </c>
      <c r="P251" s="6"/>
      <c r="T251" s="6"/>
    </row>
    <row r="252" spans="1:20">
      <c r="A252" s="29" t="s">
        <v>49</v>
      </c>
      <c r="B252" s="29" t="s">
        <v>6</v>
      </c>
      <c r="C252" s="28" t="s">
        <v>19</v>
      </c>
      <c r="D252" s="28" t="str">
        <f>IF(C252="","",IFERROR(_xlfn.XLOOKUP(C252,HELPER!$A$2:$A$81,HELPER!$B$2:$B$81,""),D252))</f>
        <v>BVE8049P</v>
      </c>
      <c r="E252" s="28" t="str">
        <f>IFERROR(_xlfn.XLOOKUP(D252,HELPER!$B:$B,HELPER!$C:$C,""),"")</f>
        <v>BVE8049P</v>
      </c>
      <c r="F252" s="49" t="str">
        <f>IFERROR(_xlfn.XLOOKUP(D252,HELPER!$B:$B,HELPER!$D:$D,""),"")</f>
        <v>BVE8049P</v>
      </c>
      <c r="G252" s="27">
        <v>8</v>
      </c>
      <c r="H252" s="47">
        <v>0.98</v>
      </c>
      <c r="I252" s="48">
        <f>IF(AND(H252&lt;&gt;"",IFERROR(_xlfn.XLOOKUP(D252,HELPER!$B:$B,HELPER!$E:$E,""),"")=""),"Missing price",IFERROR(_xlfn.XLOOKUP(D252,HELPER!$B:$B,HELPER!$E:$E,"")," "))</f>
        <v>18.5</v>
      </c>
      <c r="J252" s="48">
        <f>IFERROR(H252*(IF(G252=8,I252*HELPER!$G$2,BOM!I252*HELPER!$G$3))," ")</f>
        <v>3.6259999999999999</v>
      </c>
      <c r="K252" s="6"/>
      <c r="L252" s="14" t="str" cm="1">
        <f t="array" ref="L252">IFERROR(_xlfn.LET(_xlpm.films,Table4[Film],_xlpm.grades,Table4[Grade],_xlpm.pairs,_xlfn._xlws.FILTER(_xlfn.HSTACK(_xlpm.films,_xlpm.grades),(_xlpm.films&lt;&gt;"")*(TRIM(_xlpm.grades)&lt;&gt;"")),_xlpm.uniquePairs,_xlfn.UNIQUE(_xlpm.pairs),_xlpm.sortedPairs,_xlfn._xlws.SORT(_xlpm.uniquePairs,1,1),INDEX(_xlpm.sortedPairs,ROWS($L$2:L252),1)),"")</f>
        <v/>
      </c>
      <c r="M252" s="15" t="str" cm="1">
        <f t="array" ref="M252">IFERROR(_xlfn.LET(_xlpm.films,Table4[Film],_xlpm.grades,Table4[Grade],_xlpm.pairs,_xlfn._xlws.FILTER(_xlfn.HSTACK(_xlpm.films,_xlpm.grades),(_xlpm.films&lt;&gt;"")*(TRIM(_xlpm.grades)&lt;&gt;"")),_xlpm.uniquePairs,_xlfn.UNIQUE(_xlpm.pairs),_xlpm.sortedPairs,_xlfn._xlws.SORT(_xlpm.uniquePairs,1,1),INDEX(_xlpm.sortedPairs,ROWS($M$2:M252),2)),"")</f>
        <v/>
      </c>
      <c r="N252" s="15" t="str" cm="1">
        <f t="array" ref="N252">IF(OR(Table2[[#This Row],[Film]]="",Table2[[#This Row],[Grade]]=""),"",IFERROR(INDEX(Table4[Serial Number],MATCH(1,(Table4[Film]=Table2[[#This Row],[Film]])*(Table4[Grade]=Table2[[#This Row],[Grade]]),0)),""))</f>
        <v/>
      </c>
      <c r="O252" s="52" t="str">
        <f>IF(OR(Table2[[#This Row],[Film]]="",Table2[[#This Row],[Grade]]=""),"",SUMIFS(Table4[Price Calculated(€) Thickness &amp; QTY related],Table4[Film],Table2[[#This Row],[Film]],Table4[Grade],Table2[[#This Row],[Grade]]))</f>
        <v/>
      </c>
      <c r="P252" s="6"/>
      <c r="T252" s="6"/>
    </row>
    <row r="253" spans="1:20">
      <c r="A253" s="29" t="s">
        <v>49</v>
      </c>
      <c r="B253" s="29" t="s">
        <v>6</v>
      </c>
      <c r="C253" s="28" t="s">
        <v>16</v>
      </c>
      <c r="D253" s="28" t="str">
        <f>IF(C253="","",IFERROR(_xlfn.XLOOKUP(C253,HELPER!$A$2:$A$81,HELPER!$B$2:$B$81,""),D253))</f>
        <v>S723</v>
      </c>
      <c r="E253" s="28" t="str">
        <f>IFERROR(_xlfn.XLOOKUP(D253,HELPER!$B:$B,HELPER!$C:$C,""),"")</f>
        <v>RM TA45-08 S723</v>
      </c>
      <c r="F253" s="27" t="str">
        <f>IFERROR(_xlfn.XLOOKUP(D253,HELPER!$B:$B,HELPER!$D:$D,""),"")</f>
        <v>Resin 6</v>
      </c>
      <c r="G253" s="27">
        <v>8</v>
      </c>
      <c r="H253" s="47">
        <v>0.02</v>
      </c>
      <c r="I253" s="48">
        <f>IF(AND(H253&lt;&gt;"",IFERROR(_xlfn.XLOOKUP(D253,HELPER!$B:$B,HELPER!$E:$E,""),"")=""),"Missing price",IFERROR(_xlfn.XLOOKUP(D253,HELPER!$B:$B,HELPER!$E:$E,"")," "))</f>
        <v>16.16</v>
      </c>
      <c r="J253" s="48">
        <f>IFERROR(H253*(IF(G253=8,I253*HELPER!$G$2,BOM!I253*HELPER!$G$3))," ")</f>
        <v>6.4640000000000003E-2</v>
      </c>
      <c r="K253" s="6"/>
      <c r="L253" s="14" t="str" cm="1">
        <f t="array" ref="L253">IFERROR(_xlfn.LET(_xlpm.films,Table4[Film],_xlpm.grades,Table4[Grade],_xlpm.pairs,_xlfn._xlws.FILTER(_xlfn.HSTACK(_xlpm.films,_xlpm.grades),(_xlpm.films&lt;&gt;"")*(TRIM(_xlpm.grades)&lt;&gt;"")),_xlpm.uniquePairs,_xlfn.UNIQUE(_xlpm.pairs),_xlpm.sortedPairs,_xlfn._xlws.SORT(_xlpm.uniquePairs,1,1),INDEX(_xlpm.sortedPairs,ROWS($L$2:L253),1)),"")</f>
        <v/>
      </c>
      <c r="M253" s="15" t="str" cm="1">
        <f t="array" ref="M253">IFERROR(_xlfn.LET(_xlpm.films,Table4[Film],_xlpm.grades,Table4[Grade],_xlpm.pairs,_xlfn._xlws.FILTER(_xlfn.HSTACK(_xlpm.films,_xlpm.grades),(_xlpm.films&lt;&gt;"")*(TRIM(_xlpm.grades)&lt;&gt;"")),_xlpm.uniquePairs,_xlfn.UNIQUE(_xlpm.pairs),_xlpm.sortedPairs,_xlfn._xlws.SORT(_xlpm.uniquePairs,1,1),INDEX(_xlpm.sortedPairs,ROWS($M$2:M253),2)),"")</f>
        <v/>
      </c>
      <c r="N253" s="15" t="str" cm="1">
        <f t="array" ref="N253">IF(OR(Table2[[#This Row],[Film]]="",Table2[[#This Row],[Grade]]=""),"",IFERROR(INDEX(Table4[Serial Number],MATCH(1,(Table4[Film]=Table2[[#This Row],[Film]])*(Table4[Grade]=Table2[[#This Row],[Grade]]),0)),""))</f>
        <v/>
      </c>
      <c r="O253" s="52" t="str">
        <f>IF(OR(Table2[[#This Row],[Film]]="",Table2[[#This Row],[Grade]]=""),"",SUMIFS(Table4[Price Calculated(€) Thickness &amp; QTY related],Table4[Film],Table2[[#This Row],[Film]],Table4[Grade],Table2[[#This Row],[Grade]]))</f>
        <v/>
      </c>
      <c r="P253" s="6"/>
      <c r="T253" s="6"/>
    </row>
    <row r="254" spans="1:20">
      <c r="A254" s="29" t="s">
        <v>49</v>
      </c>
      <c r="B254" s="29" t="s">
        <v>6</v>
      </c>
      <c r="C254" s="28"/>
      <c r="D254" s="28" t="str">
        <f>IF(C254="","",IFERROR(_xlfn.XLOOKUP(C254,HELPER!$A$2:$A$81,HELPER!$B$2:$B$81,""),D254))</f>
        <v/>
      </c>
      <c r="E254" s="28" t="str">
        <f>IFERROR(_xlfn.XLOOKUP(D254,HELPER!$B:$B,HELPER!$C:$C,""),"")</f>
        <v/>
      </c>
      <c r="F254" s="27" t="str">
        <f>IFERROR(_xlfn.XLOOKUP(D254,HELPER!$B:$B,HELPER!$D:$D,""),"")</f>
        <v/>
      </c>
      <c r="G254" s="27">
        <v>8</v>
      </c>
      <c r="H254" s="47"/>
      <c r="I254" s="48" t="str">
        <f>IF(AND(H254&lt;&gt;"",IFERROR(_xlfn.XLOOKUP(D254,HELPER!$B:$B,HELPER!$E:$E,""),"")=""),"Missing price",IFERROR(_xlfn.XLOOKUP(D254,HELPER!$B:$B,HELPER!$E:$E,"")," "))</f>
        <v/>
      </c>
      <c r="J254" s="48" t="str">
        <f>IFERROR(H254*(IF(G254=8,I254*HELPER!$G$2,BOM!I254*HELPER!$G$3))," ")</f>
        <v xml:space="preserve"> </v>
      </c>
      <c r="K254" s="6"/>
      <c r="L254" s="14" t="str" cm="1">
        <f t="array" ref="L254">IFERROR(_xlfn.LET(_xlpm.films,Table4[Film],_xlpm.grades,Table4[Grade],_xlpm.pairs,_xlfn._xlws.FILTER(_xlfn.HSTACK(_xlpm.films,_xlpm.grades),(_xlpm.films&lt;&gt;"")*(TRIM(_xlpm.grades)&lt;&gt;"")),_xlpm.uniquePairs,_xlfn.UNIQUE(_xlpm.pairs),_xlpm.sortedPairs,_xlfn._xlws.SORT(_xlpm.uniquePairs,1,1),INDEX(_xlpm.sortedPairs,ROWS($L$2:L254),1)),"")</f>
        <v/>
      </c>
      <c r="M254" s="15" t="str" cm="1">
        <f t="array" ref="M254">IFERROR(_xlfn.LET(_xlpm.films,Table4[Film],_xlpm.grades,Table4[Grade],_xlpm.pairs,_xlfn._xlws.FILTER(_xlfn.HSTACK(_xlpm.films,_xlpm.grades),(_xlpm.films&lt;&gt;"")*(TRIM(_xlpm.grades)&lt;&gt;"")),_xlpm.uniquePairs,_xlfn.UNIQUE(_xlpm.pairs),_xlpm.sortedPairs,_xlfn._xlws.SORT(_xlpm.uniquePairs,1,1),INDEX(_xlpm.sortedPairs,ROWS($M$2:M254),2)),"")</f>
        <v/>
      </c>
      <c r="N254" s="15" t="str" cm="1">
        <f t="array" ref="N254">IF(OR(Table2[[#This Row],[Film]]="",Table2[[#This Row],[Grade]]=""),"",IFERROR(INDEX(Table4[Serial Number],MATCH(1,(Table4[Film]=Table2[[#This Row],[Film]])*(Table4[Grade]=Table2[[#This Row],[Grade]]),0)),""))</f>
        <v/>
      </c>
      <c r="O254" s="52" t="str">
        <f>IF(OR(Table2[[#This Row],[Film]]="",Table2[[#This Row],[Grade]]=""),"",SUMIFS(Table4[Price Calculated(€) Thickness &amp; QTY related],Table4[Film],Table2[[#This Row],[Film]],Table4[Grade],Table2[[#This Row],[Grade]]))</f>
        <v/>
      </c>
      <c r="P254" s="6"/>
      <c r="T254" s="6"/>
    </row>
    <row r="255" spans="1:20">
      <c r="A255" s="29" t="s">
        <v>49</v>
      </c>
      <c r="B255" s="29" t="s">
        <v>6</v>
      </c>
      <c r="C255" s="28"/>
      <c r="D255" s="28" t="str">
        <f>IF(C255="","",IFERROR(_xlfn.XLOOKUP(C255,HELPER!$A$2:$A$81,HELPER!$B$2:$B$81,""),D255))</f>
        <v/>
      </c>
      <c r="E255" s="28" t="str">
        <f>IFERROR(_xlfn.XLOOKUP(D255,HELPER!$B:$B,HELPER!$C:$C,""),"")</f>
        <v/>
      </c>
      <c r="F255" s="27" t="str">
        <f>IFERROR(_xlfn.XLOOKUP(D255,HELPER!$B:$B,HELPER!$D:$D,""),"")</f>
        <v/>
      </c>
      <c r="G255" s="27">
        <v>8</v>
      </c>
      <c r="H255" s="47"/>
      <c r="I255" s="48" t="str">
        <f>IF(AND(H255&lt;&gt;"",IFERROR(_xlfn.XLOOKUP(D255,HELPER!$B:$B,HELPER!$E:$E,""),"")=""),"Missing price",IFERROR(_xlfn.XLOOKUP(D255,HELPER!$B:$B,HELPER!$E:$E,"")," "))</f>
        <v/>
      </c>
      <c r="J255" s="48" t="str">
        <f>IFERROR(H255*(IF(G255=8,I255*HELPER!$G$2,BOM!I255*HELPER!$G$3))," ")</f>
        <v xml:space="preserve"> </v>
      </c>
      <c r="K255" s="6"/>
      <c r="L255" s="14" t="str" cm="1">
        <f t="array" ref="L255">IFERROR(_xlfn.LET(_xlpm.films,Table4[Film],_xlpm.grades,Table4[Grade],_xlpm.pairs,_xlfn._xlws.FILTER(_xlfn.HSTACK(_xlpm.films,_xlpm.grades),(_xlpm.films&lt;&gt;"")*(TRIM(_xlpm.grades)&lt;&gt;"")),_xlpm.uniquePairs,_xlfn.UNIQUE(_xlpm.pairs),_xlpm.sortedPairs,_xlfn._xlws.SORT(_xlpm.uniquePairs,1,1),INDEX(_xlpm.sortedPairs,ROWS($L$2:L255),1)),"")</f>
        <v/>
      </c>
      <c r="M255" s="15" t="str" cm="1">
        <f t="array" ref="M255">IFERROR(_xlfn.LET(_xlpm.films,Table4[Film],_xlpm.grades,Table4[Grade],_xlpm.pairs,_xlfn._xlws.FILTER(_xlfn.HSTACK(_xlpm.films,_xlpm.grades),(_xlpm.films&lt;&gt;"")*(TRIM(_xlpm.grades)&lt;&gt;"")),_xlpm.uniquePairs,_xlfn.UNIQUE(_xlpm.pairs),_xlpm.sortedPairs,_xlfn._xlws.SORT(_xlpm.uniquePairs,1,1),INDEX(_xlpm.sortedPairs,ROWS($M$2:M255),2)),"")</f>
        <v/>
      </c>
      <c r="N255" s="15" t="str" cm="1">
        <f t="array" ref="N255">IF(OR(Table2[[#This Row],[Film]]="",Table2[[#This Row],[Grade]]=""),"",IFERROR(INDEX(Table4[Serial Number],MATCH(1,(Table4[Film]=Table2[[#This Row],[Film]])*(Table4[Grade]=Table2[[#This Row],[Grade]]),0)),""))</f>
        <v/>
      </c>
      <c r="O255" s="52" t="str">
        <f>IF(OR(Table2[[#This Row],[Film]]="",Table2[[#This Row],[Grade]]=""),"",SUMIFS(Table4[Price Calculated(€) Thickness &amp; QTY related],Table4[Film],Table2[[#This Row],[Film]],Table4[Grade],Table2[[#This Row],[Grade]]))</f>
        <v/>
      </c>
      <c r="P255" s="6"/>
      <c r="T255" s="6"/>
    </row>
    <row r="256" spans="1:20">
      <c r="A256" s="29" t="s">
        <v>49</v>
      </c>
      <c r="B256" s="29" t="s">
        <v>6</v>
      </c>
      <c r="C256" s="28"/>
      <c r="D256" s="28" t="str">
        <f>IF(C256="","",IFERROR(_xlfn.XLOOKUP(C256,HELPER!$A$2:$A$81,HELPER!$B$2:$B$81,""),D256))</f>
        <v/>
      </c>
      <c r="E256" s="28" t="str">
        <f>IFERROR(_xlfn.XLOOKUP(D256,HELPER!$B:$B,HELPER!$C:$C,""),"")</f>
        <v/>
      </c>
      <c r="F256" s="27" t="str">
        <f>IFERROR(_xlfn.XLOOKUP(D256,HELPER!$B:$B,HELPER!$D:$D,""),"")</f>
        <v/>
      </c>
      <c r="G256" s="27">
        <v>8</v>
      </c>
      <c r="H256" s="47"/>
      <c r="I256" s="48" t="str">
        <f>IF(AND(H256&lt;&gt;"",IFERROR(_xlfn.XLOOKUP(D256,HELPER!$B:$B,HELPER!$E:$E,""),"")=""),"Missing price",IFERROR(_xlfn.XLOOKUP(D256,HELPER!$B:$B,HELPER!$E:$E,"")," "))</f>
        <v/>
      </c>
      <c r="J256" s="48" t="str">
        <f>IFERROR(H256*(IF(G256=8,I256*HELPER!$G$2,BOM!I256*HELPER!$G$3))," ")</f>
        <v xml:space="preserve"> </v>
      </c>
      <c r="K256" s="6"/>
      <c r="L256" s="14" t="str" cm="1">
        <f t="array" ref="L256">IFERROR(_xlfn.LET(_xlpm.films,Table4[Film],_xlpm.grades,Table4[Grade],_xlpm.pairs,_xlfn._xlws.FILTER(_xlfn.HSTACK(_xlpm.films,_xlpm.grades),(_xlpm.films&lt;&gt;"")*(TRIM(_xlpm.grades)&lt;&gt;"")),_xlpm.uniquePairs,_xlfn.UNIQUE(_xlpm.pairs),_xlpm.sortedPairs,_xlfn._xlws.SORT(_xlpm.uniquePairs,1,1),INDEX(_xlpm.sortedPairs,ROWS($L$2:L256),1)),"")</f>
        <v/>
      </c>
      <c r="M256" s="15" t="str" cm="1">
        <f t="array" ref="M256">IFERROR(_xlfn.LET(_xlpm.films,Table4[Film],_xlpm.grades,Table4[Grade],_xlpm.pairs,_xlfn._xlws.FILTER(_xlfn.HSTACK(_xlpm.films,_xlpm.grades),(_xlpm.films&lt;&gt;"")*(TRIM(_xlpm.grades)&lt;&gt;"")),_xlpm.uniquePairs,_xlfn.UNIQUE(_xlpm.pairs),_xlpm.sortedPairs,_xlfn._xlws.SORT(_xlpm.uniquePairs,1,1),INDEX(_xlpm.sortedPairs,ROWS($M$2:M256),2)),"")</f>
        <v/>
      </c>
      <c r="N256" s="15" t="str" cm="1">
        <f t="array" ref="N256">IF(OR(Table2[[#This Row],[Film]]="",Table2[[#This Row],[Grade]]=""),"",IFERROR(INDEX(Table4[Serial Number],MATCH(1,(Table4[Film]=Table2[[#This Row],[Film]])*(Table4[Grade]=Table2[[#This Row],[Grade]]),0)),""))</f>
        <v/>
      </c>
      <c r="O256" s="52" t="str">
        <f>IF(OR(Table2[[#This Row],[Film]]="",Table2[[#This Row],[Grade]]=""),"",SUMIFS(Table4[Price Calculated(€) Thickness &amp; QTY related],Table4[Film],Table2[[#This Row],[Film]],Table4[Grade],Table2[[#This Row],[Grade]]))</f>
        <v/>
      </c>
      <c r="P256" s="6"/>
      <c r="T256" s="6"/>
    </row>
    <row r="257" spans="1:20">
      <c r="A257" s="29" t="s">
        <v>49</v>
      </c>
      <c r="B257" s="29" t="s">
        <v>6</v>
      </c>
      <c r="C257" s="28"/>
      <c r="D257" s="28" t="str">
        <f>IF(C257="","",IFERROR(_xlfn.XLOOKUP(C257,HELPER!$A$2:$A$81,HELPER!$B$2:$B$81,""),D257))</f>
        <v/>
      </c>
      <c r="E257" s="28" t="str">
        <f>IFERROR(_xlfn.XLOOKUP(D257,HELPER!$B:$B,HELPER!$C:$C,""),"")</f>
        <v/>
      </c>
      <c r="F257" s="27" t="str">
        <f>IFERROR(_xlfn.XLOOKUP(D257,HELPER!$B:$B,HELPER!$D:$D,""),"")</f>
        <v/>
      </c>
      <c r="G257" s="27">
        <v>8</v>
      </c>
      <c r="H257" s="47"/>
      <c r="I257" s="48" t="str">
        <f>IF(AND(H257&lt;&gt;"",IFERROR(_xlfn.XLOOKUP(D257,HELPER!$B:$B,HELPER!$E:$E,""),"")=""),"Missing price",IFERROR(_xlfn.XLOOKUP(D257,HELPER!$B:$B,HELPER!$E:$E,"")," "))</f>
        <v/>
      </c>
      <c r="J257" s="48" t="str">
        <f>IFERROR(H257*(IF(G257=8,I257*HELPER!$G$2,BOM!I257*HELPER!$G$3))," ")</f>
        <v xml:space="preserve"> </v>
      </c>
      <c r="K257" s="6"/>
      <c r="L257" s="14" t="str" cm="1">
        <f t="array" ref="L257">IFERROR(_xlfn.LET(_xlpm.films,Table4[Film],_xlpm.grades,Table4[Grade],_xlpm.pairs,_xlfn._xlws.FILTER(_xlfn.HSTACK(_xlpm.films,_xlpm.grades),(_xlpm.films&lt;&gt;"")*(TRIM(_xlpm.grades)&lt;&gt;"")),_xlpm.uniquePairs,_xlfn.UNIQUE(_xlpm.pairs),_xlpm.sortedPairs,_xlfn._xlws.SORT(_xlpm.uniquePairs,1,1),INDEX(_xlpm.sortedPairs,ROWS($L$2:L257),1)),"")</f>
        <v/>
      </c>
      <c r="M257" s="15" t="str" cm="1">
        <f t="array" ref="M257">IFERROR(_xlfn.LET(_xlpm.films,Table4[Film],_xlpm.grades,Table4[Grade],_xlpm.pairs,_xlfn._xlws.FILTER(_xlfn.HSTACK(_xlpm.films,_xlpm.grades),(_xlpm.films&lt;&gt;"")*(TRIM(_xlpm.grades)&lt;&gt;"")),_xlpm.uniquePairs,_xlfn.UNIQUE(_xlpm.pairs),_xlpm.sortedPairs,_xlfn._xlws.SORT(_xlpm.uniquePairs,1,1),INDEX(_xlpm.sortedPairs,ROWS($M$2:M257),2)),"")</f>
        <v/>
      </c>
      <c r="N257" s="15" t="str" cm="1">
        <f t="array" ref="N257">IF(OR(Table2[[#This Row],[Film]]="",Table2[[#This Row],[Grade]]=""),"",IFERROR(INDEX(Table4[Serial Number],MATCH(1,(Table4[Film]=Table2[[#This Row],[Film]])*(Table4[Grade]=Table2[[#This Row],[Grade]]),0)),""))</f>
        <v/>
      </c>
      <c r="O257" s="52" t="str">
        <f>IF(OR(Table2[[#This Row],[Film]]="",Table2[[#This Row],[Grade]]=""),"",SUMIFS(Table4[Price Calculated(€) Thickness &amp; QTY related],Table4[Film],Table2[[#This Row],[Film]],Table4[Grade],Table2[[#This Row],[Grade]]))</f>
        <v/>
      </c>
      <c r="P257" s="6"/>
      <c r="T257" s="6"/>
    </row>
    <row r="258" spans="1:20">
      <c r="A258" s="29" t="s">
        <v>49</v>
      </c>
      <c r="B258" s="29" t="s">
        <v>6</v>
      </c>
      <c r="C258" s="28"/>
      <c r="D258" s="28" t="str">
        <f>IF(C258="","",IFERROR(_xlfn.XLOOKUP(C258,HELPER!$A$2:$A$81,HELPER!$B$2:$B$81,""),D258))</f>
        <v/>
      </c>
      <c r="E258" s="28" t="str">
        <f>IFERROR(_xlfn.XLOOKUP(D258,HELPER!$B:$B,HELPER!$C:$C,""),"")</f>
        <v/>
      </c>
      <c r="F258" s="27" t="str">
        <f>IFERROR(_xlfn.XLOOKUP(D258,HELPER!$B:$B,HELPER!$D:$D,""),"")</f>
        <v/>
      </c>
      <c r="G258" s="27">
        <v>8</v>
      </c>
      <c r="H258" s="47"/>
      <c r="I258" s="48" t="str">
        <f>IF(AND(H258&lt;&gt;"",IFERROR(_xlfn.XLOOKUP(D258,HELPER!$B:$B,HELPER!$E:$E,""),"")=""),"Missing price",IFERROR(_xlfn.XLOOKUP(D258,HELPER!$B:$B,HELPER!$E:$E,"")," "))</f>
        <v/>
      </c>
      <c r="J258" s="48" t="str">
        <f>IFERROR(H258*(IF(G258=8,I258*HELPER!$G$2,BOM!I258*HELPER!$G$3))," ")</f>
        <v xml:space="preserve"> </v>
      </c>
      <c r="K258" s="6"/>
      <c r="L258" s="14" t="str" cm="1">
        <f t="array" ref="L258">IFERROR(_xlfn.LET(_xlpm.films,Table4[Film],_xlpm.grades,Table4[Grade],_xlpm.pairs,_xlfn._xlws.FILTER(_xlfn.HSTACK(_xlpm.films,_xlpm.grades),(_xlpm.films&lt;&gt;"")*(TRIM(_xlpm.grades)&lt;&gt;"")),_xlpm.uniquePairs,_xlfn.UNIQUE(_xlpm.pairs),_xlpm.sortedPairs,_xlfn._xlws.SORT(_xlpm.uniquePairs,1,1),INDEX(_xlpm.sortedPairs,ROWS($L$2:L258),1)),"")</f>
        <v/>
      </c>
      <c r="M258" s="15" t="str" cm="1">
        <f t="array" ref="M258">IFERROR(_xlfn.LET(_xlpm.films,Table4[Film],_xlpm.grades,Table4[Grade],_xlpm.pairs,_xlfn._xlws.FILTER(_xlfn.HSTACK(_xlpm.films,_xlpm.grades),(_xlpm.films&lt;&gt;"")*(TRIM(_xlpm.grades)&lt;&gt;"")),_xlpm.uniquePairs,_xlfn.UNIQUE(_xlpm.pairs),_xlpm.sortedPairs,_xlfn._xlws.SORT(_xlpm.uniquePairs,1,1),INDEX(_xlpm.sortedPairs,ROWS($M$2:M258),2)),"")</f>
        <v/>
      </c>
      <c r="N258" s="15" t="str" cm="1">
        <f t="array" ref="N258">IF(OR(Table2[[#This Row],[Film]]="",Table2[[#This Row],[Grade]]=""),"",IFERROR(INDEX(Table4[Serial Number],MATCH(1,(Table4[Film]=Table2[[#This Row],[Film]])*(Table4[Grade]=Table2[[#This Row],[Grade]]),0)),""))</f>
        <v/>
      </c>
      <c r="O258" s="52" t="str">
        <f>IF(OR(Table2[[#This Row],[Film]]="",Table2[[#This Row],[Grade]]=""),"",SUMIFS(Table4[Price Calculated(€) Thickness &amp; QTY related],Table4[Film],Table2[[#This Row],[Film]],Table4[Grade],Table2[[#This Row],[Grade]]))</f>
        <v/>
      </c>
      <c r="P258" s="6"/>
      <c r="T258" s="6"/>
    </row>
    <row r="259" spans="1:20">
      <c r="A259" s="29" t="s">
        <v>49</v>
      </c>
      <c r="B259" s="29" t="s">
        <v>6</v>
      </c>
      <c r="C259" s="28"/>
      <c r="D259" s="28" t="str">
        <f>IF(C259="","",IFERROR(_xlfn.XLOOKUP(C259,HELPER!$A$2:$A$81,HELPER!$B$2:$B$81,""),D259))</f>
        <v/>
      </c>
      <c r="E259" s="28" t="str">
        <f>IFERROR(_xlfn.XLOOKUP(D259,HELPER!$B:$B,HELPER!$C:$C,""),"")</f>
        <v/>
      </c>
      <c r="F259" s="27" t="str">
        <f>IFERROR(_xlfn.XLOOKUP(D259,HELPER!$B:$B,HELPER!$D:$D,""),"")</f>
        <v/>
      </c>
      <c r="G259" s="27">
        <v>8</v>
      </c>
      <c r="H259" s="47"/>
      <c r="I259" s="48" t="str">
        <f>IF(AND(H259&lt;&gt;"",IFERROR(_xlfn.XLOOKUP(D259,HELPER!$B:$B,HELPER!$E:$E,""),"")=""),"Missing price",IFERROR(_xlfn.XLOOKUP(D259,HELPER!$B:$B,HELPER!$E:$E,"")," "))</f>
        <v/>
      </c>
      <c r="J259" s="48" t="str">
        <f>IFERROR(H259*(IF(G259=8,I259*HELPER!$G$2,BOM!I259*HELPER!$G$3))," ")</f>
        <v xml:space="preserve"> </v>
      </c>
      <c r="K259" s="6"/>
      <c r="L259" s="14" t="str" cm="1">
        <f t="array" ref="L259">IFERROR(_xlfn.LET(_xlpm.films,Table4[Film],_xlpm.grades,Table4[Grade],_xlpm.pairs,_xlfn._xlws.FILTER(_xlfn.HSTACK(_xlpm.films,_xlpm.grades),(_xlpm.films&lt;&gt;"")*(TRIM(_xlpm.grades)&lt;&gt;"")),_xlpm.uniquePairs,_xlfn.UNIQUE(_xlpm.pairs),_xlpm.sortedPairs,_xlfn._xlws.SORT(_xlpm.uniquePairs,1,1),INDEX(_xlpm.sortedPairs,ROWS($L$2:L259),1)),"")</f>
        <v/>
      </c>
      <c r="M259" s="15" t="str" cm="1">
        <f t="array" ref="M259">IFERROR(_xlfn.LET(_xlpm.films,Table4[Film],_xlpm.grades,Table4[Grade],_xlpm.pairs,_xlfn._xlws.FILTER(_xlfn.HSTACK(_xlpm.films,_xlpm.grades),(_xlpm.films&lt;&gt;"")*(TRIM(_xlpm.grades)&lt;&gt;"")),_xlpm.uniquePairs,_xlfn.UNIQUE(_xlpm.pairs),_xlpm.sortedPairs,_xlfn._xlws.SORT(_xlpm.uniquePairs,1,1),INDEX(_xlpm.sortedPairs,ROWS($M$2:M259),2)),"")</f>
        <v/>
      </c>
      <c r="N259" s="15" t="str" cm="1">
        <f t="array" ref="N259">IF(OR(Table2[[#This Row],[Film]]="",Table2[[#This Row],[Grade]]=""),"",IFERROR(INDEX(Table4[Serial Number],MATCH(1,(Table4[Film]=Table2[[#This Row],[Film]])*(Table4[Grade]=Table2[[#This Row],[Grade]]),0)),""))</f>
        <v/>
      </c>
      <c r="O259" s="52" t="str">
        <f>IF(OR(Table2[[#This Row],[Film]]="",Table2[[#This Row],[Grade]]=""),"",SUMIFS(Table4[Price Calculated(€) Thickness &amp; QTY related],Table4[Film],Table2[[#This Row],[Film]],Table4[Grade],Table2[[#This Row],[Grade]]))</f>
        <v/>
      </c>
      <c r="P259" s="6"/>
      <c r="T259" s="6"/>
    </row>
    <row r="260" spans="1:20">
      <c r="A260" s="29" t="s">
        <v>49</v>
      </c>
      <c r="B260" s="29" t="s">
        <v>6</v>
      </c>
      <c r="C260" s="28"/>
      <c r="D260" s="28" t="str">
        <f>IF(C260="","",IFERROR(_xlfn.XLOOKUP(C260,HELPER!$A$2:$A$81,HELPER!$B$2:$B$81,""),D260))</f>
        <v/>
      </c>
      <c r="E260" s="28" t="str">
        <f>IFERROR(_xlfn.XLOOKUP(D260,HELPER!$B:$B,HELPER!$C:$C,""),"")</f>
        <v/>
      </c>
      <c r="F260" s="27" t="str">
        <f>IFERROR(_xlfn.XLOOKUP(D260,HELPER!$B:$B,HELPER!$D:$D,""),"")</f>
        <v/>
      </c>
      <c r="G260" s="27">
        <v>8</v>
      </c>
      <c r="H260" s="47"/>
      <c r="I260" s="48" t="str">
        <f>IF(AND(H260&lt;&gt;"",IFERROR(_xlfn.XLOOKUP(D260,HELPER!$B:$B,HELPER!$E:$E,""),"")=""),"Missing price",IFERROR(_xlfn.XLOOKUP(D260,HELPER!$B:$B,HELPER!$E:$E,"")," "))</f>
        <v/>
      </c>
      <c r="J260" s="48" t="str">
        <f>IFERROR(H260*(IF(G260=8,I260*HELPER!$G$2,BOM!I260*HELPER!$G$3))," ")</f>
        <v xml:space="preserve"> </v>
      </c>
      <c r="K260" s="6"/>
      <c r="L260" s="14" t="str" cm="1">
        <f t="array" ref="L260">IFERROR(_xlfn.LET(_xlpm.films,Table4[Film],_xlpm.grades,Table4[Grade],_xlpm.pairs,_xlfn._xlws.FILTER(_xlfn.HSTACK(_xlpm.films,_xlpm.grades),(_xlpm.films&lt;&gt;"")*(TRIM(_xlpm.grades)&lt;&gt;"")),_xlpm.uniquePairs,_xlfn.UNIQUE(_xlpm.pairs),_xlpm.sortedPairs,_xlfn._xlws.SORT(_xlpm.uniquePairs,1,1),INDEX(_xlpm.sortedPairs,ROWS($L$2:L260),1)),"")</f>
        <v/>
      </c>
      <c r="M260" s="15" t="str" cm="1">
        <f t="array" ref="M260">IFERROR(_xlfn.LET(_xlpm.films,Table4[Film],_xlpm.grades,Table4[Grade],_xlpm.pairs,_xlfn._xlws.FILTER(_xlfn.HSTACK(_xlpm.films,_xlpm.grades),(_xlpm.films&lt;&gt;"")*(TRIM(_xlpm.grades)&lt;&gt;"")),_xlpm.uniquePairs,_xlfn.UNIQUE(_xlpm.pairs),_xlpm.sortedPairs,_xlfn._xlws.SORT(_xlpm.uniquePairs,1,1),INDEX(_xlpm.sortedPairs,ROWS($M$2:M260),2)),"")</f>
        <v/>
      </c>
      <c r="N260" s="15" t="str" cm="1">
        <f t="array" ref="N260">IF(OR(Table2[[#This Row],[Film]]="",Table2[[#This Row],[Grade]]=""),"",IFERROR(INDEX(Table4[Serial Number],MATCH(1,(Table4[Film]=Table2[[#This Row],[Film]])*(Table4[Grade]=Table2[[#This Row],[Grade]]),0)),""))</f>
        <v/>
      </c>
      <c r="O260" s="52" t="str">
        <f>IF(OR(Table2[[#This Row],[Film]]="",Table2[[#This Row],[Grade]]=""),"",SUMIFS(Table4[Price Calculated(€) Thickness &amp; QTY related],Table4[Film],Table2[[#This Row],[Film]],Table4[Grade],Table2[[#This Row],[Grade]]))</f>
        <v/>
      </c>
      <c r="P260" s="6"/>
      <c r="T260" s="6"/>
    </row>
    <row r="261" spans="1:20">
      <c r="A261" s="29" t="s">
        <v>49</v>
      </c>
      <c r="B261" s="29" t="s">
        <v>6</v>
      </c>
      <c r="C261" s="28"/>
      <c r="D261" s="28" t="str">
        <f>IF(C261="","",IFERROR(_xlfn.XLOOKUP(C261,HELPER!$A$2:$A$81,HELPER!$B$2:$B$81,""),D261))</f>
        <v/>
      </c>
      <c r="E261" s="28" t="str">
        <f>IFERROR(_xlfn.XLOOKUP(D261,HELPER!$B:$B,HELPER!$C:$C,""),"")</f>
        <v/>
      </c>
      <c r="F261" s="27" t="str">
        <f>IFERROR(_xlfn.XLOOKUP(D261,HELPER!$B:$B,HELPER!$D:$D,""),"")</f>
        <v/>
      </c>
      <c r="G261" s="27">
        <v>8</v>
      </c>
      <c r="H261" s="47"/>
      <c r="I261" s="48" t="str">
        <f>IF(AND(H261&lt;&gt;"",IFERROR(_xlfn.XLOOKUP(D261,HELPER!$B:$B,HELPER!$E:$E,""),"")=""),"Missing price",IFERROR(_xlfn.XLOOKUP(D261,HELPER!$B:$B,HELPER!$E:$E,"")," "))</f>
        <v/>
      </c>
      <c r="J261" s="48" t="str">
        <f>IFERROR(H261*(IF(G261=8,I261*HELPER!$G$2,BOM!I261*HELPER!$G$3))," ")</f>
        <v xml:space="preserve"> </v>
      </c>
      <c r="K261" s="6"/>
      <c r="L261" s="14" t="str" cm="1">
        <f t="array" ref="L261">IFERROR(_xlfn.LET(_xlpm.films,Table4[Film],_xlpm.grades,Table4[Grade],_xlpm.pairs,_xlfn._xlws.FILTER(_xlfn.HSTACK(_xlpm.films,_xlpm.grades),(_xlpm.films&lt;&gt;"")*(TRIM(_xlpm.grades)&lt;&gt;"")),_xlpm.uniquePairs,_xlfn.UNIQUE(_xlpm.pairs),_xlpm.sortedPairs,_xlfn._xlws.SORT(_xlpm.uniquePairs,1,1),INDEX(_xlpm.sortedPairs,ROWS($L$2:L261),1)),"")</f>
        <v/>
      </c>
      <c r="M261" s="15" t="str" cm="1">
        <f t="array" ref="M261">IFERROR(_xlfn.LET(_xlpm.films,Table4[Film],_xlpm.grades,Table4[Grade],_xlpm.pairs,_xlfn._xlws.FILTER(_xlfn.HSTACK(_xlpm.films,_xlpm.grades),(_xlpm.films&lt;&gt;"")*(TRIM(_xlpm.grades)&lt;&gt;"")),_xlpm.uniquePairs,_xlfn.UNIQUE(_xlpm.pairs),_xlpm.sortedPairs,_xlfn._xlws.SORT(_xlpm.uniquePairs,1,1),INDEX(_xlpm.sortedPairs,ROWS($M$2:M261),2)),"")</f>
        <v/>
      </c>
      <c r="N261" s="15" t="str" cm="1">
        <f t="array" ref="N261">IF(OR(Table2[[#This Row],[Film]]="",Table2[[#This Row],[Grade]]=""),"",IFERROR(INDEX(Table4[Serial Number],MATCH(1,(Table4[Film]=Table2[[#This Row],[Film]])*(Table4[Grade]=Table2[[#This Row],[Grade]]),0)),""))</f>
        <v/>
      </c>
      <c r="O261" s="52" t="str">
        <f>IF(OR(Table2[[#This Row],[Film]]="",Table2[[#This Row],[Grade]]=""),"",SUMIFS(Table4[Price Calculated(€) Thickness &amp; QTY related],Table4[Film],Table2[[#This Row],[Film]],Table4[Grade],Table2[[#This Row],[Grade]]))</f>
        <v/>
      </c>
      <c r="P261" s="6"/>
      <c r="T261" s="6"/>
    </row>
    <row r="262" spans="1:20">
      <c r="A262" s="29" t="s">
        <v>49</v>
      </c>
      <c r="B262" s="29" t="s">
        <v>7</v>
      </c>
      <c r="C262" s="28" t="s">
        <v>14</v>
      </c>
      <c r="D262" s="28" t="str">
        <f>IF(C262="","",IFERROR(_xlfn.XLOOKUP(C262,HELPER!$A$2:$A$81,HELPER!$B$2:$B$81,""),D262))</f>
        <v>B12</v>
      </c>
      <c r="E262" s="28" t="str">
        <f>IFERROR(_xlfn.XLOOKUP(D262,HELPER!$B:$B,HELPER!$C:$C,""),"")</f>
        <v>RMB12</v>
      </c>
      <c r="F262" s="27" t="str">
        <f>IFERROR(_xlfn.XLOOKUP(D262,HELPER!$B:$B,HELPER!$D:$D,""),"")</f>
        <v>Resin 2A</v>
      </c>
      <c r="G262" s="27">
        <v>8</v>
      </c>
      <c r="H262" s="47">
        <v>0.98</v>
      </c>
      <c r="I262" s="48">
        <f>IF(AND(H262&lt;&gt;"",IFERROR(_xlfn.XLOOKUP(D262,HELPER!$B:$B,HELPER!$E:$E,""),"")=""),"Missing price",IFERROR(_xlfn.XLOOKUP(D262,HELPER!$B:$B,HELPER!$E:$E,"")," "))</f>
        <v>1.81</v>
      </c>
      <c r="J262" s="48">
        <f>IFERROR(H262*(IF(G262=8,I262*HELPER!$G$2,BOM!I262*HELPER!$G$3))," ")</f>
        <v>0.35476000000000002</v>
      </c>
      <c r="K262" s="6"/>
      <c r="L262" s="14" t="str" cm="1">
        <f t="array" ref="L262">IFERROR(_xlfn.LET(_xlpm.films,Table4[Film],_xlpm.grades,Table4[Grade],_xlpm.pairs,_xlfn._xlws.FILTER(_xlfn.HSTACK(_xlpm.films,_xlpm.grades),(_xlpm.films&lt;&gt;"")*(TRIM(_xlpm.grades)&lt;&gt;"")),_xlpm.uniquePairs,_xlfn.UNIQUE(_xlpm.pairs),_xlpm.sortedPairs,_xlfn._xlws.SORT(_xlpm.uniquePairs,1,1),INDEX(_xlpm.sortedPairs,ROWS($L$2:L262),1)),"")</f>
        <v/>
      </c>
      <c r="M262" s="15" t="str" cm="1">
        <f t="array" ref="M262">IFERROR(_xlfn.LET(_xlpm.films,Table4[Film],_xlpm.grades,Table4[Grade],_xlpm.pairs,_xlfn._xlws.FILTER(_xlfn.HSTACK(_xlpm.films,_xlpm.grades),(_xlpm.films&lt;&gt;"")*(TRIM(_xlpm.grades)&lt;&gt;"")),_xlpm.uniquePairs,_xlfn.UNIQUE(_xlpm.pairs),_xlpm.sortedPairs,_xlfn._xlws.SORT(_xlpm.uniquePairs,1,1),INDEX(_xlpm.sortedPairs,ROWS($M$2:M262),2)),"")</f>
        <v/>
      </c>
      <c r="N262" s="15" t="str" cm="1">
        <f t="array" ref="N262">IF(OR(Table2[[#This Row],[Film]]="",Table2[[#This Row],[Grade]]=""),"",IFERROR(INDEX(Table4[Serial Number],MATCH(1,(Table4[Film]=Table2[[#This Row],[Film]])*(Table4[Grade]=Table2[[#This Row],[Grade]]),0)),""))</f>
        <v/>
      </c>
      <c r="O262" s="52" t="str">
        <f>IF(OR(Table2[[#This Row],[Film]]="",Table2[[#This Row],[Grade]]=""),"",SUMIFS(Table4[Price Calculated(€) Thickness &amp; QTY related],Table4[Film],Table2[[#This Row],[Film]],Table4[Grade],Table2[[#This Row],[Grade]]))</f>
        <v/>
      </c>
      <c r="P262" s="6"/>
      <c r="T262" s="6"/>
    </row>
    <row r="263" spans="1:20">
      <c r="A263" s="29" t="s">
        <v>49</v>
      </c>
      <c r="B263" s="29" t="s">
        <v>7</v>
      </c>
      <c r="C263" s="28" t="s">
        <v>16</v>
      </c>
      <c r="D263" s="28" t="str">
        <f>IF(C263="","",IFERROR(_xlfn.XLOOKUP(C263,HELPER!$A$2:$A$81,HELPER!$B$2:$B$81,""),D263))</f>
        <v>S723</v>
      </c>
      <c r="E263" s="28" t="str">
        <f>IFERROR(_xlfn.XLOOKUP(D263,HELPER!$B:$B,HELPER!$C:$C,""),"")</f>
        <v>RM TA45-08 S723</v>
      </c>
      <c r="F263" s="27" t="str">
        <f>IFERROR(_xlfn.XLOOKUP(D263,HELPER!$B:$B,HELPER!$D:$D,""),"")</f>
        <v>Resin 6</v>
      </c>
      <c r="G263" s="27">
        <v>8</v>
      </c>
      <c r="H263" s="47">
        <v>0.02</v>
      </c>
      <c r="I263" s="48">
        <f>IF(AND(H263&lt;&gt;"",IFERROR(_xlfn.XLOOKUP(D263,HELPER!$B:$B,HELPER!$E:$E,""),"")=""),"Missing price",IFERROR(_xlfn.XLOOKUP(D263,HELPER!$B:$B,HELPER!$E:$E,"")," "))</f>
        <v>16.16</v>
      </c>
      <c r="J263" s="48">
        <f>IFERROR(H263*(IF(G263=8,I263*HELPER!$G$2,BOM!I263*HELPER!$G$3))," ")</f>
        <v>6.4640000000000003E-2</v>
      </c>
      <c r="K263" s="6"/>
      <c r="L263" s="14" t="str" cm="1">
        <f t="array" ref="L263">IFERROR(_xlfn.LET(_xlpm.films,Table4[Film],_xlpm.grades,Table4[Grade],_xlpm.pairs,_xlfn._xlws.FILTER(_xlfn.HSTACK(_xlpm.films,_xlpm.grades),(_xlpm.films&lt;&gt;"")*(TRIM(_xlpm.grades)&lt;&gt;"")),_xlpm.uniquePairs,_xlfn.UNIQUE(_xlpm.pairs),_xlpm.sortedPairs,_xlfn._xlws.SORT(_xlpm.uniquePairs,1,1),INDEX(_xlpm.sortedPairs,ROWS($L$2:L263),1)),"")</f>
        <v/>
      </c>
      <c r="M263" s="15" t="str" cm="1">
        <f t="array" ref="M263">IFERROR(_xlfn.LET(_xlpm.films,Table4[Film],_xlpm.grades,Table4[Grade],_xlpm.pairs,_xlfn._xlws.FILTER(_xlfn.HSTACK(_xlpm.films,_xlpm.grades),(_xlpm.films&lt;&gt;"")*(TRIM(_xlpm.grades)&lt;&gt;"")),_xlpm.uniquePairs,_xlfn.UNIQUE(_xlpm.pairs),_xlpm.sortedPairs,_xlfn._xlws.SORT(_xlpm.uniquePairs,1,1),INDEX(_xlpm.sortedPairs,ROWS($M$2:M263),2)),"")</f>
        <v/>
      </c>
      <c r="N263" s="15" t="str" cm="1">
        <f t="array" ref="N263">IF(OR(Table2[[#This Row],[Film]]="",Table2[[#This Row],[Grade]]=""),"",IFERROR(INDEX(Table4[Serial Number],MATCH(1,(Table4[Film]=Table2[[#This Row],[Film]])*(Table4[Grade]=Table2[[#This Row],[Grade]]),0)),""))</f>
        <v/>
      </c>
      <c r="O263" s="52" t="str">
        <f>IF(OR(Table2[[#This Row],[Film]]="",Table2[[#This Row],[Grade]]=""),"",SUMIFS(Table4[Price Calculated(€) Thickness &amp; QTY related],Table4[Film],Table2[[#This Row],[Film]],Table4[Grade],Table2[[#This Row],[Grade]]))</f>
        <v/>
      </c>
      <c r="P263" s="6"/>
      <c r="T263" s="6"/>
    </row>
    <row r="264" spans="1:20">
      <c r="A264" s="29" t="s">
        <v>49</v>
      </c>
      <c r="B264" s="29" t="s">
        <v>7</v>
      </c>
      <c r="C264" s="28"/>
      <c r="D264" s="28" t="str">
        <f>IF(C264="","",IFERROR(_xlfn.XLOOKUP(C264,HELPER!$A$2:$A$81,HELPER!$B$2:$B$81,""),D264))</f>
        <v/>
      </c>
      <c r="E264" s="28" t="str">
        <f>IFERROR(_xlfn.XLOOKUP(D264,HELPER!$B:$B,HELPER!$C:$C,""),"")</f>
        <v/>
      </c>
      <c r="F264" s="27" t="str">
        <f>IFERROR(_xlfn.XLOOKUP(D264,HELPER!$B:$B,HELPER!$D:$D,""),"")</f>
        <v/>
      </c>
      <c r="G264" s="27">
        <v>8</v>
      </c>
      <c r="H264" s="47"/>
      <c r="I264" s="48" t="str">
        <f>IF(AND(H264&lt;&gt;"",IFERROR(_xlfn.XLOOKUP(D264,HELPER!$B:$B,HELPER!$E:$E,""),"")=""),"Missing price",IFERROR(_xlfn.XLOOKUP(D264,HELPER!$B:$B,HELPER!$E:$E,"")," "))</f>
        <v/>
      </c>
      <c r="J264" s="48" t="str">
        <f>IFERROR(H264*(IF(G264=8,I264*HELPER!$G$2,BOM!I264*HELPER!$G$3))," ")</f>
        <v xml:space="preserve"> </v>
      </c>
      <c r="K264" s="6"/>
      <c r="L264" s="14" t="str" cm="1">
        <f t="array" ref="L264">IFERROR(_xlfn.LET(_xlpm.films,Table4[Film],_xlpm.grades,Table4[Grade],_xlpm.pairs,_xlfn._xlws.FILTER(_xlfn.HSTACK(_xlpm.films,_xlpm.grades),(_xlpm.films&lt;&gt;"")*(TRIM(_xlpm.grades)&lt;&gt;"")),_xlpm.uniquePairs,_xlfn.UNIQUE(_xlpm.pairs),_xlpm.sortedPairs,_xlfn._xlws.SORT(_xlpm.uniquePairs,1,1),INDEX(_xlpm.sortedPairs,ROWS($L$2:L264),1)),"")</f>
        <v/>
      </c>
      <c r="M264" s="15" t="str" cm="1">
        <f t="array" ref="M264">IFERROR(_xlfn.LET(_xlpm.films,Table4[Film],_xlpm.grades,Table4[Grade],_xlpm.pairs,_xlfn._xlws.FILTER(_xlfn.HSTACK(_xlpm.films,_xlpm.grades),(_xlpm.films&lt;&gt;"")*(TRIM(_xlpm.grades)&lt;&gt;"")),_xlpm.uniquePairs,_xlfn.UNIQUE(_xlpm.pairs),_xlpm.sortedPairs,_xlfn._xlws.SORT(_xlpm.uniquePairs,1,1),INDEX(_xlpm.sortedPairs,ROWS($M$2:M264),2)),"")</f>
        <v/>
      </c>
      <c r="N264" s="15" t="str" cm="1">
        <f t="array" ref="N264">IF(OR(Table2[[#This Row],[Film]]="",Table2[[#This Row],[Grade]]=""),"",IFERROR(INDEX(Table4[Serial Number],MATCH(1,(Table4[Film]=Table2[[#This Row],[Film]])*(Table4[Grade]=Table2[[#This Row],[Grade]]),0)),""))</f>
        <v/>
      </c>
      <c r="O264" s="52" t="str">
        <f>IF(OR(Table2[[#This Row],[Film]]="",Table2[[#This Row],[Grade]]=""),"",SUMIFS(Table4[Price Calculated(€) Thickness &amp; QTY related],Table4[Film],Table2[[#This Row],[Film]],Table4[Grade],Table2[[#This Row],[Grade]]))</f>
        <v/>
      </c>
      <c r="P264" s="6"/>
      <c r="T264" s="6"/>
    </row>
    <row r="265" spans="1:20">
      <c r="A265" s="29" t="s">
        <v>49</v>
      </c>
      <c r="B265" s="29" t="s">
        <v>7</v>
      </c>
      <c r="C265" s="28"/>
      <c r="D265" s="28" t="str">
        <f>IF(C265="","",IFERROR(_xlfn.XLOOKUP(C265,HELPER!$A$2:$A$81,HELPER!$B$2:$B$81,""),D265))</f>
        <v/>
      </c>
      <c r="E265" s="28" t="str">
        <f>IFERROR(_xlfn.XLOOKUP(D265,HELPER!$B:$B,HELPER!$C:$C,""),"")</f>
        <v/>
      </c>
      <c r="F265" s="27" t="str">
        <f>IFERROR(_xlfn.XLOOKUP(D265,HELPER!$B:$B,HELPER!$D:$D,""),"")</f>
        <v/>
      </c>
      <c r="G265" s="27">
        <v>8</v>
      </c>
      <c r="H265" s="47"/>
      <c r="I265" s="48" t="str">
        <f>IF(AND(H265&lt;&gt;"",IFERROR(_xlfn.XLOOKUP(D265,HELPER!$B:$B,HELPER!$E:$E,""),"")=""),"Missing price",IFERROR(_xlfn.XLOOKUP(D265,HELPER!$B:$B,HELPER!$E:$E,"")," "))</f>
        <v/>
      </c>
      <c r="J265" s="48" t="str">
        <f>IFERROR(H265*(IF(G265=8,I265*HELPER!$G$2,BOM!I265*HELPER!$G$3))," ")</f>
        <v xml:space="preserve"> </v>
      </c>
      <c r="K265" s="6"/>
      <c r="L265" s="14" t="str" cm="1">
        <f t="array" ref="L265">IFERROR(_xlfn.LET(_xlpm.films,Table4[Film],_xlpm.grades,Table4[Grade],_xlpm.pairs,_xlfn._xlws.FILTER(_xlfn.HSTACK(_xlpm.films,_xlpm.grades),(_xlpm.films&lt;&gt;"")*(TRIM(_xlpm.grades)&lt;&gt;"")),_xlpm.uniquePairs,_xlfn.UNIQUE(_xlpm.pairs),_xlpm.sortedPairs,_xlfn._xlws.SORT(_xlpm.uniquePairs,1,1),INDEX(_xlpm.sortedPairs,ROWS($L$2:L265),1)),"")</f>
        <v/>
      </c>
      <c r="M265" s="15" t="str" cm="1">
        <f t="array" ref="M265">IFERROR(_xlfn.LET(_xlpm.films,Table4[Film],_xlpm.grades,Table4[Grade],_xlpm.pairs,_xlfn._xlws.FILTER(_xlfn.HSTACK(_xlpm.films,_xlpm.grades),(_xlpm.films&lt;&gt;"")*(TRIM(_xlpm.grades)&lt;&gt;"")),_xlpm.uniquePairs,_xlfn.UNIQUE(_xlpm.pairs),_xlpm.sortedPairs,_xlfn._xlws.SORT(_xlpm.uniquePairs,1,1),INDEX(_xlpm.sortedPairs,ROWS($M$2:M265),2)),"")</f>
        <v/>
      </c>
      <c r="N265" s="15" t="str" cm="1">
        <f t="array" ref="N265">IF(OR(Table2[[#This Row],[Film]]="",Table2[[#This Row],[Grade]]=""),"",IFERROR(INDEX(Table4[Serial Number],MATCH(1,(Table4[Film]=Table2[[#This Row],[Film]])*(Table4[Grade]=Table2[[#This Row],[Grade]]),0)),""))</f>
        <v/>
      </c>
      <c r="O265" s="52" t="str">
        <f>IF(OR(Table2[[#This Row],[Film]]="",Table2[[#This Row],[Grade]]=""),"",SUMIFS(Table4[Price Calculated(€) Thickness &amp; QTY related],Table4[Film],Table2[[#This Row],[Film]],Table4[Grade],Table2[[#This Row],[Grade]]))</f>
        <v/>
      </c>
      <c r="P265" s="6"/>
      <c r="T265" s="6"/>
    </row>
    <row r="266" spans="1:20">
      <c r="A266" s="29" t="s">
        <v>49</v>
      </c>
      <c r="B266" s="29" t="s">
        <v>7</v>
      </c>
      <c r="C266" s="28"/>
      <c r="D266" s="28" t="str">
        <f>IF(C266="","",IFERROR(_xlfn.XLOOKUP(C266,HELPER!$A$2:$A$81,HELPER!$B$2:$B$81,""),D266))</f>
        <v/>
      </c>
      <c r="E266" s="28" t="str">
        <f>IFERROR(_xlfn.XLOOKUP(D266,HELPER!$B:$B,HELPER!$C:$C,""),"")</f>
        <v/>
      </c>
      <c r="F266" s="27" t="str">
        <f>IFERROR(_xlfn.XLOOKUP(D266,HELPER!$B:$B,HELPER!$D:$D,""),"")</f>
        <v/>
      </c>
      <c r="G266" s="27">
        <v>8</v>
      </c>
      <c r="H266" s="47"/>
      <c r="I266" s="48" t="str">
        <f>IF(AND(H266&lt;&gt;"",IFERROR(_xlfn.XLOOKUP(D266,HELPER!$B:$B,HELPER!$E:$E,""),"")=""),"Missing price",IFERROR(_xlfn.XLOOKUP(D266,HELPER!$B:$B,HELPER!$E:$E,"")," "))</f>
        <v/>
      </c>
      <c r="J266" s="48" t="str">
        <f>IFERROR(H266*(IF(G266=8,I266*HELPER!$G$2,BOM!I266*HELPER!$G$3))," ")</f>
        <v xml:space="preserve"> </v>
      </c>
      <c r="K266" s="6"/>
      <c r="L266" s="14" t="str" cm="1">
        <f t="array" ref="L266">IFERROR(_xlfn.LET(_xlpm.films,Table4[Film],_xlpm.grades,Table4[Grade],_xlpm.pairs,_xlfn._xlws.FILTER(_xlfn.HSTACK(_xlpm.films,_xlpm.grades),(_xlpm.films&lt;&gt;"")*(TRIM(_xlpm.grades)&lt;&gt;"")),_xlpm.uniquePairs,_xlfn.UNIQUE(_xlpm.pairs),_xlpm.sortedPairs,_xlfn._xlws.SORT(_xlpm.uniquePairs,1,1),INDEX(_xlpm.sortedPairs,ROWS($L$2:L266),1)),"")</f>
        <v/>
      </c>
      <c r="M266" s="15" t="str" cm="1">
        <f t="array" ref="M266">IFERROR(_xlfn.LET(_xlpm.films,Table4[Film],_xlpm.grades,Table4[Grade],_xlpm.pairs,_xlfn._xlws.FILTER(_xlfn.HSTACK(_xlpm.films,_xlpm.grades),(_xlpm.films&lt;&gt;"")*(TRIM(_xlpm.grades)&lt;&gt;"")),_xlpm.uniquePairs,_xlfn.UNIQUE(_xlpm.pairs),_xlpm.sortedPairs,_xlfn._xlws.SORT(_xlpm.uniquePairs,1,1),INDEX(_xlpm.sortedPairs,ROWS($M$2:M266),2)),"")</f>
        <v/>
      </c>
      <c r="N266" s="15" t="str" cm="1">
        <f t="array" ref="N266">IF(OR(Table2[[#This Row],[Film]]="",Table2[[#This Row],[Grade]]=""),"",IFERROR(INDEX(Table4[Serial Number],MATCH(1,(Table4[Film]=Table2[[#This Row],[Film]])*(Table4[Grade]=Table2[[#This Row],[Grade]]),0)),""))</f>
        <v/>
      </c>
      <c r="O266" s="52" t="str">
        <f>IF(OR(Table2[[#This Row],[Film]]="",Table2[[#This Row],[Grade]]=""),"",SUMIFS(Table4[Price Calculated(€) Thickness &amp; QTY related],Table4[Film],Table2[[#This Row],[Film]],Table4[Grade],Table2[[#This Row],[Grade]]))</f>
        <v/>
      </c>
      <c r="P266" s="6"/>
      <c r="T266" s="6"/>
    </row>
    <row r="267" spans="1:20">
      <c r="A267" s="29" t="s">
        <v>49</v>
      </c>
      <c r="B267" s="29" t="s">
        <v>7</v>
      </c>
      <c r="C267" s="28"/>
      <c r="D267" s="28" t="str">
        <f>IF(C267="","",IFERROR(_xlfn.XLOOKUP(C267,HELPER!$A$2:$A$81,HELPER!$B$2:$B$81,""),D267))</f>
        <v/>
      </c>
      <c r="E267" s="28" t="str">
        <f>IFERROR(_xlfn.XLOOKUP(D267,HELPER!$B:$B,HELPER!$C:$C,""),"")</f>
        <v/>
      </c>
      <c r="F267" s="27" t="str">
        <f>IFERROR(_xlfn.XLOOKUP(D267,HELPER!$B:$B,HELPER!$D:$D,""),"")</f>
        <v/>
      </c>
      <c r="G267" s="27">
        <v>8</v>
      </c>
      <c r="H267" s="47"/>
      <c r="I267" s="48" t="str">
        <f>IF(AND(H267&lt;&gt;"",IFERROR(_xlfn.XLOOKUP(D267,HELPER!$B:$B,HELPER!$E:$E,""),"")=""),"Missing price",IFERROR(_xlfn.XLOOKUP(D267,HELPER!$B:$B,HELPER!$E:$E,"")," "))</f>
        <v/>
      </c>
      <c r="J267" s="48" t="str">
        <f>IFERROR(H267*(IF(G267=8,I267*HELPER!$G$2,BOM!I267*HELPER!$G$3))," ")</f>
        <v xml:space="preserve"> </v>
      </c>
      <c r="K267" s="6"/>
      <c r="L267" s="14" t="str" cm="1">
        <f t="array" ref="L267">IFERROR(_xlfn.LET(_xlpm.films,Table4[Film],_xlpm.grades,Table4[Grade],_xlpm.pairs,_xlfn._xlws.FILTER(_xlfn.HSTACK(_xlpm.films,_xlpm.grades),(_xlpm.films&lt;&gt;"")*(TRIM(_xlpm.grades)&lt;&gt;"")),_xlpm.uniquePairs,_xlfn.UNIQUE(_xlpm.pairs),_xlpm.sortedPairs,_xlfn._xlws.SORT(_xlpm.uniquePairs,1,1),INDEX(_xlpm.sortedPairs,ROWS($L$2:L267),1)),"")</f>
        <v/>
      </c>
      <c r="M267" s="15" t="str" cm="1">
        <f t="array" ref="M267">IFERROR(_xlfn.LET(_xlpm.films,Table4[Film],_xlpm.grades,Table4[Grade],_xlpm.pairs,_xlfn._xlws.FILTER(_xlfn.HSTACK(_xlpm.films,_xlpm.grades),(_xlpm.films&lt;&gt;"")*(TRIM(_xlpm.grades)&lt;&gt;"")),_xlpm.uniquePairs,_xlfn.UNIQUE(_xlpm.pairs),_xlpm.sortedPairs,_xlfn._xlws.SORT(_xlpm.uniquePairs,1,1),INDEX(_xlpm.sortedPairs,ROWS($M$2:M267),2)),"")</f>
        <v/>
      </c>
      <c r="N267" s="15" t="str" cm="1">
        <f t="array" ref="N267">IF(OR(Table2[[#This Row],[Film]]="",Table2[[#This Row],[Grade]]=""),"",IFERROR(INDEX(Table4[Serial Number],MATCH(1,(Table4[Film]=Table2[[#This Row],[Film]])*(Table4[Grade]=Table2[[#This Row],[Grade]]),0)),""))</f>
        <v/>
      </c>
      <c r="O267" s="52" t="str">
        <f>IF(OR(Table2[[#This Row],[Film]]="",Table2[[#This Row],[Grade]]=""),"",SUMIFS(Table4[Price Calculated(€) Thickness &amp; QTY related],Table4[Film],Table2[[#This Row],[Film]],Table4[Grade],Table2[[#This Row],[Grade]]))</f>
        <v/>
      </c>
      <c r="P267" s="6"/>
      <c r="T267" s="6"/>
    </row>
    <row r="268" spans="1:20">
      <c r="A268" s="29" t="s">
        <v>49</v>
      </c>
      <c r="B268" s="29" t="s">
        <v>7</v>
      </c>
      <c r="C268" s="28"/>
      <c r="D268" s="28" t="str">
        <f>IF(C268="","",IFERROR(_xlfn.XLOOKUP(C268,HELPER!$A$2:$A$81,HELPER!$B$2:$B$81,""),D268))</f>
        <v/>
      </c>
      <c r="E268" s="28" t="str">
        <f>IFERROR(_xlfn.XLOOKUP(D268,HELPER!$B:$B,HELPER!$C:$C,""),"")</f>
        <v/>
      </c>
      <c r="F268" s="27" t="str">
        <f>IFERROR(_xlfn.XLOOKUP(D268,HELPER!$B:$B,HELPER!$D:$D,""),"")</f>
        <v/>
      </c>
      <c r="G268" s="27">
        <v>8</v>
      </c>
      <c r="H268" s="47"/>
      <c r="I268" s="48" t="str">
        <f>IF(AND(H268&lt;&gt;"",IFERROR(_xlfn.XLOOKUP(D268,HELPER!$B:$B,HELPER!$E:$E,""),"")=""),"Missing price",IFERROR(_xlfn.XLOOKUP(D268,HELPER!$B:$B,HELPER!$E:$E,"")," "))</f>
        <v/>
      </c>
      <c r="J268" s="48" t="str">
        <f>IFERROR(H268*(IF(G268=8,I268*HELPER!$G$2,BOM!I268*HELPER!$G$3))," ")</f>
        <v xml:space="preserve"> </v>
      </c>
      <c r="K268" s="6"/>
      <c r="L268" s="14" t="str" cm="1">
        <f t="array" ref="L268">IFERROR(_xlfn.LET(_xlpm.films,Table4[Film],_xlpm.grades,Table4[Grade],_xlpm.pairs,_xlfn._xlws.FILTER(_xlfn.HSTACK(_xlpm.films,_xlpm.grades),(_xlpm.films&lt;&gt;"")*(TRIM(_xlpm.grades)&lt;&gt;"")),_xlpm.uniquePairs,_xlfn.UNIQUE(_xlpm.pairs),_xlpm.sortedPairs,_xlfn._xlws.SORT(_xlpm.uniquePairs,1,1),INDEX(_xlpm.sortedPairs,ROWS($L$2:L268),1)),"")</f>
        <v/>
      </c>
      <c r="M268" s="15" t="str" cm="1">
        <f t="array" ref="M268">IFERROR(_xlfn.LET(_xlpm.films,Table4[Film],_xlpm.grades,Table4[Grade],_xlpm.pairs,_xlfn._xlws.FILTER(_xlfn.HSTACK(_xlpm.films,_xlpm.grades),(_xlpm.films&lt;&gt;"")*(TRIM(_xlpm.grades)&lt;&gt;"")),_xlpm.uniquePairs,_xlfn.UNIQUE(_xlpm.pairs),_xlpm.sortedPairs,_xlfn._xlws.SORT(_xlpm.uniquePairs,1,1),INDEX(_xlpm.sortedPairs,ROWS($M$2:M268),2)),"")</f>
        <v/>
      </c>
      <c r="N268" s="15" t="str" cm="1">
        <f t="array" ref="N268">IF(OR(Table2[[#This Row],[Film]]="",Table2[[#This Row],[Grade]]=""),"",IFERROR(INDEX(Table4[Serial Number],MATCH(1,(Table4[Film]=Table2[[#This Row],[Film]])*(Table4[Grade]=Table2[[#This Row],[Grade]]),0)),""))</f>
        <v/>
      </c>
      <c r="O268" s="52" t="str">
        <f>IF(OR(Table2[[#This Row],[Film]]="",Table2[[#This Row],[Grade]]=""),"",SUMIFS(Table4[Price Calculated(€) Thickness &amp; QTY related],Table4[Film],Table2[[#This Row],[Film]],Table4[Grade],Table2[[#This Row],[Grade]]))</f>
        <v/>
      </c>
      <c r="P268" s="6"/>
      <c r="T268" s="6"/>
    </row>
    <row r="269" spans="1:20">
      <c r="A269" s="29" t="s">
        <v>49</v>
      </c>
      <c r="B269" s="29" t="s">
        <v>7</v>
      </c>
      <c r="C269" s="28"/>
      <c r="D269" s="28" t="str">
        <f>IF(C269="","",IFERROR(_xlfn.XLOOKUP(C269,HELPER!$A$2:$A$81,HELPER!$B$2:$B$81,""),D269))</f>
        <v/>
      </c>
      <c r="E269" s="28" t="str">
        <f>IFERROR(_xlfn.XLOOKUP(D269,HELPER!$B:$B,HELPER!$C:$C,""),"")</f>
        <v/>
      </c>
      <c r="F269" s="27" t="str">
        <f>IFERROR(_xlfn.XLOOKUP(D269,HELPER!$B:$B,HELPER!$D:$D,""),"")</f>
        <v/>
      </c>
      <c r="G269" s="27">
        <v>8</v>
      </c>
      <c r="H269" s="47"/>
      <c r="I269" s="48" t="str">
        <f>IF(AND(H269&lt;&gt;"",IFERROR(_xlfn.XLOOKUP(D269,HELPER!$B:$B,HELPER!$E:$E,""),"")=""),"Missing price",IFERROR(_xlfn.XLOOKUP(D269,HELPER!$B:$B,HELPER!$E:$E,"")," "))</f>
        <v/>
      </c>
      <c r="J269" s="48" t="str">
        <f>IFERROR(H269*(IF(G269=8,I269*HELPER!$G$2,BOM!I269*HELPER!$G$3))," ")</f>
        <v xml:space="preserve"> </v>
      </c>
      <c r="K269" s="6"/>
      <c r="L269" s="14" t="str" cm="1">
        <f t="array" ref="L269">IFERROR(_xlfn.LET(_xlpm.films,Table4[Film],_xlpm.grades,Table4[Grade],_xlpm.pairs,_xlfn._xlws.FILTER(_xlfn.HSTACK(_xlpm.films,_xlpm.grades),(_xlpm.films&lt;&gt;"")*(TRIM(_xlpm.grades)&lt;&gt;"")),_xlpm.uniquePairs,_xlfn.UNIQUE(_xlpm.pairs),_xlpm.sortedPairs,_xlfn._xlws.SORT(_xlpm.uniquePairs,1,1),INDEX(_xlpm.sortedPairs,ROWS($L$2:L269),1)),"")</f>
        <v/>
      </c>
      <c r="M269" s="15" t="str" cm="1">
        <f t="array" ref="M269">IFERROR(_xlfn.LET(_xlpm.films,Table4[Film],_xlpm.grades,Table4[Grade],_xlpm.pairs,_xlfn._xlws.FILTER(_xlfn.HSTACK(_xlpm.films,_xlpm.grades),(_xlpm.films&lt;&gt;"")*(TRIM(_xlpm.grades)&lt;&gt;"")),_xlpm.uniquePairs,_xlfn.UNIQUE(_xlpm.pairs),_xlpm.sortedPairs,_xlfn._xlws.SORT(_xlpm.uniquePairs,1,1),INDEX(_xlpm.sortedPairs,ROWS($M$2:M269),2)),"")</f>
        <v/>
      </c>
      <c r="N269" s="15" t="str" cm="1">
        <f t="array" ref="N269">IF(OR(Table2[[#This Row],[Film]]="",Table2[[#This Row],[Grade]]=""),"",IFERROR(INDEX(Table4[Serial Number],MATCH(1,(Table4[Film]=Table2[[#This Row],[Film]])*(Table4[Grade]=Table2[[#This Row],[Grade]]),0)),""))</f>
        <v/>
      </c>
      <c r="O269" s="52" t="str">
        <f>IF(OR(Table2[[#This Row],[Film]]="",Table2[[#This Row],[Grade]]=""),"",SUMIFS(Table4[Price Calculated(€) Thickness &amp; QTY related],Table4[Film],Table2[[#This Row],[Film]],Table4[Grade],Table2[[#This Row],[Grade]]))</f>
        <v/>
      </c>
      <c r="P269" s="6"/>
      <c r="T269" s="6"/>
    </row>
    <row r="270" spans="1:20">
      <c r="A270" s="29" t="s">
        <v>49</v>
      </c>
      <c r="B270" s="29" t="s">
        <v>7</v>
      </c>
      <c r="C270" s="28"/>
      <c r="D270" s="28" t="str">
        <f>IF(C270="","",IFERROR(_xlfn.XLOOKUP(C270,HELPER!$A$2:$A$81,HELPER!$B$2:$B$81,""),D270))</f>
        <v/>
      </c>
      <c r="E270" s="28" t="str">
        <f>IFERROR(_xlfn.XLOOKUP(D270,HELPER!$B:$B,HELPER!$C:$C,""),"")</f>
        <v/>
      </c>
      <c r="F270" s="27" t="str">
        <f>IFERROR(_xlfn.XLOOKUP(D270,HELPER!$B:$B,HELPER!$D:$D,""),"")</f>
        <v/>
      </c>
      <c r="G270" s="27">
        <v>8</v>
      </c>
      <c r="H270" s="47"/>
      <c r="I270" s="48" t="str">
        <f>IF(AND(H270&lt;&gt;"",IFERROR(_xlfn.XLOOKUP(D270,HELPER!$B:$B,HELPER!$E:$E,""),"")=""),"Missing price",IFERROR(_xlfn.XLOOKUP(D270,HELPER!$B:$B,HELPER!$E:$E,"")," "))</f>
        <v/>
      </c>
      <c r="J270" s="48" t="str">
        <f>IFERROR(H270*(IF(G270=8,I270*HELPER!$G$2,BOM!I270*HELPER!$G$3))," ")</f>
        <v xml:space="preserve"> </v>
      </c>
      <c r="K270" s="6"/>
      <c r="L270" s="14" t="str" cm="1">
        <f t="array" ref="L270">IFERROR(_xlfn.LET(_xlpm.films,Table4[Film],_xlpm.grades,Table4[Grade],_xlpm.pairs,_xlfn._xlws.FILTER(_xlfn.HSTACK(_xlpm.films,_xlpm.grades),(_xlpm.films&lt;&gt;"")*(TRIM(_xlpm.grades)&lt;&gt;"")),_xlpm.uniquePairs,_xlfn.UNIQUE(_xlpm.pairs),_xlpm.sortedPairs,_xlfn._xlws.SORT(_xlpm.uniquePairs,1,1),INDEX(_xlpm.sortedPairs,ROWS($L$2:L270),1)),"")</f>
        <v/>
      </c>
      <c r="M270" s="15" t="str" cm="1">
        <f t="array" ref="M270">IFERROR(_xlfn.LET(_xlpm.films,Table4[Film],_xlpm.grades,Table4[Grade],_xlpm.pairs,_xlfn._xlws.FILTER(_xlfn.HSTACK(_xlpm.films,_xlpm.grades),(_xlpm.films&lt;&gt;"")*(TRIM(_xlpm.grades)&lt;&gt;"")),_xlpm.uniquePairs,_xlfn.UNIQUE(_xlpm.pairs),_xlpm.sortedPairs,_xlfn._xlws.SORT(_xlpm.uniquePairs,1,1),INDEX(_xlpm.sortedPairs,ROWS($M$2:M270),2)),"")</f>
        <v/>
      </c>
      <c r="N270" s="15" t="str" cm="1">
        <f t="array" ref="N270">IF(OR(Table2[[#This Row],[Film]]="",Table2[[#This Row],[Grade]]=""),"",IFERROR(INDEX(Table4[Serial Number],MATCH(1,(Table4[Film]=Table2[[#This Row],[Film]])*(Table4[Grade]=Table2[[#This Row],[Grade]]),0)),""))</f>
        <v/>
      </c>
      <c r="O270" s="52" t="str">
        <f>IF(OR(Table2[[#This Row],[Film]]="",Table2[[#This Row],[Grade]]=""),"",SUMIFS(Table4[Price Calculated(€) Thickness &amp; QTY related],Table4[Film],Table2[[#This Row],[Film]],Table4[Grade],Table2[[#This Row],[Grade]]))</f>
        <v/>
      </c>
      <c r="P270" s="6"/>
      <c r="T270" s="6"/>
    </row>
    <row r="271" spans="1:20">
      <c r="A271" s="29" t="s">
        <v>49</v>
      </c>
      <c r="B271" s="29" t="s">
        <v>7</v>
      </c>
      <c r="C271" s="28"/>
      <c r="D271" s="28" t="str">
        <f>IF(C271="","",IFERROR(_xlfn.XLOOKUP(C271,HELPER!$A$2:$A$81,HELPER!$B$2:$B$81,""),D271))</f>
        <v/>
      </c>
      <c r="E271" s="28" t="str">
        <f>IFERROR(_xlfn.XLOOKUP(D271,HELPER!$B:$B,HELPER!$C:$C,""),"")</f>
        <v/>
      </c>
      <c r="F271" s="27" t="str">
        <f>IFERROR(_xlfn.XLOOKUP(D271,HELPER!$B:$B,HELPER!$D:$D,""),"")</f>
        <v/>
      </c>
      <c r="G271" s="27">
        <v>8</v>
      </c>
      <c r="H271" s="47"/>
      <c r="I271" s="48" t="str">
        <f>IF(AND(H271&lt;&gt;"",IFERROR(_xlfn.XLOOKUP(D271,HELPER!$B:$B,HELPER!$E:$E,""),"")=""),"Missing price",IFERROR(_xlfn.XLOOKUP(D271,HELPER!$B:$B,HELPER!$E:$E,"")," "))</f>
        <v/>
      </c>
      <c r="J271" s="48" t="str">
        <f>IFERROR(H271*(IF(G271=8,I271*HELPER!$G$2,BOM!I271*HELPER!$G$3))," ")</f>
        <v xml:space="preserve"> </v>
      </c>
      <c r="K271" s="6"/>
      <c r="L271" s="14" t="str" cm="1">
        <f t="array" ref="L271">IFERROR(_xlfn.LET(_xlpm.films,Table4[Film],_xlpm.grades,Table4[Grade],_xlpm.pairs,_xlfn._xlws.FILTER(_xlfn.HSTACK(_xlpm.films,_xlpm.grades),(_xlpm.films&lt;&gt;"")*(TRIM(_xlpm.grades)&lt;&gt;"")),_xlpm.uniquePairs,_xlfn.UNIQUE(_xlpm.pairs),_xlpm.sortedPairs,_xlfn._xlws.SORT(_xlpm.uniquePairs,1,1),INDEX(_xlpm.sortedPairs,ROWS($L$2:L271),1)),"")</f>
        <v/>
      </c>
      <c r="M271" s="15" t="str" cm="1">
        <f t="array" ref="M271">IFERROR(_xlfn.LET(_xlpm.films,Table4[Film],_xlpm.grades,Table4[Grade],_xlpm.pairs,_xlfn._xlws.FILTER(_xlfn.HSTACK(_xlpm.films,_xlpm.grades),(_xlpm.films&lt;&gt;"")*(TRIM(_xlpm.grades)&lt;&gt;"")),_xlpm.uniquePairs,_xlfn.UNIQUE(_xlpm.pairs),_xlpm.sortedPairs,_xlfn._xlws.SORT(_xlpm.uniquePairs,1,1),INDEX(_xlpm.sortedPairs,ROWS($M$2:M271),2)),"")</f>
        <v/>
      </c>
      <c r="N271" s="15" t="str" cm="1">
        <f t="array" ref="N271">IF(OR(Table2[[#This Row],[Film]]="",Table2[[#This Row],[Grade]]=""),"",IFERROR(INDEX(Table4[Serial Number],MATCH(1,(Table4[Film]=Table2[[#This Row],[Film]])*(Table4[Grade]=Table2[[#This Row],[Grade]]),0)),""))</f>
        <v/>
      </c>
      <c r="O271" s="52" t="str">
        <f>IF(OR(Table2[[#This Row],[Film]]="",Table2[[#This Row],[Grade]]=""),"",SUMIFS(Table4[Price Calculated(€) Thickness &amp; QTY related],Table4[Film],Table2[[#This Row],[Film]],Table4[Grade],Table2[[#This Row],[Grade]]))</f>
        <v/>
      </c>
      <c r="P271" s="6"/>
      <c r="T271" s="6"/>
    </row>
    <row r="272" spans="1:20">
      <c r="A272" s="56"/>
      <c r="B272" s="29" t="s">
        <v>5</v>
      </c>
      <c r="C272" s="28"/>
      <c r="D272" s="28" t="str">
        <f>IF(C272="","",IFERROR(_xlfn.XLOOKUP(C272,HELPER!$A$2:$A$81,HELPER!$B$2:$B$81,""),D272))</f>
        <v/>
      </c>
      <c r="E272" s="28" t="str">
        <f>IFERROR(_xlfn.XLOOKUP(D272,HELPER!$B:$B,HELPER!$C:$C,""),"")</f>
        <v/>
      </c>
      <c r="F272" s="27" t="str">
        <f>IFERROR(_xlfn.XLOOKUP(D272,HELPER!$B:$B,HELPER!$D:$D,""),"")</f>
        <v/>
      </c>
      <c r="G272" s="27">
        <v>8</v>
      </c>
      <c r="H272" s="47"/>
      <c r="I272" s="48" t="str">
        <f>IF(AND(H272&lt;&gt;"",IFERROR(_xlfn.XLOOKUP(D272,HELPER!$B:$B,HELPER!$E:$E,""),"")=""),"Missing price",IFERROR(_xlfn.XLOOKUP(D272,HELPER!$B:$B,HELPER!$E:$E,"")," "))</f>
        <v/>
      </c>
      <c r="J272" s="48" t="str">
        <f>IFERROR(H272*(IF(G272=8,I272*HELPER!$G$2,BOM!I272*HELPER!$G$3))," ")</f>
        <v xml:space="preserve"> </v>
      </c>
      <c r="K272" s="6"/>
      <c r="L272" s="14" t="str" cm="1">
        <f t="array" ref="L272">IFERROR(_xlfn.LET(_xlpm.films,Table4[Film],_xlpm.grades,Table4[Grade],_xlpm.pairs,_xlfn._xlws.FILTER(_xlfn.HSTACK(_xlpm.films,_xlpm.grades),(_xlpm.films&lt;&gt;"")*(TRIM(_xlpm.grades)&lt;&gt;"")),_xlpm.uniquePairs,_xlfn.UNIQUE(_xlpm.pairs),_xlpm.sortedPairs,_xlfn._xlws.SORT(_xlpm.uniquePairs,1,1),INDEX(_xlpm.sortedPairs,ROWS($L$2:L272),1)),"")</f>
        <v/>
      </c>
      <c r="M272" s="15" t="str" cm="1">
        <f t="array" ref="M272">IFERROR(_xlfn.LET(_xlpm.films,Table4[Film],_xlpm.grades,Table4[Grade],_xlpm.pairs,_xlfn._xlws.FILTER(_xlfn.HSTACK(_xlpm.films,_xlpm.grades),(_xlpm.films&lt;&gt;"")*(TRIM(_xlpm.grades)&lt;&gt;"")),_xlpm.uniquePairs,_xlfn.UNIQUE(_xlpm.pairs),_xlpm.sortedPairs,_xlfn._xlws.SORT(_xlpm.uniquePairs,1,1),INDEX(_xlpm.sortedPairs,ROWS($M$2:M272),2)),"")</f>
        <v/>
      </c>
      <c r="N272" s="15" t="str" cm="1">
        <f t="array" ref="N272">IF(OR(Table2[[#This Row],[Film]]="",Table2[[#This Row],[Grade]]=""),"",IFERROR(INDEX(Table4[Serial Number],MATCH(1,(Table4[Film]=Table2[[#This Row],[Film]])*(Table4[Grade]=Table2[[#This Row],[Grade]]),0)),""))</f>
        <v/>
      </c>
      <c r="O272" s="52" t="str">
        <f>IF(OR(Table2[[#This Row],[Film]]="",Table2[[#This Row],[Grade]]=""),"",SUMIFS(Table4[Price Calculated(€) Thickness &amp; QTY related],Table4[Film],Table2[[#This Row],[Film]],Table4[Grade],Table2[[#This Row],[Grade]]))</f>
        <v/>
      </c>
      <c r="P272" s="6"/>
      <c r="T272" s="6"/>
    </row>
    <row r="273" spans="1:20">
      <c r="A273" s="29"/>
      <c r="B273" s="29" t="s">
        <v>5</v>
      </c>
      <c r="C273" s="28"/>
      <c r="D273" s="28" t="str">
        <f>IF(C273="","",IFERROR(_xlfn.XLOOKUP(C273,HELPER!$A$2:$A$81,HELPER!$B$2:$B$81,""),D273))</f>
        <v/>
      </c>
      <c r="E273" s="28" t="str">
        <f>IFERROR(_xlfn.XLOOKUP(D273,HELPER!$B:$B,HELPER!$C:$C,""),"")</f>
        <v/>
      </c>
      <c r="F273" s="27" t="str">
        <f>IFERROR(_xlfn.XLOOKUP(D273,HELPER!$B:$B,HELPER!$D:$D,""),"")</f>
        <v/>
      </c>
      <c r="G273" s="27">
        <v>8</v>
      </c>
      <c r="H273" s="47"/>
      <c r="I273" s="48" t="str">
        <f>IF(AND(H273&lt;&gt;"",IFERROR(_xlfn.XLOOKUP(D273,HELPER!$B:$B,HELPER!$E:$E,""),"")=""),"Missing price",IFERROR(_xlfn.XLOOKUP(D273,HELPER!$B:$B,HELPER!$E:$E,"")," "))</f>
        <v/>
      </c>
      <c r="J273" s="48" t="str">
        <f>IFERROR(H273*(IF(G273=8,I273*HELPER!$G$2,BOM!I273*HELPER!$G$3))," ")</f>
        <v xml:space="preserve"> </v>
      </c>
      <c r="K273" s="6"/>
      <c r="L273" s="14" t="str" cm="1">
        <f t="array" ref="L273">IFERROR(_xlfn.LET(_xlpm.films,Table4[Film],_xlpm.grades,Table4[Grade],_xlpm.pairs,_xlfn._xlws.FILTER(_xlfn.HSTACK(_xlpm.films,_xlpm.grades),(_xlpm.films&lt;&gt;"")*(TRIM(_xlpm.grades)&lt;&gt;"")),_xlpm.uniquePairs,_xlfn.UNIQUE(_xlpm.pairs),_xlpm.sortedPairs,_xlfn._xlws.SORT(_xlpm.uniquePairs,1,1),INDEX(_xlpm.sortedPairs,ROWS($L$2:L273),1)),"")</f>
        <v/>
      </c>
      <c r="M273" s="15" t="str" cm="1">
        <f t="array" ref="M273">IFERROR(_xlfn.LET(_xlpm.films,Table4[Film],_xlpm.grades,Table4[Grade],_xlpm.pairs,_xlfn._xlws.FILTER(_xlfn.HSTACK(_xlpm.films,_xlpm.grades),(_xlpm.films&lt;&gt;"")*(TRIM(_xlpm.grades)&lt;&gt;"")),_xlpm.uniquePairs,_xlfn.UNIQUE(_xlpm.pairs),_xlpm.sortedPairs,_xlfn._xlws.SORT(_xlpm.uniquePairs,1,1),INDEX(_xlpm.sortedPairs,ROWS($M$2:M273),2)),"")</f>
        <v/>
      </c>
      <c r="N273" s="15" t="str" cm="1">
        <f t="array" ref="N273">IF(OR(Table2[[#This Row],[Film]]="",Table2[[#This Row],[Grade]]=""),"",IFERROR(INDEX(Table4[Serial Number],MATCH(1,(Table4[Film]=Table2[[#This Row],[Film]])*(Table4[Grade]=Table2[[#This Row],[Grade]]),0)),""))</f>
        <v/>
      </c>
      <c r="O273" s="52" t="str">
        <f>IF(OR(Table2[[#This Row],[Film]]="",Table2[[#This Row],[Grade]]=""),"",SUMIFS(Table4[Price Calculated(€) Thickness &amp; QTY related],Table4[Film],Table2[[#This Row],[Film]],Table4[Grade],Table2[[#This Row],[Grade]]))</f>
        <v/>
      </c>
      <c r="P273" s="6"/>
      <c r="T273" s="6"/>
    </row>
    <row r="274" spans="1:20">
      <c r="A274" s="56"/>
      <c r="B274" s="29" t="s">
        <v>5</v>
      </c>
      <c r="C274" s="28"/>
      <c r="D274" s="28" t="str">
        <f>IF(C274="","",IFERROR(_xlfn.XLOOKUP(C274,HELPER!$A$2:$A$81,HELPER!$B$2:$B$81,""),D274))</f>
        <v/>
      </c>
      <c r="E274" s="28" t="str">
        <f>IFERROR(_xlfn.XLOOKUP(D274,HELPER!$B:$B,HELPER!$C:$C,""),"")</f>
        <v/>
      </c>
      <c r="F274" s="27" t="str">
        <f>IFERROR(_xlfn.XLOOKUP(D274,HELPER!$B:$B,HELPER!$D:$D,""),"")</f>
        <v/>
      </c>
      <c r="G274" s="27">
        <v>8</v>
      </c>
      <c r="H274" s="47"/>
      <c r="I274" s="48" t="str">
        <f>IF(AND(H274&lt;&gt;"",IFERROR(_xlfn.XLOOKUP(D274,HELPER!$B:$B,HELPER!$E:$E,""),"")=""),"Missing price",IFERROR(_xlfn.XLOOKUP(D274,HELPER!$B:$B,HELPER!$E:$E,"")," "))</f>
        <v/>
      </c>
      <c r="J274" s="48" t="str">
        <f>IFERROR(H274*(IF(G274=8,I274*HELPER!$G$2,BOM!I274*HELPER!$G$3))," ")</f>
        <v xml:space="preserve"> </v>
      </c>
      <c r="K274" s="6"/>
      <c r="L274" s="14" t="str" cm="1">
        <f t="array" ref="L274">IFERROR(_xlfn.LET(_xlpm.films,Table4[Film],_xlpm.grades,Table4[Grade],_xlpm.pairs,_xlfn._xlws.FILTER(_xlfn.HSTACK(_xlpm.films,_xlpm.grades),(_xlpm.films&lt;&gt;"")*(TRIM(_xlpm.grades)&lt;&gt;"")),_xlpm.uniquePairs,_xlfn.UNIQUE(_xlpm.pairs),_xlpm.sortedPairs,_xlfn._xlws.SORT(_xlpm.uniquePairs,1,1),INDEX(_xlpm.sortedPairs,ROWS($L$2:L274),1)),"")</f>
        <v/>
      </c>
      <c r="M274" s="15" t="str" cm="1">
        <f t="array" ref="M274">IFERROR(_xlfn.LET(_xlpm.films,Table4[Film],_xlpm.grades,Table4[Grade],_xlpm.pairs,_xlfn._xlws.FILTER(_xlfn.HSTACK(_xlpm.films,_xlpm.grades),(_xlpm.films&lt;&gt;"")*(TRIM(_xlpm.grades)&lt;&gt;"")),_xlpm.uniquePairs,_xlfn.UNIQUE(_xlpm.pairs),_xlpm.sortedPairs,_xlfn._xlws.SORT(_xlpm.uniquePairs,1,1),INDEX(_xlpm.sortedPairs,ROWS($M$2:M274),2)),"")</f>
        <v/>
      </c>
      <c r="N274" s="15" t="str" cm="1">
        <f t="array" ref="N274">IF(OR(Table2[[#This Row],[Film]]="",Table2[[#This Row],[Grade]]=""),"",IFERROR(INDEX(Table4[Serial Number],MATCH(1,(Table4[Film]=Table2[[#This Row],[Film]])*(Table4[Grade]=Table2[[#This Row],[Grade]]),0)),""))</f>
        <v/>
      </c>
      <c r="O274" s="52" t="str">
        <f>IF(OR(Table2[[#This Row],[Film]]="",Table2[[#This Row],[Grade]]=""),"",SUMIFS(Table4[Price Calculated(€) Thickness &amp; QTY related],Table4[Film],Table2[[#This Row],[Film]],Table4[Grade],Table2[[#This Row],[Grade]]))</f>
        <v/>
      </c>
      <c r="P274" s="6"/>
      <c r="T274" s="6"/>
    </row>
    <row r="275" spans="1:20">
      <c r="A275" s="56"/>
      <c r="B275" s="29" t="s">
        <v>5</v>
      </c>
      <c r="C275" s="28"/>
      <c r="D275" s="28" t="str">
        <f>IF(C275="","",IFERROR(_xlfn.XLOOKUP(C275,HELPER!$A$2:$A$81,HELPER!$B$2:$B$81,""),D275))</f>
        <v/>
      </c>
      <c r="E275" s="28" t="str">
        <f>IFERROR(_xlfn.XLOOKUP(D275,HELPER!$B:$B,HELPER!$C:$C,""),"")</f>
        <v/>
      </c>
      <c r="F275" s="27" t="str">
        <f>IFERROR(_xlfn.XLOOKUP(D275,HELPER!$B:$B,HELPER!$D:$D,""),"")</f>
        <v/>
      </c>
      <c r="G275" s="27">
        <v>8</v>
      </c>
      <c r="H275" s="47"/>
      <c r="I275" s="48" t="str">
        <f>IF(AND(H275&lt;&gt;"",IFERROR(_xlfn.XLOOKUP(D275,HELPER!$B:$B,HELPER!$E:$E,""),"")=""),"Missing price",IFERROR(_xlfn.XLOOKUP(D275,HELPER!$B:$B,HELPER!$E:$E,"")," "))</f>
        <v/>
      </c>
      <c r="J275" s="48" t="str">
        <f>IFERROR(H275*(IF(G275=8,I275*HELPER!$G$2,BOM!I275*HELPER!$G$3))," ")</f>
        <v xml:space="preserve"> </v>
      </c>
      <c r="K275" s="6"/>
      <c r="L275" s="14" t="str" cm="1">
        <f t="array" ref="L275">IFERROR(_xlfn.LET(_xlpm.films,Table4[Film],_xlpm.grades,Table4[Grade],_xlpm.pairs,_xlfn._xlws.FILTER(_xlfn.HSTACK(_xlpm.films,_xlpm.grades),(_xlpm.films&lt;&gt;"")*(TRIM(_xlpm.grades)&lt;&gt;"")),_xlpm.uniquePairs,_xlfn.UNIQUE(_xlpm.pairs),_xlpm.sortedPairs,_xlfn._xlws.SORT(_xlpm.uniquePairs,1,1),INDEX(_xlpm.sortedPairs,ROWS($L$2:L275),1)),"")</f>
        <v/>
      </c>
      <c r="M275" s="15" t="str" cm="1">
        <f t="array" ref="M275">IFERROR(_xlfn.LET(_xlpm.films,Table4[Film],_xlpm.grades,Table4[Grade],_xlpm.pairs,_xlfn._xlws.FILTER(_xlfn.HSTACK(_xlpm.films,_xlpm.grades),(_xlpm.films&lt;&gt;"")*(TRIM(_xlpm.grades)&lt;&gt;"")),_xlpm.uniquePairs,_xlfn.UNIQUE(_xlpm.pairs),_xlpm.sortedPairs,_xlfn._xlws.SORT(_xlpm.uniquePairs,1,1),INDEX(_xlpm.sortedPairs,ROWS($M$2:M275),2)),"")</f>
        <v/>
      </c>
      <c r="N275" s="15" t="str" cm="1">
        <f t="array" ref="N275">IF(OR(Table2[[#This Row],[Film]]="",Table2[[#This Row],[Grade]]=""),"",IFERROR(INDEX(Table4[Serial Number],MATCH(1,(Table4[Film]=Table2[[#This Row],[Film]])*(Table4[Grade]=Table2[[#This Row],[Grade]]),0)),""))</f>
        <v/>
      </c>
      <c r="O275" s="52" t="str">
        <f>IF(OR(Table2[[#This Row],[Film]]="",Table2[[#This Row],[Grade]]=""),"",SUMIFS(Table4[Price Calculated(€) Thickness &amp; QTY related],Table4[Film],Table2[[#This Row],[Film]],Table4[Grade],Table2[[#This Row],[Grade]]))</f>
        <v/>
      </c>
      <c r="P275" s="6"/>
      <c r="T275" s="6"/>
    </row>
    <row r="276" spans="1:20">
      <c r="A276" s="56"/>
      <c r="B276" s="29" t="s">
        <v>5</v>
      </c>
      <c r="C276" s="28"/>
      <c r="D276" s="28" t="str">
        <f>IF(C276="","",IFERROR(_xlfn.XLOOKUP(C276,HELPER!$A$2:$A$81,HELPER!$B$2:$B$81,""),D276))</f>
        <v/>
      </c>
      <c r="E276" s="28" t="str">
        <f>IFERROR(_xlfn.XLOOKUP(D276,HELPER!$B:$B,HELPER!$C:$C,""),"")</f>
        <v/>
      </c>
      <c r="F276" s="27" t="str">
        <f>IFERROR(_xlfn.XLOOKUP(D276,HELPER!$B:$B,HELPER!$D:$D,""),"")</f>
        <v/>
      </c>
      <c r="G276" s="27">
        <v>8</v>
      </c>
      <c r="H276" s="47"/>
      <c r="I276" s="48" t="str">
        <f>IF(AND(H276&lt;&gt;"",IFERROR(_xlfn.XLOOKUP(D276,HELPER!$B:$B,HELPER!$E:$E,""),"")=""),"Missing price",IFERROR(_xlfn.XLOOKUP(D276,HELPER!$B:$B,HELPER!$E:$E,"")," "))</f>
        <v/>
      </c>
      <c r="J276" s="48" t="str">
        <f>IFERROR(H276*(IF(G276=8,I276*HELPER!$G$2,BOM!I276*HELPER!$G$3))," ")</f>
        <v xml:space="preserve"> </v>
      </c>
      <c r="K276" s="6"/>
      <c r="L276" s="14" t="str" cm="1">
        <f t="array" ref="L276">IFERROR(_xlfn.LET(_xlpm.films,Table4[Film],_xlpm.grades,Table4[Grade],_xlpm.pairs,_xlfn._xlws.FILTER(_xlfn.HSTACK(_xlpm.films,_xlpm.grades),(_xlpm.films&lt;&gt;"")*(TRIM(_xlpm.grades)&lt;&gt;"")),_xlpm.uniquePairs,_xlfn.UNIQUE(_xlpm.pairs),_xlpm.sortedPairs,_xlfn._xlws.SORT(_xlpm.uniquePairs,1,1),INDEX(_xlpm.sortedPairs,ROWS($L$2:L276),1)),"")</f>
        <v/>
      </c>
      <c r="M276" s="15" t="str" cm="1">
        <f t="array" ref="M276">IFERROR(_xlfn.LET(_xlpm.films,Table4[Film],_xlpm.grades,Table4[Grade],_xlpm.pairs,_xlfn._xlws.FILTER(_xlfn.HSTACK(_xlpm.films,_xlpm.grades),(_xlpm.films&lt;&gt;"")*(TRIM(_xlpm.grades)&lt;&gt;"")),_xlpm.uniquePairs,_xlfn.UNIQUE(_xlpm.pairs),_xlpm.sortedPairs,_xlfn._xlws.SORT(_xlpm.uniquePairs,1,1),INDEX(_xlpm.sortedPairs,ROWS($M$2:M276),2)),"")</f>
        <v/>
      </c>
      <c r="N276" s="15" t="str" cm="1">
        <f t="array" ref="N276">IF(OR(Table2[[#This Row],[Film]]="",Table2[[#This Row],[Grade]]=""),"",IFERROR(INDEX(Table4[Serial Number],MATCH(1,(Table4[Film]=Table2[[#This Row],[Film]])*(Table4[Grade]=Table2[[#This Row],[Grade]]),0)),""))</f>
        <v/>
      </c>
      <c r="O276" s="52" t="str">
        <f>IF(OR(Table2[[#This Row],[Film]]="",Table2[[#This Row],[Grade]]=""),"",SUMIFS(Table4[Price Calculated(€) Thickness &amp; QTY related],Table4[Film],Table2[[#This Row],[Film]],Table4[Grade],Table2[[#This Row],[Grade]]))</f>
        <v/>
      </c>
      <c r="P276" s="6"/>
      <c r="T276" s="6"/>
    </row>
    <row r="277" spans="1:20">
      <c r="A277" s="56"/>
      <c r="B277" s="29" t="s">
        <v>5</v>
      </c>
      <c r="C277" s="28"/>
      <c r="D277" s="28" t="str">
        <f>IF(C277="","",IFERROR(_xlfn.XLOOKUP(C277,HELPER!$A$2:$A$81,HELPER!$B$2:$B$81,""),D277))</f>
        <v/>
      </c>
      <c r="E277" s="28" t="str">
        <f>IFERROR(_xlfn.XLOOKUP(D277,HELPER!$B:$B,HELPER!$C:$C,""),"")</f>
        <v/>
      </c>
      <c r="F277" s="27" t="str">
        <f>IFERROR(_xlfn.XLOOKUP(D277,HELPER!$B:$B,HELPER!$D:$D,""),"")</f>
        <v/>
      </c>
      <c r="G277" s="27">
        <v>8</v>
      </c>
      <c r="H277" s="47"/>
      <c r="I277" s="48" t="str">
        <f>IF(AND(H277&lt;&gt;"",IFERROR(_xlfn.XLOOKUP(D277,HELPER!$B:$B,HELPER!$E:$E,""),"")=""),"Missing price",IFERROR(_xlfn.XLOOKUP(D277,HELPER!$B:$B,HELPER!$E:$E,"")," "))</f>
        <v/>
      </c>
      <c r="J277" s="48" t="str">
        <f>IFERROR(H277*(IF(G277=8,I277*HELPER!$G$2,BOM!I277*HELPER!$G$3))," ")</f>
        <v xml:space="preserve"> </v>
      </c>
      <c r="K277" s="6"/>
      <c r="L277" s="14" t="str" cm="1">
        <f t="array" ref="L277">IFERROR(_xlfn.LET(_xlpm.films,Table4[Film],_xlpm.grades,Table4[Grade],_xlpm.pairs,_xlfn._xlws.FILTER(_xlfn.HSTACK(_xlpm.films,_xlpm.grades),(_xlpm.films&lt;&gt;"")*(TRIM(_xlpm.grades)&lt;&gt;"")),_xlpm.uniquePairs,_xlfn.UNIQUE(_xlpm.pairs),_xlpm.sortedPairs,_xlfn._xlws.SORT(_xlpm.uniquePairs,1,1),INDEX(_xlpm.sortedPairs,ROWS($L$2:L277),1)),"")</f>
        <v/>
      </c>
      <c r="M277" s="15" t="str" cm="1">
        <f t="array" ref="M277">IFERROR(_xlfn.LET(_xlpm.films,Table4[Film],_xlpm.grades,Table4[Grade],_xlpm.pairs,_xlfn._xlws.FILTER(_xlfn.HSTACK(_xlpm.films,_xlpm.grades),(_xlpm.films&lt;&gt;"")*(TRIM(_xlpm.grades)&lt;&gt;"")),_xlpm.uniquePairs,_xlfn.UNIQUE(_xlpm.pairs),_xlpm.sortedPairs,_xlfn._xlws.SORT(_xlpm.uniquePairs,1,1),INDEX(_xlpm.sortedPairs,ROWS($M$2:M277),2)),"")</f>
        <v/>
      </c>
      <c r="N277" s="15" t="str" cm="1">
        <f t="array" ref="N277">IF(OR(Table2[[#This Row],[Film]]="",Table2[[#This Row],[Grade]]=""),"",IFERROR(INDEX(Table4[Serial Number],MATCH(1,(Table4[Film]=Table2[[#This Row],[Film]])*(Table4[Grade]=Table2[[#This Row],[Grade]]),0)),""))</f>
        <v/>
      </c>
      <c r="O277" s="52" t="str">
        <f>IF(OR(Table2[[#This Row],[Film]]="",Table2[[#This Row],[Grade]]=""),"",SUMIFS(Table4[Price Calculated(€) Thickness &amp; QTY related],Table4[Film],Table2[[#This Row],[Film]],Table4[Grade],Table2[[#This Row],[Grade]]))</f>
        <v/>
      </c>
      <c r="P277" s="6"/>
      <c r="T277" s="6"/>
    </row>
    <row r="278" spans="1:20">
      <c r="A278" s="29"/>
      <c r="B278" s="29" t="s">
        <v>5</v>
      </c>
      <c r="C278" s="28"/>
      <c r="D278" s="28" t="str">
        <f>IF(C278="","",IFERROR(_xlfn.XLOOKUP(C278,HELPER!$A$2:$A$81,HELPER!$B$2:$B$81,""),D278))</f>
        <v/>
      </c>
      <c r="E278" s="28" t="str">
        <f>IFERROR(_xlfn.XLOOKUP(D278,HELPER!$B:$B,HELPER!$C:$C,""),"")</f>
        <v/>
      </c>
      <c r="F278" s="27" t="str">
        <f>IFERROR(_xlfn.XLOOKUP(D278,HELPER!$B:$B,HELPER!$D:$D,""),"")</f>
        <v/>
      </c>
      <c r="G278" s="27">
        <v>8</v>
      </c>
      <c r="H278" s="47"/>
      <c r="I278" s="48" t="str">
        <f>IF(AND(H278&lt;&gt;"",IFERROR(_xlfn.XLOOKUP(D278,HELPER!$B:$B,HELPER!$E:$E,""),"")=""),"Missing price",IFERROR(_xlfn.XLOOKUP(D278,HELPER!$B:$B,HELPER!$E:$E,"")," "))</f>
        <v/>
      </c>
      <c r="J278" s="48" t="str">
        <f>IFERROR(H278*(IF(G278=8,I278*HELPER!$G$2,BOM!I278*HELPER!$G$3))," ")</f>
        <v xml:space="preserve"> </v>
      </c>
      <c r="K278" s="6"/>
      <c r="L278" s="14" t="str" cm="1">
        <f t="array" ref="L278">IFERROR(_xlfn.LET(_xlpm.films,Table4[Film],_xlpm.grades,Table4[Grade],_xlpm.pairs,_xlfn._xlws.FILTER(_xlfn.HSTACK(_xlpm.films,_xlpm.grades),(_xlpm.films&lt;&gt;"")*(TRIM(_xlpm.grades)&lt;&gt;"")),_xlpm.uniquePairs,_xlfn.UNIQUE(_xlpm.pairs),_xlpm.sortedPairs,_xlfn._xlws.SORT(_xlpm.uniquePairs,1,1),INDEX(_xlpm.sortedPairs,ROWS($L$2:L278),1)),"")</f>
        <v/>
      </c>
      <c r="M278" s="15" t="str" cm="1">
        <f t="array" ref="M278">IFERROR(_xlfn.LET(_xlpm.films,Table4[Film],_xlpm.grades,Table4[Grade],_xlpm.pairs,_xlfn._xlws.FILTER(_xlfn.HSTACK(_xlpm.films,_xlpm.grades),(_xlpm.films&lt;&gt;"")*(TRIM(_xlpm.grades)&lt;&gt;"")),_xlpm.uniquePairs,_xlfn.UNIQUE(_xlpm.pairs),_xlpm.sortedPairs,_xlfn._xlws.SORT(_xlpm.uniquePairs,1,1),INDEX(_xlpm.sortedPairs,ROWS($M$2:M278),2)),"")</f>
        <v/>
      </c>
      <c r="N278" s="15" t="str" cm="1">
        <f t="array" ref="N278">IF(OR(Table2[[#This Row],[Film]]="",Table2[[#This Row],[Grade]]=""),"",IFERROR(INDEX(Table4[Serial Number],MATCH(1,(Table4[Film]=Table2[[#This Row],[Film]])*(Table4[Grade]=Table2[[#This Row],[Grade]]),0)),""))</f>
        <v/>
      </c>
      <c r="O278" s="52" t="str">
        <f>IF(OR(Table2[[#This Row],[Film]]="",Table2[[#This Row],[Grade]]=""),"",SUMIFS(Table4[Price Calculated(€) Thickness &amp; QTY related],Table4[Film],Table2[[#This Row],[Film]],Table4[Grade],Table2[[#This Row],[Grade]]))</f>
        <v/>
      </c>
      <c r="P278" s="6"/>
      <c r="T278" s="6"/>
    </row>
    <row r="279" spans="1:20">
      <c r="A279" s="29"/>
      <c r="B279" s="29" t="s">
        <v>5</v>
      </c>
      <c r="C279" s="28"/>
      <c r="D279" s="28" t="str">
        <f>IF(C279="","",IFERROR(_xlfn.XLOOKUP(C279,HELPER!$A$2:$A$81,HELPER!$B$2:$B$81,""),D279))</f>
        <v/>
      </c>
      <c r="E279" s="28" t="str">
        <f>IFERROR(_xlfn.XLOOKUP(D279,HELPER!$B:$B,HELPER!$C:$C,""),"")</f>
        <v/>
      </c>
      <c r="F279" s="27" t="str">
        <f>IFERROR(_xlfn.XLOOKUP(D279,HELPER!$B:$B,HELPER!$D:$D,""),"")</f>
        <v/>
      </c>
      <c r="G279" s="27">
        <v>8</v>
      </c>
      <c r="H279" s="47"/>
      <c r="I279" s="48" t="str">
        <f>IF(AND(H279&lt;&gt;"",IFERROR(_xlfn.XLOOKUP(D279,HELPER!$B:$B,HELPER!$E:$E,""),"")=""),"Missing price",IFERROR(_xlfn.XLOOKUP(D279,HELPER!$B:$B,HELPER!$E:$E,"")," "))</f>
        <v/>
      </c>
      <c r="J279" s="48" t="str">
        <f>IFERROR(H279*(IF(G279=8,I279*HELPER!$G$2,BOM!I279*HELPER!$G$3))," ")</f>
        <v xml:space="preserve"> </v>
      </c>
      <c r="K279" s="6"/>
      <c r="L279" s="14" t="str" cm="1">
        <f t="array" ref="L279">IFERROR(_xlfn.LET(_xlpm.films,Table4[Film],_xlpm.grades,Table4[Grade],_xlpm.pairs,_xlfn._xlws.FILTER(_xlfn.HSTACK(_xlpm.films,_xlpm.grades),(_xlpm.films&lt;&gt;"")*(TRIM(_xlpm.grades)&lt;&gt;"")),_xlpm.uniquePairs,_xlfn.UNIQUE(_xlpm.pairs),_xlpm.sortedPairs,_xlfn._xlws.SORT(_xlpm.uniquePairs,1,1),INDEX(_xlpm.sortedPairs,ROWS($L$2:L279),1)),"")</f>
        <v/>
      </c>
      <c r="M279" s="15" t="str" cm="1">
        <f t="array" ref="M279">IFERROR(_xlfn.LET(_xlpm.films,Table4[Film],_xlpm.grades,Table4[Grade],_xlpm.pairs,_xlfn._xlws.FILTER(_xlfn.HSTACK(_xlpm.films,_xlpm.grades),(_xlpm.films&lt;&gt;"")*(TRIM(_xlpm.grades)&lt;&gt;"")),_xlpm.uniquePairs,_xlfn.UNIQUE(_xlpm.pairs),_xlpm.sortedPairs,_xlfn._xlws.SORT(_xlpm.uniquePairs,1,1),INDEX(_xlpm.sortedPairs,ROWS($M$2:M279),2)),"")</f>
        <v/>
      </c>
      <c r="N279" s="15" t="str" cm="1">
        <f t="array" ref="N279">IF(OR(Table2[[#This Row],[Film]]="",Table2[[#This Row],[Grade]]=""),"",IFERROR(INDEX(Table4[Serial Number],MATCH(1,(Table4[Film]=Table2[[#This Row],[Film]])*(Table4[Grade]=Table2[[#This Row],[Grade]]),0)),""))</f>
        <v/>
      </c>
      <c r="O279" s="52" t="str">
        <f>IF(OR(Table2[[#This Row],[Film]]="",Table2[[#This Row],[Grade]]=""),"",SUMIFS(Table4[Price Calculated(€) Thickness &amp; QTY related],Table4[Film],Table2[[#This Row],[Film]],Table4[Grade],Table2[[#This Row],[Grade]]))</f>
        <v/>
      </c>
      <c r="P279" s="6"/>
      <c r="T279" s="6"/>
    </row>
    <row r="280" spans="1:20">
      <c r="A280" s="29"/>
      <c r="B280" s="29" t="s">
        <v>5</v>
      </c>
      <c r="C280" s="28"/>
      <c r="D280" s="28" t="str">
        <f>IF(C280="","",IFERROR(_xlfn.XLOOKUP(C280,HELPER!$A$2:$A$81,HELPER!$B$2:$B$81,""),D280))</f>
        <v/>
      </c>
      <c r="E280" s="28" t="str">
        <f>IFERROR(_xlfn.XLOOKUP(D280,HELPER!$B:$B,HELPER!$C:$C,""),"")</f>
        <v/>
      </c>
      <c r="F280" s="27" t="str">
        <f>IFERROR(_xlfn.XLOOKUP(D280,HELPER!$B:$B,HELPER!$D:$D,""),"")</f>
        <v/>
      </c>
      <c r="G280" s="27">
        <v>8</v>
      </c>
      <c r="H280" s="47"/>
      <c r="I280" s="48" t="str">
        <f>IF(AND(H280&lt;&gt;"",IFERROR(_xlfn.XLOOKUP(D280,HELPER!$B:$B,HELPER!$E:$E,""),"")=""),"Missing price",IFERROR(_xlfn.XLOOKUP(D280,HELPER!$B:$B,HELPER!$E:$E,"")," "))</f>
        <v/>
      </c>
      <c r="J280" s="48" t="str">
        <f>IFERROR(H280*(IF(G280=8,I280*HELPER!$G$2,BOM!I280*HELPER!$G$3))," ")</f>
        <v xml:space="preserve"> </v>
      </c>
      <c r="K280" s="6"/>
      <c r="L280" s="14" t="str" cm="1">
        <f t="array" ref="L280">IFERROR(_xlfn.LET(_xlpm.films,Table4[Film],_xlpm.grades,Table4[Grade],_xlpm.pairs,_xlfn._xlws.FILTER(_xlfn.HSTACK(_xlpm.films,_xlpm.grades),(_xlpm.films&lt;&gt;"")*(TRIM(_xlpm.grades)&lt;&gt;"")),_xlpm.uniquePairs,_xlfn.UNIQUE(_xlpm.pairs),_xlpm.sortedPairs,_xlfn._xlws.SORT(_xlpm.uniquePairs,1,1),INDEX(_xlpm.sortedPairs,ROWS($L$2:L280),1)),"")</f>
        <v/>
      </c>
      <c r="M280" s="15" t="str" cm="1">
        <f t="array" ref="M280">IFERROR(_xlfn.LET(_xlpm.films,Table4[Film],_xlpm.grades,Table4[Grade],_xlpm.pairs,_xlfn._xlws.FILTER(_xlfn.HSTACK(_xlpm.films,_xlpm.grades),(_xlpm.films&lt;&gt;"")*(TRIM(_xlpm.grades)&lt;&gt;"")),_xlpm.uniquePairs,_xlfn.UNIQUE(_xlpm.pairs),_xlpm.sortedPairs,_xlfn._xlws.SORT(_xlpm.uniquePairs,1,1),INDEX(_xlpm.sortedPairs,ROWS($M$2:M280),2)),"")</f>
        <v/>
      </c>
      <c r="N280" s="15" t="str" cm="1">
        <f t="array" ref="N280">IF(OR(Table2[[#This Row],[Film]]="",Table2[[#This Row],[Grade]]=""),"",IFERROR(INDEX(Table4[Serial Number],MATCH(1,(Table4[Film]=Table2[[#This Row],[Film]])*(Table4[Grade]=Table2[[#This Row],[Grade]]),0)),""))</f>
        <v/>
      </c>
      <c r="O280" s="52" t="str">
        <f>IF(OR(Table2[[#This Row],[Film]]="",Table2[[#This Row],[Grade]]=""),"",SUMIFS(Table4[Price Calculated(€) Thickness &amp; QTY related],Table4[Film],Table2[[#This Row],[Film]],Table4[Grade],Table2[[#This Row],[Grade]]))</f>
        <v/>
      </c>
      <c r="P280" s="6"/>
      <c r="T280" s="6"/>
    </row>
    <row r="281" spans="1:20">
      <c r="A281" s="29"/>
      <c r="B281" s="29" t="s">
        <v>5</v>
      </c>
      <c r="C281" s="28"/>
      <c r="D281" s="28" t="str">
        <f>IF(C281="","",IFERROR(_xlfn.XLOOKUP(C281,HELPER!$A$2:$A$81,HELPER!$B$2:$B$81,""),D281))</f>
        <v/>
      </c>
      <c r="E281" s="28" t="str">
        <f>IFERROR(_xlfn.XLOOKUP(D281,HELPER!$B:$B,HELPER!$C:$C,""),"")</f>
        <v/>
      </c>
      <c r="F281" s="27" t="str">
        <f>IFERROR(_xlfn.XLOOKUP(D281,HELPER!$B:$B,HELPER!$D:$D,""),"")</f>
        <v/>
      </c>
      <c r="G281" s="27">
        <v>8</v>
      </c>
      <c r="H281" s="47"/>
      <c r="I281" s="48" t="str">
        <f>IF(AND(H281&lt;&gt;"",IFERROR(_xlfn.XLOOKUP(D281,HELPER!$B:$B,HELPER!$E:$E,""),"")=""),"Missing price",IFERROR(_xlfn.XLOOKUP(D281,HELPER!$B:$B,HELPER!$E:$E,"")," "))</f>
        <v/>
      </c>
      <c r="J281" s="48" t="str">
        <f>IFERROR(H281*(IF(G281=8,I281*HELPER!$G$2,BOM!I281*HELPER!$G$3))," ")</f>
        <v xml:space="preserve"> </v>
      </c>
      <c r="K281" s="6"/>
      <c r="L281" s="14" t="str" cm="1">
        <f t="array" ref="L281">IFERROR(_xlfn.LET(_xlpm.films,Table4[Film],_xlpm.grades,Table4[Grade],_xlpm.pairs,_xlfn._xlws.FILTER(_xlfn.HSTACK(_xlpm.films,_xlpm.grades),(_xlpm.films&lt;&gt;"")*(TRIM(_xlpm.grades)&lt;&gt;"")),_xlpm.uniquePairs,_xlfn.UNIQUE(_xlpm.pairs),_xlpm.sortedPairs,_xlfn._xlws.SORT(_xlpm.uniquePairs,1,1),INDEX(_xlpm.sortedPairs,ROWS($L$2:L281),1)),"")</f>
        <v/>
      </c>
      <c r="M281" s="15" t="str" cm="1">
        <f t="array" ref="M281">IFERROR(_xlfn.LET(_xlpm.films,Table4[Film],_xlpm.grades,Table4[Grade],_xlpm.pairs,_xlfn._xlws.FILTER(_xlfn.HSTACK(_xlpm.films,_xlpm.grades),(_xlpm.films&lt;&gt;"")*(TRIM(_xlpm.grades)&lt;&gt;"")),_xlpm.uniquePairs,_xlfn.UNIQUE(_xlpm.pairs),_xlpm.sortedPairs,_xlfn._xlws.SORT(_xlpm.uniquePairs,1,1),INDEX(_xlpm.sortedPairs,ROWS($M$2:M281),2)),"")</f>
        <v/>
      </c>
      <c r="N281" s="15" t="str" cm="1">
        <f t="array" ref="N281">IF(OR(Table2[[#This Row],[Film]]="",Table2[[#This Row],[Grade]]=""),"",IFERROR(INDEX(Table4[Serial Number],MATCH(1,(Table4[Film]=Table2[[#This Row],[Film]])*(Table4[Grade]=Table2[[#This Row],[Grade]]),0)),""))</f>
        <v/>
      </c>
      <c r="O281" s="52" t="str">
        <f>IF(OR(Table2[[#This Row],[Film]]="",Table2[[#This Row],[Grade]]=""),"",SUMIFS(Table4[Price Calculated(€) Thickness &amp; QTY related],Table4[Film],Table2[[#This Row],[Film]],Table4[Grade],Table2[[#This Row],[Grade]]))</f>
        <v/>
      </c>
      <c r="P281" s="6"/>
      <c r="T281" s="6"/>
    </row>
    <row r="282" spans="1:20">
      <c r="A282" s="29"/>
      <c r="B282" s="29" t="s">
        <v>6</v>
      </c>
      <c r="C282" s="28"/>
      <c r="D282" s="28" t="str">
        <f>IF(C282="","",IFERROR(_xlfn.XLOOKUP(C282,HELPER!$A$2:$A$81,HELPER!$B$2:$B$81,""),D282))</f>
        <v/>
      </c>
      <c r="E282" s="28" t="str">
        <f>IFERROR(_xlfn.XLOOKUP(D282,HELPER!$B:$B,HELPER!$C:$C,""),"")</f>
        <v/>
      </c>
      <c r="F282" s="27" t="str">
        <f>IFERROR(_xlfn.XLOOKUP(D282,HELPER!$B:$B,HELPER!$D:$D,""),"")</f>
        <v/>
      </c>
      <c r="G282" s="27">
        <v>24</v>
      </c>
      <c r="H282" s="47"/>
      <c r="I282" s="48" t="str">
        <f>IF(AND(H282&lt;&gt;"",IFERROR(_xlfn.XLOOKUP(D282,HELPER!$B:$B,HELPER!$E:$E,""),"")=""),"Missing price",IFERROR(_xlfn.XLOOKUP(D282,HELPER!$B:$B,HELPER!$E:$E,"")," "))</f>
        <v/>
      </c>
      <c r="J282" s="48" t="str">
        <f>IFERROR(H282*(IF(G282=8,I282*HELPER!$G$2,BOM!I282*HELPER!$G$3))," ")</f>
        <v xml:space="preserve"> </v>
      </c>
      <c r="K282" s="6"/>
      <c r="L282" s="14" t="str" cm="1">
        <f t="array" ref="L282">IFERROR(_xlfn.LET(_xlpm.films,Table4[Film],_xlpm.grades,Table4[Grade],_xlpm.pairs,_xlfn._xlws.FILTER(_xlfn.HSTACK(_xlpm.films,_xlpm.grades),(_xlpm.films&lt;&gt;"")*(TRIM(_xlpm.grades)&lt;&gt;"")),_xlpm.uniquePairs,_xlfn.UNIQUE(_xlpm.pairs),_xlpm.sortedPairs,_xlfn._xlws.SORT(_xlpm.uniquePairs,1,1),INDEX(_xlpm.sortedPairs,ROWS($L$2:L282),1)),"")</f>
        <v/>
      </c>
      <c r="M282" s="15" t="str" cm="1">
        <f t="array" ref="M282">IFERROR(_xlfn.LET(_xlpm.films,Table4[Film],_xlpm.grades,Table4[Grade],_xlpm.pairs,_xlfn._xlws.FILTER(_xlfn.HSTACK(_xlpm.films,_xlpm.grades),(_xlpm.films&lt;&gt;"")*(TRIM(_xlpm.grades)&lt;&gt;"")),_xlpm.uniquePairs,_xlfn.UNIQUE(_xlpm.pairs),_xlpm.sortedPairs,_xlfn._xlws.SORT(_xlpm.uniquePairs,1,1),INDEX(_xlpm.sortedPairs,ROWS($M$2:M282),2)),"")</f>
        <v/>
      </c>
      <c r="N282" s="15" t="str" cm="1">
        <f t="array" ref="N282">IF(OR(Table2[[#This Row],[Film]]="",Table2[[#This Row],[Grade]]=""),"",IFERROR(INDEX(Table4[Serial Number],MATCH(1,(Table4[Film]=Table2[[#This Row],[Film]])*(Table4[Grade]=Table2[[#This Row],[Grade]]),0)),""))</f>
        <v/>
      </c>
      <c r="O282" s="52" t="str">
        <f>IF(OR(Table2[[#This Row],[Film]]="",Table2[[#This Row],[Grade]]=""),"",SUMIFS(Table4[Price Calculated(€) Thickness &amp; QTY related],Table4[Film],Table2[[#This Row],[Film]],Table4[Grade],Table2[[#This Row],[Grade]]))</f>
        <v/>
      </c>
      <c r="P282" s="6"/>
      <c r="T282" s="6"/>
    </row>
    <row r="283" spans="1:20">
      <c r="A283" s="29"/>
      <c r="B283" s="29" t="s">
        <v>6</v>
      </c>
      <c r="C283" s="28"/>
      <c r="D283" s="28" t="str">
        <f>IF(C283="","",IFERROR(_xlfn.XLOOKUP(C283,HELPER!$A$2:$A$81,HELPER!$B$2:$B$81,""),D283))</f>
        <v/>
      </c>
      <c r="E283" s="28" t="str">
        <f>IFERROR(_xlfn.XLOOKUP(D283,HELPER!$B:$B,HELPER!$C:$C,""),"")</f>
        <v/>
      </c>
      <c r="F283" s="27" t="str">
        <f>IFERROR(_xlfn.XLOOKUP(D283,HELPER!$B:$B,HELPER!$D:$D,""),"")</f>
        <v/>
      </c>
      <c r="G283" s="27">
        <v>24</v>
      </c>
      <c r="H283" s="47"/>
      <c r="I283" s="48" t="str">
        <f>IF(AND(H283&lt;&gt;"",IFERROR(_xlfn.XLOOKUP(D283,HELPER!$B:$B,HELPER!$E:$E,""),"")=""),"Missing price",IFERROR(_xlfn.XLOOKUP(D283,HELPER!$B:$B,HELPER!$E:$E,"")," "))</f>
        <v/>
      </c>
      <c r="J283" s="48" t="str">
        <f>IFERROR(H283*(IF(G283=8,I283*HELPER!$G$2,BOM!I283*HELPER!$G$3))," ")</f>
        <v xml:space="preserve"> </v>
      </c>
      <c r="K283" s="6"/>
      <c r="L283" s="14" t="str" cm="1">
        <f t="array" ref="L283">IFERROR(_xlfn.LET(_xlpm.films,Table4[Film],_xlpm.grades,Table4[Grade],_xlpm.pairs,_xlfn._xlws.FILTER(_xlfn.HSTACK(_xlpm.films,_xlpm.grades),(_xlpm.films&lt;&gt;"")*(TRIM(_xlpm.grades)&lt;&gt;"")),_xlpm.uniquePairs,_xlfn.UNIQUE(_xlpm.pairs),_xlpm.sortedPairs,_xlfn._xlws.SORT(_xlpm.uniquePairs,1,1),INDEX(_xlpm.sortedPairs,ROWS($L$2:L283),1)),"")</f>
        <v/>
      </c>
      <c r="M283" s="15" t="str" cm="1">
        <f t="array" ref="M283">IFERROR(_xlfn.LET(_xlpm.films,Table4[Film],_xlpm.grades,Table4[Grade],_xlpm.pairs,_xlfn._xlws.FILTER(_xlfn.HSTACK(_xlpm.films,_xlpm.grades),(_xlpm.films&lt;&gt;"")*(TRIM(_xlpm.grades)&lt;&gt;"")),_xlpm.uniquePairs,_xlfn.UNIQUE(_xlpm.pairs),_xlpm.sortedPairs,_xlfn._xlws.SORT(_xlpm.uniquePairs,1,1),INDEX(_xlpm.sortedPairs,ROWS($M$2:M283),2)),"")</f>
        <v/>
      </c>
      <c r="N283" s="15" t="str" cm="1">
        <f t="array" ref="N283">IF(OR(Table2[[#This Row],[Film]]="",Table2[[#This Row],[Grade]]=""),"",IFERROR(INDEX(Table4[Serial Number],MATCH(1,(Table4[Film]=Table2[[#This Row],[Film]])*(Table4[Grade]=Table2[[#This Row],[Grade]]),0)),""))</f>
        <v/>
      </c>
      <c r="O283" s="52" t="str">
        <f>IF(OR(Table2[[#This Row],[Film]]="",Table2[[#This Row],[Grade]]=""),"",SUMIFS(Table4[Price Calculated(€) Thickness &amp; QTY related],Table4[Film],Table2[[#This Row],[Film]],Table4[Grade],Table2[[#This Row],[Grade]]))</f>
        <v/>
      </c>
      <c r="P283" s="6"/>
      <c r="T283" s="6"/>
    </row>
    <row r="284" spans="1:20">
      <c r="A284" s="29"/>
      <c r="B284" s="29" t="s">
        <v>6</v>
      </c>
      <c r="C284" s="28"/>
      <c r="D284" s="28" t="str">
        <f>IF(C284="","",IFERROR(_xlfn.XLOOKUP(C284,HELPER!$A$2:$A$81,HELPER!$B$2:$B$81,""),D284))</f>
        <v/>
      </c>
      <c r="E284" s="28" t="str">
        <f>IFERROR(_xlfn.XLOOKUP(D284,HELPER!$B:$B,HELPER!$C:$C,""),"")</f>
        <v/>
      </c>
      <c r="F284" s="27" t="str">
        <f>IFERROR(_xlfn.XLOOKUP(D284,HELPER!$B:$B,HELPER!$D:$D,""),"")</f>
        <v/>
      </c>
      <c r="G284" s="27">
        <v>24</v>
      </c>
      <c r="H284" s="47"/>
      <c r="I284" s="48" t="str">
        <f>IF(AND(H284&lt;&gt;"",IFERROR(_xlfn.XLOOKUP(D284,HELPER!$B:$B,HELPER!$E:$E,""),"")=""),"Missing price",IFERROR(_xlfn.XLOOKUP(D284,HELPER!$B:$B,HELPER!$E:$E,"")," "))</f>
        <v/>
      </c>
      <c r="J284" s="48" t="str">
        <f>IFERROR(H284*(IF(G284=8,I284*HELPER!$G$2,BOM!I284*HELPER!$G$3))," ")</f>
        <v xml:space="preserve"> </v>
      </c>
      <c r="K284" s="6"/>
      <c r="L284" s="14" t="str" cm="1">
        <f t="array" ref="L284">IFERROR(_xlfn.LET(_xlpm.films,Table4[Film],_xlpm.grades,Table4[Grade],_xlpm.pairs,_xlfn._xlws.FILTER(_xlfn.HSTACK(_xlpm.films,_xlpm.grades),(_xlpm.films&lt;&gt;"")*(TRIM(_xlpm.grades)&lt;&gt;"")),_xlpm.uniquePairs,_xlfn.UNIQUE(_xlpm.pairs),_xlpm.sortedPairs,_xlfn._xlws.SORT(_xlpm.uniquePairs,1,1),INDEX(_xlpm.sortedPairs,ROWS($L$2:L284),1)),"")</f>
        <v/>
      </c>
      <c r="M284" s="15" t="str" cm="1">
        <f t="array" ref="M284">IFERROR(_xlfn.LET(_xlpm.films,Table4[Film],_xlpm.grades,Table4[Grade],_xlpm.pairs,_xlfn._xlws.FILTER(_xlfn.HSTACK(_xlpm.films,_xlpm.grades),(_xlpm.films&lt;&gt;"")*(TRIM(_xlpm.grades)&lt;&gt;"")),_xlpm.uniquePairs,_xlfn.UNIQUE(_xlpm.pairs),_xlpm.sortedPairs,_xlfn._xlws.SORT(_xlpm.uniquePairs,1,1),INDEX(_xlpm.sortedPairs,ROWS($M$2:M284),2)),"")</f>
        <v/>
      </c>
      <c r="N284" s="15" t="str" cm="1">
        <f t="array" ref="N284">IF(OR(Table2[[#This Row],[Film]]="",Table2[[#This Row],[Grade]]=""),"",IFERROR(INDEX(Table4[Serial Number],MATCH(1,(Table4[Film]=Table2[[#This Row],[Film]])*(Table4[Grade]=Table2[[#This Row],[Grade]]),0)),""))</f>
        <v/>
      </c>
      <c r="O284" s="52" t="str">
        <f>IF(OR(Table2[[#This Row],[Film]]="",Table2[[#This Row],[Grade]]=""),"",SUMIFS(Table4[Price Calculated(€) Thickness &amp; QTY related],Table4[Film],Table2[[#This Row],[Film]],Table4[Grade],Table2[[#This Row],[Grade]]))</f>
        <v/>
      </c>
      <c r="P284" s="6"/>
      <c r="T284" s="6"/>
    </row>
    <row r="285" spans="1:20">
      <c r="A285" s="29"/>
      <c r="B285" s="29" t="s">
        <v>6</v>
      </c>
      <c r="C285" s="28"/>
      <c r="D285" s="28" t="str">
        <f>IF(C285="","",IFERROR(_xlfn.XLOOKUP(C285,HELPER!$A$2:$A$81,HELPER!$B$2:$B$81,""),D285))</f>
        <v/>
      </c>
      <c r="E285" s="28" t="str">
        <f>IFERROR(_xlfn.XLOOKUP(D285,HELPER!$B:$B,HELPER!$C:$C,""),"")</f>
        <v/>
      </c>
      <c r="F285" s="27" t="str">
        <f>IFERROR(_xlfn.XLOOKUP(D285,HELPER!$B:$B,HELPER!$D:$D,""),"")</f>
        <v/>
      </c>
      <c r="G285" s="27">
        <v>24</v>
      </c>
      <c r="H285" s="47"/>
      <c r="I285" s="48" t="str">
        <f>IF(AND(H285&lt;&gt;"",IFERROR(_xlfn.XLOOKUP(D285,HELPER!$B:$B,HELPER!$E:$E,""),"")=""),"Missing price",IFERROR(_xlfn.XLOOKUP(D285,HELPER!$B:$B,HELPER!$E:$E,"")," "))</f>
        <v/>
      </c>
      <c r="J285" s="48" t="str">
        <f>IFERROR(H285*(IF(G285=8,I285*HELPER!$G$2,BOM!I285*HELPER!$G$3))," ")</f>
        <v xml:space="preserve"> </v>
      </c>
      <c r="K285" s="6"/>
      <c r="L285" s="14" t="str" cm="1">
        <f t="array" ref="L285">IFERROR(_xlfn.LET(_xlpm.films,Table4[Film],_xlpm.grades,Table4[Grade],_xlpm.pairs,_xlfn._xlws.FILTER(_xlfn.HSTACK(_xlpm.films,_xlpm.grades),(_xlpm.films&lt;&gt;"")*(TRIM(_xlpm.grades)&lt;&gt;"")),_xlpm.uniquePairs,_xlfn.UNIQUE(_xlpm.pairs),_xlpm.sortedPairs,_xlfn._xlws.SORT(_xlpm.uniquePairs,1,1),INDEX(_xlpm.sortedPairs,ROWS($L$2:L285),1)),"")</f>
        <v/>
      </c>
      <c r="M285" s="15" t="str" cm="1">
        <f t="array" ref="M285">IFERROR(_xlfn.LET(_xlpm.films,Table4[Film],_xlpm.grades,Table4[Grade],_xlpm.pairs,_xlfn._xlws.FILTER(_xlfn.HSTACK(_xlpm.films,_xlpm.grades),(_xlpm.films&lt;&gt;"")*(TRIM(_xlpm.grades)&lt;&gt;"")),_xlpm.uniquePairs,_xlfn.UNIQUE(_xlpm.pairs),_xlpm.sortedPairs,_xlfn._xlws.SORT(_xlpm.uniquePairs,1,1),INDEX(_xlpm.sortedPairs,ROWS($M$2:M285),2)),"")</f>
        <v/>
      </c>
      <c r="N285" s="15" t="str" cm="1">
        <f t="array" ref="N285">IF(OR(Table2[[#This Row],[Film]]="",Table2[[#This Row],[Grade]]=""),"",IFERROR(INDEX(Table4[Serial Number],MATCH(1,(Table4[Film]=Table2[[#This Row],[Film]])*(Table4[Grade]=Table2[[#This Row],[Grade]]),0)),""))</f>
        <v/>
      </c>
      <c r="O285" s="52" t="str">
        <f>IF(OR(Table2[[#This Row],[Film]]="",Table2[[#This Row],[Grade]]=""),"",SUMIFS(Table4[Price Calculated(€) Thickness &amp; QTY related],Table4[Film],Table2[[#This Row],[Film]],Table4[Grade],Table2[[#This Row],[Grade]]))</f>
        <v/>
      </c>
      <c r="P285" s="6"/>
      <c r="T285" s="6"/>
    </row>
    <row r="286" spans="1:20">
      <c r="A286" s="29"/>
      <c r="B286" s="29" t="s">
        <v>6</v>
      </c>
      <c r="C286" s="28"/>
      <c r="D286" s="28" t="str">
        <f>IF(C286="","",IFERROR(_xlfn.XLOOKUP(C286,HELPER!$A$2:$A$81,HELPER!$B$2:$B$81,""),D286))</f>
        <v/>
      </c>
      <c r="E286" s="28" t="str">
        <f>IFERROR(_xlfn.XLOOKUP(D286,HELPER!$B:$B,HELPER!$C:$C,""),"")</f>
        <v/>
      </c>
      <c r="F286" s="27" t="str">
        <f>IFERROR(_xlfn.XLOOKUP(D286,HELPER!$B:$B,HELPER!$D:$D,""),"")</f>
        <v/>
      </c>
      <c r="G286" s="27">
        <v>24</v>
      </c>
      <c r="H286" s="47"/>
      <c r="I286" s="48" t="str">
        <f>IF(AND(H286&lt;&gt;"",IFERROR(_xlfn.XLOOKUP(D286,HELPER!$B:$B,HELPER!$E:$E,""),"")=""),"Missing price",IFERROR(_xlfn.XLOOKUP(D286,HELPER!$B:$B,HELPER!$E:$E,"")," "))</f>
        <v/>
      </c>
      <c r="J286" s="48" t="str">
        <f>IFERROR(H286*(IF(G286=8,I286*HELPER!$G$2,BOM!I286*HELPER!$G$3))," ")</f>
        <v xml:space="preserve"> </v>
      </c>
      <c r="K286" s="6"/>
      <c r="L286" s="14" t="str" cm="1">
        <f t="array" ref="L286">IFERROR(_xlfn.LET(_xlpm.films,Table4[Film],_xlpm.grades,Table4[Grade],_xlpm.pairs,_xlfn._xlws.FILTER(_xlfn.HSTACK(_xlpm.films,_xlpm.grades),(_xlpm.films&lt;&gt;"")*(TRIM(_xlpm.grades)&lt;&gt;"")),_xlpm.uniquePairs,_xlfn.UNIQUE(_xlpm.pairs),_xlpm.sortedPairs,_xlfn._xlws.SORT(_xlpm.uniquePairs,1,1),INDEX(_xlpm.sortedPairs,ROWS($L$2:L286),1)),"")</f>
        <v/>
      </c>
      <c r="M286" s="15" t="str" cm="1">
        <f t="array" ref="M286">IFERROR(_xlfn.LET(_xlpm.films,Table4[Film],_xlpm.grades,Table4[Grade],_xlpm.pairs,_xlfn._xlws.FILTER(_xlfn.HSTACK(_xlpm.films,_xlpm.grades),(_xlpm.films&lt;&gt;"")*(TRIM(_xlpm.grades)&lt;&gt;"")),_xlpm.uniquePairs,_xlfn.UNIQUE(_xlpm.pairs),_xlpm.sortedPairs,_xlfn._xlws.SORT(_xlpm.uniquePairs,1,1),INDEX(_xlpm.sortedPairs,ROWS($M$2:M286),2)),"")</f>
        <v/>
      </c>
      <c r="N286" s="15" t="str" cm="1">
        <f t="array" ref="N286">IF(OR(Table2[[#This Row],[Film]]="",Table2[[#This Row],[Grade]]=""),"",IFERROR(INDEX(Table4[Serial Number],MATCH(1,(Table4[Film]=Table2[[#This Row],[Film]])*(Table4[Grade]=Table2[[#This Row],[Grade]]),0)),""))</f>
        <v/>
      </c>
      <c r="O286" s="52" t="str">
        <f>IF(OR(Table2[[#This Row],[Film]]="",Table2[[#This Row],[Grade]]=""),"",SUMIFS(Table4[Price Calculated(€) Thickness &amp; QTY related],Table4[Film],Table2[[#This Row],[Film]],Table4[Grade],Table2[[#This Row],[Grade]]))</f>
        <v/>
      </c>
      <c r="P286" s="6"/>
      <c r="T286" s="6"/>
    </row>
    <row r="287" spans="1:20">
      <c r="A287" s="29"/>
      <c r="B287" s="29" t="s">
        <v>6</v>
      </c>
      <c r="C287" s="28"/>
      <c r="D287" s="28" t="str">
        <f>IF(C287="","",IFERROR(_xlfn.XLOOKUP(C287,HELPER!$A$2:$A$81,HELPER!$B$2:$B$81,""),D287))</f>
        <v/>
      </c>
      <c r="E287" s="28" t="str">
        <f>IFERROR(_xlfn.XLOOKUP(D287,HELPER!$B:$B,HELPER!$C:$C,""),"")</f>
        <v/>
      </c>
      <c r="F287" s="27" t="str">
        <f>IFERROR(_xlfn.XLOOKUP(D287,HELPER!$B:$B,HELPER!$D:$D,""),"")</f>
        <v/>
      </c>
      <c r="G287" s="27">
        <v>24</v>
      </c>
      <c r="H287" s="47"/>
      <c r="I287" s="48" t="str">
        <f>IF(AND(H287&lt;&gt;"",IFERROR(_xlfn.XLOOKUP(D287,HELPER!$B:$B,HELPER!$E:$E,""),"")=""),"Missing price",IFERROR(_xlfn.XLOOKUP(D287,HELPER!$B:$B,HELPER!$E:$E,"")," "))</f>
        <v/>
      </c>
      <c r="J287" s="48" t="str">
        <f>IFERROR(H287*(IF(G287=8,I287*HELPER!$G$2,BOM!I287*HELPER!$G$3))," ")</f>
        <v xml:space="preserve"> </v>
      </c>
      <c r="K287" s="6"/>
      <c r="L287" s="14" t="str" cm="1">
        <f t="array" ref="L287">IFERROR(_xlfn.LET(_xlpm.films,Table4[Film],_xlpm.grades,Table4[Grade],_xlpm.pairs,_xlfn._xlws.FILTER(_xlfn.HSTACK(_xlpm.films,_xlpm.grades),(_xlpm.films&lt;&gt;"")*(TRIM(_xlpm.grades)&lt;&gt;"")),_xlpm.uniquePairs,_xlfn.UNIQUE(_xlpm.pairs),_xlpm.sortedPairs,_xlfn._xlws.SORT(_xlpm.uniquePairs,1,1),INDEX(_xlpm.sortedPairs,ROWS($L$2:L287),1)),"")</f>
        <v/>
      </c>
      <c r="M287" s="15" t="str" cm="1">
        <f t="array" ref="M287">IFERROR(_xlfn.LET(_xlpm.films,Table4[Film],_xlpm.grades,Table4[Grade],_xlpm.pairs,_xlfn._xlws.FILTER(_xlfn.HSTACK(_xlpm.films,_xlpm.grades),(_xlpm.films&lt;&gt;"")*(TRIM(_xlpm.grades)&lt;&gt;"")),_xlpm.uniquePairs,_xlfn.UNIQUE(_xlpm.pairs),_xlpm.sortedPairs,_xlfn._xlws.SORT(_xlpm.uniquePairs,1,1),INDEX(_xlpm.sortedPairs,ROWS($M$2:M287),2)),"")</f>
        <v/>
      </c>
      <c r="N287" s="15" t="str" cm="1">
        <f t="array" ref="N287">IF(OR(Table2[[#This Row],[Film]]="",Table2[[#This Row],[Grade]]=""),"",IFERROR(INDEX(Table4[Serial Number],MATCH(1,(Table4[Film]=Table2[[#This Row],[Film]])*(Table4[Grade]=Table2[[#This Row],[Grade]]),0)),""))</f>
        <v/>
      </c>
      <c r="O287" s="52" t="str">
        <f>IF(OR(Table2[[#This Row],[Film]]="",Table2[[#This Row],[Grade]]=""),"",SUMIFS(Table4[Price Calculated(€) Thickness &amp; QTY related],Table4[Film],Table2[[#This Row],[Film]],Table4[Grade],Table2[[#This Row],[Grade]]))</f>
        <v/>
      </c>
      <c r="P287" s="6"/>
      <c r="T287" s="6"/>
    </row>
    <row r="288" spans="1:20">
      <c r="A288" s="29"/>
      <c r="B288" s="29" t="s">
        <v>6</v>
      </c>
      <c r="C288" s="28"/>
      <c r="D288" s="28" t="str">
        <f>IF(C288="","",IFERROR(_xlfn.XLOOKUP(C288,HELPER!$A$2:$A$81,HELPER!$B$2:$B$81,""),D288))</f>
        <v/>
      </c>
      <c r="E288" s="28" t="str">
        <f>IFERROR(_xlfn.XLOOKUP(D288,HELPER!$B:$B,HELPER!$C:$C,""),"")</f>
        <v/>
      </c>
      <c r="F288" s="27" t="str">
        <f>IFERROR(_xlfn.XLOOKUP(D288,HELPER!$B:$B,HELPER!$D:$D,""),"")</f>
        <v/>
      </c>
      <c r="G288" s="27">
        <v>24</v>
      </c>
      <c r="H288" s="47"/>
      <c r="I288" s="48" t="str">
        <f>IF(AND(H288&lt;&gt;"",IFERROR(_xlfn.XLOOKUP(D288,HELPER!$B:$B,HELPER!$E:$E,""),"")=""),"Missing price",IFERROR(_xlfn.XLOOKUP(D288,HELPER!$B:$B,HELPER!$E:$E,"")," "))</f>
        <v/>
      </c>
      <c r="J288" s="48" t="str">
        <f>IFERROR(H288*(IF(G288=8,I288*HELPER!$G$2,BOM!I288*HELPER!$G$3))," ")</f>
        <v xml:space="preserve"> </v>
      </c>
      <c r="K288" s="6"/>
      <c r="L288" s="14" t="str" cm="1">
        <f t="array" ref="L288">IFERROR(_xlfn.LET(_xlpm.films,Table4[Film],_xlpm.grades,Table4[Grade],_xlpm.pairs,_xlfn._xlws.FILTER(_xlfn.HSTACK(_xlpm.films,_xlpm.grades),(_xlpm.films&lt;&gt;"")*(TRIM(_xlpm.grades)&lt;&gt;"")),_xlpm.uniquePairs,_xlfn.UNIQUE(_xlpm.pairs),_xlpm.sortedPairs,_xlfn._xlws.SORT(_xlpm.uniquePairs,1,1),INDEX(_xlpm.sortedPairs,ROWS($L$2:L288),1)),"")</f>
        <v/>
      </c>
      <c r="M288" s="15" t="str" cm="1">
        <f t="array" ref="M288">IFERROR(_xlfn.LET(_xlpm.films,Table4[Film],_xlpm.grades,Table4[Grade],_xlpm.pairs,_xlfn._xlws.FILTER(_xlfn.HSTACK(_xlpm.films,_xlpm.grades),(_xlpm.films&lt;&gt;"")*(TRIM(_xlpm.grades)&lt;&gt;"")),_xlpm.uniquePairs,_xlfn.UNIQUE(_xlpm.pairs),_xlpm.sortedPairs,_xlfn._xlws.SORT(_xlpm.uniquePairs,1,1),INDEX(_xlpm.sortedPairs,ROWS($M$2:M288),2)),"")</f>
        <v/>
      </c>
      <c r="N288" s="15" t="str" cm="1">
        <f t="array" ref="N288">IF(OR(Table2[[#This Row],[Film]]="",Table2[[#This Row],[Grade]]=""),"",IFERROR(INDEX(Table4[Serial Number],MATCH(1,(Table4[Film]=Table2[[#This Row],[Film]])*(Table4[Grade]=Table2[[#This Row],[Grade]]),0)),""))</f>
        <v/>
      </c>
      <c r="O288" s="52" t="str">
        <f>IF(OR(Table2[[#This Row],[Film]]="",Table2[[#This Row],[Grade]]=""),"",SUMIFS(Table4[Price Calculated(€) Thickness &amp; QTY related],Table4[Film],Table2[[#This Row],[Film]],Table4[Grade],Table2[[#This Row],[Grade]]))</f>
        <v/>
      </c>
      <c r="P288" s="6"/>
      <c r="T288" s="6"/>
    </row>
    <row r="289" spans="1:20">
      <c r="A289" s="29"/>
      <c r="B289" s="29" t="s">
        <v>6</v>
      </c>
      <c r="C289" s="28"/>
      <c r="D289" s="28" t="str">
        <f>IF(C289="","",IFERROR(_xlfn.XLOOKUP(C289,HELPER!$A$2:$A$81,HELPER!$B$2:$B$81,""),D289))</f>
        <v/>
      </c>
      <c r="E289" s="28" t="str">
        <f>IFERROR(_xlfn.XLOOKUP(D289,HELPER!$B:$B,HELPER!$C:$C,""),"")</f>
        <v/>
      </c>
      <c r="F289" s="27" t="str">
        <f>IFERROR(_xlfn.XLOOKUP(D289,HELPER!$B:$B,HELPER!$D:$D,""),"")</f>
        <v/>
      </c>
      <c r="G289" s="27">
        <v>24</v>
      </c>
      <c r="H289" s="47"/>
      <c r="I289" s="48" t="str">
        <f>IF(AND(H289&lt;&gt;"",IFERROR(_xlfn.XLOOKUP(D289,HELPER!$B:$B,HELPER!$E:$E,""),"")=""),"Missing price",IFERROR(_xlfn.XLOOKUP(D289,HELPER!$B:$B,HELPER!$E:$E,"")," "))</f>
        <v/>
      </c>
      <c r="J289" s="48" t="str">
        <f>IFERROR(H289*(IF(G289=8,I289*HELPER!$G$2,BOM!I289*HELPER!$G$3))," ")</f>
        <v xml:space="preserve"> </v>
      </c>
      <c r="K289" s="6"/>
      <c r="L289" s="14" t="str" cm="1">
        <f t="array" ref="L289">IFERROR(_xlfn.LET(_xlpm.films,Table4[Film],_xlpm.grades,Table4[Grade],_xlpm.pairs,_xlfn._xlws.FILTER(_xlfn.HSTACK(_xlpm.films,_xlpm.grades),(_xlpm.films&lt;&gt;"")*(TRIM(_xlpm.grades)&lt;&gt;"")),_xlpm.uniquePairs,_xlfn.UNIQUE(_xlpm.pairs),_xlpm.sortedPairs,_xlfn._xlws.SORT(_xlpm.uniquePairs,1,1),INDEX(_xlpm.sortedPairs,ROWS($L$2:L289),1)),"")</f>
        <v/>
      </c>
      <c r="M289" s="15" t="str" cm="1">
        <f t="array" ref="M289">IFERROR(_xlfn.LET(_xlpm.films,Table4[Film],_xlpm.grades,Table4[Grade],_xlpm.pairs,_xlfn._xlws.FILTER(_xlfn.HSTACK(_xlpm.films,_xlpm.grades),(_xlpm.films&lt;&gt;"")*(TRIM(_xlpm.grades)&lt;&gt;"")),_xlpm.uniquePairs,_xlfn.UNIQUE(_xlpm.pairs),_xlpm.sortedPairs,_xlfn._xlws.SORT(_xlpm.uniquePairs,1,1),INDEX(_xlpm.sortedPairs,ROWS($M$2:M289),2)),"")</f>
        <v/>
      </c>
      <c r="N289" s="15" t="str" cm="1">
        <f t="array" ref="N289">IF(OR(Table2[[#This Row],[Film]]="",Table2[[#This Row],[Grade]]=""),"",IFERROR(INDEX(Table4[Serial Number],MATCH(1,(Table4[Film]=Table2[[#This Row],[Film]])*(Table4[Grade]=Table2[[#This Row],[Grade]]),0)),""))</f>
        <v/>
      </c>
      <c r="O289" s="52" t="str">
        <f>IF(OR(Table2[[#This Row],[Film]]="",Table2[[#This Row],[Grade]]=""),"",SUMIFS(Table4[Price Calculated(€) Thickness &amp; QTY related],Table4[Film],Table2[[#This Row],[Film]],Table4[Grade],Table2[[#This Row],[Grade]]))</f>
        <v/>
      </c>
      <c r="P289" s="6"/>
      <c r="T289" s="6"/>
    </row>
    <row r="290" spans="1:20">
      <c r="A290" s="29"/>
      <c r="B290" s="29" t="s">
        <v>6</v>
      </c>
      <c r="C290" s="28"/>
      <c r="D290" s="28" t="str">
        <f>IF(C290="","",IFERROR(_xlfn.XLOOKUP(C290,HELPER!$A$2:$A$81,HELPER!$B$2:$B$81,""),D290))</f>
        <v/>
      </c>
      <c r="E290" s="28" t="str">
        <f>IFERROR(_xlfn.XLOOKUP(D290,HELPER!$B:$B,HELPER!$C:$C,""),"")</f>
        <v/>
      </c>
      <c r="F290" s="27" t="str">
        <f>IFERROR(_xlfn.XLOOKUP(D290,HELPER!$B:$B,HELPER!$D:$D,""),"")</f>
        <v/>
      </c>
      <c r="G290" s="27">
        <v>24</v>
      </c>
      <c r="H290" s="47"/>
      <c r="I290" s="48" t="str">
        <f>IF(AND(H290&lt;&gt;"",IFERROR(_xlfn.XLOOKUP(D290,HELPER!$B:$B,HELPER!$E:$E,""),"")=""),"Missing price",IFERROR(_xlfn.XLOOKUP(D290,HELPER!$B:$B,HELPER!$E:$E,"")," "))</f>
        <v/>
      </c>
      <c r="J290" s="48" t="str">
        <f>IFERROR(H290*(IF(G290=8,I290*HELPER!$G$2,BOM!I290*HELPER!$G$3))," ")</f>
        <v xml:space="preserve"> </v>
      </c>
      <c r="K290" s="6"/>
      <c r="L290" s="14" t="str" cm="1">
        <f t="array" ref="L290">IFERROR(_xlfn.LET(_xlpm.films,Table4[Film],_xlpm.grades,Table4[Grade],_xlpm.pairs,_xlfn._xlws.FILTER(_xlfn.HSTACK(_xlpm.films,_xlpm.grades),(_xlpm.films&lt;&gt;"")*(TRIM(_xlpm.grades)&lt;&gt;"")),_xlpm.uniquePairs,_xlfn.UNIQUE(_xlpm.pairs),_xlpm.sortedPairs,_xlfn._xlws.SORT(_xlpm.uniquePairs,1,1),INDEX(_xlpm.sortedPairs,ROWS($L$2:L290),1)),"")</f>
        <v/>
      </c>
      <c r="M290" s="15" t="str" cm="1">
        <f t="array" ref="M290">IFERROR(_xlfn.LET(_xlpm.films,Table4[Film],_xlpm.grades,Table4[Grade],_xlpm.pairs,_xlfn._xlws.FILTER(_xlfn.HSTACK(_xlpm.films,_xlpm.grades),(_xlpm.films&lt;&gt;"")*(TRIM(_xlpm.grades)&lt;&gt;"")),_xlpm.uniquePairs,_xlfn.UNIQUE(_xlpm.pairs),_xlpm.sortedPairs,_xlfn._xlws.SORT(_xlpm.uniquePairs,1,1),INDEX(_xlpm.sortedPairs,ROWS($M$2:M290),2)),"")</f>
        <v/>
      </c>
      <c r="N290" s="15" t="str" cm="1">
        <f t="array" ref="N290">IF(OR(Table2[[#This Row],[Film]]="",Table2[[#This Row],[Grade]]=""),"",IFERROR(INDEX(Table4[Serial Number],MATCH(1,(Table4[Film]=Table2[[#This Row],[Film]])*(Table4[Grade]=Table2[[#This Row],[Grade]]),0)),""))</f>
        <v/>
      </c>
      <c r="O290" s="52" t="str">
        <f>IF(OR(Table2[[#This Row],[Film]]="",Table2[[#This Row],[Grade]]=""),"",SUMIFS(Table4[Price Calculated(€) Thickness &amp; QTY related],Table4[Film],Table2[[#This Row],[Film]],Table4[Grade],Table2[[#This Row],[Grade]]))</f>
        <v/>
      </c>
      <c r="P290" s="6"/>
      <c r="T290" s="6"/>
    </row>
    <row r="291" spans="1:20">
      <c r="A291" s="29"/>
      <c r="B291" s="29" t="s">
        <v>6</v>
      </c>
      <c r="C291" s="28"/>
      <c r="D291" s="28" t="str">
        <f>IF(C291="","",IFERROR(_xlfn.XLOOKUP(C291,HELPER!$A$2:$A$81,HELPER!$B$2:$B$81,""),D291))</f>
        <v/>
      </c>
      <c r="E291" s="28" t="str">
        <f>IFERROR(_xlfn.XLOOKUP(D291,HELPER!$B:$B,HELPER!$C:$C,""),"")</f>
        <v/>
      </c>
      <c r="F291" s="27" t="str">
        <f>IFERROR(_xlfn.XLOOKUP(D291,HELPER!$B:$B,HELPER!$D:$D,""),"")</f>
        <v/>
      </c>
      <c r="G291" s="27">
        <v>24</v>
      </c>
      <c r="H291" s="47"/>
      <c r="I291" s="48" t="str">
        <f>IF(AND(H291&lt;&gt;"",IFERROR(_xlfn.XLOOKUP(D291,HELPER!$B:$B,HELPER!$E:$E,""),"")=""),"Missing price",IFERROR(_xlfn.XLOOKUP(D291,HELPER!$B:$B,HELPER!$E:$E,"")," "))</f>
        <v/>
      </c>
      <c r="J291" s="48" t="str">
        <f>IFERROR(H291*(IF(G291=8,I291*HELPER!$G$2,BOM!I291*HELPER!$G$3))," ")</f>
        <v xml:space="preserve"> </v>
      </c>
      <c r="K291" s="6"/>
      <c r="L291" s="14" t="str" cm="1">
        <f t="array" ref="L291">IFERROR(_xlfn.LET(_xlpm.films,Table4[Film],_xlpm.grades,Table4[Grade],_xlpm.pairs,_xlfn._xlws.FILTER(_xlfn.HSTACK(_xlpm.films,_xlpm.grades),(_xlpm.films&lt;&gt;"")*(TRIM(_xlpm.grades)&lt;&gt;"")),_xlpm.uniquePairs,_xlfn.UNIQUE(_xlpm.pairs),_xlpm.sortedPairs,_xlfn._xlws.SORT(_xlpm.uniquePairs,1,1),INDEX(_xlpm.sortedPairs,ROWS($L$2:L291),1)),"")</f>
        <v/>
      </c>
      <c r="M291" s="15" t="str" cm="1">
        <f t="array" ref="M291">IFERROR(_xlfn.LET(_xlpm.films,Table4[Film],_xlpm.grades,Table4[Grade],_xlpm.pairs,_xlfn._xlws.FILTER(_xlfn.HSTACK(_xlpm.films,_xlpm.grades),(_xlpm.films&lt;&gt;"")*(TRIM(_xlpm.grades)&lt;&gt;"")),_xlpm.uniquePairs,_xlfn.UNIQUE(_xlpm.pairs),_xlpm.sortedPairs,_xlfn._xlws.SORT(_xlpm.uniquePairs,1,1),INDEX(_xlpm.sortedPairs,ROWS($M$2:M291),2)),"")</f>
        <v/>
      </c>
      <c r="N291" s="15" t="str" cm="1">
        <f t="array" ref="N291">IF(OR(Table2[[#This Row],[Film]]="",Table2[[#This Row],[Grade]]=""),"",IFERROR(INDEX(Table4[Serial Number],MATCH(1,(Table4[Film]=Table2[[#This Row],[Film]])*(Table4[Grade]=Table2[[#This Row],[Grade]]),0)),""))</f>
        <v/>
      </c>
      <c r="O291" s="52" t="str">
        <f>IF(OR(Table2[[#This Row],[Film]]="",Table2[[#This Row],[Grade]]=""),"",SUMIFS(Table4[Price Calculated(€) Thickness &amp; QTY related],Table4[Film],Table2[[#This Row],[Film]],Table4[Grade],Table2[[#This Row],[Grade]]))</f>
        <v/>
      </c>
      <c r="P291" s="6"/>
      <c r="T291" s="6"/>
    </row>
    <row r="292" spans="1:20">
      <c r="A292" s="29"/>
      <c r="B292" s="29" t="s">
        <v>7</v>
      </c>
      <c r="C292" s="28"/>
      <c r="D292" s="28" t="str">
        <f>IF(C292="","",IFERROR(_xlfn.XLOOKUP(C292,HELPER!$A$2:$A$81,HELPER!$B$2:$B$81,""),D292))</f>
        <v/>
      </c>
      <c r="E292" s="28" t="str">
        <f>IFERROR(_xlfn.XLOOKUP(D292,HELPER!$B:$B,HELPER!$C:$C,""),"")</f>
        <v/>
      </c>
      <c r="F292" s="27" t="str">
        <f>IFERROR(_xlfn.XLOOKUP(D292,HELPER!$B:$B,HELPER!$D:$D,""),"")</f>
        <v/>
      </c>
      <c r="G292" s="27">
        <v>8</v>
      </c>
      <c r="H292" s="47"/>
      <c r="I292" s="48" t="str">
        <f>IF(AND(H292&lt;&gt;"",IFERROR(_xlfn.XLOOKUP(D292,HELPER!$B:$B,HELPER!$E:$E,""),"")=""),"Missing price",IFERROR(_xlfn.XLOOKUP(D292,HELPER!$B:$B,HELPER!$E:$E,"")," "))</f>
        <v/>
      </c>
      <c r="J292" s="48" t="str">
        <f>IFERROR(H292*(IF(G292=8,I292*HELPER!$G$2,BOM!I292*HELPER!$G$3))," ")</f>
        <v xml:space="preserve"> </v>
      </c>
      <c r="K292" s="6"/>
      <c r="L292" s="14" t="str" cm="1">
        <f t="array" ref="L292">IFERROR(_xlfn.LET(_xlpm.films,Table4[Film],_xlpm.grades,Table4[Grade],_xlpm.pairs,_xlfn._xlws.FILTER(_xlfn.HSTACK(_xlpm.films,_xlpm.grades),(_xlpm.films&lt;&gt;"")*(TRIM(_xlpm.grades)&lt;&gt;"")),_xlpm.uniquePairs,_xlfn.UNIQUE(_xlpm.pairs),_xlpm.sortedPairs,_xlfn._xlws.SORT(_xlpm.uniquePairs,1,1),INDEX(_xlpm.sortedPairs,ROWS($L$2:L292),1)),"")</f>
        <v/>
      </c>
      <c r="M292" s="15" t="str" cm="1">
        <f t="array" ref="M292">IFERROR(_xlfn.LET(_xlpm.films,Table4[Film],_xlpm.grades,Table4[Grade],_xlpm.pairs,_xlfn._xlws.FILTER(_xlfn.HSTACK(_xlpm.films,_xlpm.grades),(_xlpm.films&lt;&gt;"")*(TRIM(_xlpm.grades)&lt;&gt;"")),_xlpm.uniquePairs,_xlfn.UNIQUE(_xlpm.pairs),_xlpm.sortedPairs,_xlfn._xlws.SORT(_xlpm.uniquePairs,1,1),INDEX(_xlpm.sortedPairs,ROWS($M$2:M292),2)),"")</f>
        <v/>
      </c>
      <c r="N292" s="15" t="str" cm="1">
        <f t="array" ref="N292">IF(OR(Table2[[#This Row],[Film]]="",Table2[[#This Row],[Grade]]=""),"",IFERROR(INDEX(Table4[Serial Number],MATCH(1,(Table4[Film]=Table2[[#This Row],[Film]])*(Table4[Grade]=Table2[[#This Row],[Grade]]),0)),""))</f>
        <v/>
      </c>
      <c r="O292" s="52" t="str">
        <f>IF(OR(Table2[[#This Row],[Film]]="",Table2[[#This Row],[Grade]]=""),"",SUMIFS(Table4[Price Calculated(€) Thickness &amp; QTY related],Table4[Film],Table2[[#This Row],[Film]],Table4[Grade],Table2[[#This Row],[Grade]]))</f>
        <v/>
      </c>
      <c r="P292" s="6"/>
      <c r="T292" s="6"/>
    </row>
    <row r="293" spans="1:20">
      <c r="A293" s="29"/>
      <c r="B293" s="29" t="s">
        <v>7</v>
      </c>
      <c r="C293" s="28"/>
      <c r="D293" s="28" t="str">
        <f>IF(C293="","",IFERROR(_xlfn.XLOOKUP(C293,HELPER!$A$2:$A$81,HELPER!$B$2:$B$81,""),D293))</f>
        <v/>
      </c>
      <c r="E293" s="28" t="str">
        <f>IFERROR(_xlfn.XLOOKUP(D293,HELPER!$B:$B,HELPER!$C:$C,""),"")</f>
        <v/>
      </c>
      <c r="F293" s="27" t="str">
        <f>IFERROR(_xlfn.XLOOKUP(D293,HELPER!$B:$B,HELPER!$D:$D,""),"")</f>
        <v/>
      </c>
      <c r="G293" s="27">
        <v>8</v>
      </c>
      <c r="H293" s="47"/>
      <c r="I293" s="48" t="str">
        <f>IF(AND(H293&lt;&gt;"",IFERROR(_xlfn.XLOOKUP(D293,HELPER!$B:$B,HELPER!$E:$E,""),"")=""),"Missing price",IFERROR(_xlfn.XLOOKUP(D293,HELPER!$B:$B,HELPER!$E:$E,"")," "))</f>
        <v/>
      </c>
      <c r="J293" s="48" t="str">
        <f>IFERROR(H293*(IF(G293=8,I293*HELPER!$G$2,BOM!I293*HELPER!$G$3))," ")</f>
        <v xml:space="preserve"> </v>
      </c>
      <c r="K293" s="6"/>
      <c r="L293" s="14" t="str" cm="1">
        <f t="array" ref="L293">IFERROR(_xlfn.LET(_xlpm.films,Table4[Film],_xlpm.grades,Table4[Grade],_xlpm.pairs,_xlfn._xlws.FILTER(_xlfn.HSTACK(_xlpm.films,_xlpm.grades),(_xlpm.films&lt;&gt;"")*(TRIM(_xlpm.grades)&lt;&gt;"")),_xlpm.uniquePairs,_xlfn.UNIQUE(_xlpm.pairs),_xlpm.sortedPairs,_xlfn._xlws.SORT(_xlpm.uniquePairs,1,1),INDEX(_xlpm.sortedPairs,ROWS($L$2:L293),1)),"")</f>
        <v/>
      </c>
      <c r="M293" s="15" t="str" cm="1">
        <f t="array" ref="M293">IFERROR(_xlfn.LET(_xlpm.films,Table4[Film],_xlpm.grades,Table4[Grade],_xlpm.pairs,_xlfn._xlws.FILTER(_xlfn.HSTACK(_xlpm.films,_xlpm.grades),(_xlpm.films&lt;&gt;"")*(TRIM(_xlpm.grades)&lt;&gt;"")),_xlpm.uniquePairs,_xlfn.UNIQUE(_xlpm.pairs),_xlpm.sortedPairs,_xlfn._xlws.SORT(_xlpm.uniquePairs,1,1),INDEX(_xlpm.sortedPairs,ROWS($M$2:M293),2)),"")</f>
        <v/>
      </c>
      <c r="N293" s="15" t="str" cm="1">
        <f t="array" ref="N293">IF(OR(Table2[[#This Row],[Film]]="",Table2[[#This Row],[Grade]]=""),"",IFERROR(INDEX(Table4[Serial Number],MATCH(1,(Table4[Film]=Table2[[#This Row],[Film]])*(Table4[Grade]=Table2[[#This Row],[Grade]]),0)),""))</f>
        <v/>
      </c>
      <c r="O293" s="52" t="str">
        <f>IF(OR(Table2[[#This Row],[Film]]="",Table2[[#This Row],[Grade]]=""),"",SUMIFS(Table4[Price Calculated(€) Thickness &amp; QTY related],Table4[Film],Table2[[#This Row],[Film]],Table4[Grade],Table2[[#This Row],[Grade]]))</f>
        <v/>
      </c>
      <c r="P293" s="6"/>
      <c r="T293" s="6"/>
    </row>
    <row r="294" spans="1:20">
      <c r="A294" s="29"/>
      <c r="B294" s="29" t="s">
        <v>7</v>
      </c>
      <c r="C294" s="28"/>
      <c r="D294" s="28" t="str">
        <f>IF(C294="","",IFERROR(_xlfn.XLOOKUP(C294,HELPER!$A$2:$A$81,HELPER!$B$2:$B$81,""),D294))</f>
        <v/>
      </c>
      <c r="E294" s="28" t="str">
        <f>IFERROR(_xlfn.XLOOKUP(D294,HELPER!$B:$B,HELPER!$C:$C,""),"")</f>
        <v/>
      </c>
      <c r="F294" s="27" t="str">
        <f>IFERROR(_xlfn.XLOOKUP(D294,HELPER!$B:$B,HELPER!$D:$D,""),"")</f>
        <v/>
      </c>
      <c r="G294" s="27">
        <v>8</v>
      </c>
      <c r="H294" s="47"/>
      <c r="I294" s="48" t="str">
        <f>IF(AND(H294&lt;&gt;"",IFERROR(_xlfn.XLOOKUP(D294,HELPER!$B:$B,HELPER!$E:$E,""),"")=""),"Missing price",IFERROR(_xlfn.XLOOKUP(D294,HELPER!$B:$B,HELPER!$E:$E,"")," "))</f>
        <v/>
      </c>
      <c r="J294" s="48" t="str">
        <f>IFERROR(H294*(IF(G294=8,I294*HELPER!$G$2,BOM!I294*HELPER!$G$3))," ")</f>
        <v xml:space="preserve"> </v>
      </c>
      <c r="K294" s="6"/>
      <c r="L294" s="14" t="str" cm="1">
        <f t="array" ref="L294">IFERROR(_xlfn.LET(_xlpm.films,Table4[Film],_xlpm.grades,Table4[Grade],_xlpm.pairs,_xlfn._xlws.FILTER(_xlfn.HSTACK(_xlpm.films,_xlpm.grades),(_xlpm.films&lt;&gt;"")*(TRIM(_xlpm.grades)&lt;&gt;"")),_xlpm.uniquePairs,_xlfn.UNIQUE(_xlpm.pairs),_xlpm.sortedPairs,_xlfn._xlws.SORT(_xlpm.uniquePairs,1,1),INDEX(_xlpm.sortedPairs,ROWS($L$2:L294),1)),"")</f>
        <v/>
      </c>
      <c r="M294" s="15" t="str" cm="1">
        <f t="array" ref="M294">IFERROR(_xlfn.LET(_xlpm.films,Table4[Film],_xlpm.grades,Table4[Grade],_xlpm.pairs,_xlfn._xlws.FILTER(_xlfn.HSTACK(_xlpm.films,_xlpm.grades),(_xlpm.films&lt;&gt;"")*(TRIM(_xlpm.grades)&lt;&gt;"")),_xlpm.uniquePairs,_xlfn.UNIQUE(_xlpm.pairs),_xlpm.sortedPairs,_xlfn._xlws.SORT(_xlpm.uniquePairs,1,1),INDEX(_xlpm.sortedPairs,ROWS($M$2:M294),2)),"")</f>
        <v/>
      </c>
      <c r="N294" s="15" t="str" cm="1">
        <f t="array" ref="N294">IF(OR(Table2[[#This Row],[Film]]="",Table2[[#This Row],[Grade]]=""),"",IFERROR(INDEX(Table4[Serial Number],MATCH(1,(Table4[Film]=Table2[[#This Row],[Film]])*(Table4[Grade]=Table2[[#This Row],[Grade]]),0)),""))</f>
        <v/>
      </c>
      <c r="O294" s="52" t="str">
        <f>IF(OR(Table2[[#This Row],[Film]]="",Table2[[#This Row],[Grade]]=""),"",SUMIFS(Table4[Price Calculated(€) Thickness &amp; QTY related],Table4[Film],Table2[[#This Row],[Film]],Table4[Grade],Table2[[#This Row],[Grade]]))</f>
        <v/>
      </c>
      <c r="P294" s="6"/>
      <c r="T294" s="6"/>
    </row>
    <row r="295" spans="1:20">
      <c r="A295" s="29"/>
      <c r="B295" s="29" t="s">
        <v>7</v>
      </c>
      <c r="C295" s="28"/>
      <c r="D295" s="28" t="str">
        <f>IF(C295="","",IFERROR(_xlfn.XLOOKUP(C295,HELPER!$A$2:$A$81,HELPER!$B$2:$B$81,""),D295))</f>
        <v/>
      </c>
      <c r="E295" s="28" t="str">
        <f>IFERROR(_xlfn.XLOOKUP(D295,HELPER!$B:$B,HELPER!$C:$C,""),"")</f>
        <v/>
      </c>
      <c r="F295" s="27" t="str">
        <f>IFERROR(_xlfn.XLOOKUP(D295,HELPER!$B:$B,HELPER!$D:$D,""),"")</f>
        <v/>
      </c>
      <c r="G295" s="27">
        <v>8</v>
      </c>
      <c r="H295" s="47"/>
      <c r="I295" s="48" t="str">
        <f>IF(AND(H295&lt;&gt;"",IFERROR(_xlfn.XLOOKUP(D295,HELPER!$B:$B,HELPER!$E:$E,""),"")=""),"Missing price",IFERROR(_xlfn.XLOOKUP(D295,HELPER!$B:$B,HELPER!$E:$E,"")," "))</f>
        <v/>
      </c>
      <c r="J295" s="48" t="str">
        <f>IFERROR(H295*(IF(G295=8,I295*HELPER!$G$2,BOM!I295*HELPER!$G$3))," ")</f>
        <v xml:space="preserve"> </v>
      </c>
      <c r="K295" s="6"/>
      <c r="L295" s="14" t="str" cm="1">
        <f t="array" ref="L295">IFERROR(_xlfn.LET(_xlpm.films,Table4[Film],_xlpm.grades,Table4[Grade],_xlpm.pairs,_xlfn._xlws.FILTER(_xlfn.HSTACK(_xlpm.films,_xlpm.grades),(_xlpm.films&lt;&gt;"")*(TRIM(_xlpm.grades)&lt;&gt;"")),_xlpm.uniquePairs,_xlfn.UNIQUE(_xlpm.pairs),_xlpm.sortedPairs,_xlfn._xlws.SORT(_xlpm.uniquePairs,1,1),INDEX(_xlpm.sortedPairs,ROWS($L$2:L295),1)),"")</f>
        <v/>
      </c>
      <c r="M295" s="15" t="str" cm="1">
        <f t="array" ref="M295">IFERROR(_xlfn.LET(_xlpm.films,Table4[Film],_xlpm.grades,Table4[Grade],_xlpm.pairs,_xlfn._xlws.FILTER(_xlfn.HSTACK(_xlpm.films,_xlpm.grades),(_xlpm.films&lt;&gt;"")*(TRIM(_xlpm.grades)&lt;&gt;"")),_xlpm.uniquePairs,_xlfn.UNIQUE(_xlpm.pairs),_xlpm.sortedPairs,_xlfn._xlws.SORT(_xlpm.uniquePairs,1,1),INDEX(_xlpm.sortedPairs,ROWS($M$2:M295),2)),"")</f>
        <v/>
      </c>
      <c r="N295" s="15" t="str" cm="1">
        <f t="array" ref="N295">IF(OR(Table2[[#This Row],[Film]]="",Table2[[#This Row],[Grade]]=""),"",IFERROR(INDEX(Table4[Serial Number],MATCH(1,(Table4[Film]=Table2[[#This Row],[Film]])*(Table4[Grade]=Table2[[#This Row],[Grade]]),0)),""))</f>
        <v/>
      </c>
      <c r="O295" s="52" t="str">
        <f>IF(OR(Table2[[#This Row],[Film]]="",Table2[[#This Row],[Grade]]=""),"",SUMIFS(Table4[Price Calculated(€) Thickness &amp; QTY related],Table4[Film],Table2[[#This Row],[Film]],Table4[Grade],Table2[[#This Row],[Grade]]))</f>
        <v/>
      </c>
      <c r="P295" s="6"/>
      <c r="T295" s="6"/>
    </row>
    <row r="296" spans="1:20">
      <c r="A296" s="29"/>
      <c r="B296" s="29" t="s">
        <v>7</v>
      </c>
      <c r="C296" s="28"/>
      <c r="D296" s="28" t="str">
        <f>IF(C296="","",IFERROR(_xlfn.XLOOKUP(C296,HELPER!$A$2:$A$81,HELPER!$B$2:$B$81,""),D296))</f>
        <v/>
      </c>
      <c r="E296" s="28" t="str">
        <f>IFERROR(_xlfn.XLOOKUP(D296,HELPER!$B:$B,HELPER!$C:$C,""),"")</f>
        <v/>
      </c>
      <c r="F296" s="27" t="str">
        <f>IFERROR(_xlfn.XLOOKUP(D296,HELPER!$B:$B,HELPER!$D:$D,""),"")</f>
        <v/>
      </c>
      <c r="G296" s="27">
        <v>8</v>
      </c>
      <c r="H296" s="47"/>
      <c r="I296" s="48" t="str">
        <f>IF(AND(H296&lt;&gt;"",IFERROR(_xlfn.XLOOKUP(D296,HELPER!$B:$B,HELPER!$E:$E,""),"")=""),"Missing price",IFERROR(_xlfn.XLOOKUP(D296,HELPER!$B:$B,HELPER!$E:$E,"")," "))</f>
        <v/>
      </c>
      <c r="J296" s="48" t="str">
        <f>IFERROR(H296*(IF(G296=8,I296*HELPER!$G$2,BOM!I296*HELPER!$G$3))," ")</f>
        <v xml:space="preserve"> </v>
      </c>
      <c r="K296" s="6"/>
      <c r="L296" s="14" t="str" cm="1">
        <f t="array" ref="L296">IFERROR(_xlfn.LET(_xlpm.films,Table4[Film],_xlpm.grades,Table4[Grade],_xlpm.pairs,_xlfn._xlws.FILTER(_xlfn.HSTACK(_xlpm.films,_xlpm.grades),(_xlpm.films&lt;&gt;"")*(TRIM(_xlpm.grades)&lt;&gt;"")),_xlpm.uniquePairs,_xlfn.UNIQUE(_xlpm.pairs),_xlpm.sortedPairs,_xlfn._xlws.SORT(_xlpm.uniquePairs,1,1),INDEX(_xlpm.sortedPairs,ROWS($L$2:L296),1)),"")</f>
        <v/>
      </c>
      <c r="M296" s="15" t="str" cm="1">
        <f t="array" ref="M296">IFERROR(_xlfn.LET(_xlpm.films,Table4[Film],_xlpm.grades,Table4[Grade],_xlpm.pairs,_xlfn._xlws.FILTER(_xlfn.HSTACK(_xlpm.films,_xlpm.grades),(_xlpm.films&lt;&gt;"")*(TRIM(_xlpm.grades)&lt;&gt;"")),_xlpm.uniquePairs,_xlfn.UNIQUE(_xlpm.pairs),_xlpm.sortedPairs,_xlfn._xlws.SORT(_xlpm.uniquePairs,1,1),INDEX(_xlpm.sortedPairs,ROWS($M$2:M296),2)),"")</f>
        <v/>
      </c>
      <c r="N296" s="15" t="str" cm="1">
        <f t="array" ref="N296">IF(OR(Table2[[#This Row],[Film]]="",Table2[[#This Row],[Grade]]=""),"",IFERROR(INDEX(Table4[Serial Number],MATCH(1,(Table4[Film]=Table2[[#This Row],[Film]])*(Table4[Grade]=Table2[[#This Row],[Grade]]),0)),""))</f>
        <v/>
      </c>
      <c r="O296" s="52" t="str">
        <f>IF(OR(Table2[[#This Row],[Film]]="",Table2[[#This Row],[Grade]]=""),"",SUMIFS(Table4[Price Calculated(€) Thickness &amp; QTY related],Table4[Film],Table2[[#This Row],[Film]],Table4[Grade],Table2[[#This Row],[Grade]]))</f>
        <v/>
      </c>
      <c r="P296" s="6"/>
      <c r="T296" s="6"/>
    </row>
    <row r="297" spans="1:20">
      <c r="A297" s="29"/>
      <c r="B297" s="29" t="s">
        <v>7</v>
      </c>
      <c r="C297" s="28"/>
      <c r="D297" s="28" t="str">
        <f>IF(C297="","",IFERROR(_xlfn.XLOOKUP(C297,HELPER!$A$2:$A$81,HELPER!$B$2:$B$81,""),D297))</f>
        <v/>
      </c>
      <c r="E297" s="28" t="str">
        <f>IFERROR(_xlfn.XLOOKUP(D297,HELPER!$B:$B,HELPER!$C:$C,""),"")</f>
        <v/>
      </c>
      <c r="F297" s="27" t="str">
        <f>IFERROR(_xlfn.XLOOKUP(D297,HELPER!$B:$B,HELPER!$D:$D,""),"")</f>
        <v/>
      </c>
      <c r="G297" s="27">
        <v>8</v>
      </c>
      <c r="H297" s="47"/>
      <c r="I297" s="48" t="str">
        <f>IF(AND(H297&lt;&gt;"",IFERROR(_xlfn.XLOOKUP(D297,HELPER!$B:$B,HELPER!$E:$E,""),"")=""),"Missing price",IFERROR(_xlfn.XLOOKUP(D297,HELPER!$B:$B,HELPER!$E:$E,"")," "))</f>
        <v/>
      </c>
      <c r="J297" s="48" t="str">
        <f>IFERROR(H297*(IF(G297=8,I297*HELPER!$G$2,BOM!I297*HELPER!$G$3))," ")</f>
        <v xml:space="preserve"> </v>
      </c>
      <c r="K297" s="6"/>
      <c r="L297" s="14" t="str" cm="1">
        <f t="array" ref="L297">IFERROR(_xlfn.LET(_xlpm.films,Table4[Film],_xlpm.grades,Table4[Grade],_xlpm.pairs,_xlfn._xlws.FILTER(_xlfn.HSTACK(_xlpm.films,_xlpm.grades),(_xlpm.films&lt;&gt;"")*(TRIM(_xlpm.grades)&lt;&gt;"")),_xlpm.uniquePairs,_xlfn.UNIQUE(_xlpm.pairs),_xlpm.sortedPairs,_xlfn._xlws.SORT(_xlpm.uniquePairs,1,1),INDEX(_xlpm.sortedPairs,ROWS($L$2:L297),1)),"")</f>
        <v/>
      </c>
      <c r="M297" s="15" t="str" cm="1">
        <f t="array" ref="M297">IFERROR(_xlfn.LET(_xlpm.films,Table4[Film],_xlpm.grades,Table4[Grade],_xlpm.pairs,_xlfn._xlws.FILTER(_xlfn.HSTACK(_xlpm.films,_xlpm.grades),(_xlpm.films&lt;&gt;"")*(TRIM(_xlpm.grades)&lt;&gt;"")),_xlpm.uniquePairs,_xlfn.UNIQUE(_xlpm.pairs),_xlpm.sortedPairs,_xlfn._xlws.SORT(_xlpm.uniquePairs,1,1),INDEX(_xlpm.sortedPairs,ROWS($M$2:M297),2)),"")</f>
        <v/>
      </c>
      <c r="N297" s="15" t="str" cm="1">
        <f t="array" ref="N297">IF(OR(Table2[[#This Row],[Film]]="",Table2[[#This Row],[Grade]]=""),"",IFERROR(INDEX(Table4[Serial Number],MATCH(1,(Table4[Film]=Table2[[#This Row],[Film]])*(Table4[Grade]=Table2[[#This Row],[Grade]]),0)),""))</f>
        <v/>
      </c>
      <c r="O297" s="52" t="str">
        <f>IF(OR(Table2[[#This Row],[Film]]="",Table2[[#This Row],[Grade]]=""),"",SUMIFS(Table4[Price Calculated(€) Thickness &amp; QTY related],Table4[Film],Table2[[#This Row],[Film]],Table4[Grade],Table2[[#This Row],[Grade]]))</f>
        <v/>
      </c>
      <c r="P297" s="6"/>
      <c r="T297" s="6"/>
    </row>
    <row r="298" spans="1:20">
      <c r="A298" s="29"/>
      <c r="B298" s="29" t="s">
        <v>7</v>
      </c>
      <c r="C298" s="28"/>
      <c r="D298" s="28" t="str">
        <f>IF(C298="","",IFERROR(_xlfn.XLOOKUP(C298,HELPER!$A$2:$A$81,HELPER!$B$2:$B$81,""),D298))</f>
        <v/>
      </c>
      <c r="E298" s="28" t="str">
        <f>IFERROR(_xlfn.XLOOKUP(D298,HELPER!$B:$B,HELPER!$C:$C,""),"")</f>
        <v/>
      </c>
      <c r="F298" s="27" t="str">
        <f>IFERROR(_xlfn.XLOOKUP(D298,HELPER!$B:$B,HELPER!$D:$D,""),"")</f>
        <v/>
      </c>
      <c r="G298" s="27">
        <v>8</v>
      </c>
      <c r="H298" s="47"/>
      <c r="I298" s="48" t="str">
        <f>IF(AND(H298&lt;&gt;"",IFERROR(_xlfn.XLOOKUP(D298,HELPER!$B:$B,HELPER!$E:$E,""),"")=""),"Missing price",IFERROR(_xlfn.XLOOKUP(D298,HELPER!$B:$B,HELPER!$E:$E,"")," "))</f>
        <v/>
      </c>
      <c r="J298" s="48" t="str">
        <f>IFERROR(H298*(IF(G298=8,I298*HELPER!$G$2,BOM!I298*HELPER!$G$3))," ")</f>
        <v xml:space="preserve"> </v>
      </c>
      <c r="K298" s="6"/>
      <c r="L298" s="14" t="str" cm="1">
        <f t="array" ref="L298">IFERROR(_xlfn.LET(_xlpm.films,Table4[Film],_xlpm.grades,Table4[Grade],_xlpm.pairs,_xlfn._xlws.FILTER(_xlfn.HSTACK(_xlpm.films,_xlpm.grades),(_xlpm.films&lt;&gt;"")*(TRIM(_xlpm.grades)&lt;&gt;"")),_xlpm.uniquePairs,_xlfn.UNIQUE(_xlpm.pairs),_xlpm.sortedPairs,_xlfn._xlws.SORT(_xlpm.uniquePairs,1,1),INDEX(_xlpm.sortedPairs,ROWS($L$2:L298),1)),"")</f>
        <v/>
      </c>
      <c r="M298" s="15" t="str" cm="1">
        <f t="array" ref="M298">IFERROR(_xlfn.LET(_xlpm.films,Table4[Film],_xlpm.grades,Table4[Grade],_xlpm.pairs,_xlfn._xlws.FILTER(_xlfn.HSTACK(_xlpm.films,_xlpm.grades),(_xlpm.films&lt;&gt;"")*(TRIM(_xlpm.grades)&lt;&gt;"")),_xlpm.uniquePairs,_xlfn.UNIQUE(_xlpm.pairs),_xlpm.sortedPairs,_xlfn._xlws.SORT(_xlpm.uniquePairs,1,1),INDEX(_xlpm.sortedPairs,ROWS($M$2:M298),2)),"")</f>
        <v/>
      </c>
      <c r="N298" s="15" t="str" cm="1">
        <f t="array" ref="N298">IF(OR(Table2[[#This Row],[Film]]="",Table2[[#This Row],[Grade]]=""),"",IFERROR(INDEX(Table4[Serial Number],MATCH(1,(Table4[Film]=Table2[[#This Row],[Film]])*(Table4[Grade]=Table2[[#This Row],[Grade]]),0)),""))</f>
        <v/>
      </c>
      <c r="O298" s="52" t="str">
        <f>IF(OR(Table2[[#This Row],[Film]]="",Table2[[#This Row],[Grade]]=""),"",SUMIFS(Table4[Price Calculated(€) Thickness &amp; QTY related],Table4[Film],Table2[[#This Row],[Film]],Table4[Grade],Table2[[#This Row],[Grade]]))</f>
        <v/>
      </c>
      <c r="P298" s="6"/>
      <c r="T298" s="6"/>
    </row>
    <row r="299" spans="1:20">
      <c r="A299" s="29"/>
      <c r="B299" s="29" t="s">
        <v>7</v>
      </c>
      <c r="C299" s="28"/>
      <c r="D299" s="28" t="str">
        <f>IF(C299="","",IFERROR(_xlfn.XLOOKUP(C299,HELPER!$A$2:$A$81,HELPER!$B$2:$B$81,""),D299))</f>
        <v/>
      </c>
      <c r="E299" s="28" t="str">
        <f>IFERROR(_xlfn.XLOOKUP(D299,HELPER!$B:$B,HELPER!$C:$C,""),"")</f>
        <v/>
      </c>
      <c r="F299" s="27" t="str">
        <f>IFERROR(_xlfn.XLOOKUP(D299,HELPER!$B:$B,HELPER!$D:$D,""),"")</f>
        <v/>
      </c>
      <c r="G299" s="27">
        <v>8</v>
      </c>
      <c r="H299" s="47"/>
      <c r="I299" s="48" t="str">
        <f>IF(AND(H299&lt;&gt;"",IFERROR(_xlfn.XLOOKUP(D299,HELPER!$B:$B,HELPER!$E:$E,""),"")=""),"Missing price",IFERROR(_xlfn.XLOOKUP(D299,HELPER!$B:$B,HELPER!$E:$E,"")," "))</f>
        <v/>
      </c>
      <c r="J299" s="48" t="str">
        <f>IFERROR(H299*(IF(G299=8,I299*HELPER!$G$2,BOM!I299*HELPER!$G$3))," ")</f>
        <v xml:space="preserve"> </v>
      </c>
      <c r="K299" s="6"/>
      <c r="L299" s="14" t="str" cm="1">
        <f t="array" ref="L299">IFERROR(_xlfn.LET(_xlpm.films,Table4[Film],_xlpm.grades,Table4[Grade],_xlpm.pairs,_xlfn._xlws.FILTER(_xlfn.HSTACK(_xlpm.films,_xlpm.grades),(_xlpm.films&lt;&gt;"")*(TRIM(_xlpm.grades)&lt;&gt;"")),_xlpm.uniquePairs,_xlfn.UNIQUE(_xlpm.pairs),_xlpm.sortedPairs,_xlfn._xlws.SORT(_xlpm.uniquePairs,1,1),INDEX(_xlpm.sortedPairs,ROWS($L$2:L299),1)),"")</f>
        <v/>
      </c>
      <c r="M299" s="15" t="str" cm="1">
        <f t="array" ref="M299">IFERROR(_xlfn.LET(_xlpm.films,Table4[Film],_xlpm.grades,Table4[Grade],_xlpm.pairs,_xlfn._xlws.FILTER(_xlfn.HSTACK(_xlpm.films,_xlpm.grades),(_xlpm.films&lt;&gt;"")*(TRIM(_xlpm.grades)&lt;&gt;"")),_xlpm.uniquePairs,_xlfn.UNIQUE(_xlpm.pairs),_xlpm.sortedPairs,_xlfn._xlws.SORT(_xlpm.uniquePairs,1,1),INDEX(_xlpm.sortedPairs,ROWS($M$2:M299),2)),"")</f>
        <v/>
      </c>
      <c r="N299" s="15" t="str" cm="1">
        <f t="array" ref="N299">IF(OR(Table2[[#This Row],[Film]]="",Table2[[#This Row],[Grade]]=""),"",IFERROR(INDEX(Table4[Serial Number],MATCH(1,(Table4[Film]=Table2[[#This Row],[Film]])*(Table4[Grade]=Table2[[#This Row],[Grade]]),0)),""))</f>
        <v/>
      </c>
      <c r="O299" s="52" t="str">
        <f>IF(OR(Table2[[#This Row],[Film]]="",Table2[[#This Row],[Grade]]=""),"",SUMIFS(Table4[Price Calculated(€) Thickness &amp; QTY related],Table4[Film],Table2[[#This Row],[Film]],Table4[Grade],Table2[[#This Row],[Grade]]))</f>
        <v/>
      </c>
      <c r="P299" s="6"/>
      <c r="T299" s="6"/>
    </row>
    <row r="300" spans="1:20">
      <c r="A300" s="29"/>
      <c r="B300" s="29" t="s">
        <v>7</v>
      </c>
      <c r="C300" s="28"/>
      <c r="D300" s="28" t="str">
        <f>IF(C300="","",IFERROR(_xlfn.XLOOKUP(C300,HELPER!$A$2:$A$81,HELPER!$B$2:$B$81,""),D300))</f>
        <v/>
      </c>
      <c r="E300" s="28" t="str">
        <f>IFERROR(_xlfn.XLOOKUP(D300,HELPER!$B:$B,HELPER!$C:$C,""),"")</f>
        <v/>
      </c>
      <c r="F300" s="27" t="str">
        <f>IFERROR(_xlfn.XLOOKUP(D300,HELPER!$B:$B,HELPER!$D:$D,""),"")</f>
        <v/>
      </c>
      <c r="G300" s="27">
        <v>8</v>
      </c>
      <c r="H300" s="47"/>
      <c r="I300" s="48" t="str">
        <f>IF(AND(H300&lt;&gt;"",IFERROR(_xlfn.XLOOKUP(D300,HELPER!$B:$B,HELPER!$E:$E,""),"")=""),"Missing price",IFERROR(_xlfn.XLOOKUP(D300,HELPER!$B:$B,HELPER!$E:$E,"")," "))</f>
        <v/>
      </c>
      <c r="J300" s="48" t="str">
        <f>IFERROR(H300*(IF(G300=8,I300*HELPER!$G$2,BOM!I300*HELPER!$G$3))," ")</f>
        <v xml:space="preserve"> </v>
      </c>
      <c r="K300" s="6"/>
      <c r="L300" s="14" t="str" cm="1">
        <f t="array" ref="L300">IFERROR(_xlfn.LET(_xlpm.films,Table4[Film],_xlpm.grades,Table4[Grade],_xlpm.pairs,_xlfn._xlws.FILTER(_xlfn.HSTACK(_xlpm.films,_xlpm.grades),(_xlpm.films&lt;&gt;"")*(TRIM(_xlpm.grades)&lt;&gt;"")),_xlpm.uniquePairs,_xlfn.UNIQUE(_xlpm.pairs),_xlpm.sortedPairs,_xlfn._xlws.SORT(_xlpm.uniquePairs,1,1),INDEX(_xlpm.sortedPairs,ROWS($L$2:L300),1)),"")</f>
        <v/>
      </c>
      <c r="M300" s="15" t="str" cm="1">
        <f t="array" ref="M300">IFERROR(_xlfn.LET(_xlpm.films,Table4[Film],_xlpm.grades,Table4[Grade],_xlpm.pairs,_xlfn._xlws.FILTER(_xlfn.HSTACK(_xlpm.films,_xlpm.grades),(_xlpm.films&lt;&gt;"")*(TRIM(_xlpm.grades)&lt;&gt;"")),_xlpm.uniquePairs,_xlfn.UNIQUE(_xlpm.pairs),_xlpm.sortedPairs,_xlfn._xlws.SORT(_xlpm.uniquePairs,1,1),INDEX(_xlpm.sortedPairs,ROWS($M$2:M300),2)),"")</f>
        <v/>
      </c>
      <c r="N300" s="15" t="str" cm="1">
        <f t="array" ref="N300">IF(OR(Table2[[#This Row],[Film]]="",Table2[[#This Row],[Grade]]=""),"",IFERROR(INDEX(Table4[Serial Number],MATCH(1,(Table4[Film]=Table2[[#This Row],[Film]])*(Table4[Grade]=Table2[[#This Row],[Grade]]),0)),""))</f>
        <v/>
      </c>
      <c r="O300" s="52" t="str">
        <f>IF(OR(Table2[[#This Row],[Film]]="",Table2[[#This Row],[Grade]]=""),"",SUMIFS(Table4[Price Calculated(€) Thickness &amp; QTY related],Table4[Film],Table2[[#This Row],[Film]],Table4[Grade],Table2[[#This Row],[Grade]]))</f>
        <v/>
      </c>
      <c r="P300" s="6"/>
      <c r="T300" s="6"/>
    </row>
    <row r="301" spans="1:20">
      <c r="A301" s="29"/>
      <c r="B301" s="29" t="s">
        <v>7</v>
      </c>
      <c r="C301" s="28"/>
      <c r="D301" s="28" t="str">
        <f>IF(C301="","",IFERROR(_xlfn.XLOOKUP(C301,HELPER!$A$2:$A$81,HELPER!$B$2:$B$81,""),D301))</f>
        <v/>
      </c>
      <c r="E301" s="28" t="str">
        <f>IFERROR(_xlfn.XLOOKUP(D301,HELPER!$B:$B,HELPER!$C:$C,""),"")</f>
        <v/>
      </c>
      <c r="F301" s="27" t="str">
        <f>IFERROR(_xlfn.XLOOKUP(D301,HELPER!$B:$B,HELPER!$D:$D,""),"")</f>
        <v/>
      </c>
      <c r="G301" s="27">
        <v>8</v>
      </c>
      <c r="H301" s="47"/>
      <c r="I301" s="48" t="str">
        <f>IF(AND(H301&lt;&gt;"",IFERROR(_xlfn.XLOOKUP(D301,HELPER!$B:$B,HELPER!$E:$E,""),"")=""),"Missing price",IFERROR(_xlfn.XLOOKUP(D301,HELPER!$B:$B,HELPER!$E:$E,"")," "))</f>
        <v/>
      </c>
      <c r="J301" s="48" t="str">
        <f>IFERROR(H301*(IF(G301=8,I301*HELPER!$G$2,BOM!I301*HELPER!$G$3))," ")</f>
        <v xml:space="preserve"> </v>
      </c>
      <c r="K301" s="6"/>
      <c r="L301" s="14" t="str" cm="1">
        <f t="array" ref="L301">IFERROR(_xlfn.LET(_xlpm.films,Table4[Film],_xlpm.grades,Table4[Grade],_xlpm.pairs,_xlfn._xlws.FILTER(_xlfn.HSTACK(_xlpm.films,_xlpm.grades),(_xlpm.films&lt;&gt;"")*(TRIM(_xlpm.grades)&lt;&gt;"")),_xlpm.uniquePairs,_xlfn.UNIQUE(_xlpm.pairs),_xlpm.sortedPairs,_xlfn._xlws.SORT(_xlpm.uniquePairs,1,1),INDEX(_xlpm.sortedPairs,ROWS($L$2:L301),1)),"")</f>
        <v/>
      </c>
      <c r="M301" s="15" t="str" cm="1">
        <f t="array" ref="M301">IFERROR(_xlfn.LET(_xlpm.films,Table4[Film],_xlpm.grades,Table4[Grade],_xlpm.pairs,_xlfn._xlws.FILTER(_xlfn.HSTACK(_xlpm.films,_xlpm.grades),(_xlpm.films&lt;&gt;"")*(TRIM(_xlpm.grades)&lt;&gt;"")),_xlpm.uniquePairs,_xlfn.UNIQUE(_xlpm.pairs),_xlpm.sortedPairs,_xlfn._xlws.SORT(_xlpm.uniquePairs,1,1),INDEX(_xlpm.sortedPairs,ROWS($M$2:M301),2)),"")</f>
        <v/>
      </c>
      <c r="N301" s="15" t="str" cm="1">
        <f t="array" ref="N301">IF(OR(Table2[[#This Row],[Film]]="",Table2[[#This Row],[Grade]]=""),"",IFERROR(INDEX(Table4[Serial Number],MATCH(1,(Table4[Film]=Table2[[#This Row],[Film]])*(Table4[Grade]=Table2[[#This Row],[Grade]]),0)),""))</f>
        <v/>
      </c>
      <c r="O301" s="52" t="str">
        <f>IF(OR(Table2[[#This Row],[Film]]="",Table2[[#This Row],[Grade]]=""),"",SUMIFS(Table4[Price Calculated(€) Thickness &amp; QTY related],Table4[Film],Table2[[#This Row],[Film]],Table4[Grade],Table2[[#This Row],[Grade]]))</f>
        <v/>
      </c>
      <c r="P301" s="6"/>
      <c r="T301" s="6"/>
    </row>
    <row r="302" spans="1:20">
      <c r="A302" s="29"/>
      <c r="B302" s="29" t="s">
        <v>5</v>
      </c>
      <c r="C302" s="28"/>
      <c r="D302" s="28" t="str">
        <f>IF(C302="","",IFERROR(_xlfn.XLOOKUP(C302,HELPER!$A$2:$A$81,HELPER!$B$2:$B$81,""),D302))</f>
        <v/>
      </c>
      <c r="E302" s="28" t="str">
        <f>IFERROR(_xlfn.XLOOKUP(D302,HELPER!$B:$B,HELPER!$C:$C,""),"")</f>
        <v/>
      </c>
      <c r="F302" s="27" t="str">
        <f>IFERROR(_xlfn.XLOOKUP(D302,HELPER!$B:$B,HELPER!$D:$D,""),"")</f>
        <v/>
      </c>
      <c r="G302" s="27">
        <v>8</v>
      </c>
      <c r="H302" s="47"/>
      <c r="I302" s="48" t="str">
        <f>IF(AND(H302&lt;&gt;"",IFERROR(_xlfn.XLOOKUP(D302,HELPER!$B:$B,HELPER!$E:$E,""),"")=""),"Missing price",IFERROR(_xlfn.XLOOKUP(D302,HELPER!$B:$B,HELPER!$E:$E,"")," "))</f>
        <v/>
      </c>
      <c r="J302" s="48" t="str">
        <f>IFERROR(H302*(IF(G302=8,I302*HELPER!$G$2,BOM!I302*HELPER!$G$3))," ")</f>
        <v xml:space="preserve"> </v>
      </c>
      <c r="K302" s="6"/>
      <c r="L302" s="14" t="str" cm="1">
        <f t="array" ref="L302">IFERROR(_xlfn.LET(_xlpm.films,Table4[Film],_xlpm.grades,Table4[Grade],_xlpm.pairs,_xlfn._xlws.FILTER(_xlfn.HSTACK(_xlpm.films,_xlpm.grades),(_xlpm.films&lt;&gt;"")*(TRIM(_xlpm.grades)&lt;&gt;"")),_xlpm.uniquePairs,_xlfn.UNIQUE(_xlpm.pairs),_xlpm.sortedPairs,_xlfn._xlws.SORT(_xlpm.uniquePairs,1,1),INDEX(_xlpm.sortedPairs,ROWS($L$2:L302),1)),"")</f>
        <v/>
      </c>
      <c r="M302" s="15" t="str" cm="1">
        <f t="array" ref="M302">IFERROR(_xlfn.LET(_xlpm.films,Table4[Film],_xlpm.grades,Table4[Grade],_xlpm.pairs,_xlfn._xlws.FILTER(_xlfn.HSTACK(_xlpm.films,_xlpm.grades),(_xlpm.films&lt;&gt;"")*(TRIM(_xlpm.grades)&lt;&gt;"")),_xlpm.uniquePairs,_xlfn.UNIQUE(_xlpm.pairs),_xlpm.sortedPairs,_xlfn._xlws.SORT(_xlpm.uniquePairs,1,1),INDEX(_xlpm.sortedPairs,ROWS($M$2:M302),2)),"")</f>
        <v/>
      </c>
      <c r="N302" s="15" t="str" cm="1">
        <f t="array" ref="N302">IF(OR(Table2[[#This Row],[Film]]="",Table2[[#This Row],[Grade]]=""),"",IFERROR(INDEX(Table4[Serial Number],MATCH(1,(Table4[Film]=Table2[[#This Row],[Film]])*(Table4[Grade]=Table2[[#This Row],[Grade]]),0)),""))</f>
        <v/>
      </c>
      <c r="O302" s="52" t="str">
        <f>IF(OR(Table2[[#This Row],[Film]]="",Table2[[#This Row],[Grade]]=""),"",SUMIFS(Table4[Price Calculated(€) Thickness &amp; QTY related],Table4[Film],Table2[[#This Row],[Film]],Table4[Grade],Table2[[#This Row],[Grade]]))</f>
        <v/>
      </c>
      <c r="P302" s="6"/>
      <c r="T302" s="6"/>
    </row>
    <row r="303" spans="1:20">
      <c r="A303" s="29"/>
      <c r="B303" s="29" t="s">
        <v>5</v>
      </c>
      <c r="C303" s="28"/>
      <c r="D303" s="28" t="str">
        <f>IF(C303="","",IFERROR(_xlfn.XLOOKUP(C303,HELPER!$A$2:$A$81,HELPER!$B$2:$B$81,""),D303))</f>
        <v/>
      </c>
      <c r="E303" s="28" t="str">
        <f>IFERROR(_xlfn.XLOOKUP(D303,HELPER!$B:$B,HELPER!$C:$C,""),"")</f>
        <v/>
      </c>
      <c r="F303" s="27" t="str">
        <f>IFERROR(_xlfn.XLOOKUP(D303,HELPER!$B:$B,HELPER!$D:$D,""),"")</f>
        <v/>
      </c>
      <c r="G303" s="27">
        <v>8</v>
      </c>
      <c r="H303" s="47"/>
      <c r="I303" s="48" t="str">
        <f>IF(AND(H303&lt;&gt;"",IFERROR(_xlfn.XLOOKUP(D303,HELPER!$B:$B,HELPER!$E:$E,""),"")=""),"Missing price",IFERROR(_xlfn.XLOOKUP(D303,HELPER!$B:$B,HELPER!$E:$E,"")," "))</f>
        <v/>
      </c>
      <c r="J303" s="48" t="str">
        <f>IFERROR(H303*(IF(G303=8,I303*HELPER!$G$2,BOM!I303*HELPER!$G$3))," ")</f>
        <v xml:space="preserve"> </v>
      </c>
      <c r="K303" s="6"/>
      <c r="L303" s="14" t="str" cm="1">
        <f t="array" ref="L303">IFERROR(_xlfn.LET(_xlpm.films,Table4[Film],_xlpm.grades,Table4[Grade],_xlpm.pairs,_xlfn._xlws.FILTER(_xlfn.HSTACK(_xlpm.films,_xlpm.grades),(_xlpm.films&lt;&gt;"")*(TRIM(_xlpm.grades)&lt;&gt;"")),_xlpm.uniquePairs,_xlfn.UNIQUE(_xlpm.pairs),_xlpm.sortedPairs,_xlfn._xlws.SORT(_xlpm.uniquePairs,1,1),INDEX(_xlpm.sortedPairs,ROWS($L$2:L303),1)),"")</f>
        <v/>
      </c>
      <c r="M303" s="15" t="str" cm="1">
        <f t="array" ref="M303">IFERROR(_xlfn.LET(_xlpm.films,Table4[Film],_xlpm.grades,Table4[Grade],_xlpm.pairs,_xlfn._xlws.FILTER(_xlfn.HSTACK(_xlpm.films,_xlpm.grades),(_xlpm.films&lt;&gt;"")*(TRIM(_xlpm.grades)&lt;&gt;"")),_xlpm.uniquePairs,_xlfn.UNIQUE(_xlpm.pairs),_xlpm.sortedPairs,_xlfn._xlws.SORT(_xlpm.uniquePairs,1,1),INDEX(_xlpm.sortedPairs,ROWS($M$2:M303),2)),"")</f>
        <v/>
      </c>
      <c r="N303" s="15" t="str" cm="1">
        <f t="array" ref="N303">IF(OR(Table2[[#This Row],[Film]]="",Table2[[#This Row],[Grade]]=""),"",IFERROR(INDEX(Table4[Serial Number],MATCH(1,(Table4[Film]=Table2[[#This Row],[Film]])*(Table4[Grade]=Table2[[#This Row],[Grade]]),0)),""))</f>
        <v/>
      </c>
      <c r="O303" s="52" t="str">
        <f>IF(OR(Table2[[#This Row],[Film]]="",Table2[[#This Row],[Grade]]=""),"",SUMIFS(Table4[Price Calculated(€) Thickness &amp; QTY related],Table4[Film],Table2[[#This Row],[Film]],Table4[Grade],Table2[[#This Row],[Grade]]))</f>
        <v/>
      </c>
      <c r="P303" s="6"/>
      <c r="T303" s="6"/>
    </row>
    <row r="304" spans="1:20">
      <c r="A304" s="29"/>
      <c r="B304" s="29" t="s">
        <v>5</v>
      </c>
      <c r="C304" s="28"/>
      <c r="D304" s="28" t="str">
        <f>IF(C304="","",IFERROR(_xlfn.XLOOKUP(C304,HELPER!$A$2:$A$81,HELPER!$B$2:$B$81,""),D304))</f>
        <v/>
      </c>
      <c r="E304" s="28" t="str">
        <f>IFERROR(_xlfn.XLOOKUP(D304,HELPER!$B:$B,HELPER!$C:$C,""),"")</f>
        <v/>
      </c>
      <c r="F304" s="27" t="str">
        <f>IFERROR(_xlfn.XLOOKUP(D304,HELPER!$B:$B,HELPER!$D:$D,""),"")</f>
        <v/>
      </c>
      <c r="G304" s="27">
        <v>8</v>
      </c>
      <c r="H304" s="47"/>
      <c r="I304" s="48" t="str">
        <f>IF(AND(H304&lt;&gt;"",IFERROR(_xlfn.XLOOKUP(D304,HELPER!$B:$B,HELPER!$E:$E,""),"")=""),"Missing price",IFERROR(_xlfn.XLOOKUP(D304,HELPER!$B:$B,HELPER!$E:$E,"")," "))</f>
        <v/>
      </c>
      <c r="J304" s="48" t="str">
        <f>IFERROR(H304*(IF(G304=8,I304*HELPER!$G$2,BOM!I304*HELPER!$G$3))," ")</f>
        <v xml:space="preserve"> </v>
      </c>
      <c r="K304" s="6"/>
      <c r="L304" s="14" t="str" cm="1">
        <f t="array" ref="L304">IFERROR(_xlfn.LET(_xlpm.films,Table4[Film],_xlpm.grades,Table4[Grade],_xlpm.pairs,_xlfn._xlws.FILTER(_xlfn.HSTACK(_xlpm.films,_xlpm.grades),(_xlpm.films&lt;&gt;"")*(TRIM(_xlpm.grades)&lt;&gt;"")),_xlpm.uniquePairs,_xlfn.UNIQUE(_xlpm.pairs),_xlpm.sortedPairs,_xlfn._xlws.SORT(_xlpm.uniquePairs,1,1),INDEX(_xlpm.sortedPairs,ROWS($L$2:L304),1)),"")</f>
        <v/>
      </c>
      <c r="M304" s="15" t="str" cm="1">
        <f t="array" ref="M304">IFERROR(_xlfn.LET(_xlpm.films,Table4[Film],_xlpm.grades,Table4[Grade],_xlpm.pairs,_xlfn._xlws.FILTER(_xlfn.HSTACK(_xlpm.films,_xlpm.grades),(_xlpm.films&lt;&gt;"")*(TRIM(_xlpm.grades)&lt;&gt;"")),_xlpm.uniquePairs,_xlfn.UNIQUE(_xlpm.pairs),_xlpm.sortedPairs,_xlfn._xlws.SORT(_xlpm.uniquePairs,1,1),INDEX(_xlpm.sortedPairs,ROWS($M$2:M304),2)),"")</f>
        <v/>
      </c>
      <c r="N304" s="15" t="str" cm="1">
        <f t="array" ref="N304">IF(OR(Table2[[#This Row],[Film]]="",Table2[[#This Row],[Grade]]=""),"",IFERROR(INDEX(Table4[Serial Number],MATCH(1,(Table4[Film]=Table2[[#This Row],[Film]])*(Table4[Grade]=Table2[[#This Row],[Grade]]),0)),""))</f>
        <v/>
      </c>
      <c r="O304" s="52" t="str">
        <f>IF(OR(Table2[[#This Row],[Film]]="",Table2[[#This Row],[Grade]]=""),"",SUMIFS(Table4[Price Calculated(€) Thickness &amp; QTY related],Table4[Film],Table2[[#This Row],[Film]],Table4[Grade],Table2[[#This Row],[Grade]]))</f>
        <v/>
      </c>
      <c r="P304" s="6"/>
      <c r="T304" s="6"/>
    </row>
    <row r="305" spans="1:20">
      <c r="A305" s="29"/>
      <c r="B305" s="29" t="s">
        <v>5</v>
      </c>
      <c r="C305" s="28"/>
      <c r="D305" s="28" t="str">
        <f>IF(C305="","",IFERROR(_xlfn.XLOOKUP(C305,HELPER!$A$2:$A$81,HELPER!$B$2:$B$81,""),D305))</f>
        <v/>
      </c>
      <c r="E305" s="28" t="str">
        <f>IFERROR(_xlfn.XLOOKUP(D305,HELPER!$B:$B,HELPER!$C:$C,""),"")</f>
        <v/>
      </c>
      <c r="F305" s="27" t="str">
        <f>IFERROR(_xlfn.XLOOKUP(D305,HELPER!$B:$B,HELPER!$D:$D,""),"")</f>
        <v/>
      </c>
      <c r="G305" s="27">
        <v>8</v>
      </c>
      <c r="H305" s="47"/>
      <c r="I305" s="48" t="str">
        <f>IF(AND(H305&lt;&gt;"",IFERROR(_xlfn.XLOOKUP(D305,HELPER!$B:$B,HELPER!$E:$E,""),"")=""),"Missing price",IFERROR(_xlfn.XLOOKUP(D305,HELPER!$B:$B,HELPER!$E:$E,"")," "))</f>
        <v/>
      </c>
      <c r="J305" s="48" t="str">
        <f>IFERROR(H305*(IF(G305=8,I305*HELPER!$G$2,BOM!I305*HELPER!$G$3))," ")</f>
        <v xml:space="preserve"> </v>
      </c>
      <c r="K305" s="6"/>
      <c r="L305" s="14" t="str" cm="1">
        <f t="array" ref="L305">IFERROR(_xlfn.LET(_xlpm.films,Table4[Film],_xlpm.grades,Table4[Grade],_xlpm.pairs,_xlfn._xlws.FILTER(_xlfn.HSTACK(_xlpm.films,_xlpm.grades),(_xlpm.films&lt;&gt;"")*(TRIM(_xlpm.grades)&lt;&gt;"")),_xlpm.uniquePairs,_xlfn.UNIQUE(_xlpm.pairs),_xlpm.sortedPairs,_xlfn._xlws.SORT(_xlpm.uniquePairs,1,1),INDEX(_xlpm.sortedPairs,ROWS($L$2:L305),1)),"")</f>
        <v/>
      </c>
      <c r="M305" s="15" t="str" cm="1">
        <f t="array" ref="M305">IFERROR(_xlfn.LET(_xlpm.films,Table4[Film],_xlpm.grades,Table4[Grade],_xlpm.pairs,_xlfn._xlws.FILTER(_xlfn.HSTACK(_xlpm.films,_xlpm.grades),(_xlpm.films&lt;&gt;"")*(TRIM(_xlpm.grades)&lt;&gt;"")),_xlpm.uniquePairs,_xlfn.UNIQUE(_xlpm.pairs),_xlpm.sortedPairs,_xlfn._xlws.SORT(_xlpm.uniquePairs,1,1),INDEX(_xlpm.sortedPairs,ROWS($M$2:M305),2)),"")</f>
        <v/>
      </c>
      <c r="N305" s="15" t="str" cm="1">
        <f t="array" ref="N305">IF(OR(Table2[[#This Row],[Film]]="",Table2[[#This Row],[Grade]]=""),"",IFERROR(INDEX(Table4[Serial Number],MATCH(1,(Table4[Film]=Table2[[#This Row],[Film]])*(Table4[Grade]=Table2[[#This Row],[Grade]]),0)),""))</f>
        <v/>
      </c>
      <c r="O305" s="52" t="str">
        <f>IF(OR(Table2[[#This Row],[Film]]="",Table2[[#This Row],[Grade]]=""),"",SUMIFS(Table4[Price Calculated(€) Thickness &amp; QTY related],Table4[Film],Table2[[#This Row],[Film]],Table4[Grade],Table2[[#This Row],[Grade]]))</f>
        <v/>
      </c>
      <c r="P305" s="6"/>
      <c r="T305" s="6"/>
    </row>
    <row r="306" spans="1:20">
      <c r="A306" s="29"/>
      <c r="B306" s="29" t="s">
        <v>5</v>
      </c>
      <c r="C306" s="28"/>
      <c r="D306" s="28" t="str">
        <f>IF(C306="","",IFERROR(_xlfn.XLOOKUP(C306,HELPER!$A$2:$A$81,HELPER!$B$2:$B$81,""),D306))</f>
        <v/>
      </c>
      <c r="E306" s="28" t="str">
        <f>IFERROR(_xlfn.XLOOKUP(D306,HELPER!$B:$B,HELPER!$C:$C,""),"")</f>
        <v/>
      </c>
      <c r="F306" s="27" t="str">
        <f>IFERROR(_xlfn.XLOOKUP(D306,HELPER!$B:$B,HELPER!$D:$D,""),"")</f>
        <v/>
      </c>
      <c r="G306" s="27">
        <v>8</v>
      </c>
      <c r="H306" s="47"/>
      <c r="I306" s="48" t="str">
        <f>IF(AND(H306&lt;&gt;"",IFERROR(_xlfn.XLOOKUP(D306,HELPER!$B:$B,HELPER!$E:$E,""),"")=""),"Missing price",IFERROR(_xlfn.XLOOKUP(D306,HELPER!$B:$B,HELPER!$E:$E,"")," "))</f>
        <v/>
      </c>
      <c r="J306" s="48" t="str">
        <f>IFERROR(H306*(IF(G306=8,I306*HELPER!$G$2,BOM!I306*HELPER!$G$3))," ")</f>
        <v xml:space="preserve"> </v>
      </c>
      <c r="K306" s="6"/>
      <c r="L306" s="14" t="str" cm="1">
        <f t="array" ref="L306">IFERROR(_xlfn.LET(_xlpm.films,Table4[Film],_xlpm.grades,Table4[Grade],_xlpm.pairs,_xlfn._xlws.FILTER(_xlfn.HSTACK(_xlpm.films,_xlpm.grades),(_xlpm.films&lt;&gt;"")*(TRIM(_xlpm.grades)&lt;&gt;"")),_xlpm.uniquePairs,_xlfn.UNIQUE(_xlpm.pairs),_xlpm.sortedPairs,_xlfn._xlws.SORT(_xlpm.uniquePairs,1,1),INDEX(_xlpm.sortedPairs,ROWS($L$2:L306),1)),"")</f>
        <v/>
      </c>
      <c r="M306" s="15" t="str" cm="1">
        <f t="array" ref="M306">IFERROR(_xlfn.LET(_xlpm.films,Table4[Film],_xlpm.grades,Table4[Grade],_xlpm.pairs,_xlfn._xlws.FILTER(_xlfn.HSTACK(_xlpm.films,_xlpm.grades),(_xlpm.films&lt;&gt;"")*(TRIM(_xlpm.grades)&lt;&gt;"")),_xlpm.uniquePairs,_xlfn.UNIQUE(_xlpm.pairs),_xlpm.sortedPairs,_xlfn._xlws.SORT(_xlpm.uniquePairs,1,1),INDEX(_xlpm.sortedPairs,ROWS($M$2:M306),2)),"")</f>
        <v/>
      </c>
      <c r="N306" s="15" t="str" cm="1">
        <f t="array" ref="N306">IF(OR(Table2[[#This Row],[Film]]="",Table2[[#This Row],[Grade]]=""),"",IFERROR(INDEX(Table4[Serial Number],MATCH(1,(Table4[Film]=Table2[[#This Row],[Film]])*(Table4[Grade]=Table2[[#This Row],[Grade]]),0)),""))</f>
        <v/>
      </c>
      <c r="O306" s="52" t="str">
        <f>IF(OR(Table2[[#This Row],[Film]]="",Table2[[#This Row],[Grade]]=""),"",SUMIFS(Table4[Price Calculated(€) Thickness &amp; QTY related],Table4[Film],Table2[[#This Row],[Film]],Table4[Grade],Table2[[#This Row],[Grade]]))</f>
        <v/>
      </c>
      <c r="P306" s="6"/>
      <c r="T306" s="6"/>
    </row>
    <row r="307" spans="1:20">
      <c r="A307" s="29"/>
      <c r="B307" s="29" t="s">
        <v>5</v>
      </c>
      <c r="C307" s="28"/>
      <c r="D307" s="28" t="str">
        <f>IF(C307="","",IFERROR(_xlfn.XLOOKUP(C307,HELPER!$A$2:$A$81,HELPER!$B$2:$B$81,""),D307))</f>
        <v/>
      </c>
      <c r="E307" s="28" t="str">
        <f>IFERROR(_xlfn.XLOOKUP(D307,HELPER!$B:$B,HELPER!$C:$C,""),"")</f>
        <v/>
      </c>
      <c r="F307" s="27" t="str">
        <f>IFERROR(_xlfn.XLOOKUP(D307,HELPER!$B:$B,HELPER!$D:$D,""),"")</f>
        <v/>
      </c>
      <c r="G307" s="27">
        <v>8</v>
      </c>
      <c r="H307" s="47"/>
      <c r="I307" s="48" t="str">
        <f>IF(AND(H307&lt;&gt;"",IFERROR(_xlfn.XLOOKUP(D307,HELPER!$B:$B,HELPER!$E:$E,""),"")=""),"Missing price",IFERROR(_xlfn.XLOOKUP(D307,HELPER!$B:$B,HELPER!$E:$E,"")," "))</f>
        <v/>
      </c>
      <c r="J307" s="48" t="str">
        <f>IFERROR(H307*(IF(G307=8,I307*HELPER!$G$2,BOM!I307*HELPER!$G$3))," ")</f>
        <v xml:space="preserve"> </v>
      </c>
      <c r="K307" s="6"/>
      <c r="L307" s="14" t="str" cm="1">
        <f t="array" ref="L307">IFERROR(_xlfn.LET(_xlpm.films,Table4[Film],_xlpm.grades,Table4[Grade],_xlpm.pairs,_xlfn._xlws.FILTER(_xlfn.HSTACK(_xlpm.films,_xlpm.grades),(_xlpm.films&lt;&gt;"")*(TRIM(_xlpm.grades)&lt;&gt;"")),_xlpm.uniquePairs,_xlfn.UNIQUE(_xlpm.pairs),_xlpm.sortedPairs,_xlfn._xlws.SORT(_xlpm.uniquePairs,1,1),INDEX(_xlpm.sortedPairs,ROWS($L$2:L307),1)),"")</f>
        <v/>
      </c>
      <c r="M307" s="15" t="str" cm="1">
        <f t="array" ref="M307">IFERROR(_xlfn.LET(_xlpm.films,Table4[Film],_xlpm.grades,Table4[Grade],_xlpm.pairs,_xlfn._xlws.FILTER(_xlfn.HSTACK(_xlpm.films,_xlpm.grades),(_xlpm.films&lt;&gt;"")*(TRIM(_xlpm.grades)&lt;&gt;"")),_xlpm.uniquePairs,_xlfn.UNIQUE(_xlpm.pairs),_xlpm.sortedPairs,_xlfn._xlws.SORT(_xlpm.uniquePairs,1,1),INDEX(_xlpm.sortedPairs,ROWS($M$2:M307),2)),"")</f>
        <v/>
      </c>
      <c r="N307" s="15" t="str" cm="1">
        <f t="array" ref="N307">IF(OR(Table2[[#This Row],[Film]]="",Table2[[#This Row],[Grade]]=""),"",IFERROR(INDEX(Table4[Serial Number],MATCH(1,(Table4[Film]=Table2[[#This Row],[Film]])*(Table4[Grade]=Table2[[#This Row],[Grade]]),0)),""))</f>
        <v/>
      </c>
      <c r="O307" s="52" t="str">
        <f>IF(OR(Table2[[#This Row],[Film]]="",Table2[[#This Row],[Grade]]=""),"",SUMIFS(Table4[Price Calculated(€) Thickness &amp; QTY related],Table4[Film],Table2[[#This Row],[Film]],Table4[Grade],Table2[[#This Row],[Grade]]))</f>
        <v/>
      </c>
      <c r="P307" s="6"/>
      <c r="T307" s="6"/>
    </row>
    <row r="308" spans="1:20">
      <c r="A308" s="29"/>
      <c r="B308" s="29" t="s">
        <v>5</v>
      </c>
      <c r="C308" s="28"/>
      <c r="D308" s="28" t="str">
        <f>IF(C308="","",IFERROR(_xlfn.XLOOKUP(C308,HELPER!$A$2:$A$81,HELPER!$B$2:$B$81,""),D308))</f>
        <v/>
      </c>
      <c r="E308" s="28" t="str">
        <f>IFERROR(_xlfn.XLOOKUP(D308,HELPER!$B:$B,HELPER!$C:$C,""),"")</f>
        <v/>
      </c>
      <c r="F308" s="27" t="str">
        <f>IFERROR(_xlfn.XLOOKUP(D308,HELPER!$B:$B,HELPER!$D:$D,""),"")</f>
        <v/>
      </c>
      <c r="G308" s="27">
        <v>8</v>
      </c>
      <c r="H308" s="47"/>
      <c r="I308" s="48" t="str">
        <f>IF(AND(H308&lt;&gt;"",IFERROR(_xlfn.XLOOKUP(D308,HELPER!$B:$B,HELPER!$E:$E,""),"")=""),"Missing price",IFERROR(_xlfn.XLOOKUP(D308,HELPER!$B:$B,HELPER!$E:$E,"")," "))</f>
        <v/>
      </c>
      <c r="J308" s="48" t="str">
        <f>IFERROR(H308*(IF(G308=8,I308*HELPER!$G$2,BOM!I308*HELPER!$G$3))," ")</f>
        <v xml:space="preserve"> </v>
      </c>
      <c r="K308" s="6"/>
      <c r="L308" s="14" t="str" cm="1">
        <f t="array" ref="L308">IFERROR(_xlfn.LET(_xlpm.films,Table4[Film],_xlpm.grades,Table4[Grade],_xlpm.pairs,_xlfn._xlws.FILTER(_xlfn.HSTACK(_xlpm.films,_xlpm.grades),(_xlpm.films&lt;&gt;"")*(TRIM(_xlpm.grades)&lt;&gt;"")),_xlpm.uniquePairs,_xlfn.UNIQUE(_xlpm.pairs),_xlpm.sortedPairs,_xlfn._xlws.SORT(_xlpm.uniquePairs,1,1),INDEX(_xlpm.sortedPairs,ROWS($L$2:L308),1)),"")</f>
        <v/>
      </c>
      <c r="M308" s="15" t="str" cm="1">
        <f t="array" ref="M308">IFERROR(_xlfn.LET(_xlpm.films,Table4[Film],_xlpm.grades,Table4[Grade],_xlpm.pairs,_xlfn._xlws.FILTER(_xlfn.HSTACK(_xlpm.films,_xlpm.grades),(_xlpm.films&lt;&gt;"")*(TRIM(_xlpm.grades)&lt;&gt;"")),_xlpm.uniquePairs,_xlfn.UNIQUE(_xlpm.pairs),_xlpm.sortedPairs,_xlfn._xlws.SORT(_xlpm.uniquePairs,1,1),INDEX(_xlpm.sortedPairs,ROWS($M$2:M308),2)),"")</f>
        <v/>
      </c>
      <c r="N308" s="15" t="str" cm="1">
        <f t="array" ref="N308">IF(OR(Table2[[#This Row],[Film]]="",Table2[[#This Row],[Grade]]=""),"",IFERROR(INDEX(Table4[Serial Number],MATCH(1,(Table4[Film]=Table2[[#This Row],[Film]])*(Table4[Grade]=Table2[[#This Row],[Grade]]),0)),""))</f>
        <v/>
      </c>
      <c r="O308" s="52" t="str">
        <f>IF(OR(Table2[[#This Row],[Film]]="",Table2[[#This Row],[Grade]]=""),"",SUMIFS(Table4[Price Calculated(€) Thickness &amp; QTY related],Table4[Film],Table2[[#This Row],[Film]],Table4[Grade],Table2[[#This Row],[Grade]]))</f>
        <v/>
      </c>
      <c r="P308" s="6"/>
      <c r="T308" s="6"/>
    </row>
    <row r="309" spans="1:20">
      <c r="A309" s="29"/>
      <c r="B309" s="29" t="s">
        <v>5</v>
      </c>
      <c r="C309" s="28"/>
      <c r="D309" s="28" t="str">
        <f>IF(C309="","",IFERROR(_xlfn.XLOOKUP(C309,HELPER!$A$2:$A$81,HELPER!$B$2:$B$81,""),D309))</f>
        <v/>
      </c>
      <c r="E309" s="28" t="str">
        <f>IFERROR(_xlfn.XLOOKUP(D309,HELPER!$B:$B,HELPER!$C:$C,""),"")</f>
        <v/>
      </c>
      <c r="F309" s="27" t="str">
        <f>IFERROR(_xlfn.XLOOKUP(D309,HELPER!$B:$B,HELPER!$D:$D,""),"")</f>
        <v/>
      </c>
      <c r="G309" s="27">
        <v>8</v>
      </c>
      <c r="H309" s="47"/>
      <c r="I309" s="48" t="str">
        <f>IF(AND(H309&lt;&gt;"",IFERROR(_xlfn.XLOOKUP(D309,HELPER!$B:$B,HELPER!$E:$E,""),"")=""),"Missing price",IFERROR(_xlfn.XLOOKUP(D309,HELPER!$B:$B,HELPER!$E:$E,"")," "))</f>
        <v/>
      </c>
      <c r="J309" s="48" t="str">
        <f>IFERROR(H309*(IF(G309=8,I309*HELPER!$G$2,BOM!I309*HELPER!$G$3))," ")</f>
        <v xml:space="preserve"> </v>
      </c>
      <c r="K309" s="6"/>
      <c r="L309" s="14" t="str" cm="1">
        <f t="array" ref="L309">IFERROR(_xlfn.LET(_xlpm.films,Table4[Film],_xlpm.grades,Table4[Grade],_xlpm.pairs,_xlfn._xlws.FILTER(_xlfn.HSTACK(_xlpm.films,_xlpm.grades),(_xlpm.films&lt;&gt;"")*(TRIM(_xlpm.grades)&lt;&gt;"")),_xlpm.uniquePairs,_xlfn.UNIQUE(_xlpm.pairs),_xlpm.sortedPairs,_xlfn._xlws.SORT(_xlpm.uniquePairs,1,1),INDEX(_xlpm.sortedPairs,ROWS($L$2:L309),1)),"")</f>
        <v/>
      </c>
      <c r="M309" s="15" t="str" cm="1">
        <f t="array" ref="M309">IFERROR(_xlfn.LET(_xlpm.films,Table4[Film],_xlpm.grades,Table4[Grade],_xlpm.pairs,_xlfn._xlws.FILTER(_xlfn.HSTACK(_xlpm.films,_xlpm.grades),(_xlpm.films&lt;&gt;"")*(TRIM(_xlpm.grades)&lt;&gt;"")),_xlpm.uniquePairs,_xlfn.UNIQUE(_xlpm.pairs),_xlpm.sortedPairs,_xlfn._xlws.SORT(_xlpm.uniquePairs,1,1),INDEX(_xlpm.sortedPairs,ROWS($M$2:M309),2)),"")</f>
        <v/>
      </c>
      <c r="N309" s="15" t="str" cm="1">
        <f t="array" ref="N309">IF(OR(Table2[[#This Row],[Film]]="",Table2[[#This Row],[Grade]]=""),"",IFERROR(INDEX(Table4[Serial Number],MATCH(1,(Table4[Film]=Table2[[#This Row],[Film]])*(Table4[Grade]=Table2[[#This Row],[Grade]]),0)),""))</f>
        <v/>
      </c>
      <c r="O309" s="52" t="str">
        <f>IF(OR(Table2[[#This Row],[Film]]="",Table2[[#This Row],[Grade]]=""),"",SUMIFS(Table4[Price Calculated(€) Thickness &amp; QTY related],Table4[Film],Table2[[#This Row],[Film]],Table4[Grade],Table2[[#This Row],[Grade]]))</f>
        <v/>
      </c>
      <c r="P309" s="6"/>
      <c r="T309" s="6"/>
    </row>
    <row r="310" spans="1:20">
      <c r="A310" s="29"/>
      <c r="B310" s="29" t="s">
        <v>5</v>
      </c>
      <c r="C310" s="28"/>
      <c r="D310" s="28" t="str">
        <f>IF(C310="","",IFERROR(_xlfn.XLOOKUP(C310,HELPER!$A$2:$A$81,HELPER!$B$2:$B$81,""),D310))</f>
        <v/>
      </c>
      <c r="E310" s="28" t="str">
        <f>IFERROR(_xlfn.XLOOKUP(D310,HELPER!$B:$B,HELPER!$C:$C,""),"")</f>
        <v/>
      </c>
      <c r="F310" s="27" t="str">
        <f>IFERROR(_xlfn.XLOOKUP(D310,HELPER!$B:$B,HELPER!$D:$D,""),"")</f>
        <v/>
      </c>
      <c r="G310" s="27">
        <v>8</v>
      </c>
      <c r="H310" s="47"/>
      <c r="I310" s="48" t="str">
        <f>IF(AND(H310&lt;&gt;"",IFERROR(_xlfn.XLOOKUP(D310,HELPER!$B:$B,HELPER!$E:$E,""),"")=""),"Missing price",IFERROR(_xlfn.XLOOKUP(D310,HELPER!$B:$B,HELPER!$E:$E,"")," "))</f>
        <v/>
      </c>
      <c r="J310" s="48" t="str">
        <f>IFERROR(H310*(IF(G310=8,I310*HELPER!$G$2,BOM!I310*HELPER!$G$3))," ")</f>
        <v xml:space="preserve"> </v>
      </c>
      <c r="K310" s="6"/>
      <c r="L310" s="14" t="str" cm="1">
        <f t="array" ref="L310">IFERROR(_xlfn.LET(_xlpm.films,Table4[Film],_xlpm.grades,Table4[Grade],_xlpm.pairs,_xlfn._xlws.FILTER(_xlfn.HSTACK(_xlpm.films,_xlpm.grades),(_xlpm.films&lt;&gt;"")*(TRIM(_xlpm.grades)&lt;&gt;"")),_xlpm.uniquePairs,_xlfn.UNIQUE(_xlpm.pairs),_xlpm.sortedPairs,_xlfn._xlws.SORT(_xlpm.uniquePairs,1,1),INDEX(_xlpm.sortedPairs,ROWS($L$2:L310),1)),"")</f>
        <v/>
      </c>
      <c r="M310" s="15" t="str" cm="1">
        <f t="array" ref="M310">IFERROR(_xlfn.LET(_xlpm.films,Table4[Film],_xlpm.grades,Table4[Grade],_xlpm.pairs,_xlfn._xlws.FILTER(_xlfn.HSTACK(_xlpm.films,_xlpm.grades),(_xlpm.films&lt;&gt;"")*(TRIM(_xlpm.grades)&lt;&gt;"")),_xlpm.uniquePairs,_xlfn.UNIQUE(_xlpm.pairs),_xlpm.sortedPairs,_xlfn._xlws.SORT(_xlpm.uniquePairs,1,1),INDEX(_xlpm.sortedPairs,ROWS($M$2:M310),2)),"")</f>
        <v/>
      </c>
      <c r="N310" s="15" t="str" cm="1">
        <f t="array" ref="N310">IF(OR(Table2[[#This Row],[Film]]="",Table2[[#This Row],[Grade]]=""),"",IFERROR(INDEX(Table4[Serial Number],MATCH(1,(Table4[Film]=Table2[[#This Row],[Film]])*(Table4[Grade]=Table2[[#This Row],[Grade]]),0)),""))</f>
        <v/>
      </c>
      <c r="O310" s="52" t="str">
        <f>IF(OR(Table2[[#This Row],[Film]]="",Table2[[#This Row],[Grade]]=""),"",SUMIFS(Table4[Price Calculated(€) Thickness &amp; QTY related],Table4[Film],Table2[[#This Row],[Film]],Table4[Grade],Table2[[#This Row],[Grade]]))</f>
        <v/>
      </c>
      <c r="P310" s="6"/>
      <c r="T310" s="6"/>
    </row>
    <row r="311" spans="1:20">
      <c r="A311" s="29"/>
      <c r="B311" s="29" t="s">
        <v>5</v>
      </c>
      <c r="C311" s="28"/>
      <c r="D311" s="28" t="str">
        <f>IF(C311="","",IFERROR(_xlfn.XLOOKUP(C311,HELPER!$A$2:$A$81,HELPER!$B$2:$B$81,""),D311))</f>
        <v/>
      </c>
      <c r="E311" s="28" t="str">
        <f>IFERROR(_xlfn.XLOOKUP(D311,HELPER!$B:$B,HELPER!$C:$C,""),"")</f>
        <v/>
      </c>
      <c r="F311" s="27" t="str">
        <f>IFERROR(_xlfn.XLOOKUP(D311,HELPER!$B:$B,HELPER!$D:$D,""),"")</f>
        <v/>
      </c>
      <c r="G311" s="27">
        <v>8</v>
      </c>
      <c r="H311" s="47"/>
      <c r="I311" s="48" t="str">
        <f>IF(AND(H311&lt;&gt;"",IFERROR(_xlfn.XLOOKUP(D311,HELPER!$B:$B,HELPER!$E:$E,""),"")=""),"Missing price",IFERROR(_xlfn.XLOOKUP(D311,HELPER!$B:$B,HELPER!$E:$E,"")," "))</f>
        <v/>
      </c>
      <c r="J311" s="48" t="str">
        <f>IFERROR(H311*(IF(G311=8,I311*HELPER!$G$2,BOM!I311*HELPER!$G$3))," ")</f>
        <v xml:space="preserve"> </v>
      </c>
      <c r="K311" s="6"/>
      <c r="L311" s="14" t="str" cm="1">
        <f t="array" ref="L311">IFERROR(_xlfn.LET(_xlpm.films,Table4[Film],_xlpm.grades,Table4[Grade],_xlpm.pairs,_xlfn._xlws.FILTER(_xlfn.HSTACK(_xlpm.films,_xlpm.grades),(_xlpm.films&lt;&gt;"")*(TRIM(_xlpm.grades)&lt;&gt;"")),_xlpm.uniquePairs,_xlfn.UNIQUE(_xlpm.pairs),_xlpm.sortedPairs,_xlfn._xlws.SORT(_xlpm.uniquePairs,1,1),INDEX(_xlpm.sortedPairs,ROWS($L$2:L311),1)),"")</f>
        <v/>
      </c>
      <c r="M311" s="15" t="str" cm="1">
        <f t="array" ref="M311">IFERROR(_xlfn.LET(_xlpm.films,Table4[Film],_xlpm.grades,Table4[Grade],_xlpm.pairs,_xlfn._xlws.FILTER(_xlfn.HSTACK(_xlpm.films,_xlpm.grades),(_xlpm.films&lt;&gt;"")*(TRIM(_xlpm.grades)&lt;&gt;"")),_xlpm.uniquePairs,_xlfn.UNIQUE(_xlpm.pairs),_xlpm.sortedPairs,_xlfn._xlws.SORT(_xlpm.uniquePairs,1,1),INDEX(_xlpm.sortedPairs,ROWS($M$2:M311),2)),"")</f>
        <v/>
      </c>
      <c r="N311" s="15" t="str" cm="1">
        <f t="array" ref="N311">IF(OR(Table2[[#This Row],[Film]]="",Table2[[#This Row],[Grade]]=""),"",IFERROR(INDEX(Table4[Serial Number],MATCH(1,(Table4[Film]=Table2[[#This Row],[Film]])*(Table4[Grade]=Table2[[#This Row],[Grade]]),0)),""))</f>
        <v/>
      </c>
      <c r="O311" s="52" t="str">
        <f>IF(OR(Table2[[#This Row],[Film]]="",Table2[[#This Row],[Grade]]=""),"",SUMIFS(Table4[Price Calculated(€) Thickness &amp; QTY related],Table4[Film],Table2[[#This Row],[Film]],Table4[Grade],Table2[[#This Row],[Grade]]))</f>
        <v/>
      </c>
      <c r="P311" s="6"/>
      <c r="T311" s="6"/>
    </row>
    <row r="312" spans="1:20">
      <c r="A312" s="29"/>
      <c r="B312" s="29" t="s">
        <v>6</v>
      </c>
      <c r="C312" s="28"/>
      <c r="D312" s="28" t="str">
        <f>IF(C312="","",IFERROR(_xlfn.XLOOKUP(C312,HELPER!$A$2:$A$81,HELPER!$B$2:$B$81,""),D312))</f>
        <v/>
      </c>
      <c r="E312" s="28" t="str">
        <f>IFERROR(_xlfn.XLOOKUP(D312,HELPER!$B:$B,HELPER!$C:$C,""),"")</f>
        <v/>
      </c>
      <c r="F312" s="27" t="str">
        <f>IFERROR(_xlfn.XLOOKUP(D312,HELPER!$B:$B,HELPER!$D:$D,""),"")</f>
        <v/>
      </c>
      <c r="G312" s="27">
        <v>24</v>
      </c>
      <c r="H312" s="47"/>
      <c r="I312" s="48" t="str">
        <f>IF(AND(H312&lt;&gt;"",IFERROR(_xlfn.XLOOKUP(D312,HELPER!$B:$B,HELPER!$E:$E,""),"")=""),"Missing price",IFERROR(_xlfn.XLOOKUP(D312,HELPER!$B:$B,HELPER!$E:$E,"")," "))</f>
        <v/>
      </c>
      <c r="J312" s="48" t="str">
        <f>IFERROR(H312*(IF(G312=8,I312*HELPER!$G$2,BOM!I312*HELPER!$G$3))," ")</f>
        <v xml:space="preserve"> </v>
      </c>
      <c r="K312" s="6"/>
      <c r="L312" s="14" t="str" cm="1">
        <f t="array" ref="L312">IFERROR(_xlfn.LET(_xlpm.films,Table4[Film],_xlpm.grades,Table4[Grade],_xlpm.pairs,_xlfn._xlws.FILTER(_xlfn.HSTACK(_xlpm.films,_xlpm.grades),(_xlpm.films&lt;&gt;"")*(TRIM(_xlpm.grades)&lt;&gt;"")),_xlpm.uniquePairs,_xlfn.UNIQUE(_xlpm.pairs),_xlpm.sortedPairs,_xlfn._xlws.SORT(_xlpm.uniquePairs,1,1),INDEX(_xlpm.sortedPairs,ROWS($L$2:L312),1)),"")</f>
        <v/>
      </c>
      <c r="M312" s="15" t="str" cm="1">
        <f t="array" ref="M312">IFERROR(_xlfn.LET(_xlpm.films,Table4[Film],_xlpm.grades,Table4[Grade],_xlpm.pairs,_xlfn._xlws.FILTER(_xlfn.HSTACK(_xlpm.films,_xlpm.grades),(_xlpm.films&lt;&gt;"")*(TRIM(_xlpm.grades)&lt;&gt;"")),_xlpm.uniquePairs,_xlfn.UNIQUE(_xlpm.pairs),_xlpm.sortedPairs,_xlfn._xlws.SORT(_xlpm.uniquePairs,1,1),INDEX(_xlpm.sortedPairs,ROWS($M$2:M312),2)),"")</f>
        <v/>
      </c>
      <c r="N312" s="15" t="str" cm="1">
        <f t="array" ref="N312">IF(OR(Table2[[#This Row],[Film]]="",Table2[[#This Row],[Grade]]=""),"",IFERROR(INDEX(Table4[Serial Number],MATCH(1,(Table4[Film]=Table2[[#This Row],[Film]])*(Table4[Grade]=Table2[[#This Row],[Grade]]),0)),""))</f>
        <v/>
      </c>
      <c r="O312" s="52" t="str">
        <f>IF(OR(Table2[[#This Row],[Film]]="",Table2[[#This Row],[Grade]]=""),"",SUMIFS(Table4[Price Calculated(€) Thickness &amp; QTY related],Table4[Film],Table2[[#This Row],[Film]],Table4[Grade],Table2[[#This Row],[Grade]]))</f>
        <v/>
      </c>
      <c r="P312" s="6"/>
      <c r="T312" s="6"/>
    </row>
    <row r="313" spans="1:20">
      <c r="A313" s="29"/>
      <c r="B313" s="29" t="s">
        <v>6</v>
      </c>
      <c r="C313" s="28"/>
      <c r="D313" s="28" t="str">
        <f>IF(C313="","",IFERROR(_xlfn.XLOOKUP(C313,HELPER!$A$2:$A$81,HELPER!$B$2:$B$81,""),D313))</f>
        <v/>
      </c>
      <c r="E313" s="28" t="str">
        <f>IFERROR(_xlfn.XLOOKUP(D313,HELPER!$B:$B,HELPER!$C:$C,""),"")</f>
        <v/>
      </c>
      <c r="F313" s="27" t="str">
        <f>IFERROR(_xlfn.XLOOKUP(D313,HELPER!$B:$B,HELPER!$D:$D,""),"")</f>
        <v/>
      </c>
      <c r="G313" s="27">
        <v>24</v>
      </c>
      <c r="H313" s="47"/>
      <c r="I313" s="48" t="str">
        <f>IF(AND(H313&lt;&gt;"",IFERROR(_xlfn.XLOOKUP(D313,HELPER!$B:$B,HELPER!$E:$E,""),"")=""),"Missing price",IFERROR(_xlfn.XLOOKUP(D313,HELPER!$B:$B,HELPER!$E:$E,"")," "))</f>
        <v/>
      </c>
      <c r="J313" s="48" t="str">
        <f>IFERROR(H313*(IF(G313=8,I313*HELPER!$G$2,BOM!I313*HELPER!$G$3))," ")</f>
        <v xml:space="preserve"> </v>
      </c>
      <c r="K313" s="6"/>
      <c r="L313" s="14" t="str" cm="1">
        <f t="array" ref="L313">IFERROR(_xlfn.LET(_xlpm.films,Table4[Film],_xlpm.grades,Table4[Grade],_xlpm.pairs,_xlfn._xlws.FILTER(_xlfn.HSTACK(_xlpm.films,_xlpm.grades),(_xlpm.films&lt;&gt;"")*(TRIM(_xlpm.grades)&lt;&gt;"")),_xlpm.uniquePairs,_xlfn.UNIQUE(_xlpm.pairs),_xlpm.sortedPairs,_xlfn._xlws.SORT(_xlpm.uniquePairs,1,1),INDEX(_xlpm.sortedPairs,ROWS($L$2:L313),1)),"")</f>
        <v/>
      </c>
      <c r="M313" s="15" t="str" cm="1">
        <f t="array" ref="M313">IFERROR(_xlfn.LET(_xlpm.films,Table4[Film],_xlpm.grades,Table4[Grade],_xlpm.pairs,_xlfn._xlws.FILTER(_xlfn.HSTACK(_xlpm.films,_xlpm.grades),(_xlpm.films&lt;&gt;"")*(TRIM(_xlpm.grades)&lt;&gt;"")),_xlpm.uniquePairs,_xlfn.UNIQUE(_xlpm.pairs),_xlpm.sortedPairs,_xlfn._xlws.SORT(_xlpm.uniquePairs,1,1),INDEX(_xlpm.sortedPairs,ROWS($M$2:M313),2)),"")</f>
        <v/>
      </c>
      <c r="N313" s="15" t="str" cm="1">
        <f t="array" ref="N313">IF(OR(Table2[[#This Row],[Film]]="",Table2[[#This Row],[Grade]]=""),"",IFERROR(INDEX(Table4[Serial Number],MATCH(1,(Table4[Film]=Table2[[#This Row],[Film]])*(Table4[Grade]=Table2[[#This Row],[Grade]]),0)),""))</f>
        <v/>
      </c>
      <c r="O313" s="52" t="str">
        <f>IF(OR(Table2[[#This Row],[Film]]="",Table2[[#This Row],[Grade]]=""),"",SUMIFS(Table4[Price Calculated(€) Thickness &amp; QTY related],Table4[Film],Table2[[#This Row],[Film]],Table4[Grade],Table2[[#This Row],[Grade]]))</f>
        <v/>
      </c>
      <c r="P313" s="6"/>
      <c r="T313" s="6"/>
    </row>
    <row r="314" spans="1:20">
      <c r="A314" s="29"/>
      <c r="B314" s="29" t="s">
        <v>6</v>
      </c>
      <c r="C314" s="28"/>
      <c r="D314" s="28" t="str">
        <f>IF(C314="","",IFERROR(_xlfn.XLOOKUP(C314,HELPER!$A$2:$A$81,HELPER!$B$2:$B$81,""),D314))</f>
        <v/>
      </c>
      <c r="E314" s="28" t="str">
        <f>IFERROR(_xlfn.XLOOKUP(D314,HELPER!$B:$B,HELPER!$C:$C,""),"")</f>
        <v/>
      </c>
      <c r="F314" s="27" t="str">
        <f>IFERROR(_xlfn.XLOOKUP(D314,HELPER!$B:$B,HELPER!$D:$D,""),"")</f>
        <v/>
      </c>
      <c r="G314" s="27">
        <v>24</v>
      </c>
      <c r="H314" s="47"/>
      <c r="I314" s="48" t="str">
        <f>IF(AND(H314&lt;&gt;"",IFERROR(_xlfn.XLOOKUP(D314,HELPER!$B:$B,HELPER!$E:$E,""),"")=""),"Missing price",IFERROR(_xlfn.XLOOKUP(D314,HELPER!$B:$B,HELPER!$E:$E,"")," "))</f>
        <v/>
      </c>
      <c r="J314" s="48" t="str">
        <f>IFERROR(H314*(IF(G314=8,I314*HELPER!$G$2,BOM!I314*HELPER!$G$3))," ")</f>
        <v xml:space="preserve"> </v>
      </c>
      <c r="K314" s="6"/>
      <c r="L314" s="14" t="str" cm="1">
        <f t="array" ref="L314">IFERROR(_xlfn.LET(_xlpm.films,Table4[Film],_xlpm.grades,Table4[Grade],_xlpm.pairs,_xlfn._xlws.FILTER(_xlfn.HSTACK(_xlpm.films,_xlpm.grades),(_xlpm.films&lt;&gt;"")*(TRIM(_xlpm.grades)&lt;&gt;"")),_xlpm.uniquePairs,_xlfn.UNIQUE(_xlpm.pairs),_xlpm.sortedPairs,_xlfn._xlws.SORT(_xlpm.uniquePairs,1,1),INDEX(_xlpm.sortedPairs,ROWS($L$2:L314),1)),"")</f>
        <v/>
      </c>
      <c r="M314" s="15" t="str" cm="1">
        <f t="array" ref="M314">IFERROR(_xlfn.LET(_xlpm.films,Table4[Film],_xlpm.grades,Table4[Grade],_xlpm.pairs,_xlfn._xlws.FILTER(_xlfn.HSTACK(_xlpm.films,_xlpm.grades),(_xlpm.films&lt;&gt;"")*(TRIM(_xlpm.grades)&lt;&gt;"")),_xlpm.uniquePairs,_xlfn.UNIQUE(_xlpm.pairs),_xlpm.sortedPairs,_xlfn._xlws.SORT(_xlpm.uniquePairs,1,1),INDEX(_xlpm.sortedPairs,ROWS($M$2:M314),2)),"")</f>
        <v/>
      </c>
      <c r="N314" s="15" t="str" cm="1">
        <f t="array" ref="N314">IF(OR(Table2[[#This Row],[Film]]="",Table2[[#This Row],[Grade]]=""),"",IFERROR(INDEX(Table4[Serial Number],MATCH(1,(Table4[Film]=Table2[[#This Row],[Film]])*(Table4[Grade]=Table2[[#This Row],[Grade]]),0)),""))</f>
        <v/>
      </c>
      <c r="O314" s="52" t="str">
        <f>IF(OR(Table2[[#This Row],[Film]]="",Table2[[#This Row],[Grade]]=""),"",SUMIFS(Table4[Price Calculated(€) Thickness &amp; QTY related],Table4[Film],Table2[[#This Row],[Film]],Table4[Grade],Table2[[#This Row],[Grade]]))</f>
        <v/>
      </c>
      <c r="P314" s="6"/>
      <c r="T314" s="6"/>
    </row>
    <row r="315" spans="1:20">
      <c r="A315" s="29"/>
      <c r="B315" s="29" t="s">
        <v>6</v>
      </c>
      <c r="C315" s="28"/>
      <c r="D315" s="28" t="str">
        <f>IF(C315="","",IFERROR(_xlfn.XLOOKUP(C315,HELPER!$A$2:$A$81,HELPER!$B$2:$B$81,""),D315))</f>
        <v/>
      </c>
      <c r="E315" s="28" t="str">
        <f>IFERROR(_xlfn.XLOOKUP(D315,HELPER!$B:$B,HELPER!$C:$C,""),"")</f>
        <v/>
      </c>
      <c r="F315" s="27" t="str">
        <f>IFERROR(_xlfn.XLOOKUP(D315,HELPER!$B:$B,HELPER!$D:$D,""),"")</f>
        <v/>
      </c>
      <c r="G315" s="27">
        <v>24</v>
      </c>
      <c r="H315" s="47"/>
      <c r="I315" s="48" t="str">
        <f>IF(AND(H315&lt;&gt;"",IFERROR(_xlfn.XLOOKUP(D315,HELPER!$B:$B,HELPER!$E:$E,""),"")=""),"Missing price",IFERROR(_xlfn.XLOOKUP(D315,HELPER!$B:$B,HELPER!$E:$E,"")," "))</f>
        <v/>
      </c>
      <c r="J315" s="48" t="str">
        <f>IFERROR(H315*(IF(G315=8,I315*HELPER!$G$2,BOM!I315*HELPER!$G$3))," ")</f>
        <v xml:space="preserve"> </v>
      </c>
      <c r="K315" s="6"/>
      <c r="L315" s="14" t="str" cm="1">
        <f t="array" ref="L315">IFERROR(_xlfn.LET(_xlpm.films,Table4[Film],_xlpm.grades,Table4[Grade],_xlpm.pairs,_xlfn._xlws.FILTER(_xlfn.HSTACK(_xlpm.films,_xlpm.grades),(_xlpm.films&lt;&gt;"")*(TRIM(_xlpm.grades)&lt;&gt;"")),_xlpm.uniquePairs,_xlfn.UNIQUE(_xlpm.pairs),_xlpm.sortedPairs,_xlfn._xlws.SORT(_xlpm.uniquePairs,1,1),INDEX(_xlpm.sortedPairs,ROWS($L$2:L315),1)),"")</f>
        <v/>
      </c>
      <c r="M315" s="15" t="str" cm="1">
        <f t="array" ref="M315">IFERROR(_xlfn.LET(_xlpm.films,Table4[Film],_xlpm.grades,Table4[Grade],_xlpm.pairs,_xlfn._xlws.FILTER(_xlfn.HSTACK(_xlpm.films,_xlpm.grades),(_xlpm.films&lt;&gt;"")*(TRIM(_xlpm.grades)&lt;&gt;"")),_xlpm.uniquePairs,_xlfn.UNIQUE(_xlpm.pairs),_xlpm.sortedPairs,_xlfn._xlws.SORT(_xlpm.uniquePairs,1,1),INDEX(_xlpm.sortedPairs,ROWS($M$2:M315),2)),"")</f>
        <v/>
      </c>
      <c r="N315" s="15" t="str" cm="1">
        <f t="array" ref="N315">IF(OR(Table2[[#This Row],[Film]]="",Table2[[#This Row],[Grade]]=""),"",IFERROR(INDEX(Table4[Serial Number],MATCH(1,(Table4[Film]=Table2[[#This Row],[Film]])*(Table4[Grade]=Table2[[#This Row],[Grade]]),0)),""))</f>
        <v/>
      </c>
      <c r="O315" s="52" t="str">
        <f>IF(OR(Table2[[#This Row],[Film]]="",Table2[[#This Row],[Grade]]=""),"",SUMIFS(Table4[Price Calculated(€) Thickness &amp; QTY related],Table4[Film],Table2[[#This Row],[Film]],Table4[Grade],Table2[[#This Row],[Grade]]))</f>
        <v/>
      </c>
      <c r="P315" s="6"/>
      <c r="T315" s="6"/>
    </row>
    <row r="316" spans="1:20">
      <c r="A316" s="29"/>
      <c r="B316" s="29" t="s">
        <v>6</v>
      </c>
      <c r="C316" s="28"/>
      <c r="D316" s="28" t="str">
        <f>IF(C316="","",IFERROR(_xlfn.XLOOKUP(C316,HELPER!$A$2:$A$81,HELPER!$B$2:$B$81,""),D316))</f>
        <v/>
      </c>
      <c r="E316" s="28" t="str">
        <f>IFERROR(_xlfn.XLOOKUP(D316,HELPER!$B:$B,HELPER!$C:$C,""),"")</f>
        <v/>
      </c>
      <c r="F316" s="27" t="str">
        <f>IFERROR(_xlfn.XLOOKUP(D316,HELPER!$B:$B,HELPER!$D:$D,""),"")</f>
        <v/>
      </c>
      <c r="G316" s="27">
        <v>24</v>
      </c>
      <c r="H316" s="47"/>
      <c r="I316" s="48" t="str">
        <f>IF(AND(H316&lt;&gt;"",IFERROR(_xlfn.XLOOKUP(D316,HELPER!$B:$B,HELPER!$E:$E,""),"")=""),"Missing price",IFERROR(_xlfn.XLOOKUP(D316,HELPER!$B:$B,HELPER!$E:$E,"")," "))</f>
        <v/>
      </c>
      <c r="J316" s="48" t="str">
        <f>IFERROR(H316*(IF(G316=8,I316*HELPER!$G$2,BOM!I316*HELPER!$G$3))," ")</f>
        <v xml:space="preserve"> </v>
      </c>
      <c r="K316" s="6"/>
      <c r="L316" s="14" t="str" cm="1">
        <f t="array" ref="L316">IFERROR(_xlfn.LET(_xlpm.films,Table4[Film],_xlpm.grades,Table4[Grade],_xlpm.pairs,_xlfn._xlws.FILTER(_xlfn.HSTACK(_xlpm.films,_xlpm.grades),(_xlpm.films&lt;&gt;"")*(TRIM(_xlpm.grades)&lt;&gt;"")),_xlpm.uniquePairs,_xlfn.UNIQUE(_xlpm.pairs),_xlpm.sortedPairs,_xlfn._xlws.SORT(_xlpm.uniquePairs,1,1),INDEX(_xlpm.sortedPairs,ROWS($L$2:L316),1)),"")</f>
        <v/>
      </c>
      <c r="M316" s="15" t="str" cm="1">
        <f t="array" ref="M316">IFERROR(_xlfn.LET(_xlpm.films,Table4[Film],_xlpm.grades,Table4[Grade],_xlpm.pairs,_xlfn._xlws.FILTER(_xlfn.HSTACK(_xlpm.films,_xlpm.grades),(_xlpm.films&lt;&gt;"")*(TRIM(_xlpm.grades)&lt;&gt;"")),_xlpm.uniquePairs,_xlfn.UNIQUE(_xlpm.pairs),_xlpm.sortedPairs,_xlfn._xlws.SORT(_xlpm.uniquePairs,1,1),INDEX(_xlpm.sortedPairs,ROWS($M$2:M316),2)),"")</f>
        <v/>
      </c>
      <c r="N316" s="15" t="str" cm="1">
        <f t="array" ref="N316">IF(OR(Table2[[#This Row],[Film]]="",Table2[[#This Row],[Grade]]=""),"",IFERROR(INDEX(Table4[Serial Number],MATCH(1,(Table4[Film]=Table2[[#This Row],[Film]])*(Table4[Grade]=Table2[[#This Row],[Grade]]),0)),""))</f>
        <v/>
      </c>
      <c r="O316" s="52" t="str">
        <f>IF(OR(Table2[[#This Row],[Film]]="",Table2[[#This Row],[Grade]]=""),"",SUMIFS(Table4[Price Calculated(€) Thickness &amp; QTY related],Table4[Film],Table2[[#This Row],[Film]],Table4[Grade],Table2[[#This Row],[Grade]]))</f>
        <v/>
      </c>
      <c r="P316" s="6"/>
      <c r="T316" s="6"/>
    </row>
    <row r="317" spans="1:20">
      <c r="A317" s="29"/>
      <c r="B317" s="29" t="s">
        <v>6</v>
      </c>
      <c r="C317" s="28"/>
      <c r="D317" s="28" t="str">
        <f>IF(C317="","",IFERROR(_xlfn.XLOOKUP(C317,HELPER!$A$2:$A$81,HELPER!$B$2:$B$81,""),D317))</f>
        <v/>
      </c>
      <c r="E317" s="28" t="str">
        <f>IFERROR(_xlfn.XLOOKUP(D317,HELPER!$B:$B,HELPER!$C:$C,""),"")</f>
        <v/>
      </c>
      <c r="F317" s="27" t="str">
        <f>IFERROR(_xlfn.XLOOKUP(D317,HELPER!$B:$B,HELPER!$D:$D,""),"")</f>
        <v/>
      </c>
      <c r="G317" s="27">
        <v>24</v>
      </c>
      <c r="H317" s="47"/>
      <c r="I317" s="48" t="str">
        <f>IF(AND(H317&lt;&gt;"",IFERROR(_xlfn.XLOOKUP(D317,HELPER!$B:$B,HELPER!$E:$E,""),"")=""),"Missing price",IFERROR(_xlfn.XLOOKUP(D317,HELPER!$B:$B,HELPER!$E:$E,"")," "))</f>
        <v/>
      </c>
      <c r="J317" s="48" t="str">
        <f>IFERROR(H317*(IF(G317=8,I317*HELPER!$G$2,BOM!I317*HELPER!$G$3))," ")</f>
        <v xml:space="preserve"> </v>
      </c>
      <c r="K317" s="6"/>
      <c r="L317" s="14" t="str" cm="1">
        <f t="array" ref="L317">IFERROR(_xlfn.LET(_xlpm.films,Table4[Film],_xlpm.grades,Table4[Grade],_xlpm.pairs,_xlfn._xlws.FILTER(_xlfn.HSTACK(_xlpm.films,_xlpm.grades),(_xlpm.films&lt;&gt;"")*(TRIM(_xlpm.grades)&lt;&gt;"")),_xlpm.uniquePairs,_xlfn.UNIQUE(_xlpm.pairs),_xlpm.sortedPairs,_xlfn._xlws.SORT(_xlpm.uniquePairs,1,1),INDEX(_xlpm.sortedPairs,ROWS($L$2:L317),1)),"")</f>
        <v/>
      </c>
      <c r="M317" s="15" t="str" cm="1">
        <f t="array" ref="M317">IFERROR(_xlfn.LET(_xlpm.films,Table4[Film],_xlpm.grades,Table4[Grade],_xlpm.pairs,_xlfn._xlws.FILTER(_xlfn.HSTACK(_xlpm.films,_xlpm.grades),(_xlpm.films&lt;&gt;"")*(TRIM(_xlpm.grades)&lt;&gt;"")),_xlpm.uniquePairs,_xlfn.UNIQUE(_xlpm.pairs),_xlpm.sortedPairs,_xlfn._xlws.SORT(_xlpm.uniquePairs,1,1),INDEX(_xlpm.sortedPairs,ROWS($M$2:M317),2)),"")</f>
        <v/>
      </c>
      <c r="N317" s="15" t="str" cm="1">
        <f t="array" ref="N317">IF(OR(Table2[[#This Row],[Film]]="",Table2[[#This Row],[Grade]]=""),"",IFERROR(INDEX(Table4[Serial Number],MATCH(1,(Table4[Film]=Table2[[#This Row],[Film]])*(Table4[Grade]=Table2[[#This Row],[Grade]]),0)),""))</f>
        <v/>
      </c>
      <c r="O317" s="52" t="str">
        <f>IF(OR(Table2[[#This Row],[Film]]="",Table2[[#This Row],[Grade]]=""),"",SUMIFS(Table4[Price Calculated(€) Thickness &amp; QTY related],Table4[Film],Table2[[#This Row],[Film]],Table4[Grade],Table2[[#This Row],[Grade]]))</f>
        <v/>
      </c>
      <c r="P317" s="6"/>
      <c r="T317" s="6"/>
    </row>
    <row r="318" spans="1:20">
      <c r="A318" s="29"/>
      <c r="B318" s="29" t="s">
        <v>6</v>
      </c>
      <c r="C318" s="28"/>
      <c r="D318" s="28" t="str">
        <f>IF(C318="","",IFERROR(_xlfn.XLOOKUP(C318,HELPER!$A$2:$A$81,HELPER!$B$2:$B$81,""),D318))</f>
        <v/>
      </c>
      <c r="E318" s="28" t="str">
        <f>IFERROR(_xlfn.XLOOKUP(D318,HELPER!$B:$B,HELPER!$C:$C,""),"")</f>
        <v/>
      </c>
      <c r="F318" s="27" t="str">
        <f>IFERROR(_xlfn.XLOOKUP(D318,HELPER!$B:$B,HELPER!$D:$D,""),"")</f>
        <v/>
      </c>
      <c r="G318" s="27">
        <v>24</v>
      </c>
      <c r="H318" s="47"/>
      <c r="I318" s="48" t="str">
        <f>IF(AND(H318&lt;&gt;"",IFERROR(_xlfn.XLOOKUP(D318,HELPER!$B:$B,HELPER!$E:$E,""),"")=""),"Missing price",IFERROR(_xlfn.XLOOKUP(D318,HELPER!$B:$B,HELPER!$E:$E,"")," "))</f>
        <v/>
      </c>
      <c r="J318" s="48" t="str">
        <f>IFERROR(H318*(IF(G318=8,I318*HELPER!$G$2,BOM!I318*HELPER!$G$3))," ")</f>
        <v xml:space="preserve"> </v>
      </c>
      <c r="K318" s="6"/>
      <c r="L318" s="14" t="str" cm="1">
        <f t="array" ref="L318">IFERROR(_xlfn.LET(_xlpm.films,Table4[Film],_xlpm.grades,Table4[Grade],_xlpm.pairs,_xlfn._xlws.FILTER(_xlfn.HSTACK(_xlpm.films,_xlpm.grades),(_xlpm.films&lt;&gt;"")*(TRIM(_xlpm.grades)&lt;&gt;"")),_xlpm.uniquePairs,_xlfn.UNIQUE(_xlpm.pairs),_xlpm.sortedPairs,_xlfn._xlws.SORT(_xlpm.uniquePairs,1,1),INDEX(_xlpm.sortedPairs,ROWS($L$2:L318),1)),"")</f>
        <v/>
      </c>
      <c r="M318" s="15" t="str" cm="1">
        <f t="array" ref="M318">IFERROR(_xlfn.LET(_xlpm.films,Table4[Film],_xlpm.grades,Table4[Grade],_xlpm.pairs,_xlfn._xlws.FILTER(_xlfn.HSTACK(_xlpm.films,_xlpm.grades),(_xlpm.films&lt;&gt;"")*(TRIM(_xlpm.grades)&lt;&gt;"")),_xlpm.uniquePairs,_xlfn.UNIQUE(_xlpm.pairs),_xlpm.sortedPairs,_xlfn._xlws.SORT(_xlpm.uniquePairs,1,1),INDEX(_xlpm.sortedPairs,ROWS($M$2:M318),2)),"")</f>
        <v/>
      </c>
      <c r="N318" s="15" t="str" cm="1">
        <f t="array" ref="N318">IF(OR(Table2[[#This Row],[Film]]="",Table2[[#This Row],[Grade]]=""),"",IFERROR(INDEX(Table4[Serial Number],MATCH(1,(Table4[Film]=Table2[[#This Row],[Film]])*(Table4[Grade]=Table2[[#This Row],[Grade]]),0)),""))</f>
        <v/>
      </c>
      <c r="O318" s="52" t="str">
        <f>IF(OR(Table2[[#This Row],[Film]]="",Table2[[#This Row],[Grade]]=""),"",SUMIFS(Table4[Price Calculated(€) Thickness &amp; QTY related],Table4[Film],Table2[[#This Row],[Film]],Table4[Grade],Table2[[#This Row],[Grade]]))</f>
        <v/>
      </c>
      <c r="P318" s="6"/>
      <c r="T318" s="6"/>
    </row>
    <row r="319" spans="1:20">
      <c r="A319" s="29"/>
      <c r="B319" s="29" t="s">
        <v>6</v>
      </c>
      <c r="C319" s="28"/>
      <c r="D319" s="28" t="str">
        <f>IF(C319="","",IFERROR(_xlfn.XLOOKUP(C319,HELPER!$A$2:$A$81,HELPER!$B$2:$B$81,""),D319))</f>
        <v/>
      </c>
      <c r="E319" s="28" t="str">
        <f>IFERROR(_xlfn.XLOOKUP(D319,HELPER!$B:$B,HELPER!$C:$C,""),"")</f>
        <v/>
      </c>
      <c r="F319" s="27" t="str">
        <f>IFERROR(_xlfn.XLOOKUP(D319,HELPER!$B:$B,HELPER!$D:$D,""),"")</f>
        <v/>
      </c>
      <c r="G319" s="27">
        <v>24</v>
      </c>
      <c r="H319" s="47"/>
      <c r="I319" s="48" t="str">
        <f>IF(AND(H319&lt;&gt;"",IFERROR(_xlfn.XLOOKUP(D319,HELPER!$B:$B,HELPER!$E:$E,""),"")=""),"Missing price",IFERROR(_xlfn.XLOOKUP(D319,HELPER!$B:$B,HELPER!$E:$E,"")," "))</f>
        <v/>
      </c>
      <c r="J319" s="48" t="str">
        <f>IFERROR(H319*(IF(G319=8,I319*HELPER!$G$2,BOM!I319*HELPER!$G$3))," ")</f>
        <v xml:space="preserve"> </v>
      </c>
      <c r="K319" s="6"/>
      <c r="L319" s="14" t="str" cm="1">
        <f t="array" ref="L319">IFERROR(_xlfn.LET(_xlpm.films,Table4[Film],_xlpm.grades,Table4[Grade],_xlpm.pairs,_xlfn._xlws.FILTER(_xlfn.HSTACK(_xlpm.films,_xlpm.grades),(_xlpm.films&lt;&gt;"")*(TRIM(_xlpm.grades)&lt;&gt;"")),_xlpm.uniquePairs,_xlfn.UNIQUE(_xlpm.pairs),_xlpm.sortedPairs,_xlfn._xlws.SORT(_xlpm.uniquePairs,1,1),INDEX(_xlpm.sortedPairs,ROWS($L$2:L319),1)),"")</f>
        <v/>
      </c>
      <c r="M319" s="15" t="str" cm="1">
        <f t="array" ref="M319">IFERROR(_xlfn.LET(_xlpm.films,Table4[Film],_xlpm.grades,Table4[Grade],_xlpm.pairs,_xlfn._xlws.FILTER(_xlfn.HSTACK(_xlpm.films,_xlpm.grades),(_xlpm.films&lt;&gt;"")*(TRIM(_xlpm.grades)&lt;&gt;"")),_xlpm.uniquePairs,_xlfn.UNIQUE(_xlpm.pairs),_xlpm.sortedPairs,_xlfn._xlws.SORT(_xlpm.uniquePairs,1,1),INDEX(_xlpm.sortedPairs,ROWS($M$2:M319),2)),"")</f>
        <v/>
      </c>
      <c r="N319" s="15" t="str" cm="1">
        <f t="array" ref="N319">IF(OR(Table2[[#This Row],[Film]]="",Table2[[#This Row],[Grade]]=""),"",IFERROR(INDEX(Table4[Serial Number],MATCH(1,(Table4[Film]=Table2[[#This Row],[Film]])*(Table4[Grade]=Table2[[#This Row],[Grade]]),0)),""))</f>
        <v/>
      </c>
      <c r="O319" s="52" t="str">
        <f>IF(OR(Table2[[#This Row],[Film]]="",Table2[[#This Row],[Grade]]=""),"",SUMIFS(Table4[Price Calculated(€) Thickness &amp; QTY related],Table4[Film],Table2[[#This Row],[Film]],Table4[Grade],Table2[[#This Row],[Grade]]))</f>
        <v/>
      </c>
      <c r="P319" s="6"/>
      <c r="T319" s="6"/>
    </row>
    <row r="320" spans="1:20">
      <c r="A320" s="29"/>
      <c r="B320" s="29" t="s">
        <v>6</v>
      </c>
      <c r="C320" s="28"/>
      <c r="D320" s="28" t="str">
        <f>IF(C320="","",IFERROR(_xlfn.XLOOKUP(C320,HELPER!$A$2:$A$81,HELPER!$B$2:$B$81,""),D320))</f>
        <v/>
      </c>
      <c r="E320" s="28" t="str">
        <f>IFERROR(_xlfn.XLOOKUP(D320,HELPER!$B:$B,HELPER!$C:$C,""),"")</f>
        <v/>
      </c>
      <c r="F320" s="27" t="str">
        <f>IFERROR(_xlfn.XLOOKUP(D320,HELPER!$B:$B,HELPER!$D:$D,""),"")</f>
        <v/>
      </c>
      <c r="G320" s="27">
        <v>24</v>
      </c>
      <c r="H320" s="47"/>
      <c r="I320" s="48" t="str">
        <f>IF(AND(H320&lt;&gt;"",IFERROR(_xlfn.XLOOKUP(D320,HELPER!$B:$B,HELPER!$E:$E,""),"")=""),"Missing price",IFERROR(_xlfn.XLOOKUP(D320,HELPER!$B:$B,HELPER!$E:$E,"")," "))</f>
        <v/>
      </c>
      <c r="J320" s="48" t="str">
        <f>IFERROR(H320*(IF(G320=8,I320*HELPER!$G$2,BOM!I320*HELPER!$G$3))," ")</f>
        <v xml:space="preserve"> </v>
      </c>
      <c r="K320" s="6"/>
      <c r="L320" s="14" t="str" cm="1">
        <f t="array" ref="L320">IFERROR(_xlfn.LET(_xlpm.films,Table4[Film],_xlpm.grades,Table4[Grade],_xlpm.pairs,_xlfn._xlws.FILTER(_xlfn.HSTACK(_xlpm.films,_xlpm.grades),(_xlpm.films&lt;&gt;"")*(TRIM(_xlpm.grades)&lt;&gt;"")),_xlpm.uniquePairs,_xlfn.UNIQUE(_xlpm.pairs),_xlpm.sortedPairs,_xlfn._xlws.SORT(_xlpm.uniquePairs,1,1),INDEX(_xlpm.sortedPairs,ROWS($L$2:L320),1)),"")</f>
        <v/>
      </c>
      <c r="M320" s="15" t="str" cm="1">
        <f t="array" ref="M320">IFERROR(_xlfn.LET(_xlpm.films,Table4[Film],_xlpm.grades,Table4[Grade],_xlpm.pairs,_xlfn._xlws.FILTER(_xlfn.HSTACK(_xlpm.films,_xlpm.grades),(_xlpm.films&lt;&gt;"")*(TRIM(_xlpm.grades)&lt;&gt;"")),_xlpm.uniquePairs,_xlfn.UNIQUE(_xlpm.pairs),_xlpm.sortedPairs,_xlfn._xlws.SORT(_xlpm.uniquePairs,1,1),INDEX(_xlpm.sortedPairs,ROWS($M$2:M320),2)),"")</f>
        <v/>
      </c>
      <c r="N320" s="15" t="str" cm="1">
        <f t="array" ref="N320">IF(OR(Table2[[#This Row],[Film]]="",Table2[[#This Row],[Grade]]=""),"",IFERROR(INDEX(Table4[Serial Number],MATCH(1,(Table4[Film]=Table2[[#This Row],[Film]])*(Table4[Grade]=Table2[[#This Row],[Grade]]),0)),""))</f>
        <v/>
      </c>
      <c r="O320" s="52" t="str">
        <f>IF(OR(Table2[[#This Row],[Film]]="",Table2[[#This Row],[Grade]]=""),"",SUMIFS(Table4[Price Calculated(€) Thickness &amp; QTY related],Table4[Film],Table2[[#This Row],[Film]],Table4[Grade],Table2[[#This Row],[Grade]]))</f>
        <v/>
      </c>
      <c r="P320" s="6"/>
      <c r="T320" s="6"/>
    </row>
    <row r="321" spans="1:20">
      <c r="A321" s="29"/>
      <c r="B321" s="29" t="s">
        <v>6</v>
      </c>
      <c r="C321" s="28"/>
      <c r="D321" s="28" t="str">
        <f>IF(C321="","",IFERROR(_xlfn.XLOOKUP(C321,HELPER!$A$2:$A$81,HELPER!$B$2:$B$81,""),D321))</f>
        <v/>
      </c>
      <c r="E321" s="28" t="str">
        <f>IFERROR(_xlfn.XLOOKUP(D321,HELPER!$B:$B,HELPER!$C:$C,""),"")</f>
        <v/>
      </c>
      <c r="F321" s="27" t="str">
        <f>IFERROR(_xlfn.XLOOKUP(D321,HELPER!$B:$B,HELPER!$D:$D,""),"")</f>
        <v/>
      </c>
      <c r="G321" s="27">
        <v>24</v>
      </c>
      <c r="H321" s="47"/>
      <c r="I321" s="48" t="str">
        <f>IF(AND(H321&lt;&gt;"",IFERROR(_xlfn.XLOOKUP(D321,HELPER!$B:$B,HELPER!$E:$E,""),"")=""),"Missing price",IFERROR(_xlfn.XLOOKUP(D321,HELPER!$B:$B,HELPER!$E:$E,"")," "))</f>
        <v/>
      </c>
      <c r="J321" s="48" t="str">
        <f>IFERROR(H321*(IF(G321=8,I321*HELPER!$G$2,BOM!I321*HELPER!$G$3))," ")</f>
        <v xml:space="preserve"> </v>
      </c>
      <c r="K321" s="6"/>
      <c r="L321" s="14" t="str" cm="1">
        <f t="array" ref="L321">IFERROR(_xlfn.LET(_xlpm.films,Table4[Film],_xlpm.grades,Table4[Grade],_xlpm.pairs,_xlfn._xlws.FILTER(_xlfn.HSTACK(_xlpm.films,_xlpm.grades),(_xlpm.films&lt;&gt;"")*(TRIM(_xlpm.grades)&lt;&gt;"")),_xlpm.uniquePairs,_xlfn.UNIQUE(_xlpm.pairs),_xlpm.sortedPairs,_xlfn._xlws.SORT(_xlpm.uniquePairs,1,1),INDEX(_xlpm.sortedPairs,ROWS($L$2:L321),1)),"")</f>
        <v/>
      </c>
      <c r="M321" s="15" t="str" cm="1">
        <f t="array" ref="M321">IFERROR(_xlfn.LET(_xlpm.films,Table4[Film],_xlpm.grades,Table4[Grade],_xlpm.pairs,_xlfn._xlws.FILTER(_xlfn.HSTACK(_xlpm.films,_xlpm.grades),(_xlpm.films&lt;&gt;"")*(TRIM(_xlpm.grades)&lt;&gt;"")),_xlpm.uniquePairs,_xlfn.UNIQUE(_xlpm.pairs),_xlpm.sortedPairs,_xlfn._xlws.SORT(_xlpm.uniquePairs,1,1),INDEX(_xlpm.sortedPairs,ROWS($M$2:M321),2)),"")</f>
        <v/>
      </c>
      <c r="N321" s="15" t="str" cm="1">
        <f t="array" ref="N321">IF(OR(Table2[[#This Row],[Film]]="",Table2[[#This Row],[Grade]]=""),"",IFERROR(INDEX(Table4[Serial Number],MATCH(1,(Table4[Film]=Table2[[#This Row],[Film]])*(Table4[Grade]=Table2[[#This Row],[Grade]]),0)),""))</f>
        <v/>
      </c>
      <c r="O321" s="52" t="str">
        <f>IF(OR(Table2[[#This Row],[Film]]="",Table2[[#This Row],[Grade]]=""),"",SUMIFS(Table4[Price Calculated(€) Thickness &amp; QTY related],Table4[Film],Table2[[#This Row],[Film]],Table4[Grade],Table2[[#This Row],[Grade]]))</f>
        <v/>
      </c>
      <c r="P321" s="6"/>
      <c r="T321" s="6"/>
    </row>
    <row r="322" spans="1:20">
      <c r="A322" s="29"/>
      <c r="B322" s="29" t="s">
        <v>7</v>
      </c>
      <c r="C322" s="28"/>
      <c r="D322" s="28" t="str">
        <f>IF(C322="","",IFERROR(_xlfn.XLOOKUP(C322,HELPER!$A$2:$A$81,HELPER!$B$2:$B$81,""),D322))</f>
        <v/>
      </c>
      <c r="E322" s="28" t="str">
        <f>IFERROR(_xlfn.XLOOKUP(D322,HELPER!$B:$B,HELPER!$C:$C,""),"")</f>
        <v/>
      </c>
      <c r="F322" s="27" t="str">
        <f>IFERROR(_xlfn.XLOOKUP(D322,HELPER!$B:$B,HELPER!$D:$D,""),"")</f>
        <v/>
      </c>
      <c r="G322" s="27">
        <v>8</v>
      </c>
      <c r="H322" s="47"/>
      <c r="I322" s="48" t="str">
        <f>IF(AND(H322&lt;&gt;"",IFERROR(_xlfn.XLOOKUP(D322,HELPER!$B:$B,HELPER!$E:$E,""),"")=""),"Missing price",IFERROR(_xlfn.XLOOKUP(D322,HELPER!$B:$B,HELPER!$E:$E,"")," "))</f>
        <v/>
      </c>
      <c r="J322" s="48" t="str">
        <f>IFERROR(H322*(IF(G322=8,I322*HELPER!$G$2,BOM!I322*HELPER!$G$3))," ")</f>
        <v xml:space="preserve"> </v>
      </c>
      <c r="K322" s="6"/>
      <c r="L322" s="14" t="str" cm="1">
        <f t="array" ref="L322">IFERROR(_xlfn.LET(_xlpm.films,Table4[Film],_xlpm.grades,Table4[Grade],_xlpm.pairs,_xlfn._xlws.FILTER(_xlfn.HSTACK(_xlpm.films,_xlpm.grades),(_xlpm.films&lt;&gt;"")*(TRIM(_xlpm.grades)&lt;&gt;"")),_xlpm.uniquePairs,_xlfn.UNIQUE(_xlpm.pairs),_xlpm.sortedPairs,_xlfn._xlws.SORT(_xlpm.uniquePairs,1,1),INDEX(_xlpm.sortedPairs,ROWS($L$2:L322),1)),"")</f>
        <v/>
      </c>
      <c r="M322" s="15" t="str" cm="1">
        <f t="array" ref="M322">IFERROR(_xlfn.LET(_xlpm.films,Table4[Film],_xlpm.grades,Table4[Grade],_xlpm.pairs,_xlfn._xlws.FILTER(_xlfn.HSTACK(_xlpm.films,_xlpm.grades),(_xlpm.films&lt;&gt;"")*(TRIM(_xlpm.grades)&lt;&gt;"")),_xlpm.uniquePairs,_xlfn.UNIQUE(_xlpm.pairs),_xlpm.sortedPairs,_xlfn._xlws.SORT(_xlpm.uniquePairs,1,1),INDEX(_xlpm.sortedPairs,ROWS($M$2:M322),2)),"")</f>
        <v/>
      </c>
      <c r="N322" s="15" t="str" cm="1">
        <f t="array" ref="N322">IF(OR(Table2[[#This Row],[Film]]="",Table2[[#This Row],[Grade]]=""),"",IFERROR(INDEX(Table4[Serial Number],MATCH(1,(Table4[Film]=Table2[[#This Row],[Film]])*(Table4[Grade]=Table2[[#This Row],[Grade]]),0)),""))</f>
        <v/>
      </c>
      <c r="O322" s="52" t="str">
        <f>IF(OR(Table2[[#This Row],[Film]]="",Table2[[#This Row],[Grade]]=""),"",SUMIFS(Table4[Price Calculated(€) Thickness &amp; QTY related],Table4[Film],Table2[[#This Row],[Film]],Table4[Grade],Table2[[#This Row],[Grade]]))</f>
        <v/>
      </c>
      <c r="P322" s="6"/>
      <c r="T322" s="6"/>
    </row>
    <row r="323" spans="1:20">
      <c r="A323" s="29"/>
      <c r="B323" s="29" t="s">
        <v>7</v>
      </c>
      <c r="C323" s="28"/>
      <c r="D323" s="28" t="str">
        <f>IF(C323="","",IFERROR(_xlfn.XLOOKUP(C323,HELPER!$A$2:$A$81,HELPER!$B$2:$B$81,""),D323))</f>
        <v/>
      </c>
      <c r="E323" s="28" t="str">
        <f>IFERROR(_xlfn.XLOOKUP(D323,HELPER!$B:$B,HELPER!$C:$C,""),"")</f>
        <v/>
      </c>
      <c r="F323" s="27" t="str">
        <f>IFERROR(_xlfn.XLOOKUP(D323,HELPER!$B:$B,HELPER!$D:$D,""),"")</f>
        <v/>
      </c>
      <c r="G323" s="27">
        <v>8</v>
      </c>
      <c r="H323" s="47"/>
      <c r="I323" s="48" t="str">
        <f>IF(AND(H323&lt;&gt;"",IFERROR(_xlfn.XLOOKUP(D323,HELPER!$B:$B,HELPER!$E:$E,""),"")=""),"Missing price",IFERROR(_xlfn.XLOOKUP(D323,HELPER!$B:$B,HELPER!$E:$E,"")," "))</f>
        <v/>
      </c>
      <c r="J323" s="48" t="str">
        <f>IFERROR(H323*(IF(G323=8,I323*HELPER!$G$2,BOM!I323*HELPER!$G$3))," ")</f>
        <v xml:space="preserve"> </v>
      </c>
      <c r="K323" s="6"/>
      <c r="L323" s="14" t="str" cm="1">
        <f t="array" ref="L323">IFERROR(_xlfn.LET(_xlpm.films,Table4[Film],_xlpm.grades,Table4[Grade],_xlpm.pairs,_xlfn._xlws.FILTER(_xlfn.HSTACK(_xlpm.films,_xlpm.grades),(_xlpm.films&lt;&gt;"")*(TRIM(_xlpm.grades)&lt;&gt;"")),_xlpm.uniquePairs,_xlfn.UNIQUE(_xlpm.pairs),_xlpm.sortedPairs,_xlfn._xlws.SORT(_xlpm.uniquePairs,1,1),INDEX(_xlpm.sortedPairs,ROWS($L$2:L323),1)),"")</f>
        <v/>
      </c>
      <c r="M323" s="15" t="str" cm="1">
        <f t="array" ref="M323">IFERROR(_xlfn.LET(_xlpm.films,Table4[Film],_xlpm.grades,Table4[Grade],_xlpm.pairs,_xlfn._xlws.FILTER(_xlfn.HSTACK(_xlpm.films,_xlpm.grades),(_xlpm.films&lt;&gt;"")*(TRIM(_xlpm.grades)&lt;&gt;"")),_xlpm.uniquePairs,_xlfn.UNIQUE(_xlpm.pairs),_xlpm.sortedPairs,_xlfn._xlws.SORT(_xlpm.uniquePairs,1,1),INDEX(_xlpm.sortedPairs,ROWS($M$2:M323),2)),"")</f>
        <v/>
      </c>
      <c r="N323" s="15" t="str" cm="1">
        <f t="array" ref="N323">IF(OR(Table2[[#This Row],[Film]]="",Table2[[#This Row],[Grade]]=""),"",IFERROR(INDEX(Table4[Serial Number],MATCH(1,(Table4[Film]=Table2[[#This Row],[Film]])*(Table4[Grade]=Table2[[#This Row],[Grade]]),0)),""))</f>
        <v/>
      </c>
      <c r="O323" s="52" t="str">
        <f>IF(OR(Table2[[#This Row],[Film]]="",Table2[[#This Row],[Grade]]=""),"",SUMIFS(Table4[Price Calculated(€) Thickness &amp; QTY related],Table4[Film],Table2[[#This Row],[Film]],Table4[Grade],Table2[[#This Row],[Grade]]))</f>
        <v/>
      </c>
      <c r="P323" s="6"/>
      <c r="T323" s="6"/>
    </row>
    <row r="324" spans="1:20">
      <c r="A324" s="29"/>
      <c r="B324" s="29" t="s">
        <v>7</v>
      </c>
      <c r="C324" s="28"/>
      <c r="D324" s="28" t="str">
        <f>IF(C324="","",IFERROR(_xlfn.XLOOKUP(C324,HELPER!$A$2:$A$81,HELPER!$B$2:$B$81,""),D324))</f>
        <v/>
      </c>
      <c r="E324" s="28" t="str">
        <f>IFERROR(_xlfn.XLOOKUP(D324,HELPER!$B:$B,HELPER!$C:$C,""),"")</f>
        <v/>
      </c>
      <c r="F324" s="27" t="str">
        <f>IFERROR(_xlfn.XLOOKUP(D324,HELPER!$B:$B,HELPER!$D:$D,""),"")</f>
        <v/>
      </c>
      <c r="G324" s="27">
        <v>8</v>
      </c>
      <c r="H324" s="47"/>
      <c r="I324" s="48" t="str">
        <f>IF(AND(H324&lt;&gt;"",IFERROR(_xlfn.XLOOKUP(D324,HELPER!$B:$B,HELPER!$E:$E,""),"")=""),"Missing price",IFERROR(_xlfn.XLOOKUP(D324,HELPER!$B:$B,HELPER!$E:$E,"")," "))</f>
        <v/>
      </c>
      <c r="J324" s="48" t="str">
        <f>IFERROR(H324*(IF(G324=8,I324*HELPER!$G$2,BOM!I324*HELPER!$G$3))," ")</f>
        <v xml:space="preserve"> </v>
      </c>
      <c r="K324" s="6"/>
      <c r="L324" s="14" t="str" cm="1">
        <f t="array" ref="L324">IFERROR(_xlfn.LET(_xlpm.films,Table4[Film],_xlpm.grades,Table4[Grade],_xlpm.pairs,_xlfn._xlws.FILTER(_xlfn.HSTACK(_xlpm.films,_xlpm.grades),(_xlpm.films&lt;&gt;"")*(TRIM(_xlpm.grades)&lt;&gt;"")),_xlpm.uniquePairs,_xlfn.UNIQUE(_xlpm.pairs),_xlpm.sortedPairs,_xlfn._xlws.SORT(_xlpm.uniquePairs,1,1),INDEX(_xlpm.sortedPairs,ROWS($L$2:L324),1)),"")</f>
        <v/>
      </c>
      <c r="M324" s="15" t="str" cm="1">
        <f t="array" ref="M324">IFERROR(_xlfn.LET(_xlpm.films,Table4[Film],_xlpm.grades,Table4[Grade],_xlpm.pairs,_xlfn._xlws.FILTER(_xlfn.HSTACK(_xlpm.films,_xlpm.grades),(_xlpm.films&lt;&gt;"")*(TRIM(_xlpm.grades)&lt;&gt;"")),_xlpm.uniquePairs,_xlfn.UNIQUE(_xlpm.pairs),_xlpm.sortedPairs,_xlfn._xlws.SORT(_xlpm.uniquePairs,1,1),INDEX(_xlpm.sortedPairs,ROWS($M$2:M324),2)),"")</f>
        <v/>
      </c>
      <c r="N324" s="15" t="str" cm="1">
        <f t="array" ref="N324">IF(OR(Table2[[#This Row],[Film]]="",Table2[[#This Row],[Grade]]=""),"",IFERROR(INDEX(Table4[Serial Number],MATCH(1,(Table4[Film]=Table2[[#This Row],[Film]])*(Table4[Grade]=Table2[[#This Row],[Grade]]),0)),""))</f>
        <v/>
      </c>
      <c r="O324" s="52" t="str">
        <f>IF(OR(Table2[[#This Row],[Film]]="",Table2[[#This Row],[Grade]]=""),"",SUMIFS(Table4[Price Calculated(€) Thickness &amp; QTY related],Table4[Film],Table2[[#This Row],[Film]],Table4[Grade],Table2[[#This Row],[Grade]]))</f>
        <v/>
      </c>
      <c r="P324" s="6"/>
      <c r="T324" s="6"/>
    </row>
    <row r="325" spans="1:20">
      <c r="A325" s="29"/>
      <c r="B325" s="29" t="s">
        <v>7</v>
      </c>
      <c r="C325" s="28"/>
      <c r="D325" s="28" t="str">
        <f>IF(C325="","",IFERROR(_xlfn.XLOOKUP(C325,HELPER!$A$2:$A$81,HELPER!$B$2:$B$81,""),D325))</f>
        <v/>
      </c>
      <c r="E325" s="28" t="str">
        <f>IFERROR(_xlfn.XLOOKUP(D325,HELPER!$B:$B,HELPER!$C:$C,""),"")</f>
        <v/>
      </c>
      <c r="F325" s="27" t="str">
        <f>IFERROR(_xlfn.XLOOKUP(D325,HELPER!$B:$B,HELPER!$D:$D,""),"")</f>
        <v/>
      </c>
      <c r="G325" s="27">
        <v>8</v>
      </c>
      <c r="H325" s="47"/>
      <c r="I325" s="48" t="str">
        <f>IF(AND(H325&lt;&gt;"",IFERROR(_xlfn.XLOOKUP(D325,HELPER!$B:$B,HELPER!$E:$E,""),"")=""),"Missing price",IFERROR(_xlfn.XLOOKUP(D325,HELPER!$B:$B,HELPER!$E:$E,"")," "))</f>
        <v/>
      </c>
      <c r="J325" s="48" t="str">
        <f>IFERROR(H325*(IF(G325=8,I325*HELPER!$G$2,BOM!I325*HELPER!$G$3))," ")</f>
        <v xml:space="preserve"> </v>
      </c>
      <c r="K325" s="6"/>
      <c r="L325" s="14" t="str" cm="1">
        <f t="array" ref="L325">IFERROR(_xlfn.LET(_xlpm.films,Table4[Film],_xlpm.grades,Table4[Grade],_xlpm.pairs,_xlfn._xlws.FILTER(_xlfn.HSTACK(_xlpm.films,_xlpm.grades),(_xlpm.films&lt;&gt;"")*(TRIM(_xlpm.grades)&lt;&gt;"")),_xlpm.uniquePairs,_xlfn.UNIQUE(_xlpm.pairs),_xlpm.sortedPairs,_xlfn._xlws.SORT(_xlpm.uniquePairs,1,1),INDEX(_xlpm.sortedPairs,ROWS($L$2:L325),1)),"")</f>
        <v/>
      </c>
      <c r="M325" s="15" t="str" cm="1">
        <f t="array" ref="M325">IFERROR(_xlfn.LET(_xlpm.films,Table4[Film],_xlpm.grades,Table4[Grade],_xlpm.pairs,_xlfn._xlws.FILTER(_xlfn.HSTACK(_xlpm.films,_xlpm.grades),(_xlpm.films&lt;&gt;"")*(TRIM(_xlpm.grades)&lt;&gt;"")),_xlpm.uniquePairs,_xlfn.UNIQUE(_xlpm.pairs),_xlpm.sortedPairs,_xlfn._xlws.SORT(_xlpm.uniquePairs,1,1),INDEX(_xlpm.sortedPairs,ROWS($M$2:M325),2)),"")</f>
        <v/>
      </c>
      <c r="N325" s="15" t="str" cm="1">
        <f t="array" ref="N325">IF(OR(Table2[[#This Row],[Film]]="",Table2[[#This Row],[Grade]]=""),"",IFERROR(INDEX(Table4[Serial Number],MATCH(1,(Table4[Film]=Table2[[#This Row],[Film]])*(Table4[Grade]=Table2[[#This Row],[Grade]]),0)),""))</f>
        <v/>
      </c>
      <c r="O325" s="52" t="str">
        <f>IF(OR(Table2[[#This Row],[Film]]="",Table2[[#This Row],[Grade]]=""),"",SUMIFS(Table4[Price Calculated(€) Thickness &amp; QTY related],Table4[Film],Table2[[#This Row],[Film]],Table4[Grade],Table2[[#This Row],[Grade]]))</f>
        <v/>
      </c>
      <c r="P325" s="6"/>
      <c r="T325" s="6"/>
    </row>
    <row r="326" spans="1:20">
      <c r="A326" s="29"/>
      <c r="B326" s="29" t="s">
        <v>7</v>
      </c>
      <c r="C326" s="28"/>
      <c r="D326" s="28" t="str">
        <f>IF(C326="","",IFERROR(_xlfn.XLOOKUP(C326,HELPER!$A$2:$A$81,HELPER!$B$2:$B$81,""),D326))</f>
        <v/>
      </c>
      <c r="E326" s="28" t="str">
        <f>IFERROR(_xlfn.XLOOKUP(D326,HELPER!$B:$B,HELPER!$C:$C,""),"")</f>
        <v/>
      </c>
      <c r="F326" s="27" t="str">
        <f>IFERROR(_xlfn.XLOOKUP(D326,HELPER!$B:$B,HELPER!$D:$D,""),"")</f>
        <v/>
      </c>
      <c r="G326" s="27">
        <v>8</v>
      </c>
      <c r="H326" s="47"/>
      <c r="I326" s="48" t="str">
        <f>IF(AND(H326&lt;&gt;"",IFERROR(_xlfn.XLOOKUP(D326,HELPER!$B:$B,HELPER!$E:$E,""),"")=""),"Missing price",IFERROR(_xlfn.XLOOKUP(D326,HELPER!$B:$B,HELPER!$E:$E,"")," "))</f>
        <v/>
      </c>
      <c r="J326" s="48" t="str">
        <f>IFERROR(H326*(IF(G326=8,I326*HELPER!$G$2,BOM!I326*HELPER!$G$3))," ")</f>
        <v xml:space="preserve"> </v>
      </c>
      <c r="K326" s="6"/>
      <c r="L326" s="14" t="str" cm="1">
        <f t="array" ref="L326">IFERROR(_xlfn.LET(_xlpm.films,Table4[Film],_xlpm.grades,Table4[Grade],_xlpm.pairs,_xlfn._xlws.FILTER(_xlfn.HSTACK(_xlpm.films,_xlpm.grades),(_xlpm.films&lt;&gt;"")*(TRIM(_xlpm.grades)&lt;&gt;"")),_xlpm.uniquePairs,_xlfn.UNIQUE(_xlpm.pairs),_xlpm.sortedPairs,_xlfn._xlws.SORT(_xlpm.uniquePairs,1,1),INDEX(_xlpm.sortedPairs,ROWS($L$2:L326),1)),"")</f>
        <v/>
      </c>
      <c r="M326" s="15" t="str" cm="1">
        <f t="array" ref="M326">IFERROR(_xlfn.LET(_xlpm.films,Table4[Film],_xlpm.grades,Table4[Grade],_xlpm.pairs,_xlfn._xlws.FILTER(_xlfn.HSTACK(_xlpm.films,_xlpm.grades),(_xlpm.films&lt;&gt;"")*(TRIM(_xlpm.grades)&lt;&gt;"")),_xlpm.uniquePairs,_xlfn.UNIQUE(_xlpm.pairs),_xlpm.sortedPairs,_xlfn._xlws.SORT(_xlpm.uniquePairs,1,1),INDEX(_xlpm.sortedPairs,ROWS($M$2:M326),2)),"")</f>
        <v/>
      </c>
      <c r="N326" s="15" t="str" cm="1">
        <f t="array" ref="N326">IF(OR(Table2[[#This Row],[Film]]="",Table2[[#This Row],[Grade]]=""),"",IFERROR(INDEX(Table4[Serial Number],MATCH(1,(Table4[Film]=Table2[[#This Row],[Film]])*(Table4[Grade]=Table2[[#This Row],[Grade]]),0)),""))</f>
        <v/>
      </c>
      <c r="O326" s="52" t="str">
        <f>IF(OR(Table2[[#This Row],[Film]]="",Table2[[#This Row],[Grade]]=""),"",SUMIFS(Table4[Price Calculated(€) Thickness &amp; QTY related],Table4[Film],Table2[[#This Row],[Film]],Table4[Grade],Table2[[#This Row],[Grade]]))</f>
        <v/>
      </c>
      <c r="P326" s="6"/>
      <c r="T326" s="6"/>
    </row>
    <row r="327" spans="1:20">
      <c r="A327" s="29"/>
      <c r="B327" s="29" t="s">
        <v>7</v>
      </c>
      <c r="C327" s="28"/>
      <c r="D327" s="28" t="str">
        <f>IF(C327="","",IFERROR(_xlfn.XLOOKUP(C327,HELPER!$A$2:$A$81,HELPER!$B$2:$B$81,""),D327))</f>
        <v/>
      </c>
      <c r="E327" s="28" t="str">
        <f>IFERROR(_xlfn.XLOOKUP(D327,HELPER!$B:$B,HELPER!$C:$C,""),"")</f>
        <v/>
      </c>
      <c r="F327" s="27" t="str">
        <f>IFERROR(_xlfn.XLOOKUP(D327,HELPER!$B:$B,HELPER!$D:$D,""),"")</f>
        <v/>
      </c>
      <c r="G327" s="27">
        <v>8</v>
      </c>
      <c r="H327" s="47"/>
      <c r="I327" s="48" t="str">
        <f>IF(AND(H327&lt;&gt;"",IFERROR(_xlfn.XLOOKUP(D327,HELPER!$B:$B,HELPER!$E:$E,""),"")=""),"Missing price",IFERROR(_xlfn.XLOOKUP(D327,HELPER!$B:$B,HELPER!$E:$E,"")," "))</f>
        <v/>
      </c>
      <c r="J327" s="48" t="str">
        <f>IFERROR(H327*(IF(G327=8,I327*HELPER!$G$2,BOM!I327*HELPER!$G$3))," ")</f>
        <v xml:space="preserve"> </v>
      </c>
      <c r="K327" s="6"/>
      <c r="L327" s="14" t="str" cm="1">
        <f t="array" ref="L327">IFERROR(_xlfn.LET(_xlpm.films,Table4[Film],_xlpm.grades,Table4[Grade],_xlpm.pairs,_xlfn._xlws.FILTER(_xlfn.HSTACK(_xlpm.films,_xlpm.grades),(_xlpm.films&lt;&gt;"")*(TRIM(_xlpm.grades)&lt;&gt;"")),_xlpm.uniquePairs,_xlfn.UNIQUE(_xlpm.pairs),_xlpm.sortedPairs,_xlfn._xlws.SORT(_xlpm.uniquePairs,1,1),INDEX(_xlpm.sortedPairs,ROWS($L$2:L327),1)),"")</f>
        <v/>
      </c>
      <c r="M327" s="15" t="str" cm="1">
        <f t="array" ref="M327">IFERROR(_xlfn.LET(_xlpm.films,Table4[Film],_xlpm.grades,Table4[Grade],_xlpm.pairs,_xlfn._xlws.FILTER(_xlfn.HSTACK(_xlpm.films,_xlpm.grades),(_xlpm.films&lt;&gt;"")*(TRIM(_xlpm.grades)&lt;&gt;"")),_xlpm.uniquePairs,_xlfn.UNIQUE(_xlpm.pairs),_xlpm.sortedPairs,_xlfn._xlws.SORT(_xlpm.uniquePairs,1,1),INDEX(_xlpm.sortedPairs,ROWS($M$2:M327),2)),"")</f>
        <v/>
      </c>
      <c r="N327" s="15" t="str" cm="1">
        <f t="array" ref="N327">IF(OR(Table2[[#This Row],[Film]]="",Table2[[#This Row],[Grade]]=""),"",IFERROR(INDEX(Table4[Serial Number],MATCH(1,(Table4[Film]=Table2[[#This Row],[Film]])*(Table4[Grade]=Table2[[#This Row],[Grade]]),0)),""))</f>
        <v/>
      </c>
      <c r="O327" s="52" t="str">
        <f>IF(OR(Table2[[#This Row],[Film]]="",Table2[[#This Row],[Grade]]=""),"",SUMIFS(Table4[Price Calculated(€) Thickness &amp; QTY related],Table4[Film],Table2[[#This Row],[Film]],Table4[Grade],Table2[[#This Row],[Grade]]))</f>
        <v/>
      </c>
      <c r="P327" s="6"/>
      <c r="T327" s="6"/>
    </row>
    <row r="328" spans="1:20">
      <c r="A328" s="29"/>
      <c r="B328" s="29" t="s">
        <v>7</v>
      </c>
      <c r="C328" s="28"/>
      <c r="D328" s="28" t="str">
        <f>IF(C328="","",IFERROR(_xlfn.XLOOKUP(C328,HELPER!$A$2:$A$81,HELPER!$B$2:$B$81,""),D328))</f>
        <v/>
      </c>
      <c r="E328" s="28" t="str">
        <f>IFERROR(_xlfn.XLOOKUP(D328,HELPER!$B:$B,HELPER!$C:$C,""),"")</f>
        <v/>
      </c>
      <c r="F328" s="27" t="str">
        <f>IFERROR(_xlfn.XLOOKUP(D328,HELPER!$B:$B,HELPER!$D:$D,""),"")</f>
        <v/>
      </c>
      <c r="G328" s="27">
        <v>8</v>
      </c>
      <c r="H328" s="47"/>
      <c r="I328" s="48" t="str">
        <f>IF(AND(H328&lt;&gt;"",IFERROR(_xlfn.XLOOKUP(D328,HELPER!$B:$B,HELPER!$E:$E,""),"")=""),"Missing price",IFERROR(_xlfn.XLOOKUP(D328,HELPER!$B:$B,HELPER!$E:$E,"")," "))</f>
        <v/>
      </c>
      <c r="J328" s="48" t="str">
        <f>IFERROR(H328*(IF(G328=8,I328*HELPER!$G$2,BOM!I328*HELPER!$G$3))," ")</f>
        <v xml:space="preserve"> </v>
      </c>
      <c r="K328" s="6"/>
      <c r="L328" s="14" t="str" cm="1">
        <f t="array" ref="L328">IFERROR(_xlfn.LET(_xlpm.films,Table4[Film],_xlpm.grades,Table4[Grade],_xlpm.pairs,_xlfn._xlws.FILTER(_xlfn.HSTACK(_xlpm.films,_xlpm.grades),(_xlpm.films&lt;&gt;"")*(TRIM(_xlpm.grades)&lt;&gt;"")),_xlpm.uniquePairs,_xlfn.UNIQUE(_xlpm.pairs),_xlpm.sortedPairs,_xlfn._xlws.SORT(_xlpm.uniquePairs,1,1),INDEX(_xlpm.sortedPairs,ROWS($L$2:L328),1)),"")</f>
        <v/>
      </c>
      <c r="M328" s="15" t="str" cm="1">
        <f t="array" ref="M328">IFERROR(_xlfn.LET(_xlpm.films,Table4[Film],_xlpm.grades,Table4[Grade],_xlpm.pairs,_xlfn._xlws.FILTER(_xlfn.HSTACK(_xlpm.films,_xlpm.grades),(_xlpm.films&lt;&gt;"")*(TRIM(_xlpm.grades)&lt;&gt;"")),_xlpm.uniquePairs,_xlfn.UNIQUE(_xlpm.pairs),_xlpm.sortedPairs,_xlfn._xlws.SORT(_xlpm.uniquePairs,1,1),INDEX(_xlpm.sortedPairs,ROWS($M$2:M328),2)),"")</f>
        <v/>
      </c>
      <c r="N328" s="15" t="str" cm="1">
        <f t="array" ref="N328">IF(OR(Table2[[#This Row],[Film]]="",Table2[[#This Row],[Grade]]=""),"",IFERROR(INDEX(Table4[Serial Number],MATCH(1,(Table4[Film]=Table2[[#This Row],[Film]])*(Table4[Grade]=Table2[[#This Row],[Grade]]),0)),""))</f>
        <v/>
      </c>
      <c r="O328" s="52" t="str">
        <f>IF(OR(Table2[[#This Row],[Film]]="",Table2[[#This Row],[Grade]]=""),"",SUMIFS(Table4[Price Calculated(€) Thickness &amp; QTY related],Table4[Film],Table2[[#This Row],[Film]],Table4[Grade],Table2[[#This Row],[Grade]]))</f>
        <v/>
      </c>
      <c r="P328" s="6"/>
      <c r="T328" s="6"/>
    </row>
    <row r="329" spans="1:20">
      <c r="A329" s="29"/>
      <c r="B329" s="29" t="s">
        <v>7</v>
      </c>
      <c r="C329" s="28"/>
      <c r="D329" s="28" t="str">
        <f>IF(C329="","",IFERROR(_xlfn.XLOOKUP(C329,HELPER!$A$2:$A$81,HELPER!$B$2:$B$81,""),D329))</f>
        <v/>
      </c>
      <c r="E329" s="28" t="str">
        <f>IFERROR(_xlfn.XLOOKUP(D329,HELPER!$B:$B,HELPER!$C:$C,""),"")</f>
        <v/>
      </c>
      <c r="F329" s="27" t="str">
        <f>IFERROR(_xlfn.XLOOKUP(D329,HELPER!$B:$B,HELPER!$D:$D,""),"")</f>
        <v/>
      </c>
      <c r="G329" s="27">
        <v>8</v>
      </c>
      <c r="H329" s="47"/>
      <c r="I329" s="48" t="str">
        <f>IF(AND(H329&lt;&gt;"",IFERROR(_xlfn.XLOOKUP(D329,HELPER!$B:$B,HELPER!$E:$E,""),"")=""),"Missing price",IFERROR(_xlfn.XLOOKUP(D329,HELPER!$B:$B,HELPER!$E:$E,"")," "))</f>
        <v/>
      </c>
      <c r="J329" s="48" t="str">
        <f>IFERROR(H329*(IF(G329=8,I329*HELPER!$G$2,BOM!I329*HELPER!$G$3))," ")</f>
        <v xml:space="preserve"> </v>
      </c>
      <c r="K329" s="6"/>
      <c r="L329" s="14" t="str" cm="1">
        <f t="array" ref="L329">IFERROR(_xlfn.LET(_xlpm.films,Table4[Film],_xlpm.grades,Table4[Grade],_xlpm.pairs,_xlfn._xlws.FILTER(_xlfn.HSTACK(_xlpm.films,_xlpm.grades),(_xlpm.films&lt;&gt;"")*(TRIM(_xlpm.grades)&lt;&gt;"")),_xlpm.uniquePairs,_xlfn.UNIQUE(_xlpm.pairs),_xlpm.sortedPairs,_xlfn._xlws.SORT(_xlpm.uniquePairs,1,1),INDEX(_xlpm.sortedPairs,ROWS($L$2:L329),1)),"")</f>
        <v/>
      </c>
      <c r="M329" s="15" t="str" cm="1">
        <f t="array" ref="M329">IFERROR(_xlfn.LET(_xlpm.films,Table4[Film],_xlpm.grades,Table4[Grade],_xlpm.pairs,_xlfn._xlws.FILTER(_xlfn.HSTACK(_xlpm.films,_xlpm.grades),(_xlpm.films&lt;&gt;"")*(TRIM(_xlpm.grades)&lt;&gt;"")),_xlpm.uniquePairs,_xlfn.UNIQUE(_xlpm.pairs),_xlpm.sortedPairs,_xlfn._xlws.SORT(_xlpm.uniquePairs,1,1),INDEX(_xlpm.sortedPairs,ROWS($M$2:M329),2)),"")</f>
        <v/>
      </c>
      <c r="N329" s="15" t="str" cm="1">
        <f t="array" ref="N329">IF(OR(Table2[[#This Row],[Film]]="",Table2[[#This Row],[Grade]]=""),"",IFERROR(INDEX(Table4[Serial Number],MATCH(1,(Table4[Film]=Table2[[#This Row],[Film]])*(Table4[Grade]=Table2[[#This Row],[Grade]]),0)),""))</f>
        <v/>
      </c>
      <c r="O329" s="52" t="str">
        <f>IF(OR(Table2[[#This Row],[Film]]="",Table2[[#This Row],[Grade]]=""),"",SUMIFS(Table4[Price Calculated(€) Thickness &amp; QTY related],Table4[Film],Table2[[#This Row],[Film]],Table4[Grade],Table2[[#This Row],[Grade]]))</f>
        <v/>
      </c>
      <c r="P329" s="6"/>
      <c r="T329" s="6"/>
    </row>
    <row r="330" spans="1:20">
      <c r="A330" s="29"/>
      <c r="B330" s="29" t="s">
        <v>7</v>
      </c>
      <c r="C330" s="28"/>
      <c r="D330" s="28" t="str">
        <f>IF(C330="","",IFERROR(_xlfn.XLOOKUP(C330,HELPER!$A$2:$A$81,HELPER!$B$2:$B$81,""),D330))</f>
        <v/>
      </c>
      <c r="E330" s="28" t="str">
        <f>IFERROR(_xlfn.XLOOKUP(D330,HELPER!$B:$B,HELPER!$C:$C,""),"")</f>
        <v/>
      </c>
      <c r="F330" s="27" t="str">
        <f>IFERROR(_xlfn.XLOOKUP(D330,HELPER!$B:$B,HELPER!$D:$D,""),"")</f>
        <v/>
      </c>
      <c r="G330" s="27">
        <v>8</v>
      </c>
      <c r="H330" s="47"/>
      <c r="I330" s="48" t="str">
        <f>IF(AND(H330&lt;&gt;"",IFERROR(_xlfn.XLOOKUP(D330,HELPER!$B:$B,HELPER!$E:$E,""),"")=""),"Missing price",IFERROR(_xlfn.XLOOKUP(D330,HELPER!$B:$B,HELPER!$E:$E,"")," "))</f>
        <v/>
      </c>
      <c r="J330" s="48" t="str">
        <f>IFERROR(H330*(IF(G330=8,I330*HELPER!$G$2,BOM!I330*HELPER!$G$3))," ")</f>
        <v xml:space="preserve"> </v>
      </c>
      <c r="K330" s="6"/>
      <c r="L330" s="14" t="str" cm="1">
        <f t="array" ref="L330">IFERROR(_xlfn.LET(_xlpm.films,Table4[Film],_xlpm.grades,Table4[Grade],_xlpm.pairs,_xlfn._xlws.FILTER(_xlfn.HSTACK(_xlpm.films,_xlpm.grades),(_xlpm.films&lt;&gt;"")*(TRIM(_xlpm.grades)&lt;&gt;"")),_xlpm.uniquePairs,_xlfn.UNIQUE(_xlpm.pairs),_xlpm.sortedPairs,_xlfn._xlws.SORT(_xlpm.uniquePairs,1,1),INDEX(_xlpm.sortedPairs,ROWS($L$2:L330),1)),"")</f>
        <v/>
      </c>
      <c r="M330" s="15" t="str" cm="1">
        <f t="array" ref="M330">IFERROR(_xlfn.LET(_xlpm.films,Table4[Film],_xlpm.grades,Table4[Grade],_xlpm.pairs,_xlfn._xlws.FILTER(_xlfn.HSTACK(_xlpm.films,_xlpm.grades),(_xlpm.films&lt;&gt;"")*(TRIM(_xlpm.grades)&lt;&gt;"")),_xlpm.uniquePairs,_xlfn.UNIQUE(_xlpm.pairs),_xlpm.sortedPairs,_xlfn._xlws.SORT(_xlpm.uniquePairs,1,1),INDEX(_xlpm.sortedPairs,ROWS($M$2:M330),2)),"")</f>
        <v/>
      </c>
      <c r="N330" s="15" t="str" cm="1">
        <f t="array" ref="N330">IF(OR(Table2[[#This Row],[Film]]="",Table2[[#This Row],[Grade]]=""),"",IFERROR(INDEX(Table4[Serial Number],MATCH(1,(Table4[Film]=Table2[[#This Row],[Film]])*(Table4[Grade]=Table2[[#This Row],[Grade]]),0)),""))</f>
        <v/>
      </c>
      <c r="O330" s="52" t="str">
        <f>IF(OR(Table2[[#This Row],[Film]]="",Table2[[#This Row],[Grade]]=""),"",SUMIFS(Table4[Price Calculated(€) Thickness &amp; QTY related],Table4[Film],Table2[[#This Row],[Film]],Table4[Grade],Table2[[#This Row],[Grade]]))</f>
        <v/>
      </c>
      <c r="P330" s="6"/>
      <c r="T330" s="6"/>
    </row>
    <row r="331" spans="1:20">
      <c r="A331" s="29"/>
      <c r="B331" s="29" t="s">
        <v>7</v>
      </c>
      <c r="C331" s="28"/>
      <c r="D331" s="28" t="str">
        <f>IF(C331="","",IFERROR(_xlfn.XLOOKUP(C331,HELPER!$A$2:$A$81,HELPER!$B$2:$B$81,""),D331))</f>
        <v/>
      </c>
      <c r="E331" s="28" t="str">
        <f>IFERROR(_xlfn.XLOOKUP(D331,HELPER!$B:$B,HELPER!$C:$C,""),"")</f>
        <v/>
      </c>
      <c r="F331" s="27" t="str">
        <f>IFERROR(_xlfn.XLOOKUP(D331,HELPER!$B:$B,HELPER!$D:$D,""),"")</f>
        <v/>
      </c>
      <c r="G331" s="27">
        <v>8</v>
      </c>
      <c r="H331" s="47"/>
      <c r="I331" s="48" t="str">
        <f>IF(AND(H331&lt;&gt;"",IFERROR(_xlfn.XLOOKUP(D331,HELPER!$B:$B,HELPER!$E:$E,""),"")=""),"Missing price",IFERROR(_xlfn.XLOOKUP(D331,HELPER!$B:$B,HELPER!$E:$E,"")," "))</f>
        <v/>
      </c>
      <c r="J331" s="48" t="str">
        <f>IFERROR(H331*(IF(G331=8,I331*HELPER!$G$2,BOM!I331*HELPER!$G$3))," ")</f>
        <v xml:space="preserve"> </v>
      </c>
      <c r="K331" s="6"/>
      <c r="L331" s="14" t="str" cm="1">
        <f t="array" ref="L331">IFERROR(_xlfn.LET(_xlpm.films,Table4[Film],_xlpm.grades,Table4[Grade],_xlpm.pairs,_xlfn._xlws.FILTER(_xlfn.HSTACK(_xlpm.films,_xlpm.grades),(_xlpm.films&lt;&gt;"")*(TRIM(_xlpm.grades)&lt;&gt;"")),_xlpm.uniquePairs,_xlfn.UNIQUE(_xlpm.pairs),_xlpm.sortedPairs,_xlfn._xlws.SORT(_xlpm.uniquePairs,1,1),INDEX(_xlpm.sortedPairs,ROWS($L$2:L331),1)),"")</f>
        <v/>
      </c>
      <c r="M331" s="15" t="str" cm="1">
        <f t="array" ref="M331">IFERROR(_xlfn.LET(_xlpm.films,Table4[Film],_xlpm.grades,Table4[Grade],_xlpm.pairs,_xlfn._xlws.FILTER(_xlfn.HSTACK(_xlpm.films,_xlpm.grades),(_xlpm.films&lt;&gt;"")*(TRIM(_xlpm.grades)&lt;&gt;"")),_xlpm.uniquePairs,_xlfn.UNIQUE(_xlpm.pairs),_xlpm.sortedPairs,_xlfn._xlws.SORT(_xlpm.uniquePairs,1,1),INDEX(_xlpm.sortedPairs,ROWS($M$2:M331),2)),"")</f>
        <v/>
      </c>
      <c r="N331" s="15" t="str" cm="1">
        <f t="array" ref="N331">IF(OR(Table2[[#This Row],[Film]]="",Table2[[#This Row],[Grade]]=""),"",IFERROR(INDEX(Table4[Serial Number],MATCH(1,(Table4[Film]=Table2[[#This Row],[Film]])*(Table4[Grade]=Table2[[#This Row],[Grade]]),0)),""))</f>
        <v/>
      </c>
      <c r="O331" s="52" t="str">
        <f>IF(OR(Table2[[#This Row],[Film]]="",Table2[[#This Row],[Grade]]=""),"",SUMIFS(Table4[Price Calculated(€) Thickness &amp; QTY related],Table4[Film],Table2[[#This Row],[Film]],Table4[Grade],Table2[[#This Row],[Grade]]))</f>
        <v/>
      </c>
      <c r="P331" s="6"/>
      <c r="T331" s="6"/>
    </row>
    <row r="332" spans="1:20">
      <c r="A332" s="29"/>
      <c r="B332" s="29" t="s">
        <v>5</v>
      </c>
      <c r="C332" s="28"/>
      <c r="D332" s="28" t="str">
        <f>IF(C332="","",IFERROR(_xlfn.XLOOKUP(C332,HELPER!$A$2:$A$81,HELPER!$B$2:$B$81,""),D332))</f>
        <v/>
      </c>
      <c r="E332" s="28" t="str">
        <f>IFERROR(_xlfn.XLOOKUP(D332,HELPER!$B:$B,HELPER!$C:$C,""),"")</f>
        <v/>
      </c>
      <c r="F332" s="27" t="str">
        <f>IFERROR(_xlfn.XLOOKUP(D332,HELPER!$B:$B,HELPER!$D:$D,""),"")</f>
        <v/>
      </c>
      <c r="G332" s="27">
        <v>8</v>
      </c>
      <c r="H332" s="47"/>
      <c r="I332" s="48" t="str">
        <f>IF(AND(H332&lt;&gt;"",IFERROR(_xlfn.XLOOKUP(D332,HELPER!$B:$B,HELPER!$E:$E,""),"")=""),"Missing price",IFERROR(_xlfn.XLOOKUP(D332,HELPER!$B:$B,HELPER!$E:$E,"")," "))</f>
        <v/>
      </c>
      <c r="J332" s="48" t="str">
        <f>IFERROR(H332*(IF(G332=8,I332*HELPER!$G$2,BOM!I332*HELPER!$G$3))," ")</f>
        <v xml:space="preserve"> </v>
      </c>
      <c r="K332" s="6"/>
      <c r="L332" s="14" t="str" cm="1">
        <f t="array" ref="L332">IFERROR(_xlfn.LET(_xlpm.films,Table4[Film],_xlpm.grades,Table4[Grade],_xlpm.pairs,_xlfn._xlws.FILTER(_xlfn.HSTACK(_xlpm.films,_xlpm.grades),(_xlpm.films&lt;&gt;"")*(TRIM(_xlpm.grades)&lt;&gt;"")),_xlpm.uniquePairs,_xlfn.UNIQUE(_xlpm.pairs),_xlpm.sortedPairs,_xlfn._xlws.SORT(_xlpm.uniquePairs,1,1),INDEX(_xlpm.sortedPairs,ROWS($L$2:L332),1)),"")</f>
        <v/>
      </c>
      <c r="M332" s="15" t="str" cm="1">
        <f t="array" ref="M332">IFERROR(_xlfn.LET(_xlpm.films,Table4[Film],_xlpm.grades,Table4[Grade],_xlpm.pairs,_xlfn._xlws.FILTER(_xlfn.HSTACK(_xlpm.films,_xlpm.grades),(_xlpm.films&lt;&gt;"")*(TRIM(_xlpm.grades)&lt;&gt;"")),_xlpm.uniquePairs,_xlfn.UNIQUE(_xlpm.pairs),_xlpm.sortedPairs,_xlfn._xlws.SORT(_xlpm.uniquePairs,1,1),INDEX(_xlpm.sortedPairs,ROWS($M$2:M332),2)),"")</f>
        <v/>
      </c>
      <c r="N332" s="15" t="str" cm="1">
        <f t="array" ref="N332">IF(OR(Table2[[#This Row],[Film]]="",Table2[[#This Row],[Grade]]=""),"",IFERROR(INDEX(Table4[Serial Number],MATCH(1,(Table4[Film]=Table2[[#This Row],[Film]])*(Table4[Grade]=Table2[[#This Row],[Grade]]),0)),""))</f>
        <v/>
      </c>
      <c r="O332" s="52" t="str">
        <f>IF(OR(Table2[[#This Row],[Film]]="",Table2[[#This Row],[Grade]]=""),"",SUMIFS(Table4[Price Calculated(€) Thickness &amp; QTY related],Table4[Film],Table2[[#This Row],[Film]],Table4[Grade],Table2[[#This Row],[Grade]]))</f>
        <v/>
      </c>
      <c r="P332" s="6"/>
      <c r="T332" s="6"/>
    </row>
    <row r="333" spans="1:20">
      <c r="A333" s="29"/>
      <c r="B333" s="29" t="s">
        <v>5</v>
      </c>
      <c r="C333" s="28"/>
      <c r="D333" s="28" t="str">
        <f>IF(C333="","",IFERROR(_xlfn.XLOOKUP(C333,HELPER!$A$2:$A$81,HELPER!$B$2:$B$81,""),D333))</f>
        <v/>
      </c>
      <c r="E333" s="28" t="str">
        <f>IFERROR(_xlfn.XLOOKUP(D333,HELPER!$B:$B,HELPER!$C:$C,""),"")</f>
        <v/>
      </c>
      <c r="F333" s="27" t="str">
        <f>IFERROR(_xlfn.XLOOKUP(D333,HELPER!$B:$B,HELPER!$D:$D,""),"")</f>
        <v/>
      </c>
      <c r="G333" s="27">
        <v>8</v>
      </c>
      <c r="H333" s="47"/>
      <c r="I333" s="48" t="str">
        <f>IF(AND(H333&lt;&gt;"",IFERROR(_xlfn.XLOOKUP(D333,HELPER!$B:$B,HELPER!$E:$E,""),"")=""),"Missing price",IFERROR(_xlfn.XLOOKUP(D333,HELPER!$B:$B,HELPER!$E:$E,"")," "))</f>
        <v/>
      </c>
      <c r="J333" s="48" t="str">
        <f>IFERROR(H333*(IF(G333=8,I333*HELPER!$G$2,BOM!I333*HELPER!$G$3))," ")</f>
        <v xml:space="preserve"> </v>
      </c>
      <c r="K333" s="6"/>
      <c r="L333" s="14" t="str" cm="1">
        <f t="array" ref="L333">IFERROR(_xlfn.LET(_xlpm.films,Table4[Film],_xlpm.grades,Table4[Grade],_xlpm.pairs,_xlfn._xlws.FILTER(_xlfn.HSTACK(_xlpm.films,_xlpm.grades),(_xlpm.films&lt;&gt;"")*(TRIM(_xlpm.grades)&lt;&gt;"")),_xlpm.uniquePairs,_xlfn.UNIQUE(_xlpm.pairs),_xlpm.sortedPairs,_xlfn._xlws.SORT(_xlpm.uniquePairs,1,1),INDEX(_xlpm.sortedPairs,ROWS($L$2:L333),1)),"")</f>
        <v/>
      </c>
      <c r="M333" s="15" t="str" cm="1">
        <f t="array" ref="M333">IFERROR(_xlfn.LET(_xlpm.films,Table4[Film],_xlpm.grades,Table4[Grade],_xlpm.pairs,_xlfn._xlws.FILTER(_xlfn.HSTACK(_xlpm.films,_xlpm.grades),(_xlpm.films&lt;&gt;"")*(TRIM(_xlpm.grades)&lt;&gt;"")),_xlpm.uniquePairs,_xlfn.UNIQUE(_xlpm.pairs),_xlpm.sortedPairs,_xlfn._xlws.SORT(_xlpm.uniquePairs,1,1),INDEX(_xlpm.sortedPairs,ROWS($M$2:M333),2)),"")</f>
        <v/>
      </c>
      <c r="N333" s="15" t="str" cm="1">
        <f t="array" ref="N333">IF(OR(Table2[[#This Row],[Film]]="",Table2[[#This Row],[Grade]]=""),"",IFERROR(INDEX(Table4[Serial Number],MATCH(1,(Table4[Film]=Table2[[#This Row],[Film]])*(Table4[Grade]=Table2[[#This Row],[Grade]]),0)),""))</f>
        <v/>
      </c>
      <c r="O333" s="52" t="str">
        <f>IF(OR(Table2[[#This Row],[Film]]="",Table2[[#This Row],[Grade]]=""),"",SUMIFS(Table4[Price Calculated(€) Thickness &amp; QTY related],Table4[Film],Table2[[#This Row],[Film]],Table4[Grade],Table2[[#This Row],[Grade]]))</f>
        <v/>
      </c>
      <c r="P333" s="6"/>
      <c r="T333" s="6"/>
    </row>
    <row r="334" spans="1:20">
      <c r="A334" s="29"/>
      <c r="B334" s="29" t="s">
        <v>5</v>
      </c>
      <c r="C334" s="28"/>
      <c r="D334" s="28" t="str">
        <f>IF(C334="","",IFERROR(_xlfn.XLOOKUP(C334,HELPER!$A$2:$A$81,HELPER!$B$2:$B$81,""),D334))</f>
        <v/>
      </c>
      <c r="E334" s="28" t="str">
        <f>IFERROR(_xlfn.XLOOKUP(D334,HELPER!$B:$B,HELPER!$C:$C,""),"")</f>
        <v/>
      </c>
      <c r="F334" s="27" t="str">
        <f>IFERROR(_xlfn.XLOOKUP(D334,HELPER!$B:$B,HELPER!$D:$D,""),"")</f>
        <v/>
      </c>
      <c r="G334" s="27">
        <v>8</v>
      </c>
      <c r="H334" s="47"/>
      <c r="I334" s="48" t="str">
        <f>IF(AND(H334&lt;&gt;"",IFERROR(_xlfn.XLOOKUP(D334,HELPER!$B:$B,HELPER!$E:$E,""),"")=""),"Missing price",IFERROR(_xlfn.XLOOKUP(D334,HELPER!$B:$B,HELPER!$E:$E,"")," "))</f>
        <v/>
      </c>
      <c r="J334" s="48" t="str">
        <f>IFERROR(H334*(IF(G334=8,I334*HELPER!$G$2,BOM!I334*HELPER!$G$3))," ")</f>
        <v xml:space="preserve"> </v>
      </c>
      <c r="K334" s="6"/>
      <c r="L334" s="14" t="str" cm="1">
        <f t="array" ref="L334">IFERROR(_xlfn.LET(_xlpm.films,Table4[Film],_xlpm.grades,Table4[Grade],_xlpm.pairs,_xlfn._xlws.FILTER(_xlfn.HSTACK(_xlpm.films,_xlpm.grades),(_xlpm.films&lt;&gt;"")*(TRIM(_xlpm.grades)&lt;&gt;"")),_xlpm.uniquePairs,_xlfn.UNIQUE(_xlpm.pairs),_xlpm.sortedPairs,_xlfn._xlws.SORT(_xlpm.uniquePairs,1,1),INDEX(_xlpm.sortedPairs,ROWS($L$2:L334),1)),"")</f>
        <v/>
      </c>
      <c r="M334" s="15" t="str" cm="1">
        <f t="array" ref="M334">IFERROR(_xlfn.LET(_xlpm.films,Table4[Film],_xlpm.grades,Table4[Grade],_xlpm.pairs,_xlfn._xlws.FILTER(_xlfn.HSTACK(_xlpm.films,_xlpm.grades),(_xlpm.films&lt;&gt;"")*(TRIM(_xlpm.grades)&lt;&gt;"")),_xlpm.uniquePairs,_xlfn.UNIQUE(_xlpm.pairs),_xlpm.sortedPairs,_xlfn._xlws.SORT(_xlpm.uniquePairs,1,1),INDEX(_xlpm.sortedPairs,ROWS($M$2:M334),2)),"")</f>
        <v/>
      </c>
      <c r="N334" s="15" t="str" cm="1">
        <f t="array" ref="N334">IF(OR(Table2[[#This Row],[Film]]="",Table2[[#This Row],[Grade]]=""),"",IFERROR(INDEX(Table4[Serial Number],MATCH(1,(Table4[Film]=Table2[[#This Row],[Film]])*(Table4[Grade]=Table2[[#This Row],[Grade]]),0)),""))</f>
        <v/>
      </c>
      <c r="O334" s="52" t="str">
        <f>IF(OR(Table2[[#This Row],[Film]]="",Table2[[#This Row],[Grade]]=""),"",SUMIFS(Table4[Price Calculated(€) Thickness &amp; QTY related],Table4[Film],Table2[[#This Row],[Film]],Table4[Grade],Table2[[#This Row],[Grade]]))</f>
        <v/>
      </c>
      <c r="P334" s="6"/>
      <c r="T334" s="6"/>
    </row>
    <row r="335" spans="1:20">
      <c r="A335" s="29"/>
      <c r="B335" s="29" t="s">
        <v>5</v>
      </c>
      <c r="C335" s="28"/>
      <c r="D335" s="28" t="str">
        <f>IF(C335="","",IFERROR(_xlfn.XLOOKUP(C335,HELPER!$A$2:$A$81,HELPER!$B$2:$B$81,""),D335))</f>
        <v/>
      </c>
      <c r="E335" s="28" t="str">
        <f>IFERROR(_xlfn.XLOOKUP(D335,HELPER!$B:$B,HELPER!$C:$C,""),"")</f>
        <v/>
      </c>
      <c r="F335" s="27" t="str">
        <f>IFERROR(_xlfn.XLOOKUP(D335,HELPER!$B:$B,HELPER!$D:$D,""),"")</f>
        <v/>
      </c>
      <c r="G335" s="27">
        <v>8</v>
      </c>
      <c r="H335" s="47"/>
      <c r="I335" s="48" t="str">
        <f>IF(AND(H335&lt;&gt;"",IFERROR(_xlfn.XLOOKUP(D335,HELPER!$B:$B,HELPER!$E:$E,""),"")=""),"Missing price",IFERROR(_xlfn.XLOOKUP(D335,HELPER!$B:$B,HELPER!$E:$E,"")," "))</f>
        <v/>
      </c>
      <c r="J335" s="48" t="str">
        <f>IFERROR(H335*(IF(G335=8,I335*HELPER!$G$2,BOM!I335*HELPER!$G$3))," ")</f>
        <v xml:space="preserve"> </v>
      </c>
      <c r="K335" s="6"/>
      <c r="L335" s="14" t="str" cm="1">
        <f t="array" ref="L335">IFERROR(_xlfn.LET(_xlpm.films,Table4[Film],_xlpm.grades,Table4[Grade],_xlpm.pairs,_xlfn._xlws.FILTER(_xlfn.HSTACK(_xlpm.films,_xlpm.grades),(_xlpm.films&lt;&gt;"")*(TRIM(_xlpm.grades)&lt;&gt;"")),_xlpm.uniquePairs,_xlfn.UNIQUE(_xlpm.pairs),_xlpm.sortedPairs,_xlfn._xlws.SORT(_xlpm.uniquePairs,1,1),INDEX(_xlpm.sortedPairs,ROWS($L$2:L335),1)),"")</f>
        <v/>
      </c>
      <c r="M335" s="15" t="str" cm="1">
        <f t="array" ref="M335">IFERROR(_xlfn.LET(_xlpm.films,Table4[Film],_xlpm.grades,Table4[Grade],_xlpm.pairs,_xlfn._xlws.FILTER(_xlfn.HSTACK(_xlpm.films,_xlpm.grades),(_xlpm.films&lt;&gt;"")*(TRIM(_xlpm.grades)&lt;&gt;"")),_xlpm.uniquePairs,_xlfn.UNIQUE(_xlpm.pairs),_xlpm.sortedPairs,_xlfn._xlws.SORT(_xlpm.uniquePairs,1,1),INDEX(_xlpm.sortedPairs,ROWS($M$2:M335),2)),"")</f>
        <v/>
      </c>
      <c r="N335" s="15" t="str" cm="1">
        <f t="array" ref="N335">IF(OR(Table2[[#This Row],[Film]]="",Table2[[#This Row],[Grade]]=""),"",IFERROR(INDEX(Table4[Serial Number],MATCH(1,(Table4[Film]=Table2[[#This Row],[Film]])*(Table4[Grade]=Table2[[#This Row],[Grade]]),0)),""))</f>
        <v/>
      </c>
      <c r="O335" s="52" t="str">
        <f>IF(OR(Table2[[#This Row],[Film]]="",Table2[[#This Row],[Grade]]=""),"",SUMIFS(Table4[Price Calculated(€) Thickness &amp; QTY related],Table4[Film],Table2[[#This Row],[Film]],Table4[Grade],Table2[[#This Row],[Grade]]))</f>
        <v/>
      </c>
      <c r="P335" s="6"/>
      <c r="T335" s="6"/>
    </row>
    <row r="336" spans="1:20">
      <c r="A336" s="29"/>
      <c r="B336" s="29" t="s">
        <v>5</v>
      </c>
      <c r="C336" s="28"/>
      <c r="D336" s="28" t="str">
        <f>IF(C336="","",IFERROR(_xlfn.XLOOKUP(C336,HELPER!$A$2:$A$81,HELPER!$B$2:$B$81,""),D336))</f>
        <v/>
      </c>
      <c r="E336" s="28" t="str">
        <f>IFERROR(_xlfn.XLOOKUP(D336,HELPER!$B:$B,HELPER!$C:$C,""),"")</f>
        <v/>
      </c>
      <c r="F336" s="27" t="str">
        <f>IFERROR(_xlfn.XLOOKUP(D336,HELPER!$B:$B,HELPER!$D:$D,""),"")</f>
        <v/>
      </c>
      <c r="G336" s="27">
        <v>8</v>
      </c>
      <c r="H336" s="47"/>
      <c r="I336" s="48" t="str">
        <f>IF(AND(H336&lt;&gt;"",IFERROR(_xlfn.XLOOKUP(D336,HELPER!$B:$B,HELPER!$E:$E,""),"")=""),"Missing price",IFERROR(_xlfn.XLOOKUP(D336,HELPER!$B:$B,HELPER!$E:$E,"")," "))</f>
        <v/>
      </c>
      <c r="J336" s="48" t="str">
        <f>IFERROR(H336*(IF(G336=8,I336*HELPER!$G$2,BOM!I336*HELPER!$G$3))," ")</f>
        <v xml:space="preserve"> </v>
      </c>
      <c r="K336" s="6"/>
      <c r="L336" s="14" t="str" cm="1">
        <f t="array" ref="L336">IFERROR(_xlfn.LET(_xlpm.films,Table4[Film],_xlpm.grades,Table4[Grade],_xlpm.pairs,_xlfn._xlws.FILTER(_xlfn.HSTACK(_xlpm.films,_xlpm.grades),(_xlpm.films&lt;&gt;"")*(TRIM(_xlpm.grades)&lt;&gt;"")),_xlpm.uniquePairs,_xlfn.UNIQUE(_xlpm.pairs),_xlpm.sortedPairs,_xlfn._xlws.SORT(_xlpm.uniquePairs,1,1),INDEX(_xlpm.sortedPairs,ROWS($L$2:L336),1)),"")</f>
        <v/>
      </c>
      <c r="M336" s="15" t="str" cm="1">
        <f t="array" ref="M336">IFERROR(_xlfn.LET(_xlpm.films,Table4[Film],_xlpm.grades,Table4[Grade],_xlpm.pairs,_xlfn._xlws.FILTER(_xlfn.HSTACK(_xlpm.films,_xlpm.grades),(_xlpm.films&lt;&gt;"")*(TRIM(_xlpm.grades)&lt;&gt;"")),_xlpm.uniquePairs,_xlfn.UNIQUE(_xlpm.pairs),_xlpm.sortedPairs,_xlfn._xlws.SORT(_xlpm.uniquePairs,1,1),INDEX(_xlpm.sortedPairs,ROWS($M$2:M336),2)),"")</f>
        <v/>
      </c>
      <c r="N336" s="15" t="str" cm="1">
        <f t="array" ref="N336">IF(OR(Table2[[#This Row],[Film]]="",Table2[[#This Row],[Grade]]=""),"",IFERROR(INDEX(Table4[Serial Number],MATCH(1,(Table4[Film]=Table2[[#This Row],[Film]])*(Table4[Grade]=Table2[[#This Row],[Grade]]),0)),""))</f>
        <v/>
      </c>
      <c r="O336" s="52" t="str">
        <f>IF(OR(Table2[[#This Row],[Film]]="",Table2[[#This Row],[Grade]]=""),"",SUMIFS(Table4[Price Calculated(€) Thickness &amp; QTY related],Table4[Film],Table2[[#This Row],[Film]],Table4[Grade],Table2[[#This Row],[Grade]]))</f>
        <v/>
      </c>
      <c r="P336" s="6"/>
      <c r="T336" s="6"/>
    </row>
    <row r="337" spans="1:20">
      <c r="A337" s="29"/>
      <c r="B337" s="29" t="s">
        <v>5</v>
      </c>
      <c r="C337" s="28"/>
      <c r="D337" s="28" t="str">
        <f>IF(C337="","",IFERROR(_xlfn.XLOOKUP(C337,HELPER!$A$2:$A$81,HELPER!$B$2:$B$81,""),D337))</f>
        <v/>
      </c>
      <c r="E337" s="28" t="str">
        <f>IFERROR(_xlfn.XLOOKUP(D337,HELPER!$B:$B,HELPER!$C:$C,""),"")</f>
        <v/>
      </c>
      <c r="F337" s="27" t="str">
        <f>IFERROR(_xlfn.XLOOKUP(D337,HELPER!$B:$B,HELPER!$D:$D,""),"")</f>
        <v/>
      </c>
      <c r="G337" s="27">
        <v>8</v>
      </c>
      <c r="H337" s="47"/>
      <c r="I337" s="48" t="str">
        <f>IF(AND(H337&lt;&gt;"",IFERROR(_xlfn.XLOOKUP(D337,HELPER!$B:$B,HELPER!$E:$E,""),"")=""),"Missing price",IFERROR(_xlfn.XLOOKUP(D337,HELPER!$B:$B,HELPER!$E:$E,"")," "))</f>
        <v/>
      </c>
      <c r="J337" s="48" t="str">
        <f>IFERROR(H337*(IF(G337=8,I337*HELPER!$G$2,BOM!I337*HELPER!$G$3))," ")</f>
        <v xml:space="preserve"> </v>
      </c>
      <c r="K337" s="6"/>
      <c r="L337" s="14" t="str" cm="1">
        <f t="array" ref="L337">IFERROR(_xlfn.LET(_xlpm.films,Table4[Film],_xlpm.grades,Table4[Grade],_xlpm.pairs,_xlfn._xlws.FILTER(_xlfn.HSTACK(_xlpm.films,_xlpm.grades),(_xlpm.films&lt;&gt;"")*(TRIM(_xlpm.grades)&lt;&gt;"")),_xlpm.uniquePairs,_xlfn.UNIQUE(_xlpm.pairs),_xlpm.sortedPairs,_xlfn._xlws.SORT(_xlpm.uniquePairs,1,1),INDEX(_xlpm.sortedPairs,ROWS($L$2:L337),1)),"")</f>
        <v/>
      </c>
      <c r="M337" s="15" t="str" cm="1">
        <f t="array" ref="M337">IFERROR(_xlfn.LET(_xlpm.films,Table4[Film],_xlpm.grades,Table4[Grade],_xlpm.pairs,_xlfn._xlws.FILTER(_xlfn.HSTACK(_xlpm.films,_xlpm.grades),(_xlpm.films&lt;&gt;"")*(TRIM(_xlpm.grades)&lt;&gt;"")),_xlpm.uniquePairs,_xlfn.UNIQUE(_xlpm.pairs),_xlpm.sortedPairs,_xlfn._xlws.SORT(_xlpm.uniquePairs,1,1),INDEX(_xlpm.sortedPairs,ROWS($M$2:M337),2)),"")</f>
        <v/>
      </c>
      <c r="N337" s="15" t="str" cm="1">
        <f t="array" ref="N337">IF(OR(Table2[[#This Row],[Film]]="",Table2[[#This Row],[Grade]]=""),"",IFERROR(INDEX(Table4[Serial Number],MATCH(1,(Table4[Film]=Table2[[#This Row],[Film]])*(Table4[Grade]=Table2[[#This Row],[Grade]]),0)),""))</f>
        <v/>
      </c>
      <c r="O337" s="52" t="str">
        <f>IF(OR(Table2[[#This Row],[Film]]="",Table2[[#This Row],[Grade]]=""),"",SUMIFS(Table4[Price Calculated(€) Thickness &amp; QTY related],Table4[Film],Table2[[#This Row],[Film]],Table4[Grade],Table2[[#This Row],[Grade]]))</f>
        <v/>
      </c>
      <c r="P337" s="6"/>
      <c r="T337" s="6"/>
    </row>
    <row r="338" spans="1:20">
      <c r="A338" s="29"/>
      <c r="B338" s="29" t="s">
        <v>5</v>
      </c>
      <c r="C338" s="28"/>
      <c r="D338" s="28" t="str">
        <f>IF(C338="","",IFERROR(_xlfn.XLOOKUP(C338,HELPER!$A$2:$A$81,HELPER!$B$2:$B$81,""),D338))</f>
        <v/>
      </c>
      <c r="E338" s="28" t="str">
        <f>IFERROR(_xlfn.XLOOKUP(D338,HELPER!$B:$B,HELPER!$C:$C,""),"")</f>
        <v/>
      </c>
      <c r="F338" s="27" t="str">
        <f>IFERROR(_xlfn.XLOOKUP(D338,HELPER!$B:$B,HELPER!$D:$D,""),"")</f>
        <v/>
      </c>
      <c r="G338" s="27">
        <v>8</v>
      </c>
      <c r="H338" s="47"/>
      <c r="I338" s="48" t="str">
        <f>IF(AND(H338&lt;&gt;"",IFERROR(_xlfn.XLOOKUP(D338,HELPER!$B:$B,HELPER!$E:$E,""),"")=""),"Missing price",IFERROR(_xlfn.XLOOKUP(D338,HELPER!$B:$B,HELPER!$E:$E,"")," "))</f>
        <v/>
      </c>
      <c r="J338" s="48" t="str">
        <f>IFERROR(H338*(IF(G338=8,I338*HELPER!$G$2,BOM!I338*HELPER!$G$3))," ")</f>
        <v xml:space="preserve"> </v>
      </c>
      <c r="K338" s="6"/>
      <c r="L338" s="14" t="str" cm="1">
        <f t="array" ref="L338">IFERROR(_xlfn.LET(_xlpm.films,Table4[Film],_xlpm.grades,Table4[Grade],_xlpm.pairs,_xlfn._xlws.FILTER(_xlfn.HSTACK(_xlpm.films,_xlpm.grades),(_xlpm.films&lt;&gt;"")*(TRIM(_xlpm.grades)&lt;&gt;"")),_xlpm.uniquePairs,_xlfn.UNIQUE(_xlpm.pairs),_xlpm.sortedPairs,_xlfn._xlws.SORT(_xlpm.uniquePairs,1,1),INDEX(_xlpm.sortedPairs,ROWS($L$2:L338),1)),"")</f>
        <v/>
      </c>
      <c r="M338" s="15" t="str" cm="1">
        <f t="array" ref="M338">IFERROR(_xlfn.LET(_xlpm.films,Table4[Film],_xlpm.grades,Table4[Grade],_xlpm.pairs,_xlfn._xlws.FILTER(_xlfn.HSTACK(_xlpm.films,_xlpm.grades),(_xlpm.films&lt;&gt;"")*(TRIM(_xlpm.grades)&lt;&gt;"")),_xlpm.uniquePairs,_xlfn.UNIQUE(_xlpm.pairs),_xlpm.sortedPairs,_xlfn._xlws.SORT(_xlpm.uniquePairs,1,1),INDEX(_xlpm.sortedPairs,ROWS($M$2:M338),2)),"")</f>
        <v/>
      </c>
      <c r="N338" s="15" t="str" cm="1">
        <f t="array" ref="N338">IF(OR(Table2[[#This Row],[Film]]="",Table2[[#This Row],[Grade]]=""),"",IFERROR(INDEX(Table4[Serial Number],MATCH(1,(Table4[Film]=Table2[[#This Row],[Film]])*(Table4[Grade]=Table2[[#This Row],[Grade]]),0)),""))</f>
        <v/>
      </c>
      <c r="O338" s="52" t="str">
        <f>IF(OR(Table2[[#This Row],[Film]]="",Table2[[#This Row],[Grade]]=""),"",SUMIFS(Table4[Price Calculated(€) Thickness &amp; QTY related],Table4[Film],Table2[[#This Row],[Film]],Table4[Grade],Table2[[#This Row],[Grade]]))</f>
        <v/>
      </c>
      <c r="P338" s="6"/>
      <c r="T338" s="6"/>
    </row>
    <row r="339" spans="1:20">
      <c r="A339" s="29"/>
      <c r="B339" s="29" t="s">
        <v>5</v>
      </c>
      <c r="C339" s="28"/>
      <c r="D339" s="28" t="str">
        <f>IF(C339="","",IFERROR(_xlfn.XLOOKUP(C339,HELPER!$A$2:$A$81,HELPER!$B$2:$B$81,""),D339))</f>
        <v/>
      </c>
      <c r="E339" s="28" t="str">
        <f>IFERROR(_xlfn.XLOOKUP(D339,HELPER!$B:$B,HELPER!$C:$C,""),"")</f>
        <v/>
      </c>
      <c r="F339" s="27" t="str">
        <f>IFERROR(_xlfn.XLOOKUP(D339,HELPER!$B:$B,HELPER!$D:$D,""),"")</f>
        <v/>
      </c>
      <c r="G339" s="27">
        <v>8</v>
      </c>
      <c r="H339" s="47"/>
      <c r="I339" s="48" t="str">
        <f>IF(AND(H339&lt;&gt;"",IFERROR(_xlfn.XLOOKUP(D339,HELPER!$B:$B,HELPER!$E:$E,""),"")=""),"Missing price",IFERROR(_xlfn.XLOOKUP(D339,HELPER!$B:$B,HELPER!$E:$E,"")," "))</f>
        <v/>
      </c>
      <c r="J339" s="48" t="str">
        <f>IFERROR(H339*(IF(G339=8,I339*HELPER!$G$2,BOM!I339*HELPER!$G$3))," ")</f>
        <v xml:space="preserve"> </v>
      </c>
      <c r="K339" s="6"/>
      <c r="L339" s="14" t="str" cm="1">
        <f t="array" ref="L339">IFERROR(_xlfn.LET(_xlpm.films,Table4[Film],_xlpm.grades,Table4[Grade],_xlpm.pairs,_xlfn._xlws.FILTER(_xlfn.HSTACK(_xlpm.films,_xlpm.grades),(_xlpm.films&lt;&gt;"")*(TRIM(_xlpm.grades)&lt;&gt;"")),_xlpm.uniquePairs,_xlfn.UNIQUE(_xlpm.pairs),_xlpm.sortedPairs,_xlfn._xlws.SORT(_xlpm.uniquePairs,1,1),INDEX(_xlpm.sortedPairs,ROWS($L$2:L339),1)),"")</f>
        <v/>
      </c>
      <c r="M339" s="15" t="str" cm="1">
        <f t="array" ref="M339">IFERROR(_xlfn.LET(_xlpm.films,Table4[Film],_xlpm.grades,Table4[Grade],_xlpm.pairs,_xlfn._xlws.FILTER(_xlfn.HSTACK(_xlpm.films,_xlpm.grades),(_xlpm.films&lt;&gt;"")*(TRIM(_xlpm.grades)&lt;&gt;"")),_xlpm.uniquePairs,_xlfn.UNIQUE(_xlpm.pairs),_xlpm.sortedPairs,_xlfn._xlws.SORT(_xlpm.uniquePairs,1,1),INDEX(_xlpm.sortedPairs,ROWS($M$2:M339),2)),"")</f>
        <v/>
      </c>
      <c r="N339" s="15" t="str" cm="1">
        <f t="array" ref="N339">IF(OR(Table2[[#This Row],[Film]]="",Table2[[#This Row],[Grade]]=""),"",IFERROR(INDEX(Table4[Serial Number],MATCH(1,(Table4[Film]=Table2[[#This Row],[Film]])*(Table4[Grade]=Table2[[#This Row],[Grade]]),0)),""))</f>
        <v/>
      </c>
      <c r="O339" s="52" t="str">
        <f>IF(OR(Table2[[#This Row],[Film]]="",Table2[[#This Row],[Grade]]=""),"",SUMIFS(Table4[Price Calculated(€) Thickness &amp; QTY related],Table4[Film],Table2[[#This Row],[Film]],Table4[Grade],Table2[[#This Row],[Grade]]))</f>
        <v/>
      </c>
      <c r="P339" s="6"/>
      <c r="T339" s="6"/>
    </row>
    <row r="340" spans="1:20">
      <c r="A340" s="29"/>
      <c r="B340" s="29" t="s">
        <v>5</v>
      </c>
      <c r="C340" s="28"/>
      <c r="D340" s="28" t="str">
        <f>IF(C340="","",IFERROR(_xlfn.XLOOKUP(C340,HELPER!$A$2:$A$81,HELPER!$B$2:$B$81,""),D340))</f>
        <v/>
      </c>
      <c r="E340" s="28" t="str">
        <f>IFERROR(_xlfn.XLOOKUP(D340,HELPER!$B:$B,HELPER!$C:$C,""),"")</f>
        <v/>
      </c>
      <c r="F340" s="27" t="str">
        <f>IFERROR(_xlfn.XLOOKUP(D340,HELPER!$B:$B,HELPER!$D:$D,""),"")</f>
        <v/>
      </c>
      <c r="G340" s="27">
        <v>8</v>
      </c>
      <c r="H340" s="47"/>
      <c r="I340" s="48" t="str">
        <f>IF(AND(H340&lt;&gt;"",IFERROR(_xlfn.XLOOKUP(D340,HELPER!$B:$B,HELPER!$E:$E,""),"")=""),"Missing price",IFERROR(_xlfn.XLOOKUP(D340,HELPER!$B:$B,HELPER!$E:$E,"")," "))</f>
        <v/>
      </c>
      <c r="J340" s="48" t="str">
        <f>IFERROR(H340*(IF(G340=8,I340*HELPER!$G$2,BOM!I340*HELPER!$G$3))," ")</f>
        <v xml:space="preserve"> </v>
      </c>
      <c r="K340" s="6"/>
      <c r="L340" s="14" t="str" cm="1">
        <f t="array" ref="L340">IFERROR(_xlfn.LET(_xlpm.films,Table4[Film],_xlpm.grades,Table4[Grade],_xlpm.pairs,_xlfn._xlws.FILTER(_xlfn.HSTACK(_xlpm.films,_xlpm.grades),(_xlpm.films&lt;&gt;"")*(TRIM(_xlpm.grades)&lt;&gt;"")),_xlpm.uniquePairs,_xlfn.UNIQUE(_xlpm.pairs),_xlpm.sortedPairs,_xlfn._xlws.SORT(_xlpm.uniquePairs,1,1),INDEX(_xlpm.sortedPairs,ROWS($L$2:L340),1)),"")</f>
        <v/>
      </c>
      <c r="M340" s="15" t="str" cm="1">
        <f t="array" ref="M340">IFERROR(_xlfn.LET(_xlpm.films,Table4[Film],_xlpm.grades,Table4[Grade],_xlpm.pairs,_xlfn._xlws.FILTER(_xlfn.HSTACK(_xlpm.films,_xlpm.grades),(_xlpm.films&lt;&gt;"")*(TRIM(_xlpm.grades)&lt;&gt;"")),_xlpm.uniquePairs,_xlfn.UNIQUE(_xlpm.pairs),_xlpm.sortedPairs,_xlfn._xlws.SORT(_xlpm.uniquePairs,1,1),INDEX(_xlpm.sortedPairs,ROWS($M$2:M340),2)),"")</f>
        <v/>
      </c>
      <c r="N340" s="15" t="str" cm="1">
        <f t="array" ref="N340">IF(OR(Table2[[#This Row],[Film]]="",Table2[[#This Row],[Grade]]=""),"",IFERROR(INDEX(Table4[Serial Number],MATCH(1,(Table4[Film]=Table2[[#This Row],[Film]])*(Table4[Grade]=Table2[[#This Row],[Grade]]),0)),""))</f>
        <v/>
      </c>
      <c r="O340" s="52" t="str">
        <f>IF(OR(Table2[[#This Row],[Film]]="",Table2[[#This Row],[Grade]]=""),"",SUMIFS(Table4[Price Calculated(€) Thickness &amp; QTY related],Table4[Film],Table2[[#This Row],[Film]],Table4[Grade],Table2[[#This Row],[Grade]]))</f>
        <v/>
      </c>
      <c r="P340" s="6"/>
      <c r="T340" s="6"/>
    </row>
    <row r="341" spans="1:20">
      <c r="A341" s="29"/>
      <c r="B341" s="29" t="s">
        <v>5</v>
      </c>
      <c r="C341" s="28"/>
      <c r="D341" s="28" t="str">
        <f>IF(C341="","",IFERROR(_xlfn.XLOOKUP(C341,HELPER!$A$2:$A$81,HELPER!$B$2:$B$81,""),D341))</f>
        <v/>
      </c>
      <c r="E341" s="28" t="str">
        <f>IFERROR(_xlfn.XLOOKUP(D341,HELPER!$B:$B,HELPER!$C:$C,""),"")</f>
        <v/>
      </c>
      <c r="F341" s="27" t="str">
        <f>IFERROR(_xlfn.XLOOKUP(D341,HELPER!$B:$B,HELPER!$D:$D,""),"")</f>
        <v/>
      </c>
      <c r="G341" s="27">
        <v>8</v>
      </c>
      <c r="H341" s="47"/>
      <c r="I341" s="48" t="str">
        <f>IF(AND(H341&lt;&gt;"",IFERROR(_xlfn.XLOOKUP(D341,HELPER!$B:$B,HELPER!$E:$E,""),"")=""),"Missing price",IFERROR(_xlfn.XLOOKUP(D341,HELPER!$B:$B,HELPER!$E:$E,"")," "))</f>
        <v/>
      </c>
      <c r="J341" s="48" t="str">
        <f>IFERROR(H341*(IF(G341=8,I341*HELPER!$G$2,BOM!I341*HELPER!$G$3))," ")</f>
        <v xml:space="preserve"> </v>
      </c>
      <c r="K341" s="6"/>
      <c r="L341" s="14" t="str" cm="1">
        <f t="array" ref="L341">IFERROR(_xlfn.LET(_xlpm.films,Table4[Film],_xlpm.grades,Table4[Grade],_xlpm.pairs,_xlfn._xlws.FILTER(_xlfn.HSTACK(_xlpm.films,_xlpm.grades),(_xlpm.films&lt;&gt;"")*(TRIM(_xlpm.grades)&lt;&gt;"")),_xlpm.uniquePairs,_xlfn.UNIQUE(_xlpm.pairs),_xlpm.sortedPairs,_xlfn._xlws.SORT(_xlpm.uniquePairs,1,1),INDEX(_xlpm.sortedPairs,ROWS($L$2:L341),1)),"")</f>
        <v/>
      </c>
      <c r="M341" s="15" t="str" cm="1">
        <f t="array" ref="M341">IFERROR(_xlfn.LET(_xlpm.films,Table4[Film],_xlpm.grades,Table4[Grade],_xlpm.pairs,_xlfn._xlws.FILTER(_xlfn.HSTACK(_xlpm.films,_xlpm.grades),(_xlpm.films&lt;&gt;"")*(TRIM(_xlpm.grades)&lt;&gt;"")),_xlpm.uniquePairs,_xlfn.UNIQUE(_xlpm.pairs),_xlpm.sortedPairs,_xlfn._xlws.SORT(_xlpm.uniquePairs,1,1),INDEX(_xlpm.sortedPairs,ROWS($M$2:M341),2)),"")</f>
        <v/>
      </c>
      <c r="N341" s="15" t="str" cm="1">
        <f t="array" ref="N341">IF(OR(Table2[[#This Row],[Film]]="",Table2[[#This Row],[Grade]]=""),"",IFERROR(INDEX(Table4[Serial Number],MATCH(1,(Table4[Film]=Table2[[#This Row],[Film]])*(Table4[Grade]=Table2[[#This Row],[Grade]]),0)),""))</f>
        <v/>
      </c>
      <c r="O341" s="52" t="str">
        <f>IF(OR(Table2[[#This Row],[Film]]="",Table2[[#This Row],[Grade]]=""),"",SUMIFS(Table4[Price Calculated(€) Thickness &amp; QTY related],Table4[Film],Table2[[#This Row],[Film]],Table4[Grade],Table2[[#This Row],[Grade]]))</f>
        <v/>
      </c>
      <c r="P341" s="6"/>
      <c r="T341" s="6"/>
    </row>
    <row r="342" spans="1:20">
      <c r="A342" s="29"/>
      <c r="B342" s="29" t="s">
        <v>6</v>
      </c>
      <c r="C342" s="28"/>
      <c r="D342" s="28" t="str">
        <f>IF(C342="","",IFERROR(_xlfn.XLOOKUP(C342,HELPER!$A$2:$A$81,HELPER!$B$2:$B$81,""),D342))</f>
        <v/>
      </c>
      <c r="E342" s="28" t="str">
        <f>IFERROR(_xlfn.XLOOKUP(D342,HELPER!$B:$B,HELPER!$C:$C,""),"")</f>
        <v/>
      </c>
      <c r="F342" s="27" t="str">
        <f>IFERROR(_xlfn.XLOOKUP(D342,HELPER!$B:$B,HELPER!$D:$D,""),"")</f>
        <v/>
      </c>
      <c r="G342" s="27">
        <v>24</v>
      </c>
      <c r="H342" s="47"/>
      <c r="I342" s="48" t="str">
        <f>IF(AND(H342&lt;&gt;"",IFERROR(_xlfn.XLOOKUP(D342,HELPER!$B:$B,HELPER!$E:$E,""),"")=""),"Missing price",IFERROR(_xlfn.XLOOKUP(D342,HELPER!$B:$B,HELPER!$E:$E,"")," "))</f>
        <v/>
      </c>
      <c r="J342" s="48" t="str">
        <f>IFERROR(H342*(IF(G342=8,I342*HELPER!$G$2,BOM!I342*HELPER!$G$3))," ")</f>
        <v xml:space="preserve"> </v>
      </c>
      <c r="K342" s="6"/>
      <c r="L342" s="14" t="str" cm="1">
        <f t="array" ref="L342">IFERROR(_xlfn.LET(_xlpm.films,Table4[Film],_xlpm.grades,Table4[Grade],_xlpm.pairs,_xlfn._xlws.FILTER(_xlfn.HSTACK(_xlpm.films,_xlpm.grades),(_xlpm.films&lt;&gt;"")*(TRIM(_xlpm.grades)&lt;&gt;"")),_xlpm.uniquePairs,_xlfn.UNIQUE(_xlpm.pairs),_xlpm.sortedPairs,_xlfn._xlws.SORT(_xlpm.uniquePairs,1,1),INDEX(_xlpm.sortedPairs,ROWS($L$2:L342),1)),"")</f>
        <v/>
      </c>
      <c r="M342" s="15" t="str" cm="1">
        <f t="array" ref="M342">IFERROR(_xlfn.LET(_xlpm.films,Table4[Film],_xlpm.grades,Table4[Grade],_xlpm.pairs,_xlfn._xlws.FILTER(_xlfn.HSTACK(_xlpm.films,_xlpm.grades),(_xlpm.films&lt;&gt;"")*(TRIM(_xlpm.grades)&lt;&gt;"")),_xlpm.uniquePairs,_xlfn.UNIQUE(_xlpm.pairs),_xlpm.sortedPairs,_xlfn._xlws.SORT(_xlpm.uniquePairs,1,1),INDEX(_xlpm.sortedPairs,ROWS($M$2:M342),2)),"")</f>
        <v/>
      </c>
      <c r="N342" s="15" t="str" cm="1">
        <f t="array" ref="N342">IF(OR(Table2[[#This Row],[Film]]="",Table2[[#This Row],[Grade]]=""),"",IFERROR(INDEX(Table4[Serial Number],MATCH(1,(Table4[Film]=Table2[[#This Row],[Film]])*(Table4[Grade]=Table2[[#This Row],[Grade]]),0)),""))</f>
        <v/>
      </c>
      <c r="O342" s="52" t="str">
        <f>IF(OR(Table2[[#This Row],[Film]]="",Table2[[#This Row],[Grade]]=""),"",SUMIFS(Table4[Price Calculated(€) Thickness &amp; QTY related],Table4[Film],Table2[[#This Row],[Film]],Table4[Grade],Table2[[#This Row],[Grade]]))</f>
        <v/>
      </c>
      <c r="P342" s="6"/>
      <c r="T342" s="6"/>
    </row>
    <row r="343" spans="1:20">
      <c r="A343" s="29"/>
      <c r="B343" s="29" t="s">
        <v>6</v>
      </c>
      <c r="C343" s="28"/>
      <c r="D343" s="28" t="str">
        <f>IF(C343="","",IFERROR(_xlfn.XLOOKUP(C343,HELPER!$A$2:$A$81,HELPER!$B$2:$B$81,""),D343))</f>
        <v/>
      </c>
      <c r="E343" s="28" t="str">
        <f>IFERROR(_xlfn.XLOOKUP(D343,HELPER!$B:$B,HELPER!$C:$C,""),"")</f>
        <v/>
      </c>
      <c r="F343" s="27" t="str">
        <f>IFERROR(_xlfn.XLOOKUP(D343,HELPER!$B:$B,HELPER!$D:$D,""),"")</f>
        <v/>
      </c>
      <c r="G343" s="27">
        <v>24</v>
      </c>
      <c r="H343" s="47"/>
      <c r="I343" s="48" t="str">
        <f>IF(AND(H343&lt;&gt;"",IFERROR(_xlfn.XLOOKUP(D343,HELPER!$B:$B,HELPER!$E:$E,""),"")=""),"Missing price",IFERROR(_xlfn.XLOOKUP(D343,HELPER!$B:$B,HELPER!$E:$E,"")," "))</f>
        <v/>
      </c>
      <c r="J343" s="48" t="str">
        <f>IFERROR(H343*(IF(G343=8,I343*HELPER!$G$2,BOM!I343*HELPER!$G$3))," ")</f>
        <v xml:space="preserve"> </v>
      </c>
      <c r="K343" s="6"/>
      <c r="L343" s="14" t="str" cm="1">
        <f t="array" ref="L343">IFERROR(_xlfn.LET(_xlpm.films,Table4[Film],_xlpm.grades,Table4[Grade],_xlpm.pairs,_xlfn._xlws.FILTER(_xlfn.HSTACK(_xlpm.films,_xlpm.grades),(_xlpm.films&lt;&gt;"")*(TRIM(_xlpm.grades)&lt;&gt;"")),_xlpm.uniquePairs,_xlfn.UNIQUE(_xlpm.pairs),_xlpm.sortedPairs,_xlfn._xlws.SORT(_xlpm.uniquePairs,1,1),INDEX(_xlpm.sortedPairs,ROWS($L$2:L343),1)),"")</f>
        <v/>
      </c>
      <c r="M343" s="15" t="str" cm="1">
        <f t="array" ref="M343">IFERROR(_xlfn.LET(_xlpm.films,Table4[Film],_xlpm.grades,Table4[Grade],_xlpm.pairs,_xlfn._xlws.FILTER(_xlfn.HSTACK(_xlpm.films,_xlpm.grades),(_xlpm.films&lt;&gt;"")*(TRIM(_xlpm.grades)&lt;&gt;"")),_xlpm.uniquePairs,_xlfn.UNIQUE(_xlpm.pairs),_xlpm.sortedPairs,_xlfn._xlws.SORT(_xlpm.uniquePairs,1,1),INDEX(_xlpm.sortedPairs,ROWS($M$2:M343),2)),"")</f>
        <v/>
      </c>
      <c r="N343" s="15" t="str" cm="1">
        <f t="array" ref="N343">IF(OR(Table2[[#This Row],[Film]]="",Table2[[#This Row],[Grade]]=""),"",IFERROR(INDEX(Table4[Serial Number],MATCH(1,(Table4[Film]=Table2[[#This Row],[Film]])*(Table4[Grade]=Table2[[#This Row],[Grade]]),0)),""))</f>
        <v/>
      </c>
      <c r="O343" s="52" t="str">
        <f>IF(OR(Table2[[#This Row],[Film]]="",Table2[[#This Row],[Grade]]=""),"",SUMIFS(Table4[Price Calculated(€) Thickness &amp; QTY related],Table4[Film],Table2[[#This Row],[Film]],Table4[Grade],Table2[[#This Row],[Grade]]))</f>
        <v/>
      </c>
      <c r="P343" s="6"/>
      <c r="T343" s="6"/>
    </row>
    <row r="344" spans="1:20">
      <c r="A344" s="29"/>
      <c r="B344" s="29" t="s">
        <v>6</v>
      </c>
      <c r="C344" s="28"/>
      <c r="D344" s="28" t="str">
        <f>IF(C344="","",IFERROR(_xlfn.XLOOKUP(C344,HELPER!$A$2:$A$81,HELPER!$B$2:$B$81,""),D344))</f>
        <v/>
      </c>
      <c r="E344" s="28" t="str">
        <f>IFERROR(_xlfn.XLOOKUP(D344,HELPER!$B:$B,HELPER!$C:$C,""),"")</f>
        <v/>
      </c>
      <c r="F344" s="27" t="str">
        <f>IFERROR(_xlfn.XLOOKUP(D344,HELPER!$B:$B,HELPER!$D:$D,""),"")</f>
        <v/>
      </c>
      <c r="G344" s="27">
        <v>24</v>
      </c>
      <c r="H344" s="47"/>
      <c r="I344" s="48" t="str">
        <f>IF(AND(H344&lt;&gt;"",IFERROR(_xlfn.XLOOKUP(D344,HELPER!$B:$B,HELPER!$E:$E,""),"")=""),"Missing price",IFERROR(_xlfn.XLOOKUP(D344,HELPER!$B:$B,HELPER!$E:$E,"")," "))</f>
        <v/>
      </c>
      <c r="J344" s="48" t="str">
        <f>IFERROR(H344*(IF(G344=8,I344*HELPER!$G$2,BOM!I344*HELPER!$G$3))," ")</f>
        <v xml:space="preserve"> </v>
      </c>
      <c r="K344" s="6"/>
      <c r="L344" s="14" t="str" cm="1">
        <f t="array" ref="L344">IFERROR(_xlfn.LET(_xlpm.films,Table4[Film],_xlpm.grades,Table4[Grade],_xlpm.pairs,_xlfn._xlws.FILTER(_xlfn.HSTACK(_xlpm.films,_xlpm.grades),(_xlpm.films&lt;&gt;"")*(TRIM(_xlpm.grades)&lt;&gt;"")),_xlpm.uniquePairs,_xlfn.UNIQUE(_xlpm.pairs),_xlpm.sortedPairs,_xlfn._xlws.SORT(_xlpm.uniquePairs,1,1),INDEX(_xlpm.sortedPairs,ROWS($L$2:L344),1)),"")</f>
        <v/>
      </c>
      <c r="M344" s="15" t="str" cm="1">
        <f t="array" ref="M344">IFERROR(_xlfn.LET(_xlpm.films,Table4[Film],_xlpm.grades,Table4[Grade],_xlpm.pairs,_xlfn._xlws.FILTER(_xlfn.HSTACK(_xlpm.films,_xlpm.grades),(_xlpm.films&lt;&gt;"")*(TRIM(_xlpm.grades)&lt;&gt;"")),_xlpm.uniquePairs,_xlfn.UNIQUE(_xlpm.pairs),_xlpm.sortedPairs,_xlfn._xlws.SORT(_xlpm.uniquePairs,1,1),INDEX(_xlpm.sortedPairs,ROWS($M$2:M344),2)),"")</f>
        <v/>
      </c>
      <c r="N344" s="15" t="str" cm="1">
        <f t="array" ref="N344">IF(OR(Table2[[#This Row],[Film]]="",Table2[[#This Row],[Grade]]=""),"",IFERROR(INDEX(Table4[Serial Number],MATCH(1,(Table4[Film]=Table2[[#This Row],[Film]])*(Table4[Grade]=Table2[[#This Row],[Grade]]),0)),""))</f>
        <v/>
      </c>
      <c r="O344" s="52" t="str">
        <f>IF(OR(Table2[[#This Row],[Film]]="",Table2[[#This Row],[Grade]]=""),"",SUMIFS(Table4[Price Calculated(€) Thickness &amp; QTY related],Table4[Film],Table2[[#This Row],[Film]],Table4[Grade],Table2[[#This Row],[Grade]]))</f>
        <v/>
      </c>
      <c r="P344" s="6"/>
      <c r="T344" s="6"/>
    </row>
    <row r="345" spans="1:20">
      <c r="A345" s="29"/>
      <c r="B345" s="29" t="s">
        <v>6</v>
      </c>
      <c r="C345" s="28"/>
      <c r="D345" s="28" t="str">
        <f>IF(C345="","",IFERROR(_xlfn.XLOOKUP(C345,HELPER!$A$2:$A$81,HELPER!$B$2:$B$81,""),D345))</f>
        <v/>
      </c>
      <c r="E345" s="28" t="str">
        <f>IFERROR(_xlfn.XLOOKUP(D345,HELPER!$B:$B,HELPER!$C:$C,""),"")</f>
        <v/>
      </c>
      <c r="F345" s="27" t="str">
        <f>IFERROR(_xlfn.XLOOKUP(D345,HELPER!$B:$B,HELPER!$D:$D,""),"")</f>
        <v/>
      </c>
      <c r="G345" s="27">
        <v>24</v>
      </c>
      <c r="H345" s="47"/>
      <c r="I345" s="48" t="str">
        <f>IF(AND(H345&lt;&gt;"",IFERROR(_xlfn.XLOOKUP(D345,HELPER!$B:$B,HELPER!$E:$E,""),"")=""),"Missing price",IFERROR(_xlfn.XLOOKUP(D345,HELPER!$B:$B,HELPER!$E:$E,"")," "))</f>
        <v/>
      </c>
      <c r="J345" s="48" t="str">
        <f>IFERROR(H345*(IF(G345=8,I345*HELPER!$G$2,BOM!I345*HELPER!$G$3))," ")</f>
        <v xml:space="preserve"> </v>
      </c>
      <c r="K345" s="6"/>
      <c r="L345" s="14" t="str" cm="1">
        <f t="array" ref="L345">IFERROR(_xlfn.LET(_xlpm.films,Table4[Film],_xlpm.grades,Table4[Grade],_xlpm.pairs,_xlfn._xlws.FILTER(_xlfn.HSTACK(_xlpm.films,_xlpm.grades),(_xlpm.films&lt;&gt;"")*(TRIM(_xlpm.grades)&lt;&gt;"")),_xlpm.uniquePairs,_xlfn.UNIQUE(_xlpm.pairs),_xlpm.sortedPairs,_xlfn._xlws.SORT(_xlpm.uniquePairs,1,1),INDEX(_xlpm.sortedPairs,ROWS($L$2:L345),1)),"")</f>
        <v/>
      </c>
      <c r="M345" s="15" t="str" cm="1">
        <f t="array" ref="M345">IFERROR(_xlfn.LET(_xlpm.films,Table4[Film],_xlpm.grades,Table4[Grade],_xlpm.pairs,_xlfn._xlws.FILTER(_xlfn.HSTACK(_xlpm.films,_xlpm.grades),(_xlpm.films&lt;&gt;"")*(TRIM(_xlpm.grades)&lt;&gt;"")),_xlpm.uniquePairs,_xlfn.UNIQUE(_xlpm.pairs),_xlpm.sortedPairs,_xlfn._xlws.SORT(_xlpm.uniquePairs,1,1),INDEX(_xlpm.sortedPairs,ROWS($M$2:M345),2)),"")</f>
        <v/>
      </c>
      <c r="N345" s="15" t="str" cm="1">
        <f t="array" ref="N345">IF(OR(Table2[[#This Row],[Film]]="",Table2[[#This Row],[Grade]]=""),"",IFERROR(INDEX(Table4[Serial Number],MATCH(1,(Table4[Film]=Table2[[#This Row],[Film]])*(Table4[Grade]=Table2[[#This Row],[Grade]]),0)),""))</f>
        <v/>
      </c>
      <c r="O345" s="52" t="str">
        <f>IF(OR(Table2[[#This Row],[Film]]="",Table2[[#This Row],[Grade]]=""),"",SUMIFS(Table4[Price Calculated(€) Thickness &amp; QTY related],Table4[Film],Table2[[#This Row],[Film]],Table4[Grade],Table2[[#This Row],[Grade]]))</f>
        <v/>
      </c>
      <c r="P345" s="6"/>
      <c r="T345" s="6"/>
    </row>
    <row r="346" spans="1:20">
      <c r="A346" s="29"/>
      <c r="B346" s="29" t="s">
        <v>6</v>
      </c>
      <c r="C346" s="28"/>
      <c r="D346" s="28" t="str">
        <f>IF(C346="","",IFERROR(_xlfn.XLOOKUP(C346,HELPER!$A$2:$A$81,HELPER!$B$2:$B$81,""),D346))</f>
        <v/>
      </c>
      <c r="E346" s="28" t="str">
        <f>IFERROR(_xlfn.XLOOKUP(D346,HELPER!$B:$B,HELPER!$C:$C,""),"")</f>
        <v/>
      </c>
      <c r="F346" s="27" t="str">
        <f>IFERROR(_xlfn.XLOOKUP(D346,HELPER!$B:$B,HELPER!$D:$D,""),"")</f>
        <v/>
      </c>
      <c r="G346" s="27">
        <v>24</v>
      </c>
      <c r="H346" s="47"/>
      <c r="I346" s="48" t="str">
        <f>IF(AND(H346&lt;&gt;"",IFERROR(_xlfn.XLOOKUP(D346,HELPER!$B:$B,HELPER!$E:$E,""),"")=""),"Missing price",IFERROR(_xlfn.XLOOKUP(D346,HELPER!$B:$B,HELPER!$E:$E,"")," "))</f>
        <v/>
      </c>
      <c r="J346" s="48" t="str">
        <f>IFERROR(H346*(IF(G346=8,I346*HELPER!$G$2,BOM!I346*HELPER!$G$3))," ")</f>
        <v xml:space="preserve"> </v>
      </c>
      <c r="K346" s="6"/>
      <c r="L346" s="14" t="str" cm="1">
        <f t="array" ref="L346">IFERROR(_xlfn.LET(_xlpm.films,Table4[Film],_xlpm.grades,Table4[Grade],_xlpm.pairs,_xlfn._xlws.FILTER(_xlfn.HSTACK(_xlpm.films,_xlpm.grades),(_xlpm.films&lt;&gt;"")*(TRIM(_xlpm.grades)&lt;&gt;"")),_xlpm.uniquePairs,_xlfn.UNIQUE(_xlpm.pairs),_xlpm.sortedPairs,_xlfn._xlws.SORT(_xlpm.uniquePairs,1,1),INDEX(_xlpm.sortedPairs,ROWS($L$2:L346),1)),"")</f>
        <v/>
      </c>
      <c r="M346" s="15" t="str" cm="1">
        <f t="array" ref="M346">IFERROR(_xlfn.LET(_xlpm.films,Table4[Film],_xlpm.grades,Table4[Grade],_xlpm.pairs,_xlfn._xlws.FILTER(_xlfn.HSTACK(_xlpm.films,_xlpm.grades),(_xlpm.films&lt;&gt;"")*(TRIM(_xlpm.grades)&lt;&gt;"")),_xlpm.uniquePairs,_xlfn.UNIQUE(_xlpm.pairs),_xlpm.sortedPairs,_xlfn._xlws.SORT(_xlpm.uniquePairs,1,1),INDEX(_xlpm.sortedPairs,ROWS($M$2:M346),2)),"")</f>
        <v/>
      </c>
      <c r="N346" s="15" t="str" cm="1">
        <f t="array" ref="N346">IF(OR(Table2[[#This Row],[Film]]="",Table2[[#This Row],[Grade]]=""),"",IFERROR(INDEX(Table4[Serial Number],MATCH(1,(Table4[Film]=Table2[[#This Row],[Film]])*(Table4[Grade]=Table2[[#This Row],[Grade]]),0)),""))</f>
        <v/>
      </c>
      <c r="O346" s="52" t="str">
        <f>IF(OR(Table2[[#This Row],[Film]]="",Table2[[#This Row],[Grade]]=""),"",SUMIFS(Table4[Price Calculated(€) Thickness &amp; QTY related],Table4[Film],Table2[[#This Row],[Film]],Table4[Grade],Table2[[#This Row],[Grade]]))</f>
        <v/>
      </c>
      <c r="P346" s="6"/>
      <c r="T346" s="6"/>
    </row>
    <row r="347" spans="1:20">
      <c r="A347" s="29"/>
      <c r="B347" s="29" t="s">
        <v>6</v>
      </c>
      <c r="C347" s="28"/>
      <c r="D347" s="28" t="str">
        <f>IF(C347="","",IFERROR(_xlfn.XLOOKUP(C347,HELPER!$A$2:$A$81,HELPER!$B$2:$B$81,""),D347))</f>
        <v/>
      </c>
      <c r="E347" s="28" t="str">
        <f>IFERROR(_xlfn.XLOOKUP(D347,HELPER!$B:$B,HELPER!$C:$C,""),"")</f>
        <v/>
      </c>
      <c r="F347" s="27" t="str">
        <f>IFERROR(_xlfn.XLOOKUP(D347,HELPER!$B:$B,HELPER!$D:$D,""),"")</f>
        <v/>
      </c>
      <c r="G347" s="27">
        <v>24</v>
      </c>
      <c r="H347" s="47"/>
      <c r="I347" s="48" t="str">
        <f>IF(AND(H347&lt;&gt;"",IFERROR(_xlfn.XLOOKUP(D347,HELPER!$B:$B,HELPER!$E:$E,""),"")=""),"Missing price",IFERROR(_xlfn.XLOOKUP(D347,HELPER!$B:$B,HELPER!$E:$E,"")," "))</f>
        <v/>
      </c>
      <c r="J347" s="48" t="str">
        <f>IFERROR(H347*(IF(G347=8,I347*HELPER!$G$2,BOM!I347*HELPER!$G$3))," ")</f>
        <v xml:space="preserve"> </v>
      </c>
      <c r="K347" s="6"/>
      <c r="L347" s="14" t="str" cm="1">
        <f t="array" ref="L347">IFERROR(_xlfn.LET(_xlpm.films,Table4[Film],_xlpm.grades,Table4[Grade],_xlpm.pairs,_xlfn._xlws.FILTER(_xlfn.HSTACK(_xlpm.films,_xlpm.grades),(_xlpm.films&lt;&gt;"")*(TRIM(_xlpm.grades)&lt;&gt;"")),_xlpm.uniquePairs,_xlfn.UNIQUE(_xlpm.pairs),_xlpm.sortedPairs,_xlfn._xlws.SORT(_xlpm.uniquePairs,1,1),INDEX(_xlpm.sortedPairs,ROWS($L$2:L347),1)),"")</f>
        <v/>
      </c>
      <c r="M347" s="15" t="str" cm="1">
        <f t="array" ref="M347">IFERROR(_xlfn.LET(_xlpm.films,Table4[Film],_xlpm.grades,Table4[Grade],_xlpm.pairs,_xlfn._xlws.FILTER(_xlfn.HSTACK(_xlpm.films,_xlpm.grades),(_xlpm.films&lt;&gt;"")*(TRIM(_xlpm.grades)&lt;&gt;"")),_xlpm.uniquePairs,_xlfn.UNIQUE(_xlpm.pairs),_xlpm.sortedPairs,_xlfn._xlws.SORT(_xlpm.uniquePairs,1,1),INDEX(_xlpm.sortedPairs,ROWS($M$2:M347),2)),"")</f>
        <v/>
      </c>
      <c r="N347" s="15" t="str" cm="1">
        <f t="array" ref="N347">IF(OR(Table2[[#This Row],[Film]]="",Table2[[#This Row],[Grade]]=""),"",IFERROR(INDEX(Table4[Serial Number],MATCH(1,(Table4[Film]=Table2[[#This Row],[Film]])*(Table4[Grade]=Table2[[#This Row],[Grade]]),0)),""))</f>
        <v/>
      </c>
      <c r="O347" s="52" t="str">
        <f>IF(OR(Table2[[#This Row],[Film]]="",Table2[[#This Row],[Grade]]=""),"",SUMIFS(Table4[Price Calculated(€) Thickness &amp; QTY related],Table4[Film],Table2[[#This Row],[Film]],Table4[Grade],Table2[[#This Row],[Grade]]))</f>
        <v/>
      </c>
      <c r="P347" s="6"/>
      <c r="T347" s="6"/>
    </row>
    <row r="348" spans="1:20">
      <c r="A348" s="29"/>
      <c r="B348" s="29" t="s">
        <v>6</v>
      </c>
      <c r="C348" s="28"/>
      <c r="D348" s="28" t="str">
        <f>IF(C348="","",IFERROR(_xlfn.XLOOKUP(C348,HELPER!$A$2:$A$81,HELPER!$B$2:$B$81,""),D348))</f>
        <v/>
      </c>
      <c r="E348" s="28" t="str">
        <f>IFERROR(_xlfn.XLOOKUP(D348,HELPER!$B:$B,HELPER!$C:$C,""),"")</f>
        <v/>
      </c>
      <c r="F348" s="27" t="str">
        <f>IFERROR(_xlfn.XLOOKUP(D348,HELPER!$B:$B,HELPER!$D:$D,""),"")</f>
        <v/>
      </c>
      <c r="G348" s="27">
        <v>24</v>
      </c>
      <c r="H348" s="47"/>
      <c r="I348" s="48" t="str">
        <f>IF(AND(H348&lt;&gt;"",IFERROR(_xlfn.XLOOKUP(D348,HELPER!$B:$B,HELPER!$E:$E,""),"")=""),"Missing price",IFERROR(_xlfn.XLOOKUP(D348,HELPER!$B:$B,HELPER!$E:$E,"")," "))</f>
        <v/>
      </c>
      <c r="J348" s="48" t="str">
        <f>IFERROR(H348*(IF(G348=8,I348*HELPER!$G$2,BOM!I348*HELPER!$G$3))," ")</f>
        <v xml:space="preserve"> </v>
      </c>
      <c r="K348" s="6"/>
      <c r="L348" s="14" t="str" cm="1">
        <f t="array" ref="L348">IFERROR(_xlfn.LET(_xlpm.films,Table4[Film],_xlpm.grades,Table4[Grade],_xlpm.pairs,_xlfn._xlws.FILTER(_xlfn.HSTACK(_xlpm.films,_xlpm.grades),(_xlpm.films&lt;&gt;"")*(TRIM(_xlpm.grades)&lt;&gt;"")),_xlpm.uniquePairs,_xlfn.UNIQUE(_xlpm.pairs),_xlpm.sortedPairs,_xlfn._xlws.SORT(_xlpm.uniquePairs,1,1),INDEX(_xlpm.sortedPairs,ROWS($L$2:L348),1)),"")</f>
        <v/>
      </c>
      <c r="M348" s="15" t="str" cm="1">
        <f t="array" ref="M348">IFERROR(_xlfn.LET(_xlpm.films,Table4[Film],_xlpm.grades,Table4[Grade],_xlpm.pairs,_xlfn._xlws.FILTER(_xlfn.HSTACK(_xlpm.films,_xlpm.grades),(_xlpm.films&lt;&gt;"")*(TRIM(_xlpm.grades)&lt;&gt;"")),_xlpm.uniquePairs,_xlfn.UNIQUE(_xlpm.pairs),_xlpm.sortedPairs,_xlfn._xlws.SORT(_xlpm.uniquePairs,1,1),INDEX(_xlpm.sortedPairs,ROWS($M$2:M348),2)),"")</f>
        <v/>
      </c>
      <c r="N348" s="15" t="str" cm="1">
        <f t="array" ref="N348">IF(OR(Table2[[#This Row],[Film]]="",Table2[[#This Row],[Grade]]=""),"",IFERROR(INDEX(Table4[Serial Number],MATCH(1,(Table4[Film]=Table2[[#This Row],[Film]])*(Table4[Grade]=Table2[[#This Row],[Grade]]),0)),""))</f>
        <v/>
      </c>
      <c r="O348" s="52" t="str">
        <f>IF(OR(Table2[[#This Row],[Film]]="",Table2[[#This Row],[Grade]]=""),"",SUMIFS(Table4[Price Calculated(€) Thickness &amp; QTY related],Table4[Film],Table2[[#This Row],[Film]],Table4[Grade],Table2[[#This Row],[Grade]]))</f>
        <v/>
      </c>
      <c r="P348" s="6"/>
      <c r="T348" s="6"/>
    </row>
    <row r="349" spans="1:20">
      <c r="A349" s="29"/>
      <c r="B349" s="29" t="s">
        <v>6</v>
      </c>
      <c r="C349" s="28"/>
      <c r="D349" s="28" t="str">
        <f>IF(C349="","",IFERROR(_xlfn.XLOOKUP(C349,HELPER!$A$2:$A$81,HELPER!$B$2:$B$81,""),D349))</f>
        <v/>
      </c>
      <c r="E349" s="28" t="str">
        <f>IFERROR(_xlfn.XLOOKUP(D349,HELPER!$B:$B,HELPER!$C:$C,""),"")</f>
        <v/>
      </c>
      <c r="F349" s="27" t="str">
        <f>IFERROR(_xlfn.XLOOKUP(D349,HELPER!$B:$B,HELPER!$D:$D,""),"")</f>
        <v/>
      </c>
      <c r="G349" s="27">
        <v>24</v>
      </c>
      <c r="H349" s="47"/>
      <c r="I349" s="48" t="str">
        <f>IF(AND(H349&lt;&gt;"",IFERROR(_xlfn.XLOOKUP(D349,HELPER!$B:$B,HELPER!$E:$E,""),"")=""),"Missing price",IFERROR(_xlfn.XLOOKUP(D349,HELPER!$B:$B,HELPER!$E:$E,"")," "))</f>
        <v/>
      </c>
      <c r="J349" s="48" t="str">
        <f>IFERROR(H349*(IF(G349=8,I349*HELPER!$G$2,BOM!I349*HELPER!$G$3))," ")</f>
        <v xml:space="preserve"> </v>
      </c>
      <c r="K349" s="6"/>
      <c r="L349" s="14" t="str" cm="1">
        <f t="array" ref="L349">IFERROR(_xlfn.LET(_xlpm.films,Table4[Film],_xlpm.grades,Table4[Grade],_xlpm.pairs,_xlfn._xlws.FILTER(_xlfn.HSTACK(_xlpm.films,_xlpm.grades),(_xlpm.films&lt;&gt;"")*(TRIM(_xlpm.grades)&lt;&gt;"")),_xlpm.uniquePairs,_xlfn.UNIQUE(_xlpm.pairs),_xlpm.sortedPairs,_xlfn._xlws.SORT(_xlpm.uniquePairs,1,1),INDEX(_xlpm.sortedPairs,ROWS($L$2:L349),1)),"")</f>
        <v/>
      </c>
      <c r="M349" s="15" t="str" cm="1">
        <f t="array" ref="M349">IFERROR(_xlfn.LET(_xlpm.films,Table4[Film],_xlpm.grades,Table4[Grade],_xlpm.pairs,_xlfn._xlws.FILTER(_xlfn.HSTACK(_xlpm.films,_xlpm.grades),(_xlpm.films&lt;&gt;"")*(TRIM(_xlpm.grades)&lt;&gt;"")),_xlpm.uniquePairs,_xlfn.UNIQUE(_xlpm.pairs),_xlpm.sortedPairs,_xlfn._xlws.SORT(_xlpm.uniquePairs,1,1),INDEX(_xlpm.sortedPairs,ROWS($M$2:M349),2)),"")</f>
        <v/>
      </c>
      <c r="N349" s="15" t="str" cm="1">
        <f t="array" ref="N349">IF(OR(Table2[[#This Row],[Film]]="",Table2[[#This Row],[Grade]]=""),"",IFERROR(INDEX(Table4[Serial Number],MATCH(1,(Table4[Film]=Table2[[#This Row],[Film]])*(Table4[Grade]=Table2[[#This Row],[Grade]]),0)),""))</f>
        <v/>
      </c>
      <c r="O349" s="52" t="str">
        <f>IF(OR(Table2[[#This Row],[Film]]="",Table2[[#This Row],[Grade]]=""),"",SUMIFS(Table4[Price Calculated(€) Thickness &amp; QTY related],Table4[Film],Table2[[#This Row],[Film]],Table4[Grade],Table2[[#This Row],[Grade]]))</f>
        <v/>
      </c>
      <c r="P349" s="6"/>
      <c r="T349" s="6"/>
    </row>
    <row r="350" spans="1:20">
      <c r="A350" s="29"/>
      <c r="B350" s="29" t="s">
        <v>6</v>
      </c>
      <c r="C350" s="28"/>
      <c r="D350" s="28" t="str">
        <f>IF(C350="","",IFERROR(_xlfn.XLOOKUP(C350,HELPER!$A$2:$A$81,HELPER!$B$2:$B$81,""),D350))</f>
        <v/>
      </c>
      <c r="E350" s="28" t="str">
        <f>IFERROR(_xlfn.XLOOKUP(D350,HELPER!$B:$B,HELPER!$C:$C,""),"")</f>
        <v/>
      </c>
      <c r="F350" s="27" t="str">
        <f>IFERROR(_xlfn.XLOOKUP(D350,HELPER!$B:$B,HELPER!$D:$D,""),"")</f>
        <v/>
      </c>
      <c r="G350" s="27">
        <v>24</v>
      </c>
      <c r="H350" s="47"/>
      <c r="I350" s="48" t="str">
        <f>IF(AND(H350&lt;&gt;"",IFERROR(_xlfn.XLOOKUP(D350,HELPER!$B:$B,HELPER!$E:$E,""),"")=""),"Missing price",IFERROR(_xlfn.XLOOKUP(D350,HELPER!$B:$B,HELPER!$E:$E,"")," "))</f>
        <v/>
      </c>
      <c r="J350" s="48" t="str">
        <f>IFERROR(H350*(IF(G350=8,I350*HELPER!$G$2,BOM!I350*HELPER!$G$3))," ")</f>
        <v xml:space="preserve"> </v>
      </c>
      <c r="K350" s="6"/>
      <c r="L350" s="14" t="str" cm="1">
        <f t="array" ref="L350">IFERROR(_xlfn.LET(_xlpm.films,Table4[Film],_xlpm.grades,Table4[Grade],_xlpm.pairs,_xlfn._xlws.FILTER(_xlfn.HSTACK(_xlpm.films,_xlpm.grades),(_xlpm.films&lt;&gt;"")*(TRIM(_xlpm.grades)&lt;&gt;"")),_xlpm.uniquePairs,_xlfn.UNIQUE(_xlpm.pairs),_xlpm.sortedPairs,_xlfn._xlws.SORT(_xlpm.uniquePairs,1,1),INDEX(_xlpm.sortedPairs,ROWS($L$2:L350),1)),"")</f>
        <v/>
      </c>
      <c r="M350" s="15" t="str" cm="1">
        <f t="array" ref="M350">IFERROR(_xlfn.LET(_xlpm.films,Table4[Film],_xlpm.grades,Table4[Grade],_xlpm.pairs,_xlfn._xlws.FILTER(_xlfn.HSTACK(_xlpm.films,_xlpm.grades),(_xlpm.films&lt;&gt;"")*(TRIM(_xlpm.grades)&lt;&gt;"")),_xlpm.uniquePairs,_xlfn.UNIQUE(_xlpm.pairs),_xlpm.sortedPairs,_xlfn._xlws.SORT(_xlpm.uniquePairs,1,1),INDEX(_xlpm.sortedPairs,ROWS($M$2:M350),2)),"")</f>
        <v/>
      </c>
      <c r="N350" s="15" t="str" cm="1">
        <f t="array" ref="N350">IF(OR(Table2[[#This Row],[Film]]="",Table2[[#This Row],[Grade]]=""),"",IFERROR(INDEX(Table4[Serial Number],MATCH(1,(Table4[Film]=Table2[[#This Row],[Film]])*(Table4[Grade]=Table2[[#This Row],[Grade]]),0)),""))</f>
        <v/>
      </c>
      <c r="O350" s="52" t="str">
        <f>IF(OR(Table2[[#This Row],[Film]]="",Table2[[#This Row],[Grade]]=""),"",SUMIFS(Table4[Price Calculated(€) Thickness &amp; QTY related],Table4[Film],Table2[[#This Row],[Film]],Table4[Grade],Table2[[#This Row],[Grade]]))</f>
        <v/>
      </c>
      <c r="P350" s="6"/>
      <c r="T350" s="6"/>
    </row>
    <row r="351" spans="1:20">
      <c r="A351" s="29"/>
      <c r="B351" s="29" t="s">
        <v>6</v>
      </c>
      <c r="C351" s="28"/>
      <c r="D351" s="28" t="str">
        <f>IF(C351="","",IFERROR(_xlfn.XLOOKUP(C351,HELPER!$A$2:$A$81,HELPER!$B$2:$B$81,""),D351))</f>
        <v/>
      </c>
      <c r="E351" s="28" t="str">
        <f>IFERROR(_xlfn.XLOOKUP(D351,HELPER!$B:$B,HELPER!$C:$C,""),"")</f>
        <v/>
      </c>
      <c r="F351" s="27" t="str">
        <f>IFERROR(_xlfn.XLOOKUP(D351,HELPER!$B:$B,HELPER!$D:$D,""),"")</f>
        <v/>
      </c>
      <c r="G351" s="27">
        <v>24</v>
      </c>
      <c r="H351" s="47"/>
      <c r="I351" s="48" t="str">
        <f>IF(AND(H351&lt;&gt;"",IFERROR(_xlfn.XLOOKUP(D351,HELPER!$B:$B,HELPER!$E:$E,""),"")=""),"Missing price",IFERROR(_xlfn.XLOOKUP(D351,HELPER!$B:$B,HELPER!$E:$E,"")," "))</f>
        <v/>
      </c>
      <c r="J351" s="48" t="str">
        <f>IFERROR(H351*(IF(G351=8,I351*HELPER!$G$2,BOM!I351*HELPER!$G$3))," ")</f>
        <v xml:space="preserve"> </v>
      </c>
      <c r="K351" s="6"/>
      <c r="L351" s="14" t="str" cm="1">
        <f t="array" ref="L351">IFERROR(_xlfn.LET(_xlpm.films,Table4[Film],_xlpm.grades,Table4[Grade],_xlpm.pairs,_xlfn._xlws.FILTER(_xlfn.HSTACK(_xlpm.films,_xlpm.grades),(_xlpm.films&lt;&gt;"")*(TRIM(_xlpm.grades)&lt;&gt;"")),_xlpm.uniquePairs,_xlfn.UNIQUE(_xlpm.pairs),_xlpm.sortedPairs,_xlfn._xlws.SORT(_xlpm.uniquePairs,1,1),INDEX(_xlpm.sortedPairs,ROWS($L$2:L351),1)),"")</f>
        <v/>
      </c>
      <c r="M351" s="15" t="str" cm="1">
        <f t="array" ref="M351">IFERROR(_xlfn.LET(_xlpm.films,Table4[Film],_xlpm.grades,Table4[Grade],_xlpm.pairs,_xlfn._xlws.FILTER(_xlfn.HSTACK(_xlpm.films,_xlpm.grades),(_xlpm.films&lt;&gt;"")*(TRIM(_xlpm.grades)&lt;&gt;"")),_xlpm.uniquePairs,_xlfn.UNIQUE(_xlpm.pairs),_xlpm.sortedPairs,_xlfn._xlws.SORT(_xlpm.uniquePairs,1,1),INDEX(_xlpm.sortedPairs,ROWS($M$2:M351),2)),"")</f>
        <v/>
      </c>
      <c r="N351" s="15" t="str" cm="1">
        <f t="array" ref="N351">IF(OR(Table2[[#This Row],[Film]]="",Table2[[#This Row],[Grade]]=""),"",IFERROR(INDEX(Table4[Serial Number],MATCH(1,(Table4[Film]=Table2[[#This Row],[Film]])*(Table4[Grade]=Table2[[#This Row],[Grade]]),0)),""))</f>
        <v/>
      </c>
      <c r="O351" s="52" t="str">
        <f>IF(OR(Table2[[#This Row],[Film]]="",Table2[[#This Row],[Grade]]=""),"",SUMIFS(Table4[Price Calculated(€) Thickness &amp; QTY related],Table4[Film],Table2[[#This Row],[Film]],Table4[Grade],Table2[[#This Row],[Grade]]))</f>
        <v/>
      </c>
      <c r="P351" s="6"/>
      <c r="T351" s="6"/>
    </row>
    <row r="352" spans="1:20">
      <c r="A352" s="29"/>
      <c r="B352" s="29" t="s">
        <v>7</v>
      </c>
      <c r="C352" s="28"/>
      <c r="D352" s="28" t="str">
        <f>IF(C352="","",IFERROR(_xlfn.XLOOKUP(C352,HELPER!$A$2:$A$81,HELPER!$B$2:$B$81,""),D352))</f>
        <v/>
      </c>
      <c r="E352" s="28" t="str">
        <f>IFERROR(_xlfn.XLOOKUP(D352,HELPER!$B:$B,HELPER!$C:$C,""),"")</f>
        <v/>
      </c>
      <c r="F352" s="27" t="str">
        <f>IFERROR(_xlfn.XLOOKUP(D352,HELPER!$B:$B,HELPER!$D:$D,""),"")</f>
        <v/>
      </c>
      <c r="G352" s="27">
        <v>8</v>
      </c>
      <c r="H352" s="47"/>
      <c r="I352" s="48" t="str">
        <f>IF(AND(H352&lt;&gt;"",IFERROR(_xlfn.XLOOKUP(D352,HELPER!$B:$B,HELPER!$E:$E,""),"")=""),"Missing price",IFERROR(_xlfn.XLOOKUP(D352,HELPER!$B:$B,HELPER!$E:$E,"")," "))</f>
        <v/>
      </c>
      <c r="J352" s="48" t="str">
        <f>IFERROR(H352*(IF(G352=8,I352*HELPER!$G$2,BOM!I352*HELPER!$G$3))," ")</f>
        <v xml:space="preserve"> </v>
      </c>
      <c r="K352" s="6"/>
      <c r="L352" s="14" t="str" cm="1">
        <f t="array" ref="L352">IFERROR(_xlfn.LET(_xlpm.films,Table4[Film],_xlpm.grades,Table4[Grade],_xlpm.pairs,_xlfn._xlws.FILTER(_xlfn.HSTACK(_xlpm.films,_xlpm.grades),(_xlpm.films&lt;&gt;"")*(TRIM(_xlpm.grades)&lt;&gt;"")),_xlpm.uniquePairs,_xlfn.UNIQUE(_xlpm.pairs),_xlpm.sortedPairs,_xlfn._xlws.SORT(_xlpm.uniquePairs,1,1),INDEX(_xlpm.sortedPairs,ROWS($L$2:L352),1)),"")</f>
        <v/>
      </c>
      <c r="M352" s="15" t="str" cm="1">
        <f t="array" ref="M352">IFERROR(_xlfn.LET(_xlpm.films,Table4[Film],_xlpm.grades,Table4[Grade],_xlpm.pairs,_xlfn._xlws.FILTER(_xlfn.HSTACK(_xlpm.films,_xlpm.grades),(_xlpm.films&lt;&gt;"")*(TRIM(_xlpm.grades)&lt;&gt;"")),_xlpm.uniquePairs,_xlfn.UNIQUE(_xlpm.pairs),_xlpm.sortedPairs,_xlfn._xlws.SORT(_xlpm.uniquePairs,1,1),INDEX(_xlpm.sortedPairs,ROWS($M$2:M352),2)),"")</f>
        <v/>
      </c>
      <c r="N352" s="15" t="str" cm="1">
        <f t="array" ref="N352">IF(OR(Table2[[#This Row],[Film]]="",Table2[[#This Row],[Grade]]=""),"",IFERROR(INDEX(Table4[Serial Number],MATCH(1,(Table4[Film]=Table2[[#This Row],[Film]])*(Table4[Grade]=Table2[[#This Row],[Grade]]),0)),""))</f>
        <v/>
      </c>
      <c r="O352" s="52" t="str">
        <f>IF(OR(Table2[[#This Row],[Film]]="",Table2[[#This Row],[Grade]]=""),"",SUMIFS(Table4[Price Calculated(€) Thickness &amp; QTY related],Table4[Film],Table2[[#This Row],[Film]],Table4[Grade],Table2[[#This Row],[Grade]]))</f>
        <v/>
      </c>
      <c r="P352" s="6"/>
      <c r="T352" s="6"/>
    </row>
    <row r="353" spans="1:20">
      <c r="A353" s="29"/>
      <c r="B353" s="29" t="s">
        <v>7</v>
      </c>
      <c r="C353" s="28"/>
      <c r="D353" s="28" t="str">
        <f>IF(C353="","",IFERROR(_xlfn.XLOOKUP(C353,HELPER!$A$2:$A$81,HELPER!$B$2:$B$81,""),D353))</f>
        <v/>
      </c>
      <c r="E353" s="28" t="str">
        <f>IFERROR(_xlfn.XLOOKUP(D353,HELPER!$B:$B,HELPER!$C:$C,""),"")</f>
        <v/>
      </c>
      <c r="F353" s="27" t="str">
        <f>IFERROR(_xlfn.XLOOKUP(D353,HELPER!$B:$B,HELPER!$D:$D,""),"")</f>
        <v/>
      </c>
      <c r="G353" s="27">
        <v>8</v>
      </c>
      <c r="H353" s="47"/>
      <c r="I353" s="48" t="str">
        <f>IF(AND(H353&lt;&gt;"",IFERROR(_xlfn.XLOOKUP(D353,HELPER!$B:$B,HELPER!$E:$E,""),"")=""),"Missing price",IFERROR(_xlfn.XLOOKUP(D353,HELPER!$B:$B,HELPER!$E:$E,"")," "))</f>
        <v/>
      </c>
      <c r="J353" s="48" t="str">
        <f>IFERROR(H353*(IF(G353=8,I353*HELPER!$G$2,BOM!I353*HELPER!$G$3))," ")</f>
        <v xml:space="preserve"> </v>
      </c>
      <c r="K353" s="6"/>
      <c r="L353" s="14" t="str" cm="1">
        <f t="array" ref="L353">IFERROR(_xlfn.LET(_xlpm.films,Table4[Film],_xlpm.grades,Table4[Grade],_xlpm.pairs,_xlfn._xlws.FILTER(_xlfn.HSTACK(_xlpm.films,_xlpm.grades),(_xlpm.films&lt;&gt;"")*(TRIM(_xlpm.grades)&lt;&gt;"")),_xlpm.uniquePairs,_xlfn.UNIQUE(_xlpm.pairs),_xlpm.sortedPairs,_xlfn._xlws.SORT(_xlpm.uniquePairs,1,1),INDEX(_xlpm.sortedPairs,ROWS($L$2:L353),1)),"")</f>
        <v/>
      </c>
      <c r="M353" s="15" t="str" cm="1">
        <f t="array" ref="M353">IFERROR(_xlfn.LET(_xlpm.films,Table4[Film],_xlpm.grades,Table4[Grade],_xlpm.pairs,_xlfn._xlws.FILTER(_xlfn.HSTACK(_xlpm.films,_xlpm.grades),(_xlpm.films&lt;&gt;"")*(TRIM(_xlpm.grades)&lt;&gt;"")),_xlpm.uniquePairs,_xlfn.UNIQUE(_xlpm.pairs),_xlpm.sortedPairs,_xlfn._xlws.SORT(_xlpm.uniquePairs,1,1),INDEX(_xlpm.sortedPairs,ROWS($M$2:M353),2)),"")</f>
        <v/>
      </c>
      <c r="N353" s="15" t="str" cm="1">
        <f t="array" ref="N353">IF(OR(Table2[[#This Row],[Film]]="",Table2[[#This Row],[Grade]]=""),"",IFERROR(INDEX(Table4[Serial Number],MATCH(1,(Table4[Film]=Table2[[#This Row],[Film]])*(Table4[Grade]=Table2[[#This Row],[Grade]]),0)),""))</f>
        <v/>
      </c>
      <c r="O353" s="52" t="str">
        <f>IF(OR(Table2[[#This Row],[Film]]="",Table2[[#This Row],[Grade]]=""),"",SUMIFS(Table4[Price Calculated(€) Thickness &amp; QTY related],Table4[Film],Table2[[#This Row],[Film]],Table4[Grade],Table2[[#This Row],[Grade]]))</f>
        <v/>
      </c>
      <c r="P353" s="6"/>
      <c r="T353" s="6"/>
    </row>
    <row r="354" spans="1:20">
      <c r="A354" s="29"/>
      <c r="B354" s="29" t="s">
        <v>7</v>
      </c>
      <c r="C354" s="28"/>
      <c r="D354" s="28" t="str">
        <f>IF(C354="","",IFERROR(_xlfn.XLOOKUP(C354,HELPER!$A$2:$A$81,HELPER!$B$2:$B$81,""),D354))</f>
        <v/>
      </c>
      <c r="E354" s="28" t="str">
        <f>IFERROR(_xlfn.XLOOKUP(D354,HELPER!$B:$B,HELPER!$C:$C,""),"")</f>
        <v/>
      </c>
      <c r="F354" s="27" t="str">
        <f>IFERROR(_xlfn.XLOOKUP(D354,HELPER!$B:$B,HELPER!$D:$D,""),"")</f>
        <v/>
      </c>
      <c r="G354" s="27">
        <v>8</v>
      </c>
      <c r="H354" s="47"/>
      <c r="I354" s="48" t="str">
        <f>IF(AND(H354&lt;&gt;"",IFERROR(_xlfn.XLOOKUP(D354,HELPER!$B:$B,HELPER!$E:$E,""),"")=""),"Missing price",IFERROR(_xlfn.XLOOKUP(D354,HELPER!$B:$B,HELPER!$E:$E,"")," "))</f>
        <v/>
      </c>
      <c r="J354" s="48" t="str">
        <f>IFERROR(H354*(IF(G354=8,I354*HELPER!$G$2,BOM!I354*HELPER!$G$3))," ")</f>
        <v xml:space="preserve"> </v>
      </c>
      <c r="K354" s="6"/>
      <c r="L354" s="14" t="str" cm="1">
        <f t="array" ref="L354">IFERROR(_xlfn.LET(_xlpm.films,Table4[Film],_xlpm.grades,Table4[Grade],_xlpm.pairs,_xlfn._xlws.FILTER(_xlfn.HSTACK(_xlpm.films,_xlpm.grades),(_xlpm.films&lt;&gt;"")*(TRIM(_xlpm.grades)&lt;&gt;"")),_xlpm.uniquePairs,_xlfn.UNIQUE(_xlpm.pairs),_xlpm.sortedPairs,_xlfn._xlws.SORT(_xlpm.uniquePairs,1,1),INDEX(_xlpm.sortedPairs,ROWS($L$2:L354),1)),"")</f>
        <v/>
      </c>
      <c r="M354" s="15" t="str" cm="1">
        <f t="array" ref="M354">IFERROR(_xlfn.LET(_xlpm.films,Table4[Film],_xlpm.grades,Table4[Grade],_xlpm.pairs,_xlfn._xlws.FILTER(_xlfn.HSTACK(_xlpm.films,_xlpm.grades),(_xlpm.films&lt;&gt;"")*(TRIM(_xlpm.grades)&lt;&gt;"")),_xlpm.uniquePairs,_xlfn.UNIQUE(_xlpm.pairs),_xlpm.sortedPairs,_xlfn._xlws.SORT(_xlpm.uniquePairs,1,1),INDEX(_xlpm.sortedPairs,ROWS($M$2:M354),2)),"")</f>
        <v/>
      </c>
      <c r="N354" s="15" t="str" cm="1">
        <f t="array" ref="N354">IF(OR(Table2[[#This Row],[Film]]="",Table2[[#This Row],[Grade]]=""),"",IFERROR(INDEX(Table4[Serial Number],MATCH(1,(Table4[Film]=Table2[[#This Row],[Film]])*(Table4[Grade]=Table2[[#This Row],[Grade]]),0)),""))</f>
        <v/>
      </c>
      <c r="O354" s="52" t="str">
        <f>IF(OR(Table2[[#This Row],[Film]]="",Table2[[#This Row],[Grade]]=""),"",SUMIFS(Table4[Price Calculated(€) Thickness &amp; QTY related],Table4[Film],Table2[[#This Row],[Film]],Table4[Grade],Table2[[#This Row],[Grade]]))</f>
        <v/>
      </c>
      <c r="P354" s="6"/>
      <c r="T354" s="6"/>
    </row>
    <row r="355" spans="1:20">
      <c r="A355" s="29"/>
      <c r="B355" s="29" t="s">
        <v>7</v>
      </c>
      <c r="C355" s="28"/>
      <c r="D355" s="28" t="str">
        <f>IF(C355="","",IFERROR(_xlfn.XLOOKUP(C355,HELPER!$A$2:$A$81,HELPER!$B$2:$B$81,""),D355))</f>
        <v/>
      </c>
      <c r="E355" s="28" t="str">
        <f>IFERROR(_xlfn.XLOOKUP(D355,HELPER!$B:$B,HELPER!$C:$C,""),"")</f>
        <v/>
      </c>
      <c r="F355" s="27" t="str">
        <f>IFERROR(_xlfn.XLOOKUP(D355,HELPER!$B:$B,HELPER!$D:$D,""),"")</f>
        <v/>
      </c>
      <c r="G355" s="27">
        <v>8</v>
      </c>
      <c r="H355" s="47"/>
      <c r="I355" s="48" t="str">
        <f>IF(AND(H355&lt;&gt;"",IFERROR(_xlfn.XLOOKUP(D355,HELPER!$B:$B,HELPER!$E:$E,""),"")=""),"Missing price",IFERROR(_xlfn.XLOOKUP(D355,HELPER!$B:$B,HELPER!$E:$E,"")," "))</f>
        <v/>
      </c>
      <c r="J355" s="48" t="str">
        <f>IFERROR(H355*(IF(G355=8,I355*HELPER!$G$2,BOM!I355*HELPER!$G$3))," ")</f>
        <v xml:space="preserve"> </v>
      </c>
      <c r="K355" s="6"/>
      <c r="L355" s="14" t="str" cm="1">
        <f t="array" ref="L355">IFERROR(_xlfn.LET(_xlpm.films,Table4[Film],_xlpm.grades,Table4[Grade],_xlpm.pairs,_xlfn._xlws.FILTER(_xlfn.HSTACK(_xlpm.films,_xlpm.grades),(_xlpm.films&lt;&gt;"")*(TRIM(_xlpm.grades)&lt;&gt;"")),_xlpm.uniquePairs,_xlfn.UNIQUE(_xlpm.pairs),_xlpm.sortedPairs,_xlfn._xlws.SORT(_xlpm.uniquePairs,1,1),INDEX(_xlpm.sortedPairs,ROWS($L$2:L355),1)),"")</f>
        <v/>
      </c>
      <c r="M355" s="15" t="str" cm="1">
        <f t="array" ref="M355">IFERROR(_xlfn.LET(_xlpm.films,Table4[Film],_xlpm.grades,Table4[Grade],_xlpm.pairs,_xlfn._xlws.FILTER(_xlfn.HSTACK(_xlpm.films,_xlpm.grades),(_xlpm.films&lt;&gt;"")*(TRIM(_xlpm.grades)&lt;&gt;"")),_xlpm.uniquePairs,_xlfn.UNIQUE(_xlpm.pairs),_xlpm.sortedPairs,_xlfn._xlws.SORT(_xlpm.uniquePairs,1,1),INDEX(_xlpm.sortedPairs,ROWS($M$2:M355),2)),"")</f>
        <v/>
      </c>
      <c r="N355" s="15" t="str" cm="1">
        <f t="array" ref="N355">IF(OR(Table2[[#This Row],[Film]]="",Table2[[#This Row],[Grade]]=""),"",IFERROR(INDEX(Table4[Serial Number],MATCH(1,(Table4[Film]=Table2[[#This Row],[Film]])*(Table4[Grade]=Table2[[#This Row],[Grade]]),0)),""))</f>
        <v/>
      </c>
      <c r="O355" s="52" t="str">
        <f>IF(OR(Table2[[#This Row],[Film]]="",Table2[[#This Row],[Grade]]=""),"",SUMIFS(Table4[Price Calculated(€) Thickness &amp; QTY related],Table4[Film],Table2[[#This Row],[Film]],Table4[Grade],Table2[[#This Row],[Grade]]))</f>
        <v/>
      </c>
      <c r="P355" s="6"/>
      <c r="T355" s="6"/>
    </row>
    <row r="356" spans="1:20">
      <c r="A356" s="29"/>
      <c r="B356" s="29" t="s">
        <v>7</v>
      </c>
      <c r="C356" s="28"/>
      <c r="D356" s="28" t="str">
        <f>IF(C356="","",IFERROR(_xlfn.XLOOKUP(C356,HELPER!$A$2:$A$81,HELPER!$B$2:$B$81,""),D356))</f>
        <v/>
      </c>
      <c r="E356" s="28" t="str">
        <f>IFERROR(_xlfn.XLOOKUP(D356,HELPER!$B:$B,HELPER!$C:$C,""),"")</f>
        <v/>
      </c>
      <c r="F356" s="27" t="str">
        <f>IFERROR(_xlfn.XLOOKUP(D356,HELPER!$B:$B,HELPER!$D:$D,""),"")</f>
        <v/>
      </c>
      <c r="G356" s="27">
        <v>8</v>
      </c>
      <c r="H356" s="47"/>
      <c r="I356" s="48" t="str">
        <f>IF(AND(H356&lt;&gt;"",IFERROR(_xlfn.XLOOKUP(D356,HELPER!$B:$B,HELPER!$E:$E,""),"")=""),"Missing price",IFERROR(_xlfn.XLOOKUP(D356,HELPER!$B:$B,HELPER!$E:$E,"")," "))</f>
        <v/>
      </c>
      <c r="J356" s="48" t="str">
        <f>IFERROR(H356*(IF(G356=8,I356*HELPER!$G$2,BOM!I356*HELPER!$G$3))," ")</f>
        <v xml:space="preserve"> </v>
      </c>
      <c r="K356" s="6"/>
      <c r="L356" s="14" t="str" cm="1">
        <f t="array" ref="L356">IFERROR(_xlfn.LET(_xlpm.films,Table4[Film],_xlpm.grades,Table4[Grade],_xlpm.pairs,_xlfn._xlws.FILTER(_xlfn.HSTACK(_xlpm.films,_xlpm.grades),(_xlpm.films&lt;&gt;"")*(TRIM(_xlpm.grades)&lt;&gt;"")),_xlpm.uniquePairs,_xlfn.UNIQUE(_xlpm.pairs),_xlpm.sortedPairs,_xlfn._xlws.SORT(_xlpm.uniquePairs,1,1),INDEX(_xlpm.sortedPairs,ROWS($L$2:L356),1)),"")</f>
        <v/>
      </c>
      <c r="M356" s="15" t="str" cm="1">
        <f t="array" ref="M356">IFERROR(_xlfn.LET(_xlpm.films,Table4[Film],_xlpm.grades,Table4[Grade],_xlpm.pairs,_xlfn._xlws.FILTER(_xlfn.HSTACK(_xlpm.films,_xlpm.grades),(_xlpm.films&lt;&gt;"")*(TRIM(_xlpm.grades)&lt;&gt;"")),_xlpm.uniquePairs,_xlfn.UNIQUE(_xlpm.pairs),_xlpm.sortedPairs,_xlfn._xlws.SORT(_xlpm.uniquePairs,1,1),INDEX(_xlpm.sortedPairs,ROWS($M$2:M356),2)),"")</f>
        <v/>
      </c>
      <c r="N356" s="15" t="str" cm="1">
        <f t="array" ref="N356">IF(OR(Table2[[#This Row],[Film]]="",Table2[[#This Row],[Grade]]=""),"",IFERROR(INDEX(Table4[Serial Number],MATCH(1,(Table4[Film]=Table2[[#This Row],[Film]])*(Table4[Grade]=Table2[[#This Row],[Grade]]),0)),""))</f>
        <v/>
      </c>
      <c r="O356" s="52" t="str">
        <f>IF(OR(Table2[[#This Row],[Film]]="",Table2[[#This Row],[Grade]]=""),"",SUMIFS(Table4[Price Calculated(€) Thickness &amp; QTY related],Table4[Film],Table2[[#This Row],[Film]],Table4[Grade],Table2[[#This Row],[Grade]]))</f>
        <v/>
      </c>
      <c r="P356" s="6"/>
      <c r="T356" s="6"/>
    </row>
    <row r="357" spans="1:20">
      <c r="A357" s="29"/>
      <c r="B357" s="29" t="s">
        <v>7</v>
      </c>
      <c r="C357" s="28"/>
      <c r="D357" s="28" t="str">
        <f>IF(C357="","",IFERROR(_xlfn.XLOOKUP(C357,HELPER!$A$2:$A$81,HELPER!$B$2:$B$81,""),D357))</f>
        <v/>
      </c>
      <c r="E357" s="28" t="str">
        <f>IFERROR(_xlfn.XLOOKUP(D357,HELPER!$B:$B,HELPER!$C:$C,""),"")</f>
        <v/>
      </c>
      <c r="F357" s="27" t="str">
        <f>IFERROR(_xlfn.XLOOKUP(D357,HELPER!$B:$B,HELPER!$D:$D,""),"")</f>
        <v/>
      </c>
      <c r="G357" s="27">
        <v>8</v>
      </c>
      <c r="H357" s="47"/>
      <c r="I357" s="48" t="str">
        <f>IF(AND(H357&lt;&gt;"",IFERROR(_xlfn.XLOOKUP(D357,HELPER!$B:$B,HELPER!$E:$E,""),"")=""),"Missing price",IFERROR(_xlfn.XLOOKUP(D357,HELPER!$B:$B,HELPER!$E:$E,"")," "))</f>
        <v/>
      </c>
      <c r="J357" s="48" t="str">
        <f>IFERROR(H357*(IF(G357=8,I357*HELPER!$G$2,BOM!I357*HELPER!$G$3))," ")</f>
        <v xml:space="preserve"> </v>
      </c>
      <c r="K357" s="6"/>
      <c r="L357" s="14" t="str" cm="1">
        <f t="array" ref="L357">IFERROR(_xlfn.LET(_xlpm.films,Table4[Film],_xlpm.grades,Table4[Grade],_xlpm.pairs,_xlfn._xlws.FILTER(_xlfn.HSTACK(_xlpm.films,_xlpm.grades),(_xlpm.films&lt;&gt;"")*(TRIM(_xlpm.grades)&lt;&gt;"")),_xlpm.uniquePairs,_xlfn.UNIQUE(_xlpm.pairs),_xlpm.sortedPairs,_xlfn._xlws.SORT(_xlpm.uniquePairs,1,1),INDEX(_xlpm.sortedPairs,ROWS($L$2:L357),1)),"")</f>
        <v/>
      </c>
      <c r="M357" s="15" t="str" cm="1">
        <f t="array" ref="M357">IFERROR(_xlfn.LET(_xlpm.films,Table4[Film],_xlpm.grades,Table4[Grade],_xlpm.pairs,_xlfn._xlws.FILTER(_xlfn.HSTACK(_xlpm.films,_xlpm.grades),(_xlpm.films&lt;&gt;"")*(TRIM(_xlpm.grades)&lt;&gt;"")),_xlpm.uniquePairs,_xlfn.UNIQUE(_xlpm.pairs),_xlpm.sortedPairs,_xlfn._xlws.SORT(_xlpm.uniquePairs,1,1),INDEX(_xlpm.sortedPairs,ROWS($M$2:M357),2)),"")</f>
        <v/>
      </c>
      <c r="N357" s="15" t="str" cm="1">
        <f t="array" ref="N357">IF(OR(Table2[[#This Row],[Film]]="",Table2[[#This Row],[Grade]]=""),"",IFERROR(INDEX(Table4[Serial Number],MATCH(1,(Table4[Film]=Table2[[#This Row],[Film]])*(Table4[Grade]=Table2[[#This Row],[Grade]]),0)),""))</f>
        <v/>
      </c>
      <c r="O357" s="52" t="str">
        <f>IF(OR(Table2[[#This Row],[Film]]="",Table2[[#This Row],[Grade]]=""),"",SUMIFS(Table4[Price Calculated(€) Thickness &amp; QTY related],Table4[Film],Table2[[#This Row],[Film]],Table4[Grade],Table2[[#This Row],[Grade]]))</f>
        <v/>
      </c>
      <c r="P357" s="6"/>
      <c r="T357" s="6"/>
    </row>
    <row r="358" spans="1:20">
      <c r="A358" s="29"/>
      <c r="B358" s="29" t="s">
        <v>7</v>
      </c>
      <c r="C358" s="28"/>
      <c r="D358" s="28" t="str">
        <f>IF(C358="","",IFERROR(_xlfn.XLOOKUP(C358,HELPER!$A$2:$A$81,HELPER!$B$2:$B$81,""),D358))</f>
        <v/>
      </c>
      <c r="E358" s="28" t="str">
        <f>IFERROR(_xlfn.XLOOKUP(D358,HELPER!$B:$B,HELPER!$C:$C,""),"")</f>
        <v/>
      </c>
      <c r="F358" s="27" t="str">
        <f>IFERROR(_xlfn.XLOOKUP(D358,HELPER!$B:$B,HELPER!$D:$D,""),"")</f>
        <v/>
      </c>
      <c r="G358" s="27">
        <v>8</v>
      </c>
      <c r="H358" s="47"/>
      <c r="I358" s="48" t="str">
        <f>IF(AND(H358&lt;&gt;"",IFERROR(_xlfn.XLOOKUP(D358,HELPER!$B:$B,HELPER!$E:$E,""),"")=""),"Missing price",IFERROR(_xlfn.XLOOKUP(D358,HELPER!$B:$B,HELPER!$E:$E,"")," "))</f>
        <v/>
      </c>
      <c r="J358" s="48" t="str">
        <f>IFERROR(H358*(IF(G358=8,I358*HELPER!$G$2,BOM!I358*HELPER!$G$3))," ")</f>
        <v xml:space="preserve"> </v>
      </c>
      <c r="K358" s="6"/>
      <c r="L358" s="14" t="str" cm="1">
        <f t="array" ref="L358">IFERROR(_xlfn.LET(_xlpm.films,Table4[Film],_xlpm.grades,Table4[Grade],_xlpm.pairs,_xlfn._xlws.FILTER(_xlfn.HSTACK(_xlpm.films,_xlpm.grades),(_xlpm.films&lt;&gt;"")*(TRIM(_xlpm.grades)&lt;&gt;"")),_xlpm.uniquePairs,_xlfn.UNIQUE(_xlpm.pairs),_xlpm.sortedPairs,_xlfn._xlws.SORT(_xlpm.uniquePairs,1,1),INDEX(_xlpm.sortedPairs,ROWS($L$2:L358),1)),"")</f>
        <v/>
      </c>
      <c r="M358" s="15" t="str" cm="1">
        <f t="array" ref="M358">IFERROR(_xlfn.LET(_xlpm.films,Table4[Film],_xlpm.grades,Table4[Grade],_xlpm.pairs,_xlfn._xlws.FILTER(_xlfn.HSTACK(_xlpm.films,_xlpm.grades),(_xlpm.films&lt;&gt;"")*(TRIM(_xlpm.grades)&lt;&gt;"")),_xlpm.uniquePairs,_xlfn.UNIQUE(_xlpm.pairs),_xlpm.sortedPairs,_xlfn._xlws.SORT(_xlpm.uniquePairs,1,1),INDEX(_xlpm.sortedPairs,ROWS($M$2:M358),2)),"")</f>
        <v/>
      </c>
      <c r="N358" s="15" t="str" cm="1">
        <f t="array" ref="N358">IF(OR(Table2[[#This Row],[Film]]="",Table2[[#This Row],[Grade]]=""),"",IFERROR(INDEX(Table4[Serial Number],MATCH(1,(Table4[Film]=Table2[[#This Row],[Film]])*(Table4[Grade]=Table2[[#This Row],[Grade]]),0)),""))</f>
        <v/>
      </c>
      <c r="O358" s="52" t="str">
        <f>IF(OR(Table2[[#This Row],[Film]]="",Table2[[#This Row],[Grade]]=""),"",SUMIFS(Table4[Price Calculated(€) Thickness &amp; QTY related],Table4[Film],Table2[[#This Row],[Film]],Table4[Grade],Table2[[#This Row],[Grade]]))</f>
        <v/>
      </c>
      <c r="P358" s="6"/>
      <c r="T358" s="6"/>
    </row>
    <row r="359" spans="1:20">
      <c r="A359" s="29"/>
      <c r="B359" s="29" t="s">
        <v>7</v>
      </c>
      <c r="C359" s="28"/>
      <c r="D359" s="28" t="str">
        <f>IF(C359="","",IFERROR(_xlfn.XLOOKUP(C359,HELPER!$A$2:$A$81,HELPER!$B$2:$B$81,""),D359))</f>
        <v/>
      </c>
      <c r="E359" s="28" t="str">
        <f>IFERROR(_xlfn.XLOOKUP(D359,HELPER!$B:$B,HELPER!$C:$C,""),"")</f>
        <v/>
      </c>
      <c r="F359" s="27" t="str">
        <f>IFERROR(_xlfn.XLOOKUP(D359,HELPER!$B:$B,HELPER!$D:$D,""),"")</f>
        <v/>
      </c>
      <c r="G359" s="27">
        <v>8</v>
      </c>
      <c r="H359" s="47"/>
      <c r="I359" s="48" t="str">
        <f>IF(AND(H359&lt;&gt;"",IFERROR(_xlfn.XLOOKUP(D359,HELPER!$B:$B,HELPER!$E:$E,""),"")=""),"Missing price",IFERROR(_xlfn.XLOOKUP(D359,HELPER!$B:$B,HELPER!$E:$E,"")," "))</f>
        <v/>
      </c>
      <c r="J359" s="48" t="str">
        <f>IFERROR(H359*(IF(G359=8,I359*HELPER!$G$2,BOM!I359*HELPER!$G$3))," ")</f>
        <v xml:space="preserve"> </v>
      </c>
      <c r="K359" s="6"/>
      <c r="L359" s="14" t="str" cm="1">
        <f t="array" ref="L359">IFERROR(_xlfn.LET(_xlpm.films,Table4[Film],_xlpm.grades,Table4[Grade],_xlpm.pairs,_xlfn._xlws.FILTER(_xlfn.HSTACK(_xlpm.films,_xlpm.grades),(_xlpm.films&lt;&gt;"")*(TRIM(_xlpm.grades)&lt;&gt;"")),_xlpm.uniquePairs,_xlfn.UNIQUE(_xlpm.pairs),_xlpm.sortedPairs,_xlfn._xlws.SORT(_xlpm.uniquePairs,1,1),INDEX(_xlpm.sortedPairs,ROWS($L$2:L359),1)),"")</f>
        <v/>
      </c>
      <c r="M359" s="15" t="str" cm="1">
        <f t="array" ref="M359">IFERROR(_xlfn.LET(_xlpm.films,Table4[Film],_xlpm.grades,Table4[Grade],_xlpm.pairs,_xlfn._xlws.FILTER(_xlfn.HSTACK(_xlpm.films,_xlpm.grades),(_xlpm.films&lt;&gt;"")*(TRIM(_xlpm.grades)&lt;&gt;"")),_xlpm.uniquePairs,_xlfn.UNIQUE(_xlpm.pairs),_xlpm.sortedPairs,_xlfn._xlws.SORT(_xlpm.uniquePairs,1,1),INDEX(_xlpm.sortedPairs,ROWS($M$2:M359),2)),"")</f>
        <v/>
      </c>
      <c r="N359" s="15" t="str" cm="1">
        <f t="array" ref="N359">IF(OR(Table2[[#This Row],[Film]]="",Table2[[#This Row],[Grade]]=""),"",IFERROR(INDEX(Table4[Serial Number],MATCH(1,(Table4[Film]=Table2[[#This Row],[Film]])*(Table4[Grade]=Table2[[#This Row],[Grade]]),0)),""))</f>
        <v/>
      </c>
      <c r="O359" s="52" t="str">
        <f>IF(OR(Table2[[#This Row],[Film]]="",Table2[[#This Row],[Grade]]=""),"",SUMIFS(Table4[Price Calculated(€) Thickness &amp; QTY related],Table4[Film],Table2[[#This Row],[Film]],Table4[Grade],Table2[[#This Row],[Grade]]))</f>
        <v/>
      </c>
      <c r="P359" s="6"/>
      <c r="T359" s="6"/>
    </row>
    <row r="360" spans="1:20">
      <c r="A360" s="29"/>
      <c r="B360" s="29" t="s">
        <v>7</v>
      </c>
      <c r="C360" s="28"/>
      <c r="D360" s="28" t="str">
        <f>IF(C360="","",IFERROR(_xlfn.XLOOKUP(C360,HELPER!$A$2:$A$81,HELPER!$B$2:$B$81,""),D360))</f>
        <v/>
      </c>
      <c r="E360" s="28" t="str">
        <f>IFERROR(_xlfn.XLOOKUP(D360,HELPER!$B:$B,HELPER!$C:$C,""),"")</f>
        <v/>
      </c>
      <c r="F360" s="27" t="str">
        <f>IFERROR(_xlfn.XLOOKUP(D360,HELPER!$B:$B,HELPER!$D:$D,""),"")</f>
        <v/>
      </c>
      <c r="G360" s="27">
        <v>8</v>
      </c>
      <c r="H360" s="47"/>
      <c r="I360" s="48" t="str">
        <f>IF(AND(H360&lt;&gt;"",IFERROR(_xlfn.XLOOKUP(D360,HELPER!$B:$B,HELPER!$E:$E,""),"")=""),"Missing price",IFERROR(_xlfn.XLOOKUP(D360,HELPER!$B:$B,HELPER!$E:$E,"")," "))</f>
        <v/>
      </c>
      <c r="J360" s="48" t="str">
        <f>IFERROR(H360*(IF(G360=8,I360*HELPER!$G$2,BOM!I360*HELPER!$G$3))," ")</f>
        <v xml:space="preserve"> </v>
      </c>
      <c r="K360" s="6"/>
      <c r="L360" s="14" t="str" cm="1">
        <f t="array" ref="L360">IFERROR(_xlfn.LET(_xlpm.films,Table4[Film],_xlpm.grades,Table4[Grade],_xlpm.pairs,_xlfn._xlws.FILTER(_xlfn.HSTACK(_xlpm.films,_xlpm.grades),(_xlpm.films&lt;&gt;"")*(TRIM(_xlpm.grades)&lt;&gt;"")),_xlpm.uniquePairs,_xlfn.UNIQUE(_xlpm.pairs),_xlpm.sortedPairs,_xlfn._xlws.SORT(_xlpm.uniquePairs,1,1),INDEX(_xlpm.sortedPairs,ROWS($L$2:L360),1)),"")</f>
        <v/>
      </c>
      <c r="M360" s="15" t="str" cm="1">
        <f t="array" ref="M360">IFERROR(_xlfn.LET(_xlpm.films,Table4[Film],_xlpm.grades,Table4[Grade],_xlpm.pairs,_xlfn._xlws.FILTER(_xlfn.HSTACK(_xlpm.films,_xlpm.grades),(_xlpm.films&lt;&gt;"")*(TRIM(_xlpm.grades)&lt;&gt;"")),_xlpm.uniquePairs,_xlfn.UNIQUE(_xlpm.pairs),_xlpm.sortedPairs,_xlfn._xlws.SORT(_xlpm.uniquePairs,1,1),INDEX(_xlpm.sortedPairs,ROWS($M$2:M360),2)),"")</f>
        <v/>
      </c>
      <c r="N360" s="15" t="str" cm="1">
        <f t="array" ref="N360">IF(OR(Table2[[#This Row],[Film]]="",Table2[[#This Row],[Grade]]=""),"",IFERROR(INDEX(Table4[Serial Number],MATCH(1,(Table4[Film]=Table2[[#This Row],[Film]])*(Table4[Grade]=Table2[[#This Row],[Grade]]),0)),""))</f>
        <v/>
      </c>
      <c r="O360" s="52" t="str">
        <f>IF(OR(Table2[[#This Row],[Film]]="",Table2[[#This Row],[Grade]]=""),"",SUMIFS(Table4[Price Calculated(€) Thickness &amp; QTY related],Table4[Film],Table2[[#This Row],[Film]],Table4[Grade],Table2[[#This Row],[Grade]]))</f>
        <v/>
      </c>
      <c r="P360" s="6"/>
      <c r="T360" s="6"/>
    </row>
    <row r="361" spans="1:20">
      <c r="A361" s="29"/>
      <c r="B361" s="29" t="s">
        <v>7</v>
      </c>
      <c r="C361" s="28"/>
      <c r="D361" s="28" t="str">
        <f>IF(C361="","",IFERROR(_xlfn.XLOOKUP(C361,HELPER!$A$2:$A$81,HELPER!$B$2:$B$81,""),D361))</f>
        <v/>
      </c>
      <c r="E361" s="28" t="str">
        <f>IFERROR(_xlfn.XLOOKUP(D361,HELPER!$B:$B,HELPER!$C:$C,""),"")</f>
        <v/>
      </c>
      <c r="F361" s="27" t="str">
        <f>IFERROR(_xlfn.XLOOKUP(D361,HELPER!$B:$B,HELPER!$D:$D,""),"")</f>
        <v/>
      </c>
      <c r="G361" s="27">
        <v>8</v>
      </c>
      <c r="H361" s="47"/>
      <c r="I361" s="48" t="str">
        <f>IF(AND(H361&lt;&gt;"",IFERROR(_xlfn.XLOOKUP(D361,HELPER!$B:$B,HELPER!$E:$E,""),"")=""),"Missing price",IFERROR(_xlfn.XLOOKUP(D361,HELPER!$B:$B,HELPER!$E:$E,"")," "))</f>
        <v/>
      </c>
      <c r="J361" s="48" t="str">
        <f>IFERROR(H361*(IF(G361=8,I361*HELPER!$G$2,BOM!I361*HELPER!$G$3))," ")</f>
        <v xml:space="preserve"> </v>
      </c>
      <c r="K361" s="6"/>
      <c r="L361" s="14" t="str" cm="1">
        <f t="array" ref="L361">IFERROR(_xlfn.LET(_xlpm.films,Table4[Film],_xlpm.grades,Table4[Grade],_xlpm.pairs,_xlfn._xlws.FILTER(_xlfn.HSTACK(_xlpm.films,_xlpm.grades),(_xlpm.films&lt;&gt;"")*(TRIM(_xlpm.grades)&lt;&gt;"")),_xlpm.uniquePairs,_xlfn.UNIQUE(_xlpm.pairs),_xlpm.sortedPairs,_xlfn._xlws.SORT(_xlpm.uniquePairs,1,1),INDEX(_xlpm.sortedPairs,ROWS($L$2:L361),1)),"")</f>
        <v/>
      </c>
      <c r="M361" s="15" t="str" cm="1">
        <f t="array" ref="M361">IFERROR(_xlfn.LET(_xlpm.films,Table4[Film],_xlpm.grades,Table4[Grade],_xlpm.pairs,_xlfn._xlws.FILTER(_xlfn.HSTACK(_xlpm.films,_xlpm.grades),(_xlpm.films&lt;&gt;"")*(TRIM(_xlpm.grades)&lt;&gt;"")),_xlpm.uniquePairs,_xlfn.UNIQUE(_xlpm.pairs),_xlpm.sortedPairs,_xlfn._xlws.SORT(_xlpm.uniquePairs,1,1),INDEX(_xlpm.sortedPairs,ROWS($M$2:M361),2)),"")</f>
        <v/>
      </c>
      <c r="N361" s="15" t="str" cm="1">
        <f t="array" ref="N361">IF(OR(Table2[[#This Row],[Film]]="",Table2[[#This Row],[Grade]]=""),"",IFERROR(INDEX(Table4[Serial Number],MATCH(1,(Table4[Film]=Table2[[#This Row],[Film]])*(Table4[Grade]=Table2[[#This Row],[Grade]]),0)),""))</f>
        <v/>
      </c>
      <c r="O361" s="52" t="str">
        <f>IF(OR(Table2[[#This Row],[Film]]="",Table2[[#This Row],[Grade]]=""),"",SUMIFS(Table4[Price Calculated(€) Thickness &amp; QTY related],Table4[Film],Table2[[#This Row],[Film]],Table4[Grade],Table2[[#This Row],[Grade]]))</f>
        <v/>
      </c>
      <c r="P361" s="6"/>
      <c r="T361" s="6"/>
    </row>
    <row r="362" spans="1:20">
      <c r="A362" s="29"/>
      <c r="B362" s="29" t="s">
        <v>5</v>
      </c>
      <c r="C362" s="28"/>
      <c r="D362" s="28" t="str">
        <f>IF(C362="","",IFERROR(_xlfn.XLOOKUP(C362,HELPER!$A$2:$A$81,HELPER!$B$2:$B$81,""),D362))</f>
        <v/>
      </c>
      <c r="E362" s="28" t="str">
        <f>IFERROR(_xlfn.XLOOKUP(D362,HELPER!$B:$B,HELPER!$C:$C,""),"")</f>
        <v/>
      </c>
      <c r="F362" s="27" t="str">
        <f>IFERROR(_xlfn.XLOOKUP(D362,HELPER!$B:$B,HELPER!$D:$D,""),"")</f>
        <v/>
      </c>
      <c r="G362" s="27">
        <v>8</v>
      </c>
      <c r="H362" s="47"/>
      <c r="I362" s="48" t="str">
        <f>IF(AND(H362&lt;&gt;"",IFERROR(_xlfn.XLOOKUP(D362,HELPER!$B:$B,HELPER!$E:$E,""),"")=""),"Missing price",IFERROR(_xlfn.XLOOKUP(D362,HELPER!$B:$B,HELPER!$E:$E,"")," "))</f>
        <v/>
      </c>
      <c r="J362" s="48" t="str">
        <f>IFERROR(H362*(IF(G362=8,I362*HELPER!$G$2,BOM!I362*HELPER!$G$3))," ")</f>
        <v xml:space="preserve"> </v>
      </c>
      <c r="K362" s="6"/>
      <c r="L362" s="14" t="str" cm="1">
        <f t="array" ref="L362">IFERROR(_xlfn.LET(_xlpm.films,Table4[Film],_xlpm.grades,Table4[Grade],_xlpm.pairs,_xlfn._xlws.FILTER(_xlfn.HSTACK(_xlpm.films,_xlpm.grades),(_xlpm.films&lt;&gt;"")*(TRIM(_xlpm.grades)&lt;&gt;"")),_xlpm.uniquePairs,_xlfn.UNIQUE(_xlpm.pairs),_xlpm.sortedPairs,_xlfn._xlws.SORT(_xlpm.uniquePairs,1,1),INDEX(_xlpm.sortedPairs,ROWS($L$2:L362),1)),"")</f>
        <v/>
      </c>
      <c r="M362" s="15" t="str" cm="1">
        <f t="array" ref="M362">IFERROR(_xlfn.LET(_xlpm.films,Table4[Film],_xlpm.grades,Table4[Grade],_xlpm.pairs,_xlfn._xlws.FILTER(_xlfn.HSTACK(_xlpm.films,_xlpm.grades),(_xlpm.films&lt;&gt;"")*(TRIM(_xlpm.grades)&lt;&gt;"")),_xlpm.uniquePairs,_xlfn.UNIQUE(_xlpm.pairs),_xlpm.sortedPairs,_xlfn._xlws.SORT(_xlpm.uniquePairs,1,1),INDEX(_xlpm.sortedPairs,ROWS($M$2:M362),2)),"")</f>
        <v/>
      </c>
      <c r="N362" s="15" t="str" cm="1">
        <f t="array" ref="N362">IF(OR(Table2[[#This Row],[Film]]="",Table2[[#This Row],[Grade]]=""),"",IFERROR(INDEX(Table4[Serial Number],MATCH(1,(Table4[Film]=Table2[[#This Row],[Film]])*(Table4[Grade]=Table2[[#This Row],[Grade]]),0)),""))</f>
        <v/>
      </c>
      <c r="O362" s="52" t="str">
        <f>IF(OR(Table2[[#This Row],[Film]]="",Table2[[#This Row],[Grade]]=""),"",SUMIFS(Table4[Price Calculated(€) Thickness &amp; QTY related],Table4[Film],Table2[[#This Row],[Film]],Table4[Grade],Table2[[#This Row],[Grade]]))</f>
        <v/>
      </c>
      <c r="P362" s="6"/>
      <c r="T362" s="6"/>
    </row>
    <row r="363" spans="1:20">
      <c r="A363" s="29"/>
      <c r="B363" s="29" t="s">
        <v>5</v>
      </c>
      <c r="C363" s="28"/>
      <c r="D363" s="28" t="str">
        <f>IF(C363="","",IFERROR(_xlfn.XLOOKUP(C363,HELPER!$A$2:$A$81,HELPER!$B$2:$B$81,""),D363))</f>
        <v/>
      </c>
      <c r="E363" s="28" t="str">
        <f>IFERROR(_xlfn.XLOOKUP(D363,HELPER!$B:$B,HELPER!$C:$C,""),"")</f>
        <v/>
      </c>
      <c r="F363" s="27" t="str">
        <f>IFERROR(_xlfn.XLOOKUP(D363,HELPER!$B:$B,HELPER!$D:$D,""),"")</f>
        <v/>
      </c>
      <c r="G363" s="27">
        <v>8</v>
      </c>
      <c r="H363" s="47"/>
      <c r="I363" s="48" t="str">
        <f>IF(AND(H363&lt;&gt;"",IFERROR(_xlfn.XLOOKUP(D363,HELPER!$B:$B,HELPER!$E:$E,""),"")=""),"Missing price",IFERROR(_xlfn.XLOOKUP(D363,HELPER!$B:$B,HELPER!$E:$E,"")," "))</f>
        <v/>
      </c>
      <c r="J363" s="48" t="str">
        <f>IFERROR(H363*(IF(G363=8,I363*HELPER!$G$2,BOM!I363*HELPER!$G$3))," ")</f>
        <v xml:space="preserve"> </v>
      </c>
      <c r="K363" s="6"/>
      <c r="L363" s="14" t="str" cm="1">
        <f t="array" ref="L363">IFERROR(_xlfn.LET(_xlpm.films,Table4[Film],_xlpm.grades,Table4[Grade],_xlpm.pairs,_xlfn._xlws.FILTER(_xlfn.HSTACK(_xlpm.films,_xlpm.grades),(_xlpm.films&lt;&gt;"")*(TRIM(_xlpm.grades)&lt;&gt;"")),_xlpm.uniquePairs,_xlfn.UNIQUE(_xlpm.pairs),_xlpm.sortedPairs,_xlfn._xlws.SORT(_xlpm.uniquePairs,1,1),INDEX(_xlpm.sortedPairs,ROWS($L$2:L363),1)),"")</f>
        <v/>
      </c>
      <c r="M363" s="15" t="str" cm="1">
        <f t="array" ref="M363">IFERROR(_xlfn.LET(_xlpm.films,Table4[Film],_xlpm.grades,Table4[Grade],_xlpm.pairs,_xlfn._xlws.FILTER(_xlfn.HSTACK(_xlpm.films,_xlpm.grades),(_xlpm.films&lt;&gt;"")*(TRIM(_xlpm.grades)&lt;&gt;"")),_xlpm.uniquePairs,_xlfn.UNIQUE(_xlpm.pairs),_xlpm.sortedPairs,_xlfn._xlws.SORT(_xlpm.uniquePairs,1,1),INDEX(_xlpm.sortedPairs,ROWS($M$2:M363),2)),"")</f>
        <v/>
      </c>
      <c r="N363" s="15" t="str" cm="1">
        <f t="array" ref="N363">IF(OR(Table2[[#This Row],[Film]]="",Table2[[#This Row],[Grade]]=""),"",IFERROR(INDEX(Table4[Serial Number],MATCH(1,(Table4[Film]=Table2[[#This Row],[Film]])*(Table4[Grade]=Table2[[#This Row],[Grade]]),0)),""))</f>
        <v/>
      </c>
      <c r="O363" s="52" t="str">
        <f>IF(OR(Table2[[#This Row],[Film]]="",Table2[[#This Row],[Grade]]=""),"",SUMIFS(Table4[Price Calculated(€) Thickness &amp; QTY related],Table4[Film],Table2[[#This Row],[Film]],Table4[Grade],Table2[[#This Row],[Grade]]))</f>
        <v/>
      </c>
      <c r="P363" s="6"/>
      <c r="T363" s="6"/>
    </row>
    <row r="364" spans="1:20">
      <c r="A364" s="29"/>
      <c r="B364" s="29" t="s">
        <v>5</v>
      </c>
      <c r="C364" s="28"/>
      <c r="D364" s="28" t="str">
        <f>IF(C364="","",IFERROR(_xlfn.XLOOKUP(C364,HELPER!$A$2:$A$81,HELPER!$B$2:$B$81,""),D364))</f>
        <v/>
      </c>
      <c r="E364" s="28" t="str">
        <f>IFERROR(_xlfn.XLOOKUP(D364,HELPER!$B:$B,HELPER!$C:$C,""),"")</f>
        <v/>
      </c>
      <c r="F364" s="27" t="str">
        <f>IFERROR(_xlfn.XLOOKUP(D364,HELPER!$B:$B,HELPER!$D:$D,""),"")</f>
        <v/>
      </c>
      <c r="G364" s="27">
        <v>8</v>
      </c>
      <c r="H364" s="47"/>
      <c r="I364" s="48" t="str">
        <f>IF(AND(H364&lt;&gt;"",IFERROR(_xlfn.XLOOKUP(D364,HELPER!$B:$B,HELPER!$E:$E,""),"")=""),"Missing price",IFERROR(_xlfn.XLOOKUP(D364,HELPER!$B:$B,HELPER!$E:$E,"")," "))</f>
        <v/>
      </c>
      <c r="J364" s="48" t="str">
        <f>IFERROR(H364*(IF(G364=8,I364*HELPER!$G$2,BOM!I364*HELPER!$G$3))," ")</f>
        <v xml:space="preserve"> </v>
      </c>
      <c r="K364" s="6"/>
      <c r="L364" s="14" t="str" cm="1">
        <f t="array" ref="L364">IFERROR(_xlfn.LET(_xlpm.films,Table4[Film],_xlpm.grades,Table4[Grade],_xlpm.pairs,_xlfn._xlws.FILTER(_xlfn.HSTACK(_xlpm.films,_xlpm.grades),(_xlpm.films&lt;&gt;"")*(TRIM(_xlpm.grades)&lt;&gt;"")),_xlpm.uniquePairs,_xlfn.UNIQUE(_xlpm.pairs),_xlpm.sortedPairs,_xlfn._xlws.SORT(_xlpm.uniquePairs,1,1),INDEX(_xlpm.sortedPairs,ROWS($L$2:L364),1)),"")</f>
        <v/>
      </c>
      <c r="M364" s="15" t="str" cm="1">
        <f t="array" ref="M364">IFERROR(_xlfn.LET(_xlpm.films,Table4[Film],_xlpm.grades,Table4[Grade],_xlpm.pairs,_xlfn._xlws.FILTER(_xlfn.HSTACK(_xlpm.films,_xlpm.grades),(_xlpm.films&lt;&gt;"")*(TRIM(_xlpm.grades)&lt;&gt;"")),_xlpm.uniquePairs,_xlfn.UNIQUE(_xlpm.pairs),_xlpm.sortedPairs,_xlfn._xlws.SORT(_xlpm.uniquePairs,1,1),INDEX(_xlpm.sortedPairs,ROWS($M$2:M364),2)),"")</f>
        <v/>
      </c>
      <c r="N364" s="15" t="str" cm="1">
        <f t="array" ref="N364">IF(OR(Table2[[#This Row],[Film]]="",Table2[[#This Row],[Grade]]=""),"",IFERROR(INDEX(Table4[Serial Number],MATCH(1,(Table4[Film]=Table2[[#This Row],[Film]])*(Table4[Grade]=Table2[[#This Row],[Grade]]),0)),""))</f>
        <v/>
      </c>
      <c r="O364" s="52" t="str">
        <f>IF(OR(Table2[[#This Row],[Film]]="",Table2[[#This Row],[Grade]]=""),"",SUMIFS(Table4[Price Calculated(€) Thickness &amp; QTY related],Table4[Film],Table2[[#This Row],[Film]],Table4[Grade],Table2[[#This Row],[Grade]]))</f>
        <v/>
      </c>
      <c r="P364" s="6"/>
      <c r="T364" s="6"/>
    </row>
    <row r="365" spans="1:20">
      <c r="A365" s="29"/>
      <c r="B365" s="29" t="s">
        <v>5</v>
      </c>
      <c r="C365" s="28"/>
      <c r="D365" s="28" t="str">
        <f>IF(C365="","",IFERROR(_xlfn.XLOOKUP(C365,HELPER!$A$2:$A$81,HELPER!$B$2:$B$81,""),D365))</f>
        <v/>
      </c>
      <c r="E365" s="28" t="str">
        <f>IFERROR(_xlfn.XLOOKUP(D365,HELPER!$B:$B,HELPER!$C:$C,""),"")</f>
        <v/>
      </c>
      <c r="F365" s="27" t="str">
        <f>IFERROR(_xlfn.XLOOKUP(D365,HELPER!$B:$B,HELPER!$D:$D,""),"")</f>
        <v/>
      </c>
      <c r="G365" s="27">
        <v>8</v>
      </c>
      <c r="H365" s="47"/>
      <c r="I365" s="48" t="str">
        <f>IF(AND(H365&lt;&gt;"",IFERROR(_xlfn.XLOOKUP(D365,HELPER!$B:$B,HELPER!$E:$E,""),"")=""),"Missing price",IFERROR(_xlfn.XLOOKUP(D365,HELPER!$B:$B,HELPER!$E:$E,"")," "))</f>
        <v/>
      </c>
      <c r="J365" s="48" t="str">
        <f>IFERROR(H365*(IF(G365=8,I365*HELPER!$G$2,BOM!I365*HELPER!$G$3))," ")</f>
        <v xml:space="preserve"> </v>
      </c>
      <c r="K365" s="6"/>
      <c r="L365" s="14" t="str" cm="1">
        <f t="array" ref="L365">IFERROR(_xlfn.LET(_xlpm.films,Table4[Film],_xlpm.grades,Table4[Grade],_xlpm.pairs,_xlfn._xlws.FILTER(_xlfn.HSTACK(_xlpm.films,_xlpm.grades),(_xlpm.films&lt;&gt;"")*(TRIM(_xlpm.grades)&lt;&gt;"")),_xlpm.uniquePairs,_xlfn.UNIQUE(_xlpm.pairs),_xlpm.sortedPairs,_xlfn._xlws.SORT(_xlpm.uniquePairs,1,1),INDEX(_xlpm.sortedPairs,ROWS($L$2:L365),1)),"")</f>
        <v/>
      </c>
      <c r="M365" s="15" t="str" cm="1">
        <f t="array" ref="M365">IFERROR(_xlfn.LET(_xlpm.films,Table4[Film],_xlpm.grades,Table4[Grade],_xlpm.pairs,_xlfn._xlws.FILTER(_xlfn.HSTACK(_xlpm.films,_xlpm.grades),(_xlpm.films&lt;&gt;"")*(TRIM(_xlpm.grades)&lt;&gt;"")),_xlpm.uniquePairs,_xlfn.UNIQUE(_xlpm.pairs),_xlpm.sortedPairs,_xlfn._xlws.SORT(_xlpm.uniquePairs,1,1),INDEX(_xlpm.sortedPairs,ROWS($M$2:M365),2)),"")</f>
        <v/>
      </c>
      <c r="N365" s="15" t="str" cm="1">
        <f t="array" ref="N365">IF(OR(Table2[[#This Row],[Film]]="",Table2[[#This Row],[Grade]]=""),"",IFERROR(INDEX(Table4[Serial Number],MATCH(1,(Table4[Film]=Table2[[#This Row],[Film]])*(Table4[Grade]=Table2[[#This Row],[Grade]]),0)),""))</f>
        <v/>
      </c>
      <c r="O365" s="52" t="str">
        <f>IF(OR(Table2[[#This Row],[Film]]="",Table2[[#This Row],[Grade]]=""),"",SUMIFS(Table4[Price Calculated(€) Thickness &amp; QTY related],Table4[Film],Table2[[#This Row],[Film]],Table4[Grade],Table2[[#This Row],[Grade]]))</f>
        <v/>
      </c>
      <c r="P365" s="6"/>
      <c r="T365" s="6"/>
    </row>
    <row r="366" spans="1:20">
      <c r="A366" s="29"/>
      <c r="B366" s="29" t="s">
        <v>5</v>
      </c>
      <c r="C366" s="28"/>
      <c r="D366" s="28" t="str">
        <f>IF(C366="","",IFERROR(_xlfn.XLOOKUP(C366,HELPER!$A$2:$A$81,HELPER!$B$2:$B$81,""),D366))</f>
        <v/>
      </c>
      <c r="E366" s="28" t="str">
        <f>IFERROR(_xlfn.XLOOKUP(D366,HELPER!$B:$B,HELPER!$C:$C,""),"")</f>
        <v/>
      </c>
      <c r="F366" s="27" t="str">
        <f>IFERROR(_xlfn.XLOOKUP(D366,HELPER!$B:$B,HELPER!$D:$D,""),"")</f>
        <v/>
      </c>
      <c r="G366" s="27">
        <v>8</v>
      </c>
      <c r="H366" s="47"/>
      <c r="I366" s="48" t="str">
        <f>IF(AND(H366&lt;&gt;"",IFERROR(_xlfn.XLOOKUP(D366,HELPER!$B:$B,HELPER!$E:$E,""),"")=""),"Missing price",IFERROR(_xlfn.XLOOKUP(D366,HELPER!$B:$B,HELPER!$E:$E,"")," "))</f>
        <v/>
      </c>
      <c r="J366" s="48" t="str">
        <f>IFERROR(H366*(IF(G366=8,I366*HELPER!$G$2,BOM!I366*HELPER!$G$3))," ")</f>
        <v xml:space="preserve"> </v>
      </c>
      <c r="K366" s="6"/>
      <c r="L366" s="14" t="str" cm="1">
        <f t="array" ref="L366">IFERROR(_xlfn.LET(_xlpm.films,Table4[Film],_xlpm.grades,Table4[Grade],_xlpm.pairs,_xlfn._xlws.FILTER(_xlfn.HSTACK(_xlpm.films,_xlpm.grades),(_xlpm.films&lt;&gt;"")*(TRIM(_xlpm.grades)&lt;&gt;"")),_xlpm.uniquePairs,_xlfn.UNIQUE(_xlpm.pairs),_xlpm.sortedPairs,_xlfn._xlws.SORT(_xlpm.uniquePairs,1,1),INDEX(_xlpm.sortedPairs,ROWS($L$2:L366),1)),"")</f>
        <v/>
      </c>
      <c r="M366" s="15" t="str" cm="1">
        <f t="array" ref="M366">IFERROR(_xlfn.LET(_xlpm.films,Table4[Film],_xlpm.grades,Table4[Grade],_xlpm.pairs,_xlfn._xlws.FILTER(_xlfn.HSTACK(_xlpm.films,_xlpm.grades),(_xlpm.films&lt;&gt;"")*(TRIM(_xlpm.grades)&lt;&gt;"")),_xlpm.uniquePairs,_xlfn.UNIQUE(_xlpm.pairs),_xlpm.sortedPairs,_xlfn._xlws.SORT(_xlpm.uniquePairs,1,1),INDEX(_xlpm.sortedPairs,ROWS($M$2:M366),2)),"")</f>
        <v/>
      </c>
      <c r="N366" s="15" t="str" cm="1">
        <f t="array" ref="N366">IF(OR(Table2[[#This Row],[Film]]="",Table2[[#This Row],[Grade]]=""),"",IFERROR(INDEX(Table4[Serial Number],MATCH(1,(Table4[Film]=Table2[[#This Row],[Film]])*(Table4[Grade]=Table2[[#This Row],[Grade]]),0)),""))</f>
        <v/>
      </c>
      <c r="O366" s="52" t="str">
        <f>IF(OR(Table2[[#This Row],[Film]]="",Table2[[#This Row],[Grade]]=""),"",SUMIFS(Table4[Price Calculated(€) Thickness &amp; QTY related],Table4[Film],Table2[[#This Row],[Film]],Table4[Grade],Table2[[#This Row],[Grade]]))</f>
        <v/>
      </c>
      <c r="P366" s="6"/>
      <c r="T366" s="6"/>
    </row>
    <row r="367" spans="1:20">
      <c r="A367" s="29"/>
      <c r="B367" s="29" t="s">
        <v>5</v>
      </c>
      <c r="C367" s="28"/>
      <c r="D367" s="28" t="str">
        <f>IF(C367="","",IFERROR(_xlfn.XLOOKUP(C367,HELPER!$A$2:$A$81,HELPER!$B$2:$B$81,""),D367))</f>
        <v/>
      </c>
      <c r="E367" s="28" t="str">
        <f>IFERROR(_xlfn.XLOOKUP(D367,HELPER!$B:$B,HELPER!$C:$C,""),"")</f>
        <v/>
      </c>
      <c r="F367" s="27" t="str">
        <f>IFERROR(_xlfn.XLOOKUP(D367,HELPER!$B:$B,HELPER!$D:$D,""),"")</f>
        <v/>
      </c>
      <c r="G367" s="27">
        <v>8</v>
      </c>
      <c r="H367" s="47"/>
      <c r="I367" s="48" t="str">
        <f>IF(AND(H367&lt;&gt;"",IFERROR(_xlfn.XLOOKUP(D367,HELPER!$B:$B,HELPER!$E:$E,""),"")=""),"Missing price",IFERROR(_xlfn.XLOOKUP(D367,HELPER!$B:$B,HELPER!$E:$E,"")," "))</f>
        <v/>
      </c>
      <c r="J367" s="48" t="str">
        <f>IFERROR(H367*(IF(G367=8,I367*HELPER!$G$2,BOM!I367*HELPER!$G$3))," ")</f>
        <v xml:space="preserve"> </v>
      </c>
      <c r="K367" s="6"/>
      <c r="L367" s="14" t="str" cm="1">
        <f t="array" ref="L367">IFERROR(_xlfn.LET(_xlpm.films,Table4[Film],_xlpm.grades,Table4[Grade],_xlpm.pairs,_xlfn._xlws.FILTER(_xlfn.HSTACK(_xlpm.films,_xlpm.grades),(_xlpm.films&lt;&gt;"")*(TRIM(_xlpm.grades)&lt;&gt;"")),_xlpm.uniquePairs,_xlfn.UNIQUE(_xlpm.pairs),_xlpm.sortedPairs,_xlfn._xlws.SORT(_xlpm.uniquePairs,1,1),INDEX(_xlpm.sortedPairs,ROWS($L$2:L367),1)),"")</f>
        <v/>
      </c>
      <c r="M367" s="15" t="str" cm="1">
        <f t="array" ref="M367">IFERROR(_xlfn.LET(_xlpm.films,Table4[Film],_xlpm.grades,Table4[Grade],_xlpm.pairs,_xlfn._xlws.FILTER(_xlfn.HSTACK(_xlpm.films,_xlpm.grades),(_xlpm.films&lt;&gt;"")*(TRIM(_xlpm.grades)&lt;&gt;"")),_xlpm.uniquePairs,_xlfn.UNIQUE(_xlpm.pairs),_xlpm.sortedPairs,_xlfn._xlws.SORT(_xlpm.uniquePairs,1,1),INDEX(_xlpm.sortedPairs,ROWS($M$2:M367),2)),"")</f>
        <v/>
      </c>
      <c r="N367" s="15" t="str" cm="1">
        <f t="array" ref="N367">IF(OR(Table2[[#This Row],[Film]]="",Table2[[#This Row],[Grade]]=""),"",IFERROR(INDEX(Table4[Serial Number],MATCH(1,(Table4[Film]=Table2[[#This Row],[Film]])*(Table4[Grade]=Table2[[#This Row],[Grade]]),0)),""))</f>
        <v/>
      </c>
      <c r="O367" s="52" t="str">
        <f>IF(OR(Table2[[#This Row],[Film]]="",Table2[[#This Row],[Grade]]=""),"",SUMIFS(Table4[Price Calculated(€) Thickness &amp; QTY related],Table4[Film],Table2[[#This Row],[Film]],Table4[Grade],Table2[[#This Row],[Grade]]))</f>
        <v/>
      </c>
      <c r="P367" s="6"/>
      <c r="T367" s="6"/>
    </row>
    <row r="368" spans="1:20">
      <c r="A368" s="29"/>
      <c r="B368" s="29" t="s">
        <v>5</v>
      </c>
      <c r="C368" s="28"/>
      <c r="D368" s="28" t="str">
        <f>IF(C368="","",IFERROR(_xlfn.XLOOKUP(C368,HELPER!$A$2:$A$81,HELPER!$B$2:$B$81,""),D368))</f>
        <v/>
      </c>
      <c r="E368" s="28" t="str">
        <f>IFERROR(_xlfn.XLOOKUP(D368,HELPER!$B:$B,HELPER!$C:$C,""),"")</f>
        <v/>
      </c>
      <c r="F368" s="27" t="str">
        <f>IFERROR(_xlfn.XLOOKUP(D368,HELPER!$B:$B,HELPER!$D:$D,""),"")</f>
        <v/>
      </c>
      <c r="G368" s="27">
        <v>8</v>
      </c>
      <c r="H368" s="47"/>
      <c r="I368" s="48" t="str">
        <f>IF(AND(H368&lt;&gt;"",IFERROR(_xlfn.XLOOKUP(D368,HELPER!$B:$B,HELPER!$E:$E,""),"")=""),"Missing price",IFERROR(_xlfn.XLOOKUP(D368,HELPER!$B:$B,HELPER!$E:$E,"")," "))</f>
        <v/>
      </c>
      <c r="J368" s="48" t="str">
        <f>IFERROR(H368*(IF(G368=8,I368*HELPER!$G$2,BOM!I368*HELPER!$G$3))," ")</f>
        <v xml:space="preserve"> </v>
      </c>
      <c r="K368" s="6"/>
      <c r="L368" s="14" t="str" cm="1">
        <f t="array" ref="L368">IFERROR(_xlfn.LET(_xlpm.films,Table4[Film],_xlpm.grades,Table4[Grade],_xlpm.pairs,_xlfn._xlws.FILTER(_xlfn.HSTACK(_xlpm.films,_xlpm.grades),(_xlpm.films&lt;&gt;"")*(TRIM(_xlpm.grades)&lt;&gt;"")),_xlpm.uniquePairs,_xlfn.UNIQUE(_xlpm.pairs),_xlpm.sortedPairs,_xlfn._xlws.SORT(_xlpm.uniquePairs,1,1),INDEX(_xlpm.sortedPairs,ROWS($L$2:L368),1)),"")</f>
        <v/>
      </c>
      <c r="M368" s="15" t="str" cm="1">
        <f t="array" ref="M368">IFERROR(_xlfn.LET(_xlpm.films,Table4[Film],_xlpm.grades,Table4[Grade],_xlpm.pairs,_xlfn._xlws.FILTER(_xlfn.HSTACK(_xlpm.films,_xlpm.grades),(_xlpm.films&lt;&gt;"")*(TRIM(_xlpm.grades)&lt;&gt;"")),_xlpm.uniquePairs,_xlfn.UNIQUE(_xlpm.pairs),_xlpm.sortedPairs,_xlfn._xlws.SORT(_xlpm.uniquePairs,1,1),INDEX(_xlpm.sortedPairs,ROWS($M$2:M368),2)),"")</f>
        <v/>
      </c>
      <c r="N368" s="15" t="str" cm="1">
        <f t="array" ref="N368">IF(OR(Table2[[#This Row],[Film]]="",Table2[[#This Row],[Grade]]=""),"",IFERROR(INDEX(Table4[Serial Number],MATCH(1,(Table4[Film]=Table2[[#This Row],[Film]])*(Table4[Grade]=Table2[[#This Row],[Grade]]),0)),""))</f>
        <v/>
      </c>
      <c r="O368" s="52" t="str">
        <f>IF(OR(Table2[[#This Row],[Film]]="",Table2[[#This Row],[Grade]]=""),"",SUMIFS(Table4[Price Calculated(€) Thickness &amp; QTY related],Table4[Film],Table2[[#This Row],[Film]],Table4[Grade],Table2[[#This Row],[Grade]]))</f>
        <v/>
      </c>
      <c r="P368" s="6"/>
      <c r="T368" s="6"/>
    </row>
    <row r="369" spans="1:20">
      <c r="A369" s="29"/>
      <c r="B369" s="29" t="s">
        <v>5</v>
      </c>
      <c r="C369" s="28"/>
      <c r="D369" s="28" t="str">
        <f>IF(C369="","",IFERROR(_xlfn.XLOOKUP(C369,HELPER!$A$2:$A$81,HELPER!$B$2:$B$81,""),D369))</f>
        <v/>
      </c>
      <c r="E369" s="28" t="str">
        <f>IFERROR(_xlfn.XLOOKUP(D369,HELPER!$B:$B,HELPER!$C:$C,""),"")</f>
        <v/>
      </c>
      <c r="F369" s="27" t="str">
        <f>IFERROR(_xlfn.XLOOKUP(D369,HELPER!$B:$B,HELPER!$D:$D,""),"")</f>
        <v/>
      </c>
      <c r="G369" s="27">
        <v>8</v>
      </c>
      <c r="H369" s="47"/>
      <c r="I369" s="48" t="str">
        <f>IF(AND(H369&lt;&gt;"",IFERROR(_xlfn.XLOOKUP(D369,HELPER!$B:$B,HELPER!$E:$E,""),"")=""),"Missing price",IFERROR(_xlfn.XLOOKUP(D369,HELPER!$B:$B,HELPER!$E:$E,"")," "))</f>
        <v/>
      </c>
      <c r="J369" s="48" t="str">
        <f>IFERROR(H369*(IF(G369=8,I369*HELPER!$G$2,BOM!I369*HELPER!$G$3))," ")</f>
        <v xml:space="preserve"> </v>
      </c>
      <c r="K369" s="6"/>
      <c r="L369" s="14" t="str" cm="1">
        <f t="array" ref="L369">IFERROR(_xlfn.LET(_xlpm.films,Table4[Film],_xlpm.grades,Table4[Grade],_xlpm.pairs,_xlfn._xlws.FILTER(_xlfn.HSTACK(_xlpm.films,_xlpm.grades),(_xlpm.films&lt;&gt;"")*(TRIM(_xlpm.grades)&lt;&gt;"")),_xlpm.uniquePairs,_xlfn.UNIQUE(_xlpm.pairs),_xlpm.sortedPairs,_xlfn._xlws.SORT(_xlpm.uniquePairs,1,1),INDEX(_xlpm.sortedPairs,ROWS($L$2:L369),1)),"")</f>
        <v/>
      </c>
      <c r="M369" s="15" t="str" cm="1">
        <f t="array" ref="M369">IFERROR(_xlfn.LET(_xlpm.films,Table4[Film],_xlpm.grades,Table4[Grade],_xlpm.pairs,_xlfn._xlws.FILTER(_xlfn.HSTACK(_xlpm.films,_xlpm.grades),(_xlpm.films&lt;&gt;"")*(TRIM(_xlpm.grades)&lt;&gt;"")),_xlpm.uniquePairs,_xlfn.UNIQUE(_xlpm.pairs),_xlpm.sortedPairs,_xlfn._xlws.SORT(_xlpm.uniquePairs,1,1),INDEX(_xlpm.sortedPairs,ROWS($M$2:M369),2)),"")</f>
        <v/>
      </c>
      <c r="N369" s="15" t="str" cm="1">
        <f t="array" ref="N369">IF(OR(Table2[[#This Row],[Film]]="",Table2[[#This Row],[Grade]]=""),"",IFERROR(INDEX(Table4[Serial Number],MATCH(1,(Table4[Film]=Table2[[#This Row],[Film]])*(Table4[Grade]=Table2[[#This Row],[Grade]]),0)),""))</f>
        <v/>
      </c>
      <c r="O369" s="52" t="str">
        <f>IF(OR(Table2[[#This Row],[Film]]="",Table2[[#This Row],[Grade]]=""),"",SUMIFS(Table4[Price Calculated(€) Thickness &amp; QTY related],Table4[Film],Table2[[#This Row],[Film]],Table4[Grade],Table2[[#This Row],[Grade]]))</f>
        <v/>
      </c>
      <c r="P369" s="6"/>
      <c r="T369" s="6"/>
    </row>
    <row r="370" spans="1:20">
      <c r="A370" s="29"/>
      <c r="B370" s="29" t="s">
        <v>5</v>
      </c>
      <c r="C370" s="28"/>
      <c r="D370" s="28" t="str">
        <f>IF(C370="","",IFERROR(_xlfn.XLOOKUP(C370,HELPER!$A$2:$A$81,HELPER!$B$2:$B$81,""),D370))</f>
        <v/>
      </c>
      <c r="E370" s="28" t="str">
        <f>IFERROR(_xlfn.XLOOKUP(D370,HELPER!$B:$B,HELPER!$C:$C,""),"")</f>
        <v/>
      </c>
      <c r="F370" s="27" t="str">
        <f>IFERROR(_xlfn.XLOOKUP(D370,HELPER!$B:$B,HELPER!$D:$D,""),"")</f>
        <v/>
      </c>
      <c r="G370" s="27">
        <v>8</v>
      </c>
      <c r="H370" s="47"/>
      <c r="I370" s="48" t="str">
        <f>IF(AND(H370&lt;&gt;"",IFERROR(_xlfn.XLOOKUP(D370,HELPER!$B:$B,HELPER!$E:$E,""),"")=""),"Missing price",IFERROR(_xlfn.XLOOKUP(D370,HELPER!$B:$B,HELPER!$E:$E,"")," "))</f>
        <v/>
      </c>
      <c r="J370" s="48" t="str">
        <f>IFERROR(H370*(IF(G370=8,I370*HELPER!$G$2,BOM!I370*HELPER!$G$3))," ")</f>
        <v xml:space="preserve"> </v>
      </c>
      <c r="K370" s="6"/>
      <c r="L370" s="14" t="str" cm="1">
        <f t="array" ref="L370">IFERROR(_xlfn.LET(_xlpm.films,Table4[Film],_xlpm.grades,Table4[Grade],_xlpm.pairs,_xlfn._xlws.FILTER(_xlfn.HSTACK(_xlpm.films,_xlpm.grades),(_xlpm.films&lt;&gt;"")*(TRIM(_xlpm.grades)&lt;&gt;"")),_xlpm.uniquePairs,_xlfn.UNIQUE(_xlpm.pairs),_xlpm.sortedPairs,_xlfn._xlws.SORT(_xlpm.uniquePairs,1,1),INDEX(_xlpm.sortedPairs,ROWS($L$2:L370),1)),"")</f>
        <v/>
      </c>
      <c r="M370" s="15" t="str" cm="1">
        <f t="array" ref="M370">IFERROR(_xlfn.LET(_xlpm.films,Table4[Film],_xlpm.grades,Table4[Grade],_xlpm.pairs,_xlfn._xlws.FILTER(_xlfn.HSTACK(_xlpm.films,_xlpm.grades),(_xlpm.films&lt;&gt;"")*(TRIM(_xlpm.grades)&lt;&gt;"")),_xlpm.uniquePairs,_xlfn.UNIQUE(_xlpm.pairs),_xlpm.sortedPairs,_xlfn._xlws.SORT(_xlpm.uniquePairs,1,1),INDEX(_xlpm.sortedPairs,ROWS($M$2:M370),2)),"")</f>
        <v/>
      </c>
      <c r="N370" s="15" t="str" cm="1">
        <f t="array" ref="N370">IF(OR(Table2[[#This Row],[Film]]="",Table2[[#This Row],[Grade]]=""),"",IFERROR(INDEX(Table4[Serial Number],MATCH(1,(Table4[Film]=Table2[[#This Row],[Film]])*(Table4[Grade]=Table2[[#This Row],[Grade]]),0)),""))</f>
        <v/>
      </c>
      <c r="O370" s="52" t="str">
        <f>IF(OR(Table2[[#This Row],[Film]]="",Table2[[#This Row],[Grade]]=""),"",SUMIFS(Table4[Price Calculated(€) Thickness &amp; QTY related],Table4[Film],Table2[[#This Row],[Film]],Table4[Grade],Table2[[#This Row],[Grade]]))</f>
        <v/>
      </c>
      <c r="P370" s="6"/>
      <c r="T370" s="6"/>
    </row>
    <row r="371" spans="1:20">
      <c r="A371" s="29"/>
      <c r="B371" s="29" t="s">
        <v>5</v>
      </c>
      <c r="C371" s="28"/>
      <c r="D371" s="28" t="str">
        <f>IF(C371="","",IFERROR(_xlfn.XLOOKUP(C371,HELPER!$A$2:$A$81,HELPER!$B$2:$B$81,""),D371))</f>
        <v/>
      </c>
      <c r="E371" s="28" t="str">
        <f>IFERROR(_xlfn.XLOOKUP(D371,HELPER!$B:$B,HELPER!$C:$C,""),"")</f>
        <v/>
      </c>
      <c r="F371" s="27" t="str">
        <f>IFERROR(_xlfn.XLOOKUP(D371,HELPER!$B:$B,HELPER!$D:$D,""),"")</f>
        <v/>
      </c>
      <c r="G371" s="27">
        <v>8</v>
      </c>
      <c r="H371" s="47"/>
      <c r="I371" s="48" t="str">
        <f>IF(AND(H371&lt;&gt;"",IFERROR(_xlfn.XLOOKUP(D371,HELPER!$B:$B,HELPER!$E:$E,""),"")=""),"Missing price",IFERROR(_xlfn.XLOOKUP(D371,HELPER!$B:$B,HELPER!$E:$E,"")," "))</f>
        <v/>
      </c>
      <c r="J371" s="48" t="str">
        <f>IFERROR(H371*(IF(G371=8,I371*HELPER!$G$2,BOM!I371*HELPER!$G$3))," ")</f>
        <v xml:space="preserve"> </v>
      </c>
      <c r="K371" s="6"/>
      <c r="L371" s="14" t="str" cm="1">
        <f t="array" ref="L371">IFERROR(_xlfn.LET(_xlpm.films,Table4[Film],_xlpm.grades,Table4[Grade],_xlpm.pairs,_xlfn._xlws.FILTER(_xlfn.HSTACK(_xlpm.films,_xlpm.grades),(_xlpm.films&lt;&gt;"")*(TRIM(_xlpm.grades)&lt;&gt;"")),_xlpm.uniquePairs,_xlfn.UNIQUE(_xlpm.pairs),_xlpm.sortedPairs,_xlfn._xlws.SORT(_xlpm.uniquePairs,1,1),INDEX(_xlpm.sortedPairs,ROWS($L$2:L371),1)),"")</f>
        <v/>
      </c>
      <c r="M371" s="15" t="str" cm="1">
        <f t="array" ref="M371">IFERROR(_xlfn.LET(_xlpm.films,Table4[Film],_xlpm.grades,Table4[Grade],_xlpm.pairs,_xlfn._xlws.FILTER(_xlfn.HSTACK(_xlpm.films,_xlpm.grades),(_xlpm.films&lt;&gt;"")*(TRIM(_xlpm.grades)&lt;&gt;"")),_xlpm.uniquePairs,_xlfn.UNIQUE(_xlpm.pairs),_xlpm.sortedPairs,_xlfn._xlws.SORT(_xlpm.uniquePairs,1,1),INDEX(_xlpm.sortedPairs,ROWS($M$2:M371),2)),"")</f>
        <v/>
      </c>
      <c r="N371" s="15" t="str" cm="1">
        <f t="array" ref="N371">IF(OR(Table2[[#This Row],[Film]]="",Table2[[#This Row],[Grade]]=""),"",IFERROR(INDEX(Table4[Serial Number],MATCH(1,(Table4[Film]=Table2[[#This Row],[Film]])*(Table4[Grade]=Table2[[#This Row],[Grade]]),0)),""))</f>
        <v/>
      </c>
      <c r="O371" s="52" t="str">
        <f>IF(OR(Table2[[#This Row],[Film]]="",Table2[[#This Row],[Grade]]=""),"",SUMIFS(Table4[Price Calculated(€) Thickness &amp; QTY related],Table4[Film],Table2[[#This Row],[Film]],Table4[Grade],Table2[[#This Row],[Grade]]))</f>
        <v/>
      </c>
      <c r="P371" s="6"/>
      <c r="T371" s="6"/>
    </row>
    <row r="372" spans="1:20">
      <c r="A372" s="29"/>
      <c r="B372" s="29" t="s">
        <v>6</v>
      </c>
      <c r="C372" s="28"/>
      <c r="D372" s="28" t="str">
        <f>IF(C372="","",IFERROR(_xlfn.XLOOKUP(C372,HELPER!$A$2:$A$81,HELPER!$B$2:$B$81,""),D372))</f>
        <v/>
      </c>
      <c r="E372" s="28" t="str">
        <f>IFERROR(_xlfn.XLOOKUP(D372,HELPER!$B:$B,HELPER!$C:$C,""),"")</f>
        <v/>
      </c>
      <c r="F372" s="27" t="str">
        <f>IFERROR(_xlfn.XLOOKUP(D372,HELPER!$B:$B,HELPER!$D:$D,""),"")</f>
        <v/>
      </c>
      <c r="G372" s="27">
        <v>24</v>
      </c>
      <c r="H372" s="47"/>
      <c r="I372" s="48" t="str">
        <f>IF(AND(H372&lt;&gt;"",IFERROR(_xlfn.XLOOKUP(D372,HELPER!$B:$B,HELPER!$E:$E,""),"")=""),"Missing price",IFERROR(_xlfn.XLOOKUP(D372,HELPER!$B:$B,HELPER!$E:$E,"")," "))</f>
        <v/>
      </c>
      <c r="J372" s="48" t="str">
        <f>IFERROR(H372*(IF(G372=8,I372*HELPER!$G$2,BOM!I372*HELPER!$G$3))," ")</f>
        <v xml:space="preserve"> </v>
      </c>
      <c r="K372" s="6"/>
      <c r="L372" s="14" t="str" cm="1">
        <f t="array" ref="L372">IFERROR(_xlfn.LET(_xlpm.films,Table4[Film],_xlpm.grades,Table4[Grade],_xlpm.pairs,_xlfn._xlws.FILTER(_xlfn.HSTACK(_xlpm.films,_xlpm.grades),(_xlpm.films&lt;&gt;"")*(TRIM(_xlpm.grades)&lt;&gt;"")),_xlpm.uniquePairs,_xlfn.UNIQUE(_xlpm.pairs),_xlpm.sortedPairs,_xlfn._xlws.SORT(_xlpm.uniquePairs,1,1),INDEX(_xlpm.sortedPairs,ROWS($L$2:L372),1)),"")</f>
        <v/>
      </c>
      <c r="M372" s="15" t="str" cm="1">
        <f t="array" ref="M372">IFERROR(_xlfn.LET(_xlpm.films,Table4[Film],_xlpm.grades,Table4[Grade],_xlpm.pairs,_xlfn._xlws.FILTER(_xlfn.HSTACK(_xlpm.films,_xlpm.grades),(_xlpm.films&lt;&gt;"")*(TRIM(_xlpm.grades)&lt;&gt;"")),_xlpm.uniquePairs,_xlfn.UNIQUE(_xlpm.pairs),_xlpm.sortedPairs,_xlfn._xlws.SORT(_xlpm.uniquePairs,1,1),INDEX(_xlpm.sortedPairs,ROWS($M$2:M372),2)),"")</f>
        <v/>
      </c>
      <c r="N372" s="15" t="str" cm="1">
        <f t="array" ref="N372">IF(OR(Table2[[#This Row],[Film]]="",Table2[[#This Row],[Grade]]=""),"",IFERROR(INDEX(Table4[Serial Number],MATCH(1,(Table4[Film]=Table2[[#This Row],[Film]])*(Table4[Grade]=Table2[[#This Row],[Grade]]),0)),""))</f>
        <v/>
      </c>
      <c r="O372" s="52" t="str">
        <f>IF(OR(Table2[[#This Row],[Film]]="",Table2[[#This Row],[Grade]]=""),"",SUMIFS(Table4[Price Calculated(€) Thickness &amp; QTY related],Table4[Film],Table2[[#This Row],[Film]],Table4[Grade],Table2[[#This Row],[Grade]]))</f>
        <v/>
      </c>
      <c r="P372" s="6"/>
      <c r="T372" s="6"/>
    </row>
    <row r="373" spans="1:20">
      <c r="A373" s="29"/>
      <c r="B373" s="29" t="s">
        <v>6</v>
      </c>
      <c r="C373" s="28"/>
      <c r="D373" s="28" t="str">
        <f>IF(C373="","",IFERROR(_xlfn.XLOOKUP(C373,HELPER!$A$2:$A$81,HELPER!$B$2:$B$81,""),D373))</f>
        <v/>
      </c>
      <c r="E373" s="28" t="str">
        <f>IFERROR(_xlfn.XLOOKUP(D373,HELPER!$B:$B,HELPER!$C:$C,""),"")</f>
        <v/>
      </c>
      <c r="F373" s="27" t="str">
        <f>IFERROR(_xlfn.XLOOKUP(D373,HELPER!$B:$B,HELPER!$D:$D,""),"")</f>
        <v/>
      </c>
      <c r="G373" s="27">
        <v>24</v>
      </c>
      <c r="H373" s="47"/>
      <c r="I373" s="48" t="str">
        <f>IF(AND(H373&lt;&gt;"",IFERROR(_xlfn.XLOOKUP(D373,HELPER!$B:$B,HELPER!$E:$E,""),"")=""),"Missing price",IFERROR(_xlfn.XLOOKUP(D373,HELPER!$B:$B,HELPER!$E:$E,"")," "))</f>
        <v/>
      </c>
      <c r="J373" s="48" t="str">
        <f>IFERROR(H373*(IF(G373=8,I373*HELPER!$G$2,BOM!I373*HELPER!$G$3))," ")</f>
        <v xml:space="preserve"> </v>
      </c>
      <c r="K373" s="6"/>
      <c r="L373" s="14" t="str" cm="1">
        <f t="array" ref="L373">IFERROR(_xlfn.LET(_xlpm.films,Table4[Film],_xlpm.grades,Table4[Grade],_xlpm.pairs,_xlfn._xlws.FILTER(_xlfn.HSTACK(_xlpm.films,_xlpm.grades),(_xlpm.films&lt;&gt;"")*(TRIM(_xlpm.grades)&lt;&gt;"")),_xlpm.uniquePairs,_xlfn.UNIQUE(_xlpm.pairs),_xlpm.sortedPairs,_xlfn._xlws.SORT(_xlpm.uniquePairs,1,1),INDEX(_xlpm.sortedPairs,ROWS($L$2:L373),1)),"")</f>
        <v/>
      </c>
      <c r="M373" s="15" t="str" cm="1">
        <f t="array" ref="M373">IFERROR(_xlfn.LET(_xlpm.films,Table4[Film],_xlpm.grades,Table4[Grade],_xlpm.pairs,_xlfn._xlws.FILTER(_xlfn.HSTACK(_xlpm.films,_xlpm.grades),(_xlpm.films&lt;&gt;"")*(TRIM(_xlpm.grades)&lt;&gt;"")),_xlpm.uniquePairs,_xlfn.UNIQUE(_xlpm.pairs),_xlpm.sortedPairs,_xlfn._xlws.SORT(_xlpm.uniquePairs,1,1),INDEX(_xlpm.sortedPairs,ROWS($M$2:M373),2)),"")</f>
        <v/>
      </c>
      <c r="N373" s="15" t="str" cm="1">
        <f t="array" ref="N373">IF(OR(Table2[[#This Row],[Film]]="",Table2[[#This Row],[Grade]]=""),"",IFERROR(INDEX(Table4[Serial Number],MATCH(1,(Table4[Film]=Table2[[#This Row],[Film]])*(Table4[Grade]=Table2[[#This Row],[Grade]]),0)),""))</f>
        <v/>
      </c>
      <c r="O373" s="52" t="str">
        <f>IF(OR(Table2[[#This Row],[Film]]="",Table2[[#This Row],[Grade]]=""),"",SUMIFS(Table4[Price Calculated(€) Thickness &amp; QTY related],Table4[Film],Table2[[#This Row],[Film]],Table4[Grade],Table2[[#This Row],[Grade]]))</f>
        <v/>
      </c>
      <c r="P373" s="6"/>
      <c r="T373" s="6"/>
    </row>
    <row r="374" spans="1:20">
      <c r="A374" s="29"/>
      <c r="B374" s="29" t="s">
        <v>6</v>
      </c>
      <c r="C374" s="28"/>
      <c r="D374" s="28" t="str">
        <f>IF(C374="","",IFERROR(_xlfn.XLOOKUP(C374,HELPER!$A$2:$A$81,HELPER!$B$2:$B$81,""),D374))</f>
        <v/>
      </c>
      <c r="E374" s="28" t="str">
        <f>IFERROR(_xlfn.XLOOKUP(D374,HELPER!$B:$B,HELPER!$C:$C,""),"")</f>
        <v/>
      </c>
      <c r="F374" s="27" t="str">
        <f>IFERROR(_xlfn.XLOOKUP(D374,HELPER!$B:$B,HELPER!$D:$D,""),"")</f>
        <v/>
      </c>
      <c r="G374" s="27">
        <v>24</v>
      </c>
      <c r="H374" s="47"/>
      <c r="I374" s="48" t="str">
        <f>IF(AND(H374&lt;&gt;"",IFERROR(_xlfn.XLOOKUP(D374,HELPER!$B:$B,HELPER!$E:$E,""),"")=""),"Missing price",IFERROR(_xlfn.XLOOKUP(D374,HELPER!$B:$B,HELPER!$E:$E,"")," "))</f>
        <v/>
      </c>
      <c r="J374" s="48" t="str">
        <f>IFERROR(H374*(IF(G374=8,I374*HELPER!$G$2,BOM!I374*HELPER!$G$3))," ")</f>
        <v xml:space="preserve"> </v>
      </c>
      <c r="K374" s="6"/>
      <c r="L374" s="14" t="str" cm="1">
        <f t="array" ref="L374">IFERROR(_xlfn.LET(_xlpm.films,Table4[Film],_xlpm.grades,Table4[Grade],_xlpm.pairs,_xlfn._xlws.FILTER(_xlfn.HSTACK(_xlpm.films,_xlpm.grades),(_xlpm.films&lt;&gt;"")*(TRIM(_xlpm.grades)&lt;&gt;"")),_xlpm.uniquePairs,_xlfn.UNIQUE(_xlpm.pairs),_xlpm.sortedPairs,_xlfn._xlws.SORT(_xlpm.uniquePairs,1,1),INDEX(_xlpm.sortedPairs,ROWS($L$2:L374),1)),"")</f>
        <v/>
      </c>
      <c r="M374" s="15" t="str" cm="1">
        <f t="array" ref="M374">IFERROR(_xlfn.LET(_xlpm.films,Table4[Film],_xlpm.grades,Table4[Grade],_xlpm.pairs,_xlfn._xlws.FILTER(_xlfn.HSTACK(_xlpm.films,_xlpm.grades),(_xlpm.films&lt;&gt;"")*(TRIM(_xlpm.grades)&lt;&gt;"")),_xlpm.uniquePairs,_xlfn.UNIQUE(_xlpm.pairs),_xlpm.sortedPairs,_xlfn._xlws.SORT(_xlpm.uniquePairs,1,1),INDEX(_xlpm.sortedPairs,ROWS($M$2:M374),2)),"")</f>
        <v/>
      </c>
      <c r="N374" s="15" t="str" cm="1">
        <f t="array" ref="N374">IF(OR(Table2[[#This Row],[Film]]="",Table2[[#This Row],[Grade]]=""),"",IFERROR(INDEX(Table4[Serial Number],MATCH(1,(Table4[Film]=Table2[[#This Row],[Film]])*(Table4[Grade]=Table2[[#This Row],[Grade]]),0)),""))</f>
        <v/>
      </c>
      <c r="O374" s="52" t="str">
        <f>IF(OR(Table2[[#This Row],[Film]]="",Table2[[#This Row],[Grade]]=""),"",SUMIFS(Table4[Price Calculated(€) Thickness &amp; QTY related],Table4[Film],Table2[[#This Row],[Film]],Table4[Grade],Table2[[#This Row],[Grade]]))</f>
        <v/>
      </c>
      <c r="P374" s="6"/>
      <c r="T374" s="6"/>
    </row>
    <row r="375" spans="1:20">
      <c r="A375" s="29"/>
      <c r="B375" s="29" t="s">
        <v>6</v>
      </c>
      <c r="C375" s="28"/>
      <c r="D375" s="28" t="str">
        <f>IF(C375="","",IFERROR(_xlfn.XLOOKUP(C375,HELPER!$A$2:$A$81,HELPER!$B$2:$B$81,""),D375))</f>
        <v/>
      </c>
      <c r="E375" s="28" t="str">
        <f>IFERROR(_xlfn.XLOOKUP(D375,HELPER!$B:$B,HELPER!$C:$C,""),"")</f>
        <v/>
      </c>
      <c r="F375" s="27" t="str">
        <f>IFERROR(_xlfn.XLOOKUP(D375,HELPER!$B:$B,HELPER!$D:$D,""),"")</f>
        <v/>
      </c>
      <c r="G375" s="27">
        <v>24</v>
      </c>
      <c r="H375" s="47"/>
      <c r="I375" s="48" t="str">
        <f>IF(AND(H375&lt;&gt;"",IFERROR(_xlfn.XLOOKUP(D375,HELPER!$B:$B,HELPER!$E:$E,""),"")=""),"Missing price",IFERROR(_xlfn.XLOOKUP(D375,HELPER!$B:$B,HELPER!$E:$E,"")," "))</f>
        <v/>
      </c>
      <c r="J375" s="48" t="str">
        <f>IFERROR(H375*(IF(G375=8,I375*HELPER!$G$2,BOM!I375*HELPER!$G$3))," ")</f>
        <v xml:space="preserve"> </v>
      </c>
      <c r="K375" s="6"/>
      <c r="L375" s="14" t="str" cm="1">
        <f t="array" ref="L375">IFERROR(_xlfn.LET(_xlpm.films,Table4[Film],_xlpm.grades,Table4[Grade],_xlpm.pairs,_xlfn._xlws.FILTER(_xlfn.HSTACK(_xlpm.films,_xlpm.grades),(_xlpm.films&lt;&gt;"")*(TRIM(_xlpm.grades)&lt;&gt;"")),_xlpm.uniquePairs,_xlfn.UNIQUE(_xlpm.pairs),_xlpm.sortedPairs,_xlfn._xlws.SORT(_xlpm.uniquePairs,1,1),INDEX(_xlpm.sortedPairs,ROWS($L$2:L375),1)),"")</f>
        <v/>
      </c>
      <c r="M375" s="15" t="str" cm="1">
        <f t="array" ref="M375">IFERROR(_xlfn.LET(_xlpm.films,Table4[Film],_xlpm.grades,Table4[Grade],_xlpm.pairs,_xlfn._xlws.FILTER(_xlfn.HSTACK(_xlpm.films,_xlpm.grades),(_xlpm.films&lt;&gt;"")*(TRIM(_xlpm.grades)&lt;&gt;"")),_xlpm.uniquePairs,_xlfn.UNIQUE(_xlpm.pairs),_xlpm.sortedPairs,_xlfn._xlws.SORT(_xlpm.uniquePairs,1,1),INDEX(_xlpm.sortedPairs,ROWS($M$2:M375),2)),"")</f>
        <v/>
      </c>
      <c r="N375" s="15" t="str" cm="1">
        <f t="array" ref="N375">IF(OR(Table2[[#This Row],[Film]]="",Table2[[#This Row],[Grade]]=""),"",IFERROR(INDEX(Table4[Serial Number],MATCH(1,(Table4[Film]=Table2[[#This Row],[Film]])*(Table4[Grade]=Table2[[#This Row],[Grade]]),0)),""))</f>
        <v/>
      </c>
      <c r="O375" s="52" t="str">
        <f>IF(OR(Table2[[#This Row],[Film]]="",Table2[[#This Row],[Grade]]=""),"",SUMIFS(Table4[Price Calculated(€) Thickness &amp; QTY related],Table4[Film],Table2[[#This Row],[Film]],Table4[Grade],Table2[[#This Row],[Grade]]))</f>
        <v/>
      </c>
      <c r="P375" s="6"/>
      <c r="T375" s="6"/>
    </row>
    <row r="376" spans="1:20">
      <c r="A376" s="29"/>
      <c r="B376" s="29" t="s">
        <v>6</v>
      </c>
      <c r="C376" s="28"/>
      <c r="D376" s="28" t="str">
        <f>IF(C376="","",IFERROR(_xlfn.XLOOKUP(C376,HELPER!$A$2:$A$81,HELPER!$B$2:$B$81,""),D376))</f>
        <v/>
      </c>
      <c r="E376" s="28" t="str">
        <f>IFERROR(_xlfn.XLOOKUP(D376,HELPER!$B:$B,HELPER!$C:$C,""),"")</f>
        <v/>
      </c>
      <c r="F376" s="27" t="str">
        <f>IFERROR(_xlfn.XLOOKUP(D376,HELPER!$B:$B,HELPER!$D:$D,""),"")</f>
        <v/>
      </c>
      <c r="G376" s="27">
        <v>24</v>
      </c>
      <c r="H376" s="47"/>
      <c r="I376" s="48" t="str">
        <f>IF(AND(H376&lt;&gt;"",IFERROR(_xlfn.XLOOKUP(D376,HELPER!$B:$B,HELPER!$E:$E,""),"")=""),"Missing price",IFERROR(_xlfn.XLOOKUP(D376,HELPER!$B:$B,HELPER!$E:$E,"")," "))</f>
        <v/>
      </c>
      <c r="J376" s="48" t="str">
        <f>IFERROR(H376*(IF(G376=8,I376*HELPER!$G$2,BOM!I376*HELPER!$G$3))," ")</f>
        <v xml:space="preserve"> </v>
      </c>
      <c r="K376" s="6"/>
      <c r="L376" s="14" t="str" cm="1">
        <f t="array" ref="L376">IFERROR(_xlfn.LET(_xlpm.films,Table4[Film],_xlpm.grades,Table4[Grade],_xlpm.pairs,_xlfn._xlws.FILTER(_xlfn.HSTACK(_xlpm.films,_xlpm.grades),(_xlpm.films&lt;&gt;"")*(TRIM(_xlpm.grades)&lt;&gt;"")),_xlpm.uniquePairs,_xlfn.UNIQUE(_xlpm.pairs),_xlpm.sortedPairs,_xlfn._xlws.SORT(_xlpm.uniquePairs,1,1),INDEX(_xlpm.sortedPairs,ROWS($L$2:L376),1)),"")</f>
        <v/>
      </c>
      <c r="M376" s="15" t="str" cm="1">
        <f t="array" ref="M376">IFERROR(_xlfn.LET(_xlpm.films,Table4[Film],_xlpm.grades,Table4[Grade],_xlpm.pairs,_xlfn._xlws.FILTER(_xlfn.HSTACK(_xlpm.films,_xlpm.grades),(_xlpm.films&lt;&gt;"")*(TRIM(_xlpm.grades)&lt;&gt;"")),_xlpm.uniquePairs,_xlfn.UNIQUE(_xlpm.pairs),_xlpm.sortedPairs,_xlfn._xlws.SORT(_xlpm.uniquePairs,1,1),INDEX(_xlpm.sortedPairs,ROWS($M$2:M376),2)),"")</f>
        <v/>
      </c>
      <c r="N376" s="15" t="str" cm="1">
        <f t="array" ref="N376">IF(OR(Table2[[#This Row],[Film]]="",Table2[[#This Row],[Grade]]=""),"",IFERROR(INDEX(Table4[Serial Number],MATCH(1,(Table4[Film]=Table2[[#This Row],[Film]])*(Table4[Grade]=Table2[[#This Row],[Grade]]),0)),""))</f>
        <v/>
      </c>
      <c r="O376" s="52" t="str">
        <f>IF(OR(Table2[[#This Row],[Film]]="",Table2[[#This Row],[Grade]]=""),"",SUMIFS(Table4[Price Calculated(€) Thickness &amp; QTY related],Table4[Film],Table2[[#This Row],[Film]],Table4[Grade],Table2[[#This Row],[Grade]]))</f>
        <v/>
      </c>
      <c r="P376" s="6"/>
      <c r="T376" s="6"/>
    </row>
    <row r="377" spans="1:20">
      <c r="A377" s="29"/>
      <c r="B377" s="29" t="s">
        <v>6</v>
      </c>
      <c r="C377" s="28"/>
      <c r="D377" s="28" t="str">
        <f>IF(C377="","",IFERROR(_xlfn.XLOOKUP(C377,HELPER!$A$2:$A$81,HELPER!$B$2:$B$81,""),D377))</f>
        <v/>
      </c>
      <c r="E377" s="28" t="str">
        <f>IFERROR(_xlfn.XLOOKUP(D377,HELPER!$B:$B,HELPER!$C:$C,""),"")</f>
        <v/>
      </c>
      <c r="F377" s="27" t="str">
        <f>IFERROR(_xlfn.XLOOKUP(D377,HELPER!$B:$B,HELPER!$D:$D,""),"")</f>
        <v/>
      </c>
      <c r="G377" s="27">
        <v>24</v>
      </c>
      <c r="H377" s="47"/>
      <c r="I377" s="48" t="str">
        <f>IF(AND(H377&lt;&gt;"",IFERROR(_xlfn.XLOOKUP(D377,HELPER!$B:$B,HELPER!$E:$E,""),"")=""),"Missing price",IFERROR(_xlfn.XLOOKUP(D377,HELPER!$B:$B,HELPER!$E:$E,"")," "))</f>
        <v/>
      </c>
      <c r="J377" s="48" t="str">
        <f>IFERROR(H377*(IF(G377=8,I377*HELPER!$G$2,BOM!I377*HELPER!$G$3))," ")</f>
        <v xml:space="preserve"> </v>
      </c>
      <c r="K377" s="6"/>
      <c r="L377" s="14" t="str" cm="1">
        <f t="array" ref="L377">IFERROR(_xlfn.LET(_xlpm.films,Table4[Film],_xlpm.grades,Table4[Grade],_xlpm.pairs,_xlfn._xlws.FILTER(_xlfn.HSTACK(_xlpm.films,_xlpm.grades),(_xlpm.films&lt;&gt;"")*(TRIM(_xlpm.grades)&lt;&gt;"")),_xlpm.uniquePairs,_xlfn.UNIQUE(_xlpm.pairs),_xlpm.sortedPairs,_xlfn._xlws.SORT(_xlpm.uniquePairs,1,1),INDEX(_xlpm.sortedPairs,ROWS($L$2:L377),1)),"")</f>
        <v/>
      </c>
      <c r="M377" s="15" t="str" cm="1">
        <f t="array" ref="M377">IFERROR(_xlfn.LET(_xlpm.films,Table4[Film],_xlpm.grades,Table4[Grade],_xlpm.pairs,_xlfn._xlws.FILTER(_xlfn.HSTACK(_xlpm.films,_xlpm.grades),(_xlpm.films&lt;&gt;"")*(TRIM(_xlpm.grades)&lt;&gt;"")),_xlpm.uniquePairs,_xlfn.UNIQUE(_xlpm.pairs),_xlpm.sortedPairs,_xlfn._xlws.SORT(_xlpm.uniquePairs,1,1),INDEX(_xlpm.sortedPairs,ROWS($M$2:M377),2)),"")</f>
        <v/>
      </c>
      <c r="N377" s="15" t="str" cm="1">
        <f t="array" ref="N377">IF(OR(Table2[[#This Row],[Film]]="",Table2[[#This Row],[Grade]]=""),"",IFERROR(INDEX(Table4[Serial Number],MATCH(1,(Table4[Film]=Table2[[#This Row],[Film]])*(Table4[Grade]=Table2[[#This Row],[Grade]]),0)),""))</f>
        <v/>
      </c>
      <c r="O377" s="52" t="str">
        <f>IF(OR(Table2[[#This Row],[Film]]="",Table2[[#This Row],[Grade]]=""),"",SUMIFS(Table4[Price Calculated(€) Thickness &amp; QTY related],Table4[Film],Table2[[#This Row],[Film]],Table4[Grade],Table2[[#This Row],[Grade]]))</f>
        <v/>
      </c>
      <c r="P377" s="6"/>
      <c r="T377" s="6"/>
    </row>
    <row r="378" spans="1:20">
      <c r="A378" s="29"/>
      <c r="B378" s="29" t="s">
        <v>6</v>
      </c>
      <c r="C378" s="28"/>
      <c r="D378" s="28" t="str">
        <f>IF(C378="","",IFERROR(_xlfn.XLOOKUP(C378,HELPER!$A$2:$A$81,HELPER!$B$2:$B$81,""),D378))</f>
        <v/>
      </c>
      <c r="E378" s="28" t="str">
        <f>IFERROR(_xlfn.XLOOKUP(D378,HELPER!$B:$B,HELPER!$C:$C,""),"")</f>
        <v/>
      </c>
      <c r="F378" s="27" t="str">
        <f>IFERROR(_xlfn.XLOOKUP(D378,HELPER!$B:$B,HELPER!$D:$D,""),"")</f>
        <v/>
      </c>
      <c r="G378" s="27">
        <v>24</v>
      </c>
      <c r="H378" s="47"/>
      <c r="I378" s="48" t="str">
        <f>IF(AND(H378&lt;&gt;"",IFERROR(_xlfn.XLOOKUP(D378,HELPER!$B:$B,HELPER!$E:$E,""),"")=""),"Missing price",IFERROR(_xlfn.XLOOKUP(D378,HELPER!$B:$B,HELPER!$E:$E,"")," "))</f>
        <v/>
      </c>
      <c r="J378" s="48" t="str">
        <f>IFERROR(H378*(IF(G378=8,I378*HELPER!$G$2,BOM!I378*HELPER!$G$3))," ")</f>
        <v xml:space="preserve"> </v>
      </c>
      <c r="K378" s="6"/>
      <c r="L378" s="14" t="str" cm="1">
        <f t="array" ref="L378">IFERROR(_xlfn.LET(_xlpm.films,Table4[Film],_xlpm.grades,Table4[Grade],_xlpm.pairs,_xlfn._xlws.FILTER(_xlfn.HSTACK(_xlpm.films,_xlpm.grades),(_xlpm.films&lt;&gt;"")*(TRIM(_xlpm.grades)&lt;&gt;"")),_xlpm.uniquePairs,_xlfn.UNIQUE(_xlpm.pairs),_xlpm.sortedPairs,_xlfn._xlws.SORT(_xlpm.uniquePairs,1,1),INDEX(_xlpm.sortedPairs,ROWS($L$2:L378),1)),"")</f>
        <v/>
      </c>
      <c r="M378" s="15" t="str" cm="1">
        <f t="array" ref="M378">IFERROR(_xlfn.LET(_xlpm.films,Table4[Film],_xlpm.grades,Table4[Grade],_xlpm.pairs,_xlfn._xlws.FILTER(_xlfn.HSTACK(_xlpm.films,_xlpm.grades),(_xlpm.films&lt;&gt;"")*(TRIM(_xlpm.grades)&lt;&gt;"")),_xlpm.uniquePairs,_xlfn.UNIQUE(_xlpm.pairs),_xlpm.sortedPairs,_xlfn._xlws.SORT(_xlpm.uniquePairs,1,1),INDEX(_xlpm.sortedPairs,ROWS($M$2:M378),2)),"")</f>
        <v/>
      </c>
      <c r="N378" s="15" t="str" cm="1">
        <f t="array" ref="N378">IF(OR(Table2[[#This Row],[Film]]="",Table2[[#This Row],[Grade]]=""),"",IFERROR(INDEX(Table4[Serial Number],MATCH(1,(Table4[Film]=Table2[[#This Row],[Film]])*(Table4[Grade]=Table2[[#This Row],[Grade]]),0)),""))</f>
        <v/>
      </c>
      <c r="O378" s="52" t="str">
        <f>IF(OR(Table2[[#This Row],[Film]]="",Table2[[#This Row],[Grade]]=""),"",SUMIFS(Table4[Price Calculated(€) Thickness &amp; QTY related],Table4[Film],Table2[[#This Row],[Film]],Table4[Grade],Table2[[#This Row],[Grade]]))</f>
        <v/>
      </c>
      <c r="P378" s="6"/>
      <c r="T378" s="6"/>
    </row>
    <row r="379" spans="1:20">
      <c r="A379" s="29"/>
      <c r="B379" s="29" t="s">
        <v>6</v>
      </c>
      <c r="C379" s="28"/>
      <c r="D379" s="28" t="str">
        <f>IF(C379="","",IFERROR(_xlfn.XLOOKUP(C379,HELPER!$A$2:$A$81,HELPER!$B$2:$B$81,""),D379))</f>
        <v/>
      </c>
      <c r="E379" s="28" t="str">
        <f>IFERROR(_xlfn.XLOOKUP(D379,HELPER!$B:$B,HELPER!$C:$C,""),"")</f>
        <v/>
      </c>
      <c r="F379" s="27" t="str">
        <f>IFERROR(_xlfn.XLOOKUP(D379,HELPER!$B:$B,HELPER!$D:$D,""),"")</f>
        <v/>
      </c>
      <c r="G379" s="27">
        <v>24</v>
      </c>
      <c r="H379" s="47"/>
      <c r="I379" s="48" t="str">
        <f>IF(AND(H379&lt;&gt;"",IFERROR(_xlfn.XLOOKUP(D379,HELPER!$B:$B,HELPER!$E:$E,""),"")=""),"Missing price",IFERROR(_xlfn.XLOOKUP(D379,HELPER!$B:$B,HELPER!$E:$E,"")," "))</f>
        <v/>
      </c>
      <c r="J379" s="48" t="str">
        <f>IFERROR(H379*(IF(G379=8,I379*HELPER!$G$2,BOM!I379*HELPER!$G$3))," ")</f>
        <v xml:space="preserve"> </v>
      </c>
      <c r="K379" s="6"/>
      <c r="L379" s="14" t="str" cm="1">
        <f t="array" ref="L379">IFERROR(_xlfn.LET(_xlpm.films,Table4[Film],_xlpm.grades,Table4[Grade],_xlpm.pairs,_xlfn._xlws.FILTER(_xlfn.HSTACK(_xlpm.films,_xlpm.grades),(_xlpm.films&lt;&gt;"")*(TRIM(_xlpm.grades)&lt;&gt;"")),_xlpm.uniquePairs,_xlfn.UNIQUE(_xlpm.pairs),_xlpm.sortedPairs,_xlfn._xlws.SORT(_xlpm.uniquePairs,1,1),INDEX(_xlpm.sortedPairs,ROWS($L$2:L379),1)),"")</f>
        <v/>
      </c>
      <c r="M379" s="15" t="str" cm="1">
        <f t="array" ref="M379">IFERROR(_xlfn.LET(_xlpm.films,Table4[Film],_xlpm.grades,Table4[Grade],_xlpm.pairs,_xlfn._xlws.FILTER(_xlfn.HSTACK(_xlpm.films,_xlpm.grades),(_xlpm.films&lt;&gt;"")*(TRIM(_xlpm.grades)&lt;&gt;"")),_xlpm.uniquePairs,_xlfn.UNIQUE(_xlpm.pairs),_xlpm.sortedPairs,_xlfn._xlws.SORT(_xlpm.uniquePairs,1,1),INDEX(_xlpm.sortedPairs,ROWS($M$2:M379),2)),"")</f>
        <v/>
      </c>
      <c r="N379" s="15" t="str" cm="1">
        <f t="array" ref="N379">IF(OR(Table2[[#This Row],[Film]]="",Table2[[#This Row],[Grade]]=""),"",IFERROR(INDEX(Table4[Serial Number],MATCH(1,(Table4[Film]=Table2[[#This Row],[Film]])*(Table4[Grade]=Table2[[#This Row],[Grade]]),0)),""))</f>
        <v/>
      </c>
      <c r="O379" s="52" t="str">
        <f>IF(OR(Table2[[#This Row],[Film]]="",Table2[[#This Row],[Grade]]=""),"",SUMIFS(Table4[Price Calculated(€) Thickness &amp; QTY related],Table4[Film],Table2[[#This Row],[Film]],Table4[Grade],Table2[[#This Row],[Grade]]))</f>
        <v/>
      </c>
      <c r="P379" s="6"/>
      <c r="T379" s="6"/>
    </row>
    <row r="380" spans="1:20">
      <c r="A380" s="29"/>
      <c r="B380" s="29" t="s">
        <v>6</v>
      </c>
      <c r="C380" s="28"/>
      <c r="D380" s="28" t="str">
        <f>IF(C380="","",IFERROR(_xlfn.XLOOKUP(C380,HELPER!$A$2:$A$81,HELPER!$B$2:$B$81,""),D380))</f>
        <v/>
      </c>
      <c r="E380" s="28" t="str">
        <f>IFERROR(_xlfn.XLOOKUP(D380,HELPER!$B:$B,HELPER!$C:$C,""),"")</f>
        <v/>
      </c>
      <c r="F380" s="27" t="str">
        <f>IFERROR(_xlfn.XLOOKUP(D380,HELPER!$B:$B,HELPER!$D:$D,""),"")</f>
        <v/>
      </c>
      <c r="G380" s="27">
        <v>24</v>
      </c>
      <c r="H380" s="47"/>
      <c r="I380" s="48" t="str">
        <f>IF(AND(H380&lt;&gt;"",IFERROR(_xlfn.XLOOKUP(D380,HELPER!$B:$B,HELPER!$E:$E,""),"")=""),"Missing price",IFERROR(_xlfn.XLOOKUP(D380,HELPER!$B:$B,HELPER!$E:$E,"")," "))</f>
        <v/>
      </c>
      <c r="J380" s="48" t="str">
        <f>IFERROR(H380*(IF(G380=8,I380*HELPER!$G$2,BOM!I380*HELPER!$G$3))," ")</f>
        <v xml:space="preserve"> </v>
      </c>
      <c r="K380" s="6"/>
      <c r="L380" s="14" t="str" cm="1">
        <f t="array" ref="L380">IFERROR(_xlfn.LET(_xlpm.films,Table4[Film],_xlpm.grades,Table4[Grade],_xlpm.pairs,_xlfn._xlws.FILTER(_xlfn.HSTACK(_xlpm.films,_xlpm.grades),(_xlpm.films&lt;&gt;"")*(TRIM(_xlpm.grades)&lt;&gt;"")),_xlpm.uniquePairs,_xlfn.UNIQUE(_xlpm.pairs),_xlpm.sortedPairs,_xlfn._xlws.SORT(_xlpm.uniquePairs,1,1),INDEX(_xlpm.sortedPairs,ROWS($L$2:L380),1)),"")</f>
        <v/>
      </c>
      <c r="M380" s="15" t="str" cm="1">
        <f t="array" ref="M380">IFERROR(_xlfn.LET(_xlpm.films,Table4[Film],_xlpm.grades,Table4[Grade],_xlpm.pairs,_xlfn._xlws.FILTER(_xlfn.HSTACK(_xlpm.films,_xlpm.grades),(_xlpm.films&lt;&gt;"")*(TRIM(_xlpm.grades)&lt;&gt;"")),_xlpm.uniquePairs,_xlfn.UNIQUE(_xlpm.pairs),_xlpm.sortedPairs,_xlfn._xlws.SORT(_xlpm.uniquePairs,1,1),INDEX(_xlpm.sortedPairs,ROWS($M$2:M380),2)),"")</f>
        <v/>
      </c>
      <c r="N380" s="15" t="str" cm="1">
        <f t="array" ref="N380">IF(OR(Table2[[#This Row],[Film]]="",Table2[[#This Row],[Grade]]=""),"",IFERROR(INDEX(Table4[Serial Number],MATCH(1,(Table4[Film]=Table2[[#This Row],[Film]])*(Table4[Grade]=Table2[[#This Row],[Grade]]),0)),""))</f>
        <v/>
      </c>
      <c r="O380" s="52" t="str">
        <f>IF(OR(Table2[[#This Row],[Film]]="",Table2[[#This Row],[Grade]]=""),"",SUMIFS(Table4[Price Calculated(€) Thickness &amp; QTY related],Table4[Film],Table2[[#This Row],[Film]],Table4[Grade],Table2[[#This Row],[Grade]]))</f>
        <v/>
      </c>
      <c r="P380" s="6"/>
      <c r="T380" s="6"/>
    </row>
    <row r="381" spans="1:20">
      <c r="A381" s="29"/>
      <c r="B381" s="29" t="s">
        <v>6</v>
      </c>
      <c r="C381" s="28"/>
      <c r="D381" s="28" t="str">
        <f>IF(C381="","",IFERROR(_xlfn.XLOOKUP(C381,HELPER!$A$2:$A$81,HELPER!$B$2:$B$81,""),D381))</f>
        <v/>
      </c>
      <c r="E381" s="28" t="str">
        <f>IFERROR(_xlfn.XLOOKUP(D381,HELPER!$B:$B,HELPER!$C:$C,""),"")</f>
        <v/>
      </c>
      <c r="F381" s="27" t="str">
        <f>IFERROR(_xlfn.XLOOKUP(D381,HELPER!$B:$B,HELPER!$D:$D,""),"")</f>
        <v/>
      </c>
      <c r="G381" s="27">
        <v>24</v>
      </c>
      <c r="H381" s="47"/>
      <c r="I381" s="48" t="str">
        <f>IF(AND(H381&lt;&gt;"",IFERROR(_xlfn.XLOOKUP(D381,HELPER!$B:$B,HELPER!$E:$E,""),"")=""),"Missing price",IFERROR(_xlfn.XLOOKUP(D381,HELPER!$B:$B,HELPER!$E:$E,"")," "))</f>
        <v/>
      </c>
      <c r="J381" s="48" t="str">
        <f>IFERROR(H381*(IF(G381=8,I381*HELPER!$G$2,BOM!I381*HELPER!$G$3))," ")</f>
        <v xml:space="preserve"> </v>
      </c>
      <c r="K381" s="6"/>
      <c r="L381" s="14" t="str" cm="1">
        <f t="array" ref="L381">IFERROR(_xlfn.LET(_xlpm.films,Table4[Film],_xlpm.grades,Table4[Grade],_xlpm.pairs,_xlfn._xlws.FILTER(_xlfn.HSTACK(_xlpm.films,_xlpm.grades),(_xlpm.films&lt;&gt;"")*(TRIM(_xlpm.grades)&lt;&gt;"")),_xlpm.uniquePairs,_xlfn.UNIQUE(_xlpm.pairs),_xlpm.sortedPairs,_xlfn._xlws.SORT(_xlpm.uniquePairs,1,1),INDEX(_xlpm.sortedPairs,ROWS($L$2:L381),1)),"")</f>
        <v/>
      </c>
      <c r="M381" s="15" t="str" cm="1">
        <f t="array" ref="M381">IFERROR(_xlfn.LET(_xlpm.films,Table4[Film],_xlpm.grades,Table4[Grade],_xlpm.pairs,_xlfn._xlws.FILTER(_xlfn.HSTACK(_xlpm.films,_xlpm.grades),(_xlpm.films&lt;&gt;"")*(TRIM(_xlpm.grades)&lt;&gt;"")),_xlpm.uniquePairs,_xlfn.UNIQUE(_xlpm.pairs),_xlpm.sortedPairs,_xlfn._xlws.SORT(_xlpm.uniquePairs,1,1),INDEX(_xlpm.sortedPairs,ROWS($M$2:M381),2)),"")</f>
        <v/>
      </c>
      <c r="N381" s="15" t="str" cm="1">
        <f t="array" ref="N381">IF(OR(Table2[[#This Row],[Film]]="",Table2[[#This Row],[Grade]]=""),"",IFERROR(INDEX(Table4[Serial Number],MATCH(1,(Table4[Film]=Table2[[#This Row],[Film]])*(Table4[Grade]=Table2[[#This Row],[Grade]]),0)),""))</f>
        <v/>
      </c>
      <c r="O381" s="52" t="str">
        <f>IF(OR(Table2[[#This Row],[Film]]="",Table2[[#This Row],[Grade]]=""),"",SUMIFS(Table4[Price Calculated(€) Thickness &amp; QTY related],Table4[Film],Table2[[#This Row],[Film]],Table4[Grade],Table2[[#This Row],[Grade]]))</f>
        <v/>
      </c>
      <c r="P381" s="6"/>
      <c r="T381" s="6"/>
    </row>
    <row r="382" spans="1:20">
      <c r="A382" s="29"/>
      <c r="B382" s="29" t="s">
        <v>7</v>
      </c>
      <c r="C382" s="28"/>
      <c r="D382" s="28" t="str">
        <f>IF(C382="","",IFERROR(_xlfn.XLOOKUP(C382,HELPER!$A$2:$A$81,HELPER!$B$2:$B$81,""),D382))</f>
        <v/>
      </c>
      <c r="E382" s="28" t="str">
        <f>IFERROR(_xlfn.XLOOKUP(D382,HELPER!$B:$B,HELPER!$C:$C,""),"")</f>
        <v/>
      </c>
      <c r="F382" s="27" t="str">
        <f>IFERROR(_xlfn.XLOOKUP(D382,HELPER!$B:$B,HELPER!$D:$D,""),"")</f>
        <v/>
      </c>
      <c r="G382" s="27">
        <v>8</v>
      </c>
      <c r="H382" s="47"/>
      <c r="I382" s="48" t="str">
        <f>IF(AND(H382&lt;&gt;"",IFERROR(_xlfn.XLOOKUP(D382,HELPER!$B:$B,HELPER!$E:$E,""),"")=""),"Missing price",IFERROR(_xlfn.XLOOKUP(D382,HELPER!$B:$B,HELPER!$E:$E,"")," "))</f>
        <v/>
      </c>
      <c r="J382" s="48" t="str">
        <f>IFERROR(H382*(IF(G382=8,I382*HELPER!$G$2,BOM!I382*HELPER!$G$3))," ")</f>
        <v xml:space="preserve"> </v>
      </c>
      <c r="K382" s="6"/>
      <c r="L382" s="14" t="str" cm="1">
        <f t="array" ref="L382">IFERROR(_xlfn.LET(_xlpm.films,Table4[Film],_xlpm.grades,Table4[Grade],_xlpm.pairs,_xlfn._xlws.FILTER(_xlfn.HSTACK(_xlpm.films,_xlpm.grades),(_xlpm.films&lt;&gt;"")*(TRIM(_xlpm.grades)&lt;&gt;"")),_xlpm.uniquePairs,_xlfn.UNIQUE(_xlpm.pairs),_xlpm.sortedPairs,_xlfn._xlws.SORT(_xlpm.uniquePairs,1,1),INDEX(_xlpm.sortedPairs,ROWS($L$2:L382),1)),"")</f>
        <v/>
      </c>
      <c r="M382" s="15" t="str" cm="1">
        <f t="array" ref="M382">IFERROR(_xlfn.LET(_xlpm.films,Table4[Film],_xlpm.grades,Table4[Grade],_xlpm.pairs,_xlfn._xlws.FILTER(_xlfn.HSTACK(_xlpm.films,_xlpm.grades),(_xlpm.films&lt;&gt;"")*(TRIM(_xlpm.grades)&lt;&gt;"")),_xlpm.uniquePairs,_xlfn.UNIQUE(_xlpm.pairs),_xlpm.sortedPairs,_xlfn._xlws.SORT(_xlpm.uniquePairs,1,1),INDEX(_xlpm.sortedPairs,ROWS($M$2:M382),2)),"")</f>
        <v/>
      </c>
      <c r="N382" s="15" t="str" cm="1">
        <f t="array" ref="N382">IF(OR(Table2[[#This Row],[Film]]="",Table2[[#This Row],[Grade]]=""),"",IFERROR(INDEX(Table4[Serial Number],MATCH(1,(Table4[Film]=Table2[[#This Row],[Film]])*(Table4[Grade]=Table2[[#This Row],[Grade]]),0)),""))</f>
        <v/>
      </c>
      <c r="O382" s="52" t="str">
        <f>IF(OR(Table2[[#This Row],[Film]]="",Table2[[#This Row],[Grade]]=""),"",SUMIFS(Table4[Price Calculated(€) Thickness &amp; QTY related],Table4[Film],Table2[[#This Row],[Film]],Table4[Grade],Table2[[#This Row],[Grade]]))</f>
        <v/>
      </c>
      <c r="P382" s="6"/>
      <c r="T382" s="6"/>
    </row>
    <row r="383" spans="1:20">
      <c r="A383" s="29"/>
      <c r="B383" s="29" t="s">
        <v>7</v>
      </c>
      <c r="C383" s="28"/>
      <c r="D383" s="28" t="str">
        <f>IF(C383="","",IFERROR(_xlfn.XLOOKUP(C383,HELPER!$A$2:$A$81,HELPER!$B$2:$B$81,""),D383))</f>
        <v/>
      </c>
      <c r="E383" s="28" t="str">
        <f>IFERROR(_xlfn.XLOOKUP(D383,HELPER!$B:$B,HELPER!$C:$C,""),"")</f>
        <v/>
      </c>
      <c r="F383" s="27" t="str">
        <f>IFERROR(_xlfn.XLOOKUP(D383,HELPER!$B:$B,HELPER!$D:$D,""),"")</f>
        <v/>
      </c>
      <c r="G383" s="27">
        <v>8</v>
      </c>
      <c r="H383" s="47"/>
      <c r="I383" s="48" t="str">
        <f>IF(AND(H383&lt;&gt;"",IFERROR(_xlfn.XLOOKUP(D383,HELPER!$B:$B,HELPER!$E:$E,""),"")=""),"Missing price",IFERROR(_xlfn.XLOOKUP(D383,HELPER!$B:$B,HELPER!$E:$E,"")," "))</f>
        <v/>
      </c>
      <c r="J383" s="48" t="str">
        <f>IFERROR(H383*(IF(G383=8,I383*HELPER!$G$2,BOM!I383*HELPER!$G$3))," ")</f>
        <v xml:space="preserve"> </v>
      </c>
      <c r="K383" s="6"/>
      <c r="L383" s="14" t="str" cm="1">
        <f t="array" ref="L383">IFERROR(_xlfn.LET(_xlpm.films,Table4[Film],_xlpm.grades,Table4[Grade],_xlpm.pairs,_xlfn._xlws.FILTER(_xlfn.HSTACK(_xlpm.films,_xlpm.grades),(_xlpm.films&lt;&gt;"")*(TRIM(_xlpm.grades)&lt;&gt;"")),_xlpm.uniquePairs,_xlfn.UNIQUE(_xlpm.pairs),_xlpm.sortedPairs,_xlfn._xlws.SORT(_xlpm.uniquePairs,1,1),INDEX(_xlpm.sortedPairs,ROWS($L$2:L383),1)),"")</f>
        <v/>
      </c>
      <c r="M383" s="15" t="str" cm="1">
        <f t="array" ref="M383">IFERROR(_xlfn.LET(_xlpm.films,Table4[Film],_xlpm.grades,Table4[Grade],_xlpm.pairs,_xlfn._xlws.FILTER(_xlfn.HSTACK(_xlpm.films,_xlpm.grades),(_xlpm.films&lt;&gt;"")*(TRIM(_xlpm.grades)&lt;&gt;"")),_xlpm.uniquePairs,_xlfn.UNIQUE(_xlpm.pairs),_xlpm.sortedPairs,_xlfn._xlws.SORT(_xlpm.uniquePairs,1,1),INDEX(_xlpm.sortedPairs,ROWS($M$2:M383),2)),"")</f>
        <v/>
      </c>
      <c r="N383" s="15" t="str" cm="1">
        <f t="array" ref="N383">IF(OR(Table2[[#This Row],[Film]]="",Table2[[#This Row],[Grade]]=""),"",IFERROR(INDEX(Table4[Serial Number],MATCH(1,(Table4[Film]=Table2[[#This Row],[Film]])*(Table4[Grade]=Table2[[#This Row],[Grade]]),0)),""))</f>
        <v/>
      </c>
      <c r="O383" s="52" t="str">
        <f>IF(OR(Table2[[#This Row],[Film]]="",Table2[[#This Row],[Grade]]=""),"",SUMIFS(Table4[Price Calculated(€) Thickness &amp; QTY related],Table4[Film],Table2[[#This Row],[Film]],Table4[Grade],Table2[[#This Row],[Grade]]))</f>
        <v/>
      </c>
      <c r="P383" s="6"/>
      <c r="T383" s="6"/>
    </row>
    <row r="384" spans="1:20">
      <c r="A384" s="29"/>
      <c r="B384" s="29" t="s">
        <v>7</v>
      </c>
      <c r="C384" s="28"/>
      <c r="D384" s="28" t="str">
        <f>IF(C384="","",IFERROR(_xlfn.XLOOKUP(C384,HELPER!$A$2:$A$81,HELPER!$B$2:$B$81,""),D384))</f>
        <v/>
      </c>
      <c r="E384" s="28" t="str">
        <f>IFERROR(_xlfn.XLOOKUP(D384,HELPER!$B:$B,HELPER!$C:$C,""),"")</f>
        <v/>
      </c>
      <c r="F384" s="27" t="str">
        <f>IFERROR(_xlfn.XLOOKUP(D384,HELPER!$B:$B,HELPER!$D:$D,""),"")</f>
        <v/>
      </c>
      <c r="G384" s="27">
        <v>8</v>
      </c>
      <c r="H384" s="47"/>
      <c r="I384" s="48" t="str">
        <f>IF(AND(H384&lt;&gt;"",IFERROR(_xlfn.XLOOKUP(D384,HELPER!$B:$B,HELPER!$E:$E,""),"")=""),"Missing price",IFERROR(_xlfn.XLOOKUP(D384,HELPER!$B:$B,HELPER!$E:$E,"")," "))</f>
        <v/>
      </c>
      <c r="J384" s="48" t="str">
        <f>IFERROR(H384*(IF(G384=8,I384*HELPER!$G$2,BOM!I384*HELPER!$G$3))," ")</f>
        <v xml:space="preserve"> </v>
      </c>
      <c r="K384" s="6"/>
      <c r="L384" s="14" t="str" cm="1">
        <f t="array" ref="L384">IFERROR(_xlfn.LET(_xlpm.films,Table4[Film],_xlpm.grades,Table4[Grade],_xlpm.pairs,_xlfn._xlws.FILTER(_xlfn.HSTACK(_xlpm.films,_xlpm.grades),(_xlpm.films&lt;&gt;"")*(TRIM(_xlpm.grades)&lt;&gt;"")),_xlpm.uniquePairs,_xlfn.UNIQUE(_xlpm.pairs),_xlpm.sortedPairs,_xlfn._xlws.SORT(_xlpm.uniquePairs,1,1),INDEX(_xlpm.sortedPairs,ROWS($L$2:L384),1)),"")</f>
        <v/>
      </c>
      <c r="M384" s="15" t="str" cm="1">
        <f t="array" ref="M384">IFERROR(_xlfn.LET(_xlpm.films,Table4[Film],_xlpm.grades,Table4[Grade],_xlpm.pairs,_xlfn._xlws.FILTER(_xlfn.HSTACK(_xlpm.films,_xlpm.grades),(_xlpm.films&lt;&gt;"")*(TRIM(_xlpm.grades)&lt;&gt;"")),_xlpm.uniquePairs,_xlfn.UNIQUE(_xlpm.pairs),_xlpm.sortedPairs,_xlfn._xlws.SORT(_xlpm.uniquePairs,1,1),INDEX(_xlpm.sortedPairs,ROWS($M$2:M384),2)),"")</f>
        <v/>
      </c>
      <c r="N384" s="15" t="str" cm="1">
        <f t="array" ref="N384">IF(OR(Table2[[#This Row],[Film]]="",Table2[[#This Row],[Grade]]=""),"",IFERROR(INDEX(Table4[Serial Number],MATCH(1,(Table4[Film]=Table2[[#This Row],[Film]])*(Table4[Grade]=Table2[[#This Row],[Grade]]),0)),""))</f>
        <v/>
      </c>
      <c r="O384" s="52" t="str">
        <f>IF(OR(Table2[[#This Row],[Film]]="",Table2[[#This Row],[Grade]]=""),"",SUMIFS(Table4[Price Calculated(€) Thickness &amp; QTY related],Table4[Film],Table2[[#This Row],[Film]],Table4[Grade],Table2[[#This Row],[Grade]]))</f>
        <v/>
      </c>
      <c r="P384" s="6"/>
      <c r="T384" s="6"/>
    </row>
    <row r="385" spans="1:20">
      <c r="A385" s="29"/>
      <c r="B385" s="29" t="s">
        <v>7</v>
      </c>
      <c r="C385" s="28"/>
      <c r="D385" s="28" t="str">
        <f>IF(C385="","",IFERROR(_xlfn.XLOOKUP(C385,HELPER!$A$2:$A$81,HELPER!$B$2:$B$81,""),D385))</f>
        <v/>
      </c>
      <c r="E385" s="28" t="str">
        <f>IFERROR(_xlfn.XLOOKUP(D385,HELPER!$B:$B,HELPER!$C:$C,""),"")</f>
        <v/>
      </c>
      <c r="F385" s="27" t="str">
        <f>IFERROR(_xlfn.XLOOKUP(D385,HELPER!$B:$B,HELPER!$D:$D,""),"")</f>
        <v/>
      </c>
      <c r="G385" s="27">
        <v>8</v>
      </c>
      <c r="H385" s="47"/>
      <c r="I385" s="48" t="str">
        <f>IF(AND(H385&lt;&gt;"",IFERROR(_xlfn.XLOOKUP(D385,HELPER!$B:$B,HELPER!$E:$E,""),"")=""),"Missing price",IFERROR(_xlfn.XLOOKUP(D385,HELPER!$B:$B,HELPER!$E:$E,"")," "))</f>
        <v/>
      </c>
      <c r="J385" s="48" t="str">
        <f>IFERROR(H385*(IF(G385=8,I385*HELPER!$G$2,BOM!I385*HELPER!$G$3))," ")</f>
        <v xml:space="preserve"> </v>
      </c>
      <c r="K385" s="6"/>
      <c r="L385" s="14" t="str" cm="1">
        <f t="array" ref="L385">IFERROR(_xlfn.LET(_xlpm.films,Table4[Film],_xlpm.grades,Table4[Grade],_xlpm.pairs,_xlfn._xlws.FILTER(_xlfn.HSTACK(_xlpm.films,_xlpm.grades),(_xlpm.films&lt;&gt;"")*(TRIM(_xlpm.grades)&lt;&gt;"")),_xlpm.uniquePairs,_xlfn.UNIQUE(_xlpm.pairs),_xlpm.sortedPairs,_xlfn._xlws.SORT(_xlpm.uniquePairs,1,1),INDEX(_xlpm.sortedPairs,ROWS($L$2:L385),1)),"")</f>
        <v/>
      </c>
      <c r="M385" s="15" t="str" cm="1">
        <f t="array" ref="M385">IFERROR(_xlfn.LET(_xlpm.films,Table4[Film],_xlpm.grades,Table4[Grade],_xlpm.pairs,_xlfn._xlws.FILTER(_xlfn.HSTACK(_xlpm.films,_xlpm.grades),(_xlpm.films&lt;&gt;"")*(TRIM(_xlpm.grades)&lt;&gt;"")),_xlpm.uniquePairs,_xlfn.UNIQUE(_xlpm.pairs),_xlpm.sortedPairs,_xlfn._xlws.SORT(_xlpm.uniquePairs,1,1),INDEX(_xlpm.sortedPairs,ROWS($M$2:M385),2)),"")</f>
        <v/>
      </c>
      <c r="N385" s="15" t="str" cm="1">
        <f t="array" ref="N385">IF(OR(Table2[[#This Row],[Film]]="",Table2[[#This Row],[Grade]]=""),"",IFERROR(INDEX(Table4[Serial Number],MATCH(1,(Table4[Film]=Table2[[#This Row],[Film]])*(Table4[Grade]=Table2[[#This Row],[Grade]]),0)),""))</f>
        <v/>
      </c>
      <c r="O385" s="52" t="str">
        <f>IF(OR(Table2[[#This Row],[Film]]="",Table2[[#This Row],[Grade]]=""),"",SUMIFS(Table4[Price Calculated(€) Thickness &amp; QTY related],Table4[Film],Table2[[#This Row],[Film]],Table4[Grade],Table2[[#This Row],[Grade]]))</f>
        <v/>
      </c>
      <c r="P385" s="6"/>
      <c r="T385" s="6"/>
    </row>
    <row r="386" spans="1:20">
      <c r="A386" s="29"/>
      <c r="B386" s="29" t="s">
        <v>7</v>
      </c>
      <c r="C386" s="28"/>
      <c r="D386" s="28" t="str">
        <f>IF(C386="","",IFERROR(_xlfn.XLOOKUP(C386,HELPER!$A$2:$A$81,HELPER!$B$2:$B$81,""),D386))</f>
        <v/>
      </c>
      <c r="E386" s="28" t="str">
        <f>IFERROR(_xlfn.XLOOKUP(D386,HELPER!$B:$B,HELPER!$C:$C,""),"")</f>
        <v/>
      </c>
      <c r="F386" s="27" t="str">
        <f>IFERROR(_xlfn.XLOOKUP(D386,HELPER!$B:$B,HELPER!$D:$D,""),"")</f>
        <v/>
      </c>
      <c r="G386" s="27">
        <v>8</v>
      </c>
      <c r="H386" s="47"/>
      <c r="I386" s="48" t="str">
        <f>IF(AND(H386&lt;&gt;"",IFERROR(_xlfn.XLOOKUP(D386,HELPER!$B:$B,HELPER!$E:$E,""),"")=""),"Missing price",IFERROR(_xlfn.XLOOKUP(D386,HELPER!$B:$B,HELPER!$E:$E,"")," "))</f>
        <v/>
      </c>
      <c r="J386" s="48" t="str">
        <f>IFERROR(H386*(IF(G386=8,I386*HELPER!$G$2,BOM!I386*HELPER!$G$3))," ")</f>
        <v xml:space="preserve"> </v>
      </c>
      <c r="K386" s="6"/>
      <c r="L386" s="14" t="str" cm="1">
        <f t="array" ref="L386">IFERROR(_xlfn.LET(_xlpm.films,Table4[Film],_xlpm.grades,Table4[Grade],_xlpm.pairs,_xlfn._xlws.FILTER(_xlfn.HSTACK(_xlpm.films,_xlpm.grades),(_xlpm.films&lt;&gt;"")*(TRIM(_xlpm.grades)&lt;&gt;"")),_xlpm.uniquePairs,_xlfn.UNIQUE(_xlpm.pairs),_xlpm.sortedPairs,_xlfn._xlws.SORT(_xlpm.uniquePairs,1,1),INDEX(_xlpm.sortedPairs,ROWS($L$2:L386),1)),"")</f>
        <v/>
      </c>
      <c r="M386" s="15" t="str" cm="1">
        <f t="array" ref="M386">IFERROR(_xlfn.LET(_xlpm.films,Table4[Film],_xlpm.grades,Table4[Grade],_xlpm.pairs,_xlfn._xlws.FILTER(_xlfn.HSTACK(_xlpm.films,_xlpm.grades),(_xlpm.films&lt;&gt;"")*(TRIM(_xlpm.grades)&lt;&gt;"")),_xlpm.uniquePairs,_xlfn.UNIQUE(_xlpm.pairs),_xlpm.sortedPairs,_xlfn._xlws.SORT(_xlpm.uniquePairs,1,1),INDEX(_xlpm.sortedPairs,ROWS($M$2:M386),2)),"")</f>
        <v/>
      </c>
      <c r="N386" s="15" t="str" cm="1">
        <f t="array" ref="N386">IF(OR(Table2[[#This Row],[Film]]="",Table2[[#This Row],[Grade]]=""),"",IFERROR(INDEX(Table4[Serial Number],MATCH(1,(Table4[Film]=Table2[[#This Row],[Film]])*(Table4[Grade]=Table2[[#This Row],[Grade]]),0)),""))</f>
        <v/>
      </c>
      <c r="O386" s="52" t="str">
        <f>IF(OR(Table2[[#This Row],[Film]]="",Table2[[#This Row],[Grade]]=""),"",SUMIFS(Table4[Price Calculated(€) Thickness &amp; QTY related],Table4[Film],Table2[[#This Row],[Film]],Table4[Grade],Table2[[#This Row],[Grade]]))</f>
        <v/>
      </c>
      <c r="P386" s="6"/>
      <c r="T386" s="6"/>
    </row>
    <row r="387" spans="1:20">
      <c r="A387" s="29"/>
      <c r="B387" s="29" t="s">
        <v>7</v>
      </c>
      <c r="C387" s="28"/>
      <c r="D387" s="28" t="str">
        <f>IF(C387="","",IFERROR(_xlfn.XLOOKUP(C387,HELPER!$A$2:$A$81,HELPER!$B$2:$B$81,""),D387))</f>
        <v/>
      </c>
      <c r="E387" s="28" t="str">
        <f>IFERROR(_xlfn.XLOOKUP(D387,HELPER!$B:$B,HELPER!$C:$C,""),"")</f>
        <v/>
      </c>
      <c r="F387" s="27" t="str">
        <f>IFERROR(_xlfn.XLOOKUP(D387,HELPER!$B:$B,HELPER!$D:$D,""),"")</f>
        <v/>
      </c>
      <c r="G387" s="27">
        <v>8</v>
      </c>
      <c r="H387" s="47"/>
      <c r="I387" s="48" t="str">
        <f>IF(AND(H387&lt;&gt;"",IFERROR(_xlfn.XLOOKUP(D387,HELPER!$B:$B,HELPER!$E:$E,""),"")=""),"Missing price",IFERROR(_xlfn.XLOOKUP(D387,HELPER!$B:$B,HELPER!$E:$E,"")," "))</f>
        <v/>
      </c>
      <c r="J387" s="48" t="str">
        <f>IFERROR(H387*(IF(G387=8,I387*HELPER!$G$2,BOM!I387*HELPER!$G$3))," ")</f>
        <v xml:space="preserve"> </v>
      </c>
      <c r="K387" s="6"/>
      <c r="L387" s="14" t="str" cm="1">
        <f t="array" ref="L387">IFERROR(_xlfn.LET(_xlpm.films,Table4[Film],_xlpm.grades,Table4[Grade],_xlpm.pairs,_xlfn._xlws.FILTER(_xlfn.HSTACK(_xlpm.films,_xlpm.grades),(_xlpm.films&lt;&gt;"")*(TRIM(_xlpm.grades)&lt;&gt;"")),_xlpm.uniquePairs,_xlfn.UNIQUE(_xlpm.pairs),_xlpm.sortedPairs,_xlfn._xlws.SORT(_xlpm.uniquePairs,1,1),INDEX(_xlpm.sortedPairs,ROWS($L$2:L387),1)),"")</f>
        <v/>
      </c>
      <c r="M387" s="15" t="str" cm="1">
        <f t="array" ref="M387">IFERROR(_xlfn.LET(_xlpm.films,Table4[Film],_xlpm.grades,Table4[Grade],_xlpm.pairs,_xlfn._xlws.FILTER(_xlfn.HSTACK(_xlpm.films,_xlpm.grades),(_xlpm.films&lt;&gt;"")*(TRIM(_xlpm.grades)&lt;&gt;"")),_xlpm.uniquePairs,_xlfn.UNIQUE(_xlpm.pairs),_xlpm.sortedPairs,_xlfn._xlws.SORT(_xlpm.uniquePairs,1,1),INDEX(_xlpm.sortedPairs,ROWS($M$2:M387),2)),"")</f>
        <v/>
      </c>
      <c r="N387" s="15" t="str" cm="1">
        <f t="array" ref="N387">IF(OR(Table2[[#This Row],[Film]]="",Table2[[#This Row],[Grade]]=""),"",IFERROR(INDEX(Table4[Serial Number],MATCH(1,(Table4[Film]=Table2[[#This Row],[Film]])*(Table4[Grade]=Table2[[#This Row],[Grade]]),0)),""))</f>
        <v/>
      </c>
      <c r="O387" s="52" t="str">
        <f>IF(OR(Table2[[#This Row],[Film]]="",Table2[[#This Row],[Grade]]=""),"",SUMIFS(Table4[Price Calculated(€) Thickness &amp; QTY related],Table4[Film],Table2[[#This Row],[Film]],Table4[Grade],Table2[[#This Row],[Grade]]))</f>
        <v/>
      </c>
      <c r="P387" s="6"/>
      <c r="T387" s="6"/>
    </row>
    <row r="388" spans="1:20">
      <c r="A388" s="29"/>
      <c r="B388" s="29" t="s">
        <v>7</v>
      </c>
      <c r="C388" s="28"/>
      <c r="D388" s="28" t="str">
        <f>IF(C388="","",IFERROR(_xlfn.XLOOKUP(C388,HELPER!$A$2:$A$81,HELPER!$B$2:$B$81,""),D388))</f>
        <v/>
      </c>
      <c r="E388" s="28" t="str">
        <f>IFERROR(_xlfn.XLOOKUP(D388,HELPER!$B:$B,HELPER!$C:$C,""),"")</f>
        <v/>
      </c>
      <c r="F388" s="27" t="str">
        <f>IFERROR(_xlfn.XLOOKUP(D388,HELPER!$B:$B,HELPER!$D:$D,""),"")</f>
        <v/>
      </c>
      <c r="G388" s="27">
        <v>8</v>
      </c>
      <c r="H388" s="47"/>
      <c r="I388" s="48" t="str">
        <f>IF(AND(H388&lt;&gt;"",IFERROR(_xlfn.XLOOKUP(D388,HELPER!$B:$B,HELPER!$E:$E,""),"")=""),"Missing price",IFERROR(_xlfn.XLOOKUP(D388,HELPER!$B:$B,HELPER!$E:$E,"")," "))</f>
        <v/>
      </c>
      <c r="J388" s="48" t="str">
        <f>IFERROR(H388*(IF(G388=8,I388*HELPER!$G$2,BOM!I388*HELPER!$G$3))," ")</f>
        <v xml:space="preserve"> </v>
      </c>
      <c r="K388" s="6"/>
      <c r="L388" s="14" t="str" cm="1">
        <f t="array" ref="L388">IFERROR(_xlfn.LET(_xlpm.films,Table4[Film],_xlpm.grades,Table4[Grade],_xlpm.pairs,_xlfn._xlws.FILTER(_xlfn.HSTACK(_xlpm.films,_xlpm.grades),(_xlpm.films&lt;&gt;"")*(TRIM(_xlpm.grades)&lt;&gt;"")),_xlpm.uniquePairs,_xlfn.UNIQUE(_xlpm.pairs),_xlpm.sortedPairs,_xlfn._xlws.SORT(_xlpm.uniquePairs,1,1),INDEX(_xlpm.sortedPairs,ROWS($L$2:L388),1)),"")</f>
        <v/>
      </c>
      <c r="M388" s="15" t="str" cm="1">
        <f t="array" ref="M388">IFERROR(_xlfn.LET(_xlpm.films,Table4[Film],_xlpm.grades,Table4[Grade],_xlpm.pairs,_xlfn._xlws.FILTER(_xlfn.HSTACK(_xlpm.films,_xlpm.grades),(_xlpm.films&lt;&gt;"")*(TRIM(_xlpm.grades)&lt;&gt;"")),_xlpm.uniquePairs,_xlfn.UNIQUE(_xlpm.pairs),_xlpm.sortedPairs,_xlfn._xlws.SORT(_xlpm.uniquePairs,1,1),INDEX(_xlpm.sortedPairs,ROWS($M$2:M388),2)),"")</f>
        <v/>
      </c>
      <c r="N388" s="15" t="str" cm="1">
        <f t="array" ref="N388">IF(OR(Table2[[#This Row],[Film]]="",Table2[[#This Row],[Grade]]=""),"",IFERROR(INDEX(Table4[Serial Number],MATCH(1,(Table4[Film]=Table2[[#This Row],[Film]])*(Table4[Grade]=Table2[[#This Row],[Grade]]),0)),""))</f>
        <v/>
      </c>
      <c r="O388" s="52" t="str">
        <f>IF(OR(Table2[[#This Row],[Film]]="",Table2[[#This Row],[Grade]]=""),"",SUMIFS(Table4[Price Calculated(€) Thickness &amp; QTY related],Table4[Film],Table2[[#This Row],[Film]],Table4[Grade],Table2[[#This Row],[Grade]]))</f>
        <v/>
      </c>
      <c r="P388" s="6"/>
      <c r="T388" s="6"/>
    </row>
    <row r="389" spans="1:20">
      <c r="A389" s="29"/>
      <c r="B389" s="29" t="s">
        <v>7</v>
      </c>
      <c r="C389" s="28"/>
      <c r="D389" s="28" t="str">
        <f>IF(C389="","",IFERROR(_xlfn.XLOOKUP(C389,HELPER!$A$2:$A$81,HELPER!$B$2:$B$81,""),D389))</f>
        <v/>
      </c>
      <c r="E389" s="28" t="str">
        <f>IFERROR(_xlfn.XLOOKUP(D389,HELPER!$B:$B,HELPER!$C:$C,""),"")</f>
        <v/>
      </c>
      <c r="F389" s="27" t="str">
        <f>IFERROR(_xlfn.XLOOKUP(D389,HELPER!$B:$B,HELPER!$D:$D,""),"")</f>
        <v/>
      </c>
      <c r="G389" s="27">
        <v>8</v>
      </c>
      <c r="H389" s="47"/>
      <c r="I389" s="48" t="str">
        <f>IF(AND(H389&lt;&gt;"",IFERROR(_xlfn.XLOOKUP(D389,HELPER!$B:$B,HELPER!$E:$E,""),"")=""),"Missing price",IFERROR(_xlfn.XLOOKUP(D389,HELPER!$B:$B,HELPER!$E:$E,"")," "))</f>
        <v/>
      </c>
      <c r="J389" s="48" t="str">
        <f>IFERROR(H389*(IF(G389=8,I389*HELPER!$G$2,BOM!I389*HELPER!$G$3))," ")</f>
        <v xml:space="preserve"> </v>
      </c>
      <c r="K389" s="6"/>
      <c r="L389" s="14" t="str" cm="1">
        <f t="array" ref="L389">IFERROR(_xlfn.LET(_xlpm.films,Table4[Film],_xlpm.grades,Table4[Grade],_xlpm.pairs,_xlfn._xlws.FILTER(_xlfn.HSTACK(_xlpm.films,_xlpm.grades),(_xlpm.films&lt;&gt;"")*(TRIM(_xlpm.grades)&lt;&gt;"")),_xlpm.uniquePairs,_xlfn.UNIQUE(_xlpm.pairs),_xlpm.sortedPairs,_xlfn._xlws.SORT(_xlpm.uniquePairs,1,1),INDEX(_xlpm.sortedPairs,ROWS($L$2:L389),1)),"")</f>
        <v/>
      </c>
      <c r="M389" s="15" t="str" cm="1">
        <f t="array" ref="M389">IFERROR(_xlfn.LET(_xlpm.films,Table4[Film],_xlpm.grades,Table4[Grade],_xlpm.pairs,_xlfn._xlws.FILTER(_xlfn.HSTACK(_xlpm.films,_xlpm.grades),(_xlpm.films&lt;&gt;"")*(TRIM(_xlpm.grades)&lt;&gt;"")),_xlpm.uniquePairs,_xlfn.UNIQUE(_xlpm.pairs),_xlpm.sortedPairs,_xlfn._xlws.SORT(_xlpm.uniquePairs,1,1),INDEX(_xlpm.sortedPairs,ROWS($M$2:M389),2)),"")</f>
        <v/>
      </c>
      <c r="N389" s="15" t="str" cm="1">
        <f t="array" ref="N389">IF(OR(Table2[[#This Row],[Film]]="",Table2[[#This Row],[Grade]]=""),"",IFERROR(INDEX(Table4[Serial Number],MATCH(1,(Table4[Film]=Table2[[#This Row],[Film]])*(Table4[Grade]=Table2[[#This Row],[Grade]]),0)),""))</f>
        <v/>
      </c>
      <c r="O389" s="52" t="str">
        <f>IF(OR(Table2[[#This Row],[Film]]="",Table2[[#This Row],[Grade]]=""),"",SUMIFS(Table4[Price Calculated(€) Thickness &amp; QTY related],Table4[Film],Table2[[#This Row],[Film]],Table4[Grade],Table2[[#This Row],[Grade]]))</f>
        <v/>
      </c>
      <c r="P389" s="6"/>
      <c r="T389" s="6"/>
    </row>
    <row r="390" spans="1:20">
      <c r="A390" s="29"/>
      <c r="B390" s="29" t="s">
        <v>7</v>
      </c>
      <c r="C390" s="28"/>
      <c r="D390" s="28" t="str">
        <f>IF(C390="","",IFERROR(_xlfn.XLOOKUP(C390,HELPER!$A$2:$A$81,HELPER!$B$2:$B$81,""),D390))</f>
        <v/>
      </c>
      <c r="E390" s="28" t="str">
        <f>IFERROR(_xlfn.XLOOKUP(D390,HELPER!$B:$B,HELPER!$C:$C,""),"")</f>
        <v/>
      </c>
      <c r="F390" s="27" t="str">
        <f>IFERROR(_xlfn.XLOOKUP(D390,HELPER!$B:$B,HELPER!$D:$D,""),"")</f>
        <v/>
      </c>
      <c r="G390" s="27">
        <v>8</v>
      </c>
      <c r="H390" s="47"/>
      <c r="I390" s="48" t="str">
        <f>IF(AND(H390&lt;&gt;"",IFERROR(_xlfn.XLOOKUP(D390,HELPER!$B:$B,HELPER!$E:$E,""),"")=""),"Missing price",IFERROR(_xlfn.XLOOKUP(D390,HELPER!$B:$B,HELPER!$E:$E,"")," "))</f>
        <v/>
      </c>
      <c r="J390" s="48" t="str">
        <f>IFERROR(H390*(IF(G390=8,I390*HELPER!$G$2,BOM!I390*HELPER!$G$3))," ")</f>
        <v xml:space="preserve"> </v>
      </c>
      <c r="K390" s="6"/>
      <c r="L390" s="14" t="str" cm="1">
        <f t="array" ref="L390">IFERROR(_xlfn.LET(_xlpm.films,Table4[Film],_xlpm.grades,Table4[Grade],_xlpm.pairs,_xlfn._xlws.FILTER(_xlfn.HSTACK(_xlpm.films,_xlpm.grades),(_xlpm.films&lt;&gt;"")*(TRIM(_xlpm.grades)&lt;&gt;"")),_xlpm.uniquePairs,_xlfn.UNIQUE(_xlpm.pairs),_xlpm.sortedPairs,_xlfn._xlws.SORT(_xlpm.uniquePairs,1,1),INDEX(_xlpm.sortedPairs,ROWS($L$2:L390),1)),"")</f>
        <v/>
      </c>
      <c r="M390" s="15" t="str" cm="1">
        <f t="array" ref="M390">IFERROR(_xlfn.LET(_xlpm.films,Table4[Film],_xlpm.grades,Table4[Grade],_xlpm.pairs,_xlfn._xlws.FILTER(_xlfn.HSTACK(_xlpm.films,_xlpm.grades),(_xlpm.films&lt;&gt;"")*(TRIM(_xlpm.grades)&lt;&gt;"")),_xlpm.uniquePairs,_xlfn.UNIQUE(_xlpm.pairs),_xlpm.sortedPairs,_xlfn._xlws.SORT(_xlpm.uniquePairs,1,1),INDEX(_xlpm.sortedPairs,ROWS($M$2:M390),2)),"")</f>
        <v/>
      </c>
      <c r="N390" s="15" t="str" cm="1">
        <f t="array" ref="N390">IF(OR(Table2[[#This Row],[Film]]="",Table2[[#This Row],[Grade]]=""),"",IFERROR(INDEX(Table4[Serial Number],MATCH(1,(Table4[Film]=Table2[[#This Row],[Film]])*(Table4[Grade]=Table2[[#This Row],[Grade]]),0)),""))</f>
        <v/>
      </c>
      <c r="O390" s="52" t="str">
        <f>IF(OR(Table2[[#This Row],[Film]]="",Table2[[#This Row],[Grade]]=""),"",SUMIFS(Table4[Price Calculated(€) Thickness &amp; QTY related],Table4[Film],Table2[[#This Row],[Film]],Table4[Grade],Table2[[#This Row],[Grade]]))</f>
        <v/>
      </c>
      <c r="P390" s="6"/>
      <c r="T390" s="6"/>
    </row>
    <row r="391" spans="1:20">
      <c r="A391" s="29"/>
      <c r="B391" s="29" t="s">
        <v>7</v>
      </c>
      <c r="C391" s="28"/>
      <c r="D391" s="28" t="str">
        <f>IF(C391="","",IFERROR(_xlfn.XLOOKUP(C391,HELPER!$A$2:$A$81,HELPER!$B$2:$B$81,""),D391))</f>
        <v/>
      </c>
      <c r="E391" s="28" t="str">
        <f>IFERROR(_xlfn.XLOOKUP(D391,HELPER!$B:$B,HELPER!$C:$C,""),"")</f>
        <v/>
      </c>
      <c r="F391" s="27" t="str">
        <f>IFERROR(_xlfn.XLOOKUP(D391,HELPER!$B:$B,HELPER!$D:$D,""),"")</f>
        <v/>
      </c>
      <c r="G391" s="27">
        <v>8</v>
      </c>
      <c r="H391" s="47"/>
      <c r="I391" s="48" t="str">
        <f>IF(AND(H391&lt;&gt;"",IFERROR(_xlfn.XLOOKUP(D391,HELPER!$B:$B,HELPER!$E:$E,""),"")=""),"Missing price",IFERROR(_xlfn.XLOOKUP(D391,HELPER!$B:$B,HELPER!$E:$E,"")," "))</f>
        <v/>
      </c>
      <c r="J391" s="48" t="str">
        <f>IFERROR(H391*(IF(G391=8,I391*HELPER!$G$2,BOM!I391*HELPER!$G$3))," ")</f>
        <v xml:space="preserve"> </v>
      </c>
      <c r="K391" s="6"/>
      <c r="L391" s="14" t="str" cm="1">
        <f t="array" ref="L391">IFERROR(_xlfn.LET(_xlpm.films,Table4[Film],_xlpm.grades,Table4[Grade],_xlpm.pairs,_xlfn._xlws.FILTER(_xlfn.HSTACK(_xlpm.films,_xlpm.grades),(_xlpm.films&lt;&gt;"")*(TRIM(_xlpm.grades)&lt;&gt;"")),_xlpm.uniquePairs,_xlfn.UNIQUE(_xlpm.pairs),_xlpm.sortedPairs,_xlfn._xlws.SORT(_xlpm.uniquePairs,1,1),INDEX(_xlpm.sortedPairs,ROWS($L$2:L391),1)),"")</f>
        <v/>
      </c>
      <c r="M391" s="15" t="str" cm="1">
        <f t="array" ref="M391">IFERROR(_xlfn.LET(_xlpm.films,Table4[Film],_xlpm.grades,Table4[Grade],_xlpm.pairs,_xlfn._xlws.FILTER(_xlfn.HSTACK(_xlpm.films,_xlpm.grades),(_xlpm.films&lt;&gt;"")*(TRIM(_xlpm.grades)&lt;&gt;"")),_xlpm.uniquePairs,_xlfn.UNIQUE(_xlpm.pairs),_xlpm.sortedPairs,_xlfn._xlws.SORT(_xlpm.uniquePairs,1,1),INDEX(_xlpm.sortedPairs,ROWS($M$2:M391),2)),"")</f>
        <v/>
      </c>
      <c r="N391" s="15" t="str" cm="1">
        <f t="array" ref="N391">IF(OR(Table2[[#This Row],[Film]]="",Table2[[#This Row],[Grade]]=""),"",IFERROR(INDEX(Table4[Serial Number],MATCH(1,(Table4[Film]=Table2[[#This Row],[Film]])*(Table4[Grade]=Table2[[#This Row],[Grade]]),0)),""))</f>
        <v/>
      </c>
      <c r="O391" s="52" t="str">
        <f>IF(OR(Table2[[#This Row],[Film]]="",Table2[[#This Row],[Grade]]=""),"",SUMIFS(Table4[Price Calculated(€) Thickness &amp; QTY related],Table4[Film],Table2[[#This Row],[Film]],Table4[Grade],Table2[[#This Row],[Grade]]))</f>
        <v/>
      </c>
      <c r="P391" s="6"/>
      <c r="T391" s="6"/>
    </row>
    <row r="393" spans="1:20">
      <c r="H393" s="32">
        <f>82.6%*8%/40%</f>
        <v>0.16519999999999999</v>
      </c>
    </row>
    <row r="394" spans="1:20">
      <c r="G394" s="79"/>
    </row>
    <row r="395" spans="1:20">
      <c r="A395" s="33" t="s">
        <v>93</v>
      </c>
      <c r="G395" s="80"/>
    </row>
    <row r="396" spans="1:20">
      <c r="A396" s="34" t="s">
        <v>94</v>
      </c>
    </row>
    <row r="397" spans="1:20">
      <c r="A397" s="34" t="s">
        <v>95</v>
      </c>
    </row>
    <row r="398" spans="1:20">
      <c r="A398" s="34" t="s">
        <v>96</v>
      </c>
    </row>
    <row r="399" spans="1:20">
      <c r="A399" s="34" t="s">
        <v>97</v>
      </c>
    </row>
    <row r="400" spans="1:20">
      <c r="A400" s="34" t="s">
        <v>98</v>
      </c>
    </row>
    <row r="401" spans="1:1">
      <c r="A401" s="34" t="s">
        <v>99</v>
      </c>
    </row>
    <row r="403" spans="1:1">
      <c r="A403" s="34" t="s">
        <v>100</v>
      </c>
    </row>
    <row r="404" spans="1:1">
      <c r="A404" s="34" t="s">
        <v>101</v>
      </c>
    </row>
  </sheetData>
  <conditionalFormatting sqref="C6:G391">
    <cfRule type="containsText" dxfId="44" priority="1" operator="containsText" text="Missing Price">
      <formula>NOT(ISERROR(SEARCH("Missing Price",C6)))</formula>
    </cfRule>
  </conditionalFormatting>
  <conditionalFormatting sqref="H2:H391">
    <cfRule type="expression" dxfId="43" priority="3">
      <formula>SUM(OFFSET($H$2,(INT((ROW()-2)/10))*10,0,10,1))=1</formula>
    </cfRule>
    <cfRule type="expression" dxfId="42" priority="4">
      <formula>AND(SUM(OFFSET($H$2,(INT((ROW()-2)/10))*10,0,10,1))&gt;0,SUM(OFFSET($H$2,(INT((ROW()-2)/10))*10,0,10,1))&lt;1)</formula>
    </cfRule>
  </conditionalFormatting>
  <conditionalFormatting sqref="I2:I1048576">
    <cfRule type="containsText" dxfId="41" priority="2" operator="containsText" text="Missing Price">
      <formula>NOT(ISERROR(SEARCH("Missing Price",I2)))</formula>
    </cfRule>
  </conditionalFormatting>
  <pageMargins left="0.7" right="0.7" top="0.75" bottom="0.75" header="0.3" footer="0.3"/>
  <legacyDrawing r:id="rId1"/>
  <tableParts count="4">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4D6C1-57E7-4390-B6EA-B4815E6DE1CE}">
  <sheetPr>
    <tabColor rgb="FFFFFF00"/>
  </sheetPr>
  <dimension ref="A1:BF54"/>
  <sheetViews>
    <sheetView topLeftCell="AA1" zoomScaleNormal="100" workbookViewId="0">
      <selection activeCell="AG17" sqref="AG17:AI17"/>
    </sheetView>
  </sheetViews>
  <sheetFormatPr defaultRowHeight="15" outlineLevelRow="1" outlineLevelCol="1"/>
  <cols>
    <col min="1" max="1" width="15.42578125" style="2" bestFit="1" customWidth="1"/>
    <col min="2" max="2" width="16.7109375" bestFit="1" customWidth="1"/>
    <col min="3" max="3" width="18.140625" bestFit="1" customWidth="1"/>
    <col min="4" max="4" width="13" bestFit="1" customWidth="1"/>
    <col min="5" max="5" width="16.42578125" bestFit="1" customWidth="1"/>
    <col min="6" max="6" width="20.85546875" bestFit="1" customWidth="1"/>
    <col min="7" max="7" width="16.28515625" bestFit="1" customWidth="1"/>
    <col min="8" max="8" width="25.42578125" style="4" bestFit="1" customWidth="1"/>
    <col min="9" max="9" width="22.28515625" style="4" bestFit="1" customWidth="1"/>
    <col min="10" max="10" width="16" bestFit="1" customWidth="1"/>
    <col min="11" max="11" width="24" bestFit="1" customWidth="1"/>
    <col min="12" max="12" width="19.42578125" style="3" bestFit="1" customWidth="1"/>
    <col min="13" max="13" width="28.140625" bestFit="1" customWidth="1"/>
    <col min="14" max="14" width="17.85546875" bestFit="1" customWidth="1"/>
    <col min="15" max="15" width="31.28515625" bestFit="1" customWidth="1"/>
    <col min="16" max="16" width="20.85546875" bestFit="1" customWidth="1"/>
    <col min="17" max="17" width="16.42578125" bestFit="1" customWidth="1"/>
    <col min="18" max="18" width="13.5703125" bestFit="1" customWidth="1"/>
    <col min="19" max="19" width="13" bestFit="1" customWidth="1"/>
    <col min="20" max="20" width="19.5703125" bestFit="1" customWidth="1"/>
    <col min="21" max="21" width="13.42578125" bestFit="1" customWidth="1"/>
    <col min="22" max="22" width="11.28515625" bestFit="1" customWidth="1"/>
    <col min="23" max="23" width="22.28515625" bestFit="1" customWidth="1"/>
    <col min="24" max="24" width="16.7109375" bestFit="1" customWidth="1"/>
    <col min="25" max="25" width="17" bestFit="1" customWidth="1"/>
    <col min="26" max="26" width="10.85546875" bestFit="1" customWidth="1"/>
    <col min="27" max="27" width="12" bestFit="1" customWidth="1"/>
    <col min="28" max="28" width="14.42578125" bestFit="1" customWidth="1"/>
    <col min="29" max="29" width="39.5703125" bestFit="1" customWidth="1"/>
    <col min="30" max="30" width="4.28515625" customWidth="1"/>
    <col min="31" max="32" width="5" bestFit="1" customWidth="1"/>
    <col min="33" max="33" width="22.28515625" bestFit="1" customWidth="1"/>
    <col min="34" max="34" width="16.7109375" bestFit="1" customWidth="1"/>
    <col min="35" max="36" width="5.28515625" bestFit="1" customWidth="1"/>
    <col min="37" max="37" width="22.28515625" bestFit="1" customWidth="1"/>
    <col min="38" max="38" width="16.7109375" bestFit="1" customWidth="1"/>
    <col min="39" max="40" width="5.28515625" bestFit="1" customWidth="1"/>
    <col min="41" max="41" width="22.28515625" bestFit="1" customWidth="1"/>
    <col min="42" max="42" width="16.7109375" bestFit="1" customWidth="1"/>
    <col min="43" max="44" width="5.28515625" bestFit="1" customWidth="1"/>
    <col min="45" max="45" width="22.28515625" bestFit="1" customWidth="1" outlineLevel="1"/>
    <col min="46" max="46" width="16.7109375" bestFit="1" customWidth="1" outlineLevel="1"/>
    <col min="47" max="47" width="5.28515625" bestFit="1" customWidth="1" outlineLevel="1"/>
    <col min="48" max="48" width="5.28515625" hidden="1" customWidth="1" outlineLevel="1"/>
    <col min="49" max="49" width="22.28515625" bestFit="1" customWidth="1" outlineLevel="1"/>
    <col min="50" max="50" width="16.7109375" bestFit="1" customWidth="1" outlineLevel="1"/>
    <col min="51" max="51" width="5.28515625" bestFit="1" customWidth="1" outlineLevel="1"/>
    <col min="52" max="52" width="5.28515625" hidden="1" customWidth="1" outlineLevel="1"/>
    <col min="53" max="53" width="22.28515625" bestFit="1" customWidth="1" outlineLevel="1"/>
    <col min="54" max="54" width="16.7109375" bestFit="1" customWidth="1" outlineLevel="1"/>
    <col min="55" max="55" width="5.28515625" bestFit="1" customWidth="1" outlineLevel="1"/>
    <col min="56" max="56" width="5.28515625" bestFit="1" customWidth="1"/>
  </cols>
  <sheetData>
    <row r="1" spans="1:58">
      <c r="A1" s="483" t="s">
        <v>70</v>
      </c>
      <c r="B1" s="483" t="s">
        <v>71</v>
      </c>
      <c r="C1" s="483" t="s">
        <v>70</v>
      </c>
      <c r="D1" s="483"/>
      <c r="E1" s="483"/>
      <c r="F1" s="483"/>
      <c r="G1" s="483"/>
      <c r="H1" s="483"/>
      <c r="I1" s="483"/>
      <c r="J1" s="483"/>
      <c r="K1" s="483"/>
      <c r="L1" s="483"/>
      <c r="M1" s="483"/>
      <c r="N1" s="483"/>
      <c r="O1" s="483"/>
      <c r="P1" s="483"/>
      <c r="Q1" s="483"/>
      <c r="R1" s="483"/>
      <c r="S1" s="483"/>
      <c r="T1" s="483"/>
      <c r="U1" s="483"/>
      <c r="V1" s="482" t="s">
        <v>141</v>
      </c>
      <c r="W1" s="483"/>
      <c r="X1" s="483"/>
      <c r="Y1" s="483"/>
      <c r="Z1" s="483"/>
      <c r="AA1" s="483"/>
      <c r="AB1" s="484"/>
      <c r="AG1" s="167"/>
      <c r="AH1" s="168"/>
      <c r="AI1" s="169"/>
      <c r="AK1" s="167"/>
      <c r="AL1" s="168"/>
      <c r="AM1" s="169"/>
      <c r="AO1" s="167"/>
      <c r="AP1" s="168"/>
      <c r="AQ1" s="169"/>
      <c r="AS1" s="167"/>
      <c r="AT1" s="168"/>
      <c r="AU1" s="169"/>
      <c r="AW1" s="167"/>
      <c r="AX1" s="168"/>
      <c r="AY1" s="169"/>
      <c r="BA1" s="167"/>
      <c r="BB1" s="168"/>
      <c r="BC1" s="169"/>
    </row>
    <row r="2" spans="1:58" ht="30">
      <c r="A2" s="485" t="s">
        <v>55</v>
      </c>
      <c r="B2" s="486" t="s">
        <v>56</v>
      </c>
      <c r="C2" s="486" t="s">
        <v>4</v>
      </c>
      <c r="D2" s="486" t="s">
        <v>58</v>
      </c>
      <c r="E2" s="486" t="s">
        <v>102</v>
      </c>
      <c r="F2" s="486" t="s">
        <v>72</v>
      </c>
      <c r="G2" s="486" t="s">
        <v>57</v>
      </c>
      <c r="H2" s="487" t="s">
        <v>59</v>
      </c>
      <c r="I2" s="487" t="s">
        <v>60</v>
      </c>
      <c r="J2" s="486" t="s">
        <v>61</v>
      </c>
      <c r="K2" s="486" t="s">
        <v>62</v>
      </c>
      <c r="L2" s="486" t="s">
        <v>63</v>
      </c>
      <c r="M2" s="486" t="s">
        <v>64</v>
      </c>
      <c r="N2" s="486" t="s">
        <v>65</v>
      </c>
      <c r="O2" s="486" t="s">
        <v>66</v>
      </c>
      <c r="P2" s="486" t="s">
        <v>524</v>
      </c>
      <c r="Q2" s="486" t="s">
        <v>67</v>
      </c>
      <c r="R2" s="486" t="s">
        <v>244</v>
      </c>
      <c r="S2" s="488" t="s">
        <v>293</v>
      </c>
      <c r="T2" s="488" t="s">
        <v>874</v>
      </c>
      <c r="U2" s="488" t="s">
        <v>826</v>
      </c>
      <c r="V2" s="486" t="s">
        <v>68</v>
      </c>
      <c r="W2" s="486" t="s">
        <v>869</v>
      </c>
      <c r="X2" s="486" t="s">
        <v>487</v>
      </c>
      <c r="Y2" s="486" t="s">
        <v>488</v>
      </c>
      <c r="Z2" s="489" t="s">
        <v>69</v>
      </c>
      <c r="AA2" s="489" t="s">
        <v>241</v>
      </c>
      <c r="AB2" s="490" t="s">
        <v>489</v>
      </c>
      <c r="AC2" s="855" t="s">
        <v>1287</v>
      </c>
      <c r="AG2" s="287" t="s">
        <v>878</v>
      </c>
      <c r="AH2" s="940">
        <v>0.22500000000000001</v>
      </c>
      <c r="AI2" s="941"/>
      <c r="AK2" s="287" t="s">
        <v>878</v>
      </c>
      <c r="AL2" s="940">
        <v>0.25</v>
      </c>
      <c r="AM2" s="941"/>
      <c r="AO2" s="287" t="s">
        <v>878</v>
      </c>
      <c r="AP2" s="940">
        <v>0.2</v>
      </c>
      <c r="AQ2" s="941"/>
      <c r="AS2" s="240" t="s">
        <v>508</v>
      </c>
      <c r="AT2" s="940">
        <v>0.25</v>
      </c>
      <c r="AU2" s="941"/>
      <c r="AW2" s="240" t="s">
        <v>508</v>
      </c>
      <c r="AX2" s="940">
        <v>0.25</v>
      </c>
      <c r="AY2" s="941"/>
      <c r="BA2" s="240" t="s">
        <v>508</v>
      </c>
      <c r="BB2" s="940">
        <v>0.25</v>
      </c>
      <c r="BC2" s="941"/>
    </row>
    <row r="3" spans="1:58" ht="17.25">
      <c r="A3" s="491" t="str" cm="1">
        <f t="array" ref="A3">CHOOSE(ROW()-ROW(Table1[#Headers]),$AH$4,$AL$4,$AP$4,$AT$4,$AX$4,$BB$4)</f>
        <v>TIPA 312 MET</v>
      </c>
      <c r="B3" s="499" cm="1">
        <f t="array" ref="B3">CHOOSE(ROW()-ROW(Table1[#Headers]),$AH$5,$AL$5,$AP$5,$AT$5,$AX$5,$BB$5)</f>
        <v>760</v>
      </c>
      <c r="C3" s="499" cm="1">
        <f t="array" ref="C3">CHOOSE(ROW()-ROW(Table1[#Headers]),$AH$6,$AL$6,$AP$6,$AT$6,$AX$6,$BB$6)</f>
        <v>25</v>
      </c>
      <c r="D3" s="502" cm="1">
        <f t="array" ref="D3">CHOOSE(ROW()-ROW(Table1[#Headers]),$AH$7,$AL$7,$AP$7,$AT$7,$AX$7,$BB$7)</f>
        <v>1.25</v>
      </c>
      <c r="E3" s="499">
        <f t="shared" ref="E3:E8" si="0">IF(OR(A3="",A3="-"),"",IF(AND(G3&lt;&gt;"",H3&lt;&gt;""),G3*H3,""))</f>
        <v>300</v>
      </c>
      <c r="F3" s="499" cm="1">
        <f t="array" ref="F3">CHOOSE(ROW()-ROW(Table1[#Headers]),IF($AH$21="By Length",$AH$22*$H$3,$AH$8),IF($AL$21="By Length",$AL$22*$H$4,$AL$8),IF($AP$21="By Length",$AP$22*$H$5,$AP$8),IF($AT$21="By Length",$AT$22*$H$6,$AT$8),IF($AX$21="By Length",$AX$22*$H$7,$AX$8),IF($BB$21="By Length",$BB$22*$H$8,$BB$8))</f>
        <v>300</v>
      </c>
      <c r="G3" s="499" cm="1">
        <f t="array" ref="G3">CHOOSE(ROW()-ROW(Table1[#Headers]),$AH$9,$AL$9,$AP$9,$AT$9,$AX$9,$BB$9)</f>
        <v>12631.578947368422</v>
      </c>
      <c r="H3" s="507">
        <f t="shared" ref="H3:H8" si="1">IF(OR(A3="",A3="-"),"",IF(AND(B3&lt;&gt;"",C3&lt;&gt;"",D3&lt;&gt;""),D3*(C3/1000)*(B3/1000),""))</f>
        <v>2.375E-2</v>
      </c>
      <c r="I3" s="499">
        <f t="shared" ref="I3:I8" si="2">IF(OR(A3="",A3="-"),"",IF(F3&lt;&gt;"",F3,IF(AND(G3&lt;&gt;"",H3&lt;&gt;""),G3*H3,"")))</f>
        <v>300</v>
      </c>
      <c r="J3" s="506">
        <v>510</v>
      </c>
      <c r="K3" s="511">
        <f>IFERROR((Table1[[#This Row],[Hourly rate]]*(Table1[[#This Row],[Total Kg Produced]]/500))/Table1[[#This Row],[Total Kg Produced]],0)+0.2</f>
        <v>1.22</v>
      </c>
      <c r="L3" s="512">
        <f>IFERROR(_xlfn.XLOOKUP(Table1[[#This Row],[Film Type]],Table3[Film],Table3[Price (€/kg)],0),0)</f>
        <v>5.3805880000000004</v>
      </c>
      <c r="M3" s="511">
        <f t="shared" ref="M3:M8" si="3">IFERROR((L3+K3),0)</f>
        <v>6.6005880000000001</v>
      </c>
      <c r="N3" s="492">
        <f>IF(OR(I3="",I3=0),"",VLOOKUP(I3,HELPER!$AM$2:$AN$6,2,TRUE))</f>
        <v>0.25</v>
      </c>
      <c r="O3" s="511">
        <f t="shared" ref="O3:O8" si="4">IF(AND(M3&lt;&gt;"",N3&lt;&gt;""),M3*(1+N3),"")</f>
        <v>8.2507350000000006</v>
      </c>
      <c r="P3" s="511">
        <f>IF(AND(Table1[[#This Row],[Thickness (µ)]]&lt;&gt;"",Table1[[#This Row],[RM cost in 1 Kg]]&lt;&gt;""), VLOOKUP(Table1[[#This Row],[Thickness (µ)]], HELPER!$BH$3:$BI$5, 2, TRUE) * Table1[[#This Row],[RM cost in 1 Kg]], "")</f>
        <v>0.40354410000000002</v>
      </c>
      <c r="Q3" s="511">
        <v>0.3</v>
      </c>
      <c r="R3" s="518" t="str" cm="1">
        <f t="array" ref="R3">CHOOSE(ROW()-ROW(Table1[#Headers]),$AH$13,$AL$13,$AP$13,$AT$13,$AX$13,$BB$13)</f>
        <v>Marma</v>
      </c>
      <c r="S3" s="518" cm="1">
        <f t="array" ref="S3">IF(OR($AH$13="",$AH$12=0,$AH$12="0",$AH$11="Not Printed"),0,IF($AH$5&gt;1220,"Error! please choose width not higher than 1220",_xlfn.LET(_xlpm.len,$AH$9,_xlpm.colors,$AH$12,_xlpm.colNum,IF(_xlpm.len&lt;3000,1,IF(_xlpm.len&lt;10000,2,IF(_xlpm.len&lt;25000,3,IF(_xlpm.len&lt;50000,4,IF(_xlpm.len&lt;100000,5,IF(_xlpm.len&lt;250000,6,IF(_xlpm.len&lt;500000,7,8))))))),_xlpm.widthRow,IF($AH$5&lt;=990,0,5),_xlpm.colorOffset,IF(OR(_xlpm.colors=1,_xlpm.colors=2,_xlpm.colors="1-2"),1,IF(OR(_xlpm.colors=3,_xlpm.colors=4,_xlpm.colors="3-4"),2,IF(OR(_xlpm.colors&gt;=5,_xlpm.colors="5-6",_xlpm.colors="5-8"),3,0))),_xlpm.supplierRow,IF($AH$13="Marma",3,IF($AH$13="Bastin",13,0)),IF(OR(_xlpm.supplierRow=0,_xlpm.colorOffset=0),0,INDEX('Lmntn &amp; Prntng- Marma &amp; Bastin '!$D:$K,_xlpm.supplierRow+_xlpm.widthRow+_xlpm.colorOffset,_xlpm.colNum)))))</f>
        <v>0</v>
      </c>
      <c r="T3" s="518">
        <f>IFERROR(Table1[[#This Row],[Printing]]*Table1[[#This Row],[Length (Mr)]]/Table1[[#This Row],[Weight Override]],0)</f>
        <v>0</v>
      </c>
      <c r="U3" s="518">
        <f>IF(Table1[[#This Row],[Printing]]&gt;0,Table1[[#This Row],[RM cost in 1 Kg]]*0.028,0)</f>
        <v>0</v>
      </c>
      <c r="V3" s="511">
        <f>IF(Table1[[#This Row],[RM cost in 1 Kg]]&gt;0,((1500+3000)/30000),0)</f>
        <v>0.15</v>
      </c>
      <c r="W3" s="518">
        <f>IF(AND(Table1[[#This Row],[Weight Override]]&gt;0,ISNUMBER(SEARCH("W",Table1[[#This Row],[Film Type]]))),1500/Table1[[#This Row],[Weight Override]],0)</f>
        <v>0</v>
      </c>
      <c r="X3" s="493" t="str" cm="1">
        <f t="array" ref="X3">CHOOSE(ROW()-ROW(Table1[#Headers]),$AH$10,$AL$10,$AP$10,$AT$10,$AX$10,$BB$10)</f>
        <v>Europe to Europe</v>
      </c>
      <c r="Y3" s="512">
        <f>IFERROR(IF(X3="Europe to Canada",IF(I3&lt;1000,(I3/1000)*VLOOKUP(1000,HELPER!$AG$4:$AH$8,2,FALSE)/I3,VLOOKUP(I3,HELPER!$AG$4:$AH$8,2,TRUE)/I3),VLOOKUP(X3,HELPER!$AF$2:$AH$3,3,FALSE)),0)</f>
        <v>0.2</v>
      </c>
      <c r="Z3" s="524">
        <f>IFERROR((Table1[[#This Row],[Total Cost and depreciation]]+Table1[[#This Row],[Thickness waste]]+Table1[[#This Row],[Other costs]]+Table1[[#This Row],[Setup]]+Table1[[#This Row],[Setup for colored Films]]+Table1[[#This Row],[Shiping cost]]+Table1[[#This Row],[Printing Waste]]+Table1[[#This Row],[Printing per KG]]),0)</f>
        <v>9.3042791000000005</v>
      </c>
      <c r="AA3" s="525" cm="1">
        <f t="array" ref="AA3">Table1[[#This Row],[Total Cost]]/(1-CHOOSE(ROW()-ROW(Table1[#Headers]),$AH$2,$AL$2,$AP$2,$AT$2,$AX$2,$BB$2))-Table1[[#This Row],[Total Cost]]</f>
        <v>2.7012423193548383</v>
      </c>
      <c r="AB3" s="526" cm="1">
        <f t="array" ref="AB3">Table1[[#This Row],[Total Cost]]/(1-CHOOSE(ROW()-ROW(Table1[#Headers]),$AH$2,$AL$2,$AP$2,$AT$2,$AX$2,$BB$2))</f>
        <v>12.005521419354839</v>
      </c>
      <c r="AC3" s="849">
        <f>Table1[[#This Row],[Total Cost and depreciation]]+Table1[[#This Row],[Thickness waste]]+Table1[[#This Row],[Other costs]]</f>
        <v>8.9542791000000008</v>
      </c>
      <c r="AG3" s="945" t="s">
        <v>1308</v>
      </c>
      <c r="AH3" s="946"/>
      <c r="AI3" s="947"/>
      <c r="AK3" s="942" t="s">
        <v>1032</v>
      </c>
      <c r="AL3" s="943"/>
      <c r="AM3" s="944"/>
      <c r="AO3" s="942" t="s">
        <v>1033</v>
      </c>
      <c r="AP3" s="943"/>
      <c r="AQ3" s="944"/>
      <c r="AS3" s="942" t="s">
        <v>1034</v>
      </c>
      <c r="AT3" s="943"/>
      <c r="AU3" s="944"/>
      <c r="AW3" s="942" t="s">
        <v>1035</v>
      </c>
      <c r="AX3" s="943"/>
      <c r="AY3" s="944"/>
      <c r="BA3" s="942" t="s">
        <v>1036</v>
      </c>
      <c r="BB3" s="943"/>
      <c r="BC3" s="944"/>
    </row>
    <row r="4" spans="1:58">
      <c r="A4" s="494" t="str" cm="1">
        <f t="array" ref="A4">CHOOSE(ROW()-ROW(Table1[#Headers]),$AH$4,$AL$4,$AP$4,$AT$4,$AX$4,$BB$4)</f>
        <v>TIPA 302FG W</v>
      </c>
      <c r="B4" s="500" cm="1">
        <f t="array" ref="B4">CHOOSE(ROW()-ROW(Table1[#Headers]),$AH$5,$AL$5,$AP$5,$AT$5,$AX$5,$BB$5)</f>
        <v>515</v>
      </c>
      <c r="C4" s="500" cm="1">
        <f t="array" ref="C4">CHOOSE(ROW()-ROW(Table1[#Headers]),$AH$6,$AL$6,$AP$6,$AT$6,$AX$6,$BB$6)</f>
        <v>60</v>
      </c>
      <c r="D4" s="503" cm="1">
        <f t="array" ref="D4">CHOOSE(ROW()-ROW(Table1[#Headers]),$AH$7,$AL$7,$AP$7,$AT$7,$AX$7,$BB$7)</f>
        <v>1.25</v>
      </c>
      <c r="E4" s="500">
        <f t="shared" si="0"/>
        <v>3000</v>
      </c>
      <c r="F4" s="500" cm="1">
        <f t="array" ref="F4">CHOOSE(ROW()-ROW(Table1[#Headers]),IF($AH$21="By Length",$AH$22*$H$3,$AH$8),IF($AL$21="By Length",$AL$22*$H$4,$AL$8),IF($AP$21="By Length",$AP$22*$H$5,$AP$8),IF($AT$21="By Length",$AT$22*$H$6,$AT$8),IF($AX$21="By Length",$AX$22*$H$7,$AX$8),IF($BB$21="By Length",$BB$22*$H$8,$BB$8))</f>
        <v>3000</v>
      </c>
      <c r="G4" s="505" cm="1">
        <f t="array" ref="G4">CHOOSE(ROW()-ROW(Table1[#Headers]),$AH$9,$AL$9,$AP$9,$AT$9,$AX$9,$BB$9)</f>
        <v>77669.902912621357</v>
      </c>
      <c r="H4" s="508">
        <f t="shared" si="1"/>
        <v>3.8625E-2</v>
      </c>
      <c r="I4" s="500">
        <f t="shared" si="2"/>
        <v>3000</v>
      </c>
      <c r="J4" s="505">
        <v>510</v>
      </c>
      <c r="K4" s="513">
        <f>IFERROR((Table1[[#This Row],[Hourly rate]]*(Table1[[#This Row],[Total Kg Produced]]/500))/Table1[[#This Row],[Total Kg Produced]],0)+0.2</f>
        <v>1.22</v>
      </c>
      <c r="L4" s="514">
        <f>IFERROR(_xlfn.XLOOKUP(Table1[[#This Row],[Film Type]],Table3[Film],Table3[Price (€/kg)],0),0)</f>
        <v>5.3805880000000004</v>
      </c>
      <c r="M4" s="513">
        <f t="shared" si="3"/>
        <v>6.6005880000000001</v>
      </c>
      <c r="N4" s="495">
        <f>IF(OR(I4="",I4=0),"",VLOOKUP(I4,HELPER!$AM$2:$AN$6,2,TRUE))</f>
        <v>0.15</v>
      </c>
      <c r="O4" s="513">
        <f t="shared" si="4"/>
        <v>7.5906761999999999</v>
      </c>
      <c r="P4" s="513">
        <f>IF(AND(Table1[[#This Row],[Thickness (µ)]]&lt;&gt;"",Table1[[#This Row],[RM cost in 1 Kg]]&lt;&gt;""), VLOOKUP(Table1[[#This Row],[Thickness (µ)]], HELPER!$BH$3:$BI$5, 2, TRUE) * Table1[[#This Row],[RM cost in 1 Kg]], "")</f>
        <v>0</v>
      </c>
      <c r="Q4" s="513">
        <v>0.3</v>
      </c>
      <c r="R4" s="519" t="str" cm="1">
        <f t="array" ref="R4">CHOOSE(ROW()-ROW(Table1[#Headers]),$AH$13,$AL$13,$AP$13,$AT$13,$AX$13,$BB$13)</f>
        <v>Marma</v>
      </c>
      <c r="S4" s="519" cm="1">
        <f t="array" ref="S4">IF(OR($AH$13="",$AH$12=0,$AH$12="0",$AH$11="Not Printed"),0,IF($AH$5&gt;1220,"Error! please choose width not higher than 1220",_xlfn.LET(_xlpm.len,$AH$9,_xlpm.colors,$AH$12,_xlpm.colNum,IF(_xlpm.len&lt;3000,1,IF(_xlpm.len&lt;10000,2,IF(_xlpm.len&lt;25000,3,IF(_xlpm.len&lt;50000,4,IF(_xlpm.len&lt;100000,5,IF(_xlpm.len&lt;250000,6,IF(_xlpm.len&lt;500000,7,8))))))),_xlpm.widthRow,IF($AH$5&lt;=990,0,5),_xlpm.colorOffset,IF(OR(_xlpm.colors=1,_xlpm.colors=2,_xlpm.colors="1-2"),1,IF(OR(_xlpm.colors=3,_xlpm.colors=4,_xlpm.colors="3-4"),2,IF(OR(_xlpm.colors&gt;=5,_xlpm.colors="5-6",_xlpm.colors="5-8"),3,0))),_xlpm.supplierRow,IF($AH$13="Marma",3,IF($AH$13="Bastin",13,0)),IF(OR(_xlpm.supplierRow=0,_xlpm.colorOffset=0),0,INDEX('Lmntn &amp; Prntng- Marma &amp; Bastin '!$D:$K,_xlpm.supplierRow+_xlpm.widthRow+_xlpm.colorOffset,_xlpm.colNum)))))</f>
        <v>0</v>
      </c>
      <c r="T4" s="519">
        <f>IFERROR(Table1[[#This Row],[Printing]]*Table1[[#This Row],[Length (Mr)]]/Table1[[#This Row],[Weight Override]],0)</f>
        <v>0</v>
      </c>
      <c r="U4" s="519">
        <f>IF(Table1[[#This Row],[Printing]]&gt;0,Table1[[#This Row],[RM cost in 1 Kg]]*0.028,0)</f>
        <v>0</v>
      </c>
      <c r="V4" s="513">
        <f>IF(Table1[[#This Row],[RM cost in 1 Kg]]&gt;0,((1500+3000)/30000),0)</f>
        <v>0.15</v>
      </c>
      <c r="W4" s="519">
        <f>IF(AND(Table1[[#This Row],[Weight Override]]&gt;0,ISNUMBER(SEARCH("W",Table1[[#This Row],[Film Type]]))),1500/Table1[[#This Row],[Weight Override]],0)</f>
        <v>0.5</v>
      </c>
      <c r="X4" s="496" t="str" cm="1">
        <f t="array" ref="X4">CHOOSE(ROW()-ROW(Table1[#Headers]),$AH$10,$AL$10,$AP$10,$AT$10,$AX$10,$BB$10)</f>
        <v>Europe to Europe</v>
      </c>
      <c r="Y4" s="514">
        <f>IFERROR(IF(X4="Europe to Canada",IF(I4&lt;1000,(I4/1000)*VLOOKUP(1000,HELPER!$AG$4:$AH$8,2,FALSE)/I4,VLOOKUP(I4,HELPER!$AG$4:$AH$8,2,TRUE)/I4),VLOOKUP(X4,HELPER!$AF$2:$AH$3,3,FALSE)),0)</f>
        <v>0.2</v>
      </c>
      <c r="Z4" s="527">
        <f>IFERROR((Table1[[#This Row],[Total Cost and depreciation]]+Table1[[#This Row],[Thickness waste]]+Table1[[#This Row],[Other costs]]+Table1[[#This Row],[Setup]]+Table1[[#This Row],[Setup for colored Films]]+Table1[[#This Row],[Shiping cost]]+Table1[[#This Row],[Printing Waste]]+Table1[[#This Row],[Printing per KG]]),0)</f>
        <v>8.7406761999999993</v>
      </c>
      <c r="AA4" s="528" cm="1">
        <f t="array" ref="AA4">Table1[[#This Row],[Total Cost]]/(1-CHOOSE(ROW()-ROW(Table1[#Headers]),$AH$2,$AL$2,$AP$2,$AT$2,$AX$2,$BB$2))-Table1[[#This Row],[Total Cost]]</f>
        <v>2.9135587333333337</v>
      </c>
      <c r="AB4" s="529" cm="1">
        <f t="array" ref="AB4">Table1[[#This Row],[Total Cost]]/(1-CHOOSE(ROW()-ROW(Table1[#Headers]),$AH$2,$AL$2,$AP$2,$AT$2,$AX$2,$BB$2))</f>
        <v>11.654234933333333</v>
      </c>
      <c r="AC4" s="849">
        <f>Table1[[#This Row],[Total Cost and depreciation]]+Table1[[#This Row],[Thickness waste]]+Table1[[#This Row],[Other costs]]</f>
        <v>7.8906761999999997</v>
      </c>
      <c r="AG4" s="241" t="s">
        <v>509</v>
      </c>
      <c r="AH4" s="245" t="s">
        <v>202</v>
      </c>
      <c r="AI4" s="250"/>
      <c r="AK4" s="241" t="s">
        <v>509</v>
      </c>
      <c r="AL4" s="245" t="s">
        <v>43</v>
      </c>
      <c r="AM4" s="250"/>
      <c r="AO4" s="241" t="s">
        <v>509</v>
      </c>
      <c r="AP4" s="245" t="s">
        <v>45</v>
      </c>
      <c r="AQ4" s="250"/>
      <c r="AS4" s="241" t="s">
        <v>509</v>
      </c>
      <c r="AT4" s="245" t="s">
        <v>46</v>
      </c>
      <c r="AU4" s="250"/>
      <c r="AW4" s="241" t="s">
        <v>509</v>
      </c>
      <c r="AX4" s="245" t="s">
        <v>201</v>
      </c>
      <c r="AY4" s="250"/>
      <c r="BA4" s="241" t="s">
        <v>509</v>
      </c>
      <c r="BB4" s="245" t="s">
        <v>52</v>
      </c>
      <c r="BC4" s="250"/>
    </row>
    <row r="5" spans="1:58">
      <c r="A5" s="491" t="str" cm="1">
        <f t="array" ref="A5">CHOOSE(ROW()-ROW(Table1[#Headers]),$AH$4,$AL$4,$AP$4,$AT$4,$AX$4,$BB$4)</f>
        <v>TIPA 306M</v>
      </c>
      <c r="B5" s="499" cm="1">
        <f t="array" ref="B5">CHOOSE(ROW()-ROW(Table1[#Headers]),$AH$5,$AL$5,$AP$5,$AT$5,$AX$5,$BB$5)</f>
        <v>515</v>
      </c>
      <c r="C5" s="499" cm="1">
        <f t="array" ref="C5">CHOOSE(ROW()-ROW(Table1[#Headers]),$AH$6,$AL$6,$AP$6,$AT$6,$AX$6,$BB$6)</f>
        <v>60</v>
      </c>
      <c r="D5" s="502" cm="1">
        <f t="array" ref="D5">CHOOSE(ROW()-ROW(Table1[#Headers]),$AH$7,$AL$7,$AP$7,$AT$7,$AX$7,$BB$7)</f>
        <v>1.25</v>
      </c>
      <c r="E5" s="499">
        <f t="shared" si="0"/>
        <v>138000</v>
      </c>
      <c r="F5" s="499" cm="1">
        <f t="array" ref="F5">CHOOSE(ROW()-ROW(Table1[#Headers]),IF($AH$21="By Length",$AH$22*$H$3,$AH$8),IF($AL$21="By Length",$AL$22*$H$4,$AL$8),IF($AP$21="By Length",$AP$22*$H$5,$AP$8),IF($AT$21="By Length",$AT$22*$H$6,$AT$8),IF($AX$21="By Length",$AX$22*$H$7,$AX$8),IF($BB$21="By Length",$BB$22*$H$8,$BB$8))</f>
        <v>138000</v>
      </c>
      <c r="G5" s="506" cm="1">
        <f t="array" ref="G5">CHOOSE(ROW()-ROW(Table1[#Headers]),$AH$9,$AL$9,$AP$9,$AT$9,$AX$9,$BB$9)</f>
        <v>3572815.5339805824</v>
      </c>
      <c r="H5" s="507">
        <f t="shared" si="1"/>
        <v>3.8625E-2</v>
      </c>
      <c r="I5" s="499">
        <f t="shared" si="2"/>
        <v>138000</v>
      </c>
      <c r="J5" s="506">
        <v>510</v>
      </c>
      <c r="K5" s="511">
        <f>IFERROR((Table1[[#This Row],[Hourly rate]]*(Table1[[#This Row],[Total Kg Produced]]/500))/Table1[[#This Row],[Total Kg Produced]],0)+0.2</f>
        <v>1.22</v>
      </c>
      <c r="L5" s="512">
        <f>IFERROR(_xlfn.XLOOKUP(Table1[[#This Row],[Film Type]],Table3[Film],Table3[Price (€/kg)],0),0)</f>
        <v>5.3805880000000004</v>
      </c>
      <c r="M5" s="511">
        <f t="shared" si="3"/>
        <v>6.6005880000000001</v>
      </c>
      <c r="N5" s="492">
        <f>IF(OR(I5="",I5=0),"",VLOOKUP(I5,HELPER!$AM$2:$AN$6,2,TRUE))</f>
        <v>0.125</v>
      </c>
      <c r="O5" s="511">
        <f t="shared" si="4"/>
        <v>7.4256615000000004</v>
      </c>
      <c r="P5" s="511">
        <f>IF(AND(Table1[[#This Row],[Thickness (µ)]]&lt;&gt;"",Table1[[#This Row],[RM cost in 1 Kg]]&lt;&gt;""), VLOOKUP(Table1[[#This Row],[Thickness (µ)]], HELPER!$BH$3:$BI$5, 2, TRUE) * Table1[[#This Row],[RM cost in 1 Kg]], "")</f>
        <v>0</v>
      </c>
      <c r="Q5" s="511">
        <v>0.3</v>
      </c>
      <c r="R5" s="518" t="str" cm="1">
        <f t="array" ref="R5">CHOOSE(ROW()-ROW(Table1[#Headers]),$AH$13,$AL$13,$AP$13,$AT$13,$AX$13,$BB$13)</f>
        <v>Marma</v>
      </c>
      <c r="S5" s="518" cm="1">
        <f t="array" ref="S5">IF(OR($AH$13="",$AH$12=0,$AH$12="0",$AH$11="Not Printed"),0,IF($AH$5&gt;1220,"Error! please choose width not higher than 1220",_xlfn.LET(_xlpm.len,$AH$9,_xlpm.colors,$AH$12,_xlpm.colNum,IF(_xlpm.len&lt;3000,1,IF(_xlpm.len&lt;10000,2,IF(_xlpm.len&lt;25000,3,IF(_xlpm.len&lt;50000,4,IF(_xlpm.len&lt;100000,5,IF(_xlpm.len&lt;250000,6,IF(_xlpm.len&lt;500000,7,8))))))),_xlpm.widthRow,IF($AH$5&lt;=990,0,5),_xlpm.colorOffset,IF(OR(_xlpm.colors=1,_xlpm.colors=2,_xlpm.colors="1-2"),1,IF(OR(_xlpm.colors=3,_xlpm.colors=4,_xlpm.colors="3-4"),2,IF(OR(_xlpm.colors&gt;=5,_xlpm.colors="5-6",_xlpm.colors="5-8"),3,0))),_xlpm.supplierRow,IF($AH$13="Marma",3,IF($AH$13="Bastin",13,0)),IF(OR(_xlpm.supplierRow=0,_xlpm.colorOffset=0),0,INDEX('Lmntn &amp; Prntng- Marma &amp; Bastin '!$D:$K,_xlpm.supplierRow+_xlpm.widthRow+_xlpm.colorOffset,_xlpm.colNum)))))</f>
        <v>0</v>
      </c>
      <c r="T5" s="518">
        <f>IFERROR(Table1[[#This Row],[Printing]]*Table1[[#This Row],[Length (Mr)]]/Table1[[#This Row],[Weight Override]],0)</f>
        <v>0</v>
      </c>
      <c r="U5" s="518">
        <f>IF(Table1[[#This Row],[Printing]]&gt;0,Table1[[#This Row],[RM cost in 1 Kg]]*0.028,0)</f>
        <v>0</v>
      </c>
      <c r="V5" s="511">
        <f>IF(Table1[[#This Row],[RM cost in 1 Kg]]&gt;0,((1500+3000)/30000),0)</f>
        <v>0.15</v>
      </c>
      <c r="W5" s="518">
        <f>IF(AND(Table1[[#This Row],[Weight Override]]&gt;0,ISNUMBER(SEARCH("W",Table1[[#This Row],[Film Type]]))),1500/Table1[[#This Row],[Weight Override]],0)</f>
        <v>0</v>
      </c>
      <c r="X5" s="493" t="str" cm="1">
        <f t="array" ref="X5">CHOOSE(ROW()-ROW(Table1[#Headers]),$AH$10,$AL$10,$AP$10,$AT$10,$AX$10,$BB$10)</f>
        <v>Europe to Europe</v>
      </c>
      <c r="Y5" s="512">
        <f>IFERROR(IF(X5="Europe to Canada",IF(I5&lt;1000,(I5/1000)*VLOOKUP(1000,HELPER!$AG$4:$AH$8,2,FALSE)/I5,VLOOKUP(I5,HELPER!$AG$4:$AH$8,2,TRUE)/I5),VLOOKUP(X5,HELPER!$AF$2:$AH$3,3,FALSE)),0)</f>
        <v>0.2</v>
      </c>
      <c r="Z5" s="524">
        <f>IFERROR((Table1[[#This Row],[Total Cost and depreciation]]+Table1[[#This Row],[Thickness waste]]+Table1[[#This Row],[Other costs]]+Table1[[#This Row],[Setup]]+Table1[[#This Row],[Setup for colored Films]]+Table1[[#This Row],[Shiping cost]]+Table1[[#This Row],[Printing Waste]]+Table1[[#This Row],[Printing per KG]]),0)</f>
        <v>8.0756615000000007</v>
      </c>
      <c r="AA5" s="525" cm="1">
        <f t="array" ref="AA5">Table1[[#This Row],[Total Cost]]/(1-CHOOSE(ROW()-ROW(Table1[#Headers]),$AH$2,$AL$2,$AP$2,$AT$2,$AX$2,$BB$2))-Table1[[#This Row],[Total Cost]]</f>
        <v>2.0189153749999988</v>
      </c>
      <c r="AB5" s="526" cm="1">
        <f t="array" ref="AB5">Table1[[#This Row],[Total Cost]]/(1-CHOOSE(ROW()-ROW(Table1[#Headers]),$AH$2,$AL$2,$AP$2,$AT$2,$AX$2,$BB$2))</f>
        <v>10.094576875</v>
      </c>
      <c r="AC5" s="849">
        <f>Table1[[#This Row],[Total Cost and depreciation]]+Table1[[#This Row],[Thickness waste]]+Table1[[#This Row],[Other costs]]</f>
        <v>7.7256615000000002</v>
      </c>
      <c r="AG5" s="242" t="s">
        <v>510</v>
      </c>
      <c r="AH5" s="246">
        <v>760</v>
      </c>
      <c r="AI5" s="251" t="s">
        <v>511</v>
      </c>
      <c r="AK5" s="242" t="s">
        <v>510</v>
      </c>
      <c r="AL5" s="246">
        <v>515</v>
      </c>
      <c r="AM5" s="251" t="s">
        <v>511</v>
      </c>
      <c r="AO5" s="242" t="s">
        <v>510</v>
      </c>
      <c r="AP5" s="246">
        <v>515</v>
      </c>
      <c r="AQ5" s="251" t="s">
        <v>511</v>
      </c>
      <c r="AS5" s="242" t="s">
        <v>510</v>
      </c>
      <c r="AT5" s="246">
        <v>406</v>
      </c>
      <c r="AU5" s="251" t="s">
        <v>511</v>
      </c>
      <c r="AW5" s="242" t="s">
        <v>510</v>
      </c>
      <c r="AX5" s="246">
        <v>406</v>
      </c>
      <c r="AY5" s="251" t="s">
        <v>511</v>
      </c>
      <c r="BA5" s="242" t="s">
        <v>510</v>
      </c>
      <c r="BB5" s="246">
        <v>406</v>
      </c>
      <c r="BC5" s="251" t="s">
        <v>511</v>
      </c>
    </row>
    <row r="6" spans="1:58">
      <c r="A6" s="494" t="str" cm="1">
        <f t="array" ref="A6">CHOOSE(ROW()-ROW(Table1[#Headers]),$AH$4,$AL$4,$AP$4,$AT$4,$AX$4,$BB$4)</f>
        <v>TIPA 306W</v>
      </c>
      <c r="B6" s="500" cm="1">
        <f t="array" ref="B6">CHOOSE(ROW()-ROW(Table1[#Headers]),$AH$5,$AL$5,$AP$5,$AT$5,$AX$5,$BB$5)</f>
        <v>406</v>
      </c>
      <c r="C6" s="500" cm="1">
        <f t="array" ref="C6">CHOOSE(ROW()-ROW(Table1[#Headers]),$AH$6,$AL$6,$AP$6,$AT$6,$AX$6,$BB$6)</f>
        <v>20</v>
      </c>
      <c r="D6" s="503" cm="1">
        <f t="array" ref="D6">CHOOSE(ROW()-ROW(Table1[#Headers]),$AH$7,$AL$7,$AP$7,$AT$7,$AX$7,$BB$7)</f>
        <v>1.25</v>
      </c>
      <c r="E6" s="500">
        <f t="shared" si="0"/>
        <v>3000</v>
      </c>
      <c r="F6" s="500" cm="1">
        <f t="array" ref="F6">CHOOSE(ROW()-ROW(Table1[#Headers]),IF($AH$21="By Length",$AH$22*$H$3,$AH$8),IF($AL$21="By Length",$AL$22*$H$4,$AL$8),IF($AP$21="By Length",$AP$22*$H$5,$AP$8),IF($AT$21="By Length",$AT$22*$H$6,$AT$8),IF($AX$21="By Length",$AX$22*$H$7,$AX$8),IF($BB$21="By Length",$BB$22*$H$8,$BB$8))</f>
        <v>3000</v>
      </c>
      <c r="G6" s="500" cm="1">
        <f t="array" ref="G6">CHOOSE(ROW()-ROW(Table1[#Headers]),$AH$9,$AL$9,$AP$9,$AT$9,$AX$9,$BB$9)</f>
        <v>295566.50246305414</v>
      </c>
      <c r="H6" s="508">
        <f t="shared" si="1"/>
        <v>1.0150000000000001E-2</v>
      </c>
      <c r="I6" s="500">
        <f t="shared" si="2"/>
        <v>3000</v>
      </c>
      <c r="J6" s="505">
        <v>510</v>
      </c>
      <c r="K6" s="513">
        <f>IFERROR((Table1[[#This Row],[Hourly rate]]*(Table1[[#This Row],[Total Kg Produced]]/500))/Table1[[#This Row],[Total Kg Produced]],0)+0.2</f>
        <v>1.22</v>
      </c>
      <c r="L6" s="514">
        <f>IFERROR(_xlfn.XLOOKUP(Table1[[#This Row],[Film Type]],Table3[Film],Table3[Price (€/kg)],0),0)</f>
        <v>5.3805880000000004</v>
      </c>
      <c r="M6" s="513">
        <f t="shared" si="3"/>
        <v>6.6005880000000001</v>
      </c>
      <c r="N6" s="495">
        <f>IF(OR(I6="",I6=0),"",VLOOKUP(I6,HELPER!$AM$2:$AN$6,2,TRUE))</f>
        <v>0.15</v>
      </c>
      <c r="O6" s="513">
        <f t="shared" si="4"/>
        <v>7.5906761999999999</v>
      </c>
      <c r="P6" s="513">
        <f>IF(AND(Table1[[#This Row],[Thickness (µ)]]&lt;&gt;"",Table1[[#This Row],[RM cost in 1 Kg]]&lt;&gt;""), VLOOKUP(Table1[[#This Row],[Thickness (µ)]], HELPER!$BH$3:$BI$5, 2, TRUE) * Table1[[#This Row],[RM cost in 1 Kg]], "")</f>
        <v>0.40354410000000002</v>
      </c>
      <c r="Q6" s="514">
        <v>0.3</v>
      </c>
      <c r="R6" s="519" t="str" cm="1">
        <f t="array" ref="R6">CHOOSE(ROW()-ROW(Table1[#Headers]),$AH$13,$AL$13,$AP$13,$AT$13,$AX$13,$BB$13)</f>
        <v>Bastin</v>
      </c>
      <c r="S6" s="519" cm="1">
        <f t="array" ref="S6">IF(OR($AH$13="",$AH$12=0,$AH$12="0",$AH$11="Not Printed"),0,IF($AH$5&gt;1220,"Error! please choose width not higher than 1220",_xlfn.LET(_xlpm.len,$AH$9,_xlpm.colors,$AH$12,_xlpm.colNum,IF(_xlpm.len&lt;3000,1,IF(_xlpm.len&lt;10000,2,IF(_xlpm.len&lt;25000,3,IF(_xlpm.len&lt;50000,4,IF(_xlpm.len&lt;100000,5,IF(_xlpm.len&lt;250000,6,IF(_xlpm.len&lt;500000,7,8))))))),_xlpm.widthRow,IF($AH$5&lt;=990,0,5),_xlpm.colorOffset,IF(OR(_xlpm.colors=1,_xlpm.colors=2,_xlpm.colors="1-2"),1,IF(OR(_xlpm.colors=3,_xlpm.colors=4,_xlpm.colors="3-4"),2,IF(OR(_xlpm.colors&gt;=5,_xlpm.colors="5-6",_xlpm.colors="5-8"),3,0))),_xlpm.supplierRow,IF($AH$13="Marma",3,IF($AH$13="Bastin",13,0)),IF(OR(_xlpm.supplierRow=0,_xlpm.colorOffset=0),0,INDEX('Lmntn &amp; Prntng- Marma &amp; Bastin '!$D:$K,_xlpm.supplierRow+_xlpm.widthRow+_xlpm.colorOffset,_xlpm.colNum)))))</f>
        <v>0</v>
      </c>
      <c r="T6" s="519">
        <f>IFERROR(Table1[[#This Row],[Printing]]*Table1[[#This Row],[Length (Mr)]]/Table1[[#This Row],[Weight Override]],0)</f>
        <v>0</v>
      </c>
      <c r="U6" s="519">
        <f>IF(Table1[[#This Row],[Printing]]&gt;0,Table1[[#This Row],[RM cost in 1 Kg]]*0.028,0)</f>
        <v>0</v>
      </c>
      <c r="V6" s="513">
        <f>IF(Table1[[#This Row],[RM cost in 1 Kg]]&gt;0,((1500+3000)/30000),0)</f>
        <v>0.15</v>
      </c>
      <c r="W6" s="520">
        <f>IF(AND(Table1[[#This Row],[Weight Override]]&gt;0,ISNUMBER(SEARCH("W",Table1[[#This Row],[Film Type]]))),1500/Table1[[#This Row],[Weight Override]],0)</f>
        <v>0.5</v>
      </c>
      <c r="X6" s="496" t="str" cm="1">
        <f t="array" ref="X6">CHOOSE(ROW()-ROW(Table1[#Headers]),$AH$10,$AL$10,$AP$10,$AT$10,$AX$10,$BB$10)</f>
        <v>Europe to Europe</v>
      </c>
      <c r="Y6" s="514">
        <f>IFERROR(IF(X6="Europe to Canada",IF(I6&lt;1000,(I6/1000)*VLOOKUP(1000,HELPER!$AG$4:$AH$8,2,FALSE)/I6,VLOOKUP(I6,HELPER!$AG$4:$AH$8,2,TRUE)/I6),VLOOKUP(X6,HELPER!$AF$2:$AH$3,3,FALSE)),0)</f>
        <v>0.2</v>
      </c>
      <c r="Z6" s="527">
        <f>IFERROR((Table1[[#This Row],[Total Cost and depreciation]]+Table1[[#This Row],[Thickness waste]]+Table1[[#This Row],[Other costs]]+Table1[[#This Row],[Setup]]+Table1[[#This Row],[Setup for colored Films]]+Table1[[#This Row],[Shiping cost]]+Table1[[#This Row],[Printing Waste]]+Table1[[#This Row],[Printing per KG]]),0)</f>
        <v>9.1442203000000006</v>
      </c>
      <c r="AA6" s="528" cm="1">
        <f t="array" ref="AA6">Table1[[#This Row],[Total Cost]]/(1-CHOOSE(ROW()-ROW(Table1[#Headers]),$AH$2,$AL$2,$AP$2,$AT$2,$AX$2,$BB$2))-Table1[[#This Row],[Total Cost]]</f>
        <v>3.0480734333333341</v>
      </c>
      <c r="AB6" s="529" cm="1">
        <f t="array" ref="AB6">Table1[[#This Row],[Total Cost]]/(1-CHOOSE(ROW()-ROW(Table1[#Headers]),$AH$2,$AL$2,$AP$2,$AT$2,$AX$2,$BB$2))</f>
        <v>12.192293733333335</v>
      </c>
      <c r="AC6" s="850">
        <f>Table1[[#This Row],[Total Cost and depreciation]]+Table1[[#This Row],[Thickness waste]]+Table1[[#This Row],[Other costs]]</f>
        <v>8.294220300000001</v>
      </c>
      <c r="AG6" s="242" t="s">
        <v>512</v>
      </c>
      <c r="AH6" s="246">
        <v>25</v>
      </c>
      <c r="AI6" s="274" t="s">
        <v>109</v>
      </c>
      <c r="AK6" s="242" t="s">
        <v>512</v>
      </c>
      <c r="AL6" s="246">
        <v>60</v>
      </c>
      <c r="AM6" s="251" t="s">
        <v>109</v>
      </c>
      <c r="AO6" s="242" t="s">
        <v>512</v>
      </c>
      <c r="AP6" s="246">
        <v>60</v>
      </c>
      <c r="AQ6" s="251" t="s">
        <v>109</v>
      </c>
      <c r="AS6" s="242" t="s">
        <v>512</v>
      </c>
      <c r="AT6" s="246">
        <v>20</v>
      </c>
      <c r="AU6" s="251" t="s">
        <v>109</v>
      </c>
      <c r="AW6" s="242" t="s">
        <v>512</v>
      </c>
      <c r="AX6" s="246">
        <v>20</v>
      </c>
      <c r="AY6" s="251" t="s">
        <v>109</v>
      </c>
      <c r="BA6" s="242" t="s">
        <v>512</v>
      </c>
      <c r="BB6" s="246">
        <v>20</v>
      </c>
      <c r="BC6" s="251" t="s">
        <v>109</v>
      </c>
    </row>
    <row r="7" spans="1:58">
      <c r="A7" s="491" t="str" cm="1">
        <f t="array" ref="A7">CHOOSE(ROW()-ROW(Table1[#Headers]),$AH$4,$AL$4,$AP$4,$AT$4,$AX$4,$BB$4)</f>
        <v>TIPA 312 MFG</v>
      </c>
      <c r="B7" s="499" cm="1">
        <f t="array" ref="B7">CHOOSE(ROW()-ROW(Table1[#Headers]),$AH$5,$AL$5,$AP$5,$AT$5,$AX$5,$BB$5)</f>
        <v>406</v>
      </c>
      <c r="C7" s="499" cm="1">
        <f t="array" ref="C7">CHOOSE(ROW()-ROW(Table1[#Headers]),$AH$6,$AL$6,$AP$6,$AT$6,$AX$6,$BB$6)</f>
        <v>20</v>
      </c>
      <c r="D7" s="502" cm="1">
        <f t="array" ref="D7">CHOOSE(ROW()-ROW(Table1[#Headers]),$AH$7,$AL$7,$AP$7,$AT$7,$AX$7,$BB$7)</f>
        <v>1.25</v>
      </c>
      <c r="E7" s="499">
        <f t="shared" si="0"/>
        <v>4000.0000000000005</v>
      </c>
      <c r="F7" s="499" cm="1">
        <f t="array" ref="F7">CHOOSE(ROW()-ROW(Table1[#Headers]),IF($AH$21="By Length",$AH$22*$H$3,$AH$8),IF($AL$21="By Length",$AL$22*$H$4,$AL$8),IF($AP$21="By Length",$AP$22*$H$5,$AP$8),IF($AT$21="By Length",$AT$22*$H$6,$AT$8),IF($AX$21="By Length",$AX$22*$H$7,$AX$8),IF($BB$21="By Length",$BB$22*$H$8,$BB$8))</f>
        <v>4000</v>
      </c>
      <c r="G7" s="499" cm="1">
        <f t="array" ref="G7">CHOOSE(ROW()-ROW(Table1[#Headers]),$AH$9,$AL$9,$AP$9,$AT$9,$AX$9,$BB$9)</f>
        <v>394088.6699507389</v>
      </c>
      <c r="H7" s="507">
        <f t="shared" si="1"/>
        <v>1.0150000000000001E-2</v>
      </c>
      <c r="I7" s="499">
        <f t="shared" si="2"/>
        <v>4000</v>
      </c>
      <c r="J7" s="506">
        <v>510</v>
      </c>
      <c r="K7" s="511">
        <f>IFERROR((Table1[[#This Row],[Hourly rate]]*(Table1[[#This Row],[Total Kg Produced]]/500))/Table1[[#This Row],[Total Kg Produced]],0)+0.2</f>
        <v>1.22</v>
      </c>
      <c r="L7" s="512">
        <f>IFERROR(_xlfn.XLOOKUP(Table1[[#This Row],[Film Type]],Table3[Film],Table3[Price (€/kg)],0),0)</f>
        <v>5.3805880000000004</v>
      </c>
      <c r="M7" s="511">
        <f t="shared" si="3"/>
        <v>6.6005880000000001</v>
      </c>
      <c r="N7" s="492">
        <f>IF(OR(I7="",I7=0),"",VLOOKUP(I7,HELPER!$AM$2:$AN$6,2,TRUE))</f>
        <v>0.15</v>
      </c>
      <c r="O7" s="511">
        <f t="shared" si="4"/>
        <v>7.5906761999999999</v>
      </c>
      <c r="P7" s="511">
        <f>IF(AND(Table1[[#This Row],[Thickness (µ)]]&lt;&gt;"",Table1[[#This Row],[RM cost in 1 Kg]]&lt;&gt;""), VLOOKUP(Table1[[#This Row],[Thickness (µ)]], HELPER!$BH$3:$BI$5, 2, TRUE) * Table1[[#This Row],[RM cost in 1 Kg]], "")</f>
        <v>0.40354410000000002</v>
      </c>
      <c r="Q7" s="512">
        <v>0.3</v>
      </c>
      <c r="R7" s="518" t="str" cm="1">
        <f t="array" ref="R7">CHOOSE(ROW()-ROW(Table1[#Headers]),$AH$13,$AL$13,$AP$13,$AT$13,$AX$13,$BB$13)</f>
        <v>Bastin</v>
      </c>
      <c r="S7" s="518" cm="1">
        <f t="array" ref="S7">IF(OR($AH$13="",$AH$12=0,$AH$12="0",$AH$11="Not Printed"),0,IF($AH$5&gt;1220,"Error! please choose width not higher than 1220",_xlfn.LET(_xlpm.len,$AH$9,_xlpm.colors,$AH$12,_xlpm.colNum,IF(_xlpm.len&lt;3000,1,IF(_xlpm.len&lt;10000,2,IF(_xlpm.len&lt;25000,3,IF(_xlpm.len&lt;50000,4,IF(_xlpm.len&lt;100000,5,IF(_xlpm.len&lt;250000,6,IF(_xlpm.len&lt;500000,7,8))))))),_xlpm.widthRow,IF($AH$5&lt;=990,0,5),_xlpm.colorOffset,IF(OR(_xlpm.colors=1,_xlpm.colors=2,_xlpm.colors="1-2"),1,IF(OR(_xlpm.colors=3,_xlpm.colors=4,_xlpm.colors="3-4"),2,IF(OR(_xlpm.colors&gt;=5,_xlpm.colors="5-6",_xlpm.colors="5-8"),3,0))),_xlpm.supplierRow,IF($AH$13="Marma",3,IF($AH$13="Bastin",13,0)),IF(OR(_xlpm.supplierRow=0,_xlpm.colorOffset=0),0,INDEX('Lmntn &amp; Prntng- Marma &amp; Bastin '!$D:$K,_xlpm.supplierRow+_xlpm.widthRow+_xlpm.colorOffset,_xlpm.colNum)))))</f>
        <v>0</v>
      </c>
      <c r="T7" s="518">
        <f>IFERROR(Table1[[#This Row],[Printing]]*Table1[[#This Row],[Length (Mr)]]/Table1[[#This Row],[Weight Override]],0)</f>
        <v>0</v>
      </c>
      <c r="U7" s="518">
        <f>IF(Table1[[#This Row],[Printing]]&gt;0,Table1[[#This Row],[RM cost in 1 Kg]]*0.028,0)</f>
        <v>0</v>
      </c>
      <c r="V7" s="511">
        <f>IF(Table1[[#This Row],[RM cost in 1 Kg]]&gt;0,((1500+3000)/30000),0)</f>
        <v>0.15</v>
      </c>
      <c r="W7" s="521">
        <f>IF(AND(Table1[[#This Row],[Weight Override]]&gt;0,ISNUMBER(SEARCH("W",Table1[[#This Row],[Film Type]]))),1500/Table1[[#This Row],[Weight Override]],0)</f>
        <v>0</v>
      </c>
      <c r="X7" s="493" t="str" cm="1">
        <f t="array" ref="X7">CHOOSE(ROW()-ROW(Table1[#Headers]),$AH$10,$AL$10,$AP$10,$AT$10,$AX$10,$BB$10)</f>
        <v>Europe to Europe</v>
      </c>
      <c r="Y7" s="512">
        <f>IFERROR(IF(X7="Europe to Canada",IF(I7&lt;1000,(I7/1000)*VLOOKUP(1000,HELPER!$AG$4:$AH$8,2,FALSE)/I7,VLOOKUP(I7,HELPER!$AG$4:$AH$8,2,TRUE)/I7),VLOOKUP(X7,HELPER!$AF$2:$AH$3,3,FALSE)),0)</f>
        <v>0.2</v>
      </c>
      <c r="Z7" s="524">
        <f>IFERROR((Table1[[#This Row],[Total Cost and depreciation]]+Table1[[#This Row],[Thickness waste]]+Table1[[#This Row],[Other costs]]+Table1[[#This Row],[Setup]]+Table1[[#This Row],[Setup for colored Films]]+Table1[[#This Row],[Shiping cost]]+Table1[[#This Row],[Printing Waste]]+Table1[[#This Row],[Printing per KG]]),0)</f>
        <v>8.6442203000000006</v>
      </c>
      <c r="AA7" s="525" cm="1">
        <f t="array" ref="AA7">Table1[[#This Row],[Total Cost]]/(1-CHOOSE(ROW()-ROW(Table1[#Headers]),$AH$2,$AL$2,$AP$2,$AT$2,$AX$2,$BB$2))-Table1[[#This Row],[Total Cost]]</f>
        <v>2.8814067666666663</v>
      </c>
      <c r="AB7" s="526" cm="1">
        <f t="array" ref="AB7">Table1[[#This Row],[Total Cost]]/(1-CHOOSE(ROW()-ROW(Table1[#Headers]),$AH$2,$AL$2,$AP$2,$AT$2,$AX$2,$BB$2))</f>
        <v>11.525627066666667</v>
      </c>
      <c r="AC7" s="850">
        <f>Table1[[#This Row],[Total Cost and depreciation]]+Table1[[#This Row],[Thickness waste]]+Table1[[#This Row],[Other costs]]</f>
        <v>8.294220300000001</v>
      </c>
      <c r="AG7" s="242" t="s">
        <v>513</v>
      </c>
      <c r="AH7" s="246">
        <v>1.25</v>
      </c>
      <c r="AI7" s="274" t="s">
        <v>514</v>
      </c>
      <c r="AK7" s="242" t="s">
        <v>513</v>
      </c>
      <c r="AL7" s="246">
        <v>1.25</v>
      </c>
      <c r="AM7" s="251" t="s">
        <v>514</v>
      </c>
      <c r="AO7" s="242" t="s">
        <v>513</v>
      </c>
      <c r="AP7" s="246">
        <v>1.25</v>
      </c>
      <c r="AQ7" s="251" t="s">
        <v>514</v>
      </c>
      <c r="AS7" s="242" t="s">
        <v>513</v>
      </c>
      <c r="AT7" s="246">
        <v>1.25</v>
      </c>
      <c r="AU7" s="251" t="s">
        <v>514</v>
      </c>
      <c r="AW7" s="242" t="s">
        <v>513</v>
      </c>
      <c r="AX7" s="246">
        <v>1.25</v>
      </c>
      <c r="AY7" s="251" t="s">
        <v>514</v>
      </c>
      <c r="BA7" s="242" t="s">
        <v>513</v>
      </c>
      <c r="BB7" s="246">
        <v>1.25</v>
      </c>
      <c r="BC7" s="251" t="s">
        <v>514</v>
      </c>
    </row>
    <row r="8" spans="1:58">
      <c r="A8" s="497" t="str" cm="1">
        <f t="array" ref="A8">CHOOSE(ROW()-ROW(Table1[#Headers]),$AH$4,$AL$4,$AP$4,$AT$4,$AX$4,$BB$4)</f>
        <v>TIPA 312MFGW</v>
      </c>
      <c r="B8" s="501" cm="1">
        <f t="array" ref="B8">CHOOSE(ROW()-ROW(Table1[#Headers]),$AH$5,$AL$5,$AP$5,$AT$5,$AX$5,$BB$5)</f>
        <v>406</v>
      </c>
      <c r="C8" s="501" cm="1">
        <f t="array" ref="C8">CHOOSE(ROW()-ROW(Table1[#Headers]),$AH$6,$AL$6,$AP$6,$AT$6,$AX$6,$BB$6)</f>
        <v>20</v>
      </c>
      <c r="D8" s="504" cm="1">
        <f t="array" ref="D8">CHOOSE(ROW()-ROW(Table1[#Headers]),$AH$7,$AL$7,$AP$7,$AT$7,$AX$7,$BB$7)</f>
        <v>1.25</v>
      </c>
      <c r="E8" s="501">
        <f t="shared" si="0"/>
        <v>5000</v>
      </c>
      <c r="F8" s="501" cm="1">
        <f t="array" ref="F8">CHOOSE(ROW()-ROW(Table1[#Headers]),IF($AH$21="By Length",$AH$22*$H$3,$AH$8),IF($AL$21="By Length",$AL$22*$H$4,$AL$8),IF($AP$21="By Length",$AP$22*$H$5,$AP$8),IF($AT$21="By Length",$AT$22*$H$6,$AT$8),IF($AX$21="By Length",$AX$22*$H$7,$AX$8),IF($BB$21="By Length",$BB$22*$H$8,$BB$8))</f>
        <v>5000</v>
      </c>
      <c r="G8" s="501" cm="1">
        <f t="array" ref="G8">CHOOSE(ROW()-ROW(Table1[#Headers]),$AH$9,$AL$9,$AP$9,$AT$9,$AX$9,$BB$9)</f>
        <v>492610.83743842359</v>
      </c>
      <c r="H8" s="509">
        <f t="shared" si="1"/>
        <v>1.0150000000000001E-2</v>
      </c>
      <c r="I8" s="501">
        <f t="shared" si="2"/>
        <v>5000</v>
      </c>
      <c r="J8" s="510">
        <v>510</v>
      </c>
      <c r="K8" s="515">
        <f>IFERROR((Table1[[#This Row],[Hourly rate]]*(Table1[[#This Row],[Total Kg Produced]]/500))/Table1[[#This Row],[Total Kg Produced]],0)+0.2</f>
        <v>1.22</v>
      </c>
      <c r="L8" s="516">
        <f>IFERROR(_xlfn.XLOOKUP(Table1[[#This Row],[Film Type]],Table3[Film],Table3[Price (€/kg)],0),0)</f>
        <v>5.3805880000000004</v>
      </c>
      <c r="M8" s="515">
        <f t="shared" si="3"/>
        <v>6.6005880000000001</v>
      </c>
      <c r="N8" s="517">
        <f>IF(OR(I8="",I8=0),"",VLOOKUP(I8,HELPER!$AM$2:$AN$6,2,TRUE))</f>
        <v>0.15</v>
      </c>
      <c r="O8" s="515">
        <f t="shared" si="4"/>
        <v>7.5906761999999999</v>
      </c>
      <c r="P8" s="515">
        <f>IF(AND(Table1[[#This Row],[Thickness (µ)]]&lt;&gt;"",Table1[[#This Row],[RM cost in 1 Kg]]&lt;&gt;""), VLOOKUP(Table1[[#This Row],[Thickness (µ)]], HELPER!$BH$3:$BI$5, 2, TRUE) * Table1[[#This Row],[RM cost in 1 Kg]], "")</f>
        <v>0.40354410000000002</v>
      </c>
      <c r="Q8" s="516">
        <v>0.3</v>
      </c>
      <c r="R8" s="522" t="str" cm="1">
        <f t="array" ref="R8">CHOOSE(ROW()-ROW(Table1[#Headers]),$AH$13,$AL$13,$AP$13,$AT$13,$AX$13,$BB$13)</f>
        <v>Bastin</v>
      </c>
      <c r="S8" s="522" cm="1">
        <f t="array" ref="S8">IF(OR($AH$13="",$AH$12=0,$AH$12="0",$AH$11="Not Printed"),0,IF($AH$5&gt;1220,"Error! please choose width not higher than 1220",_xlfn.LET(_xlpm.len,$AH$9,_xlpm.colors,$AH$12,_xlpm.colNum,IF(_xlpm.len&lt;3000,1,IF(_xlpm.len&lt;10000,2,IF(_xlpm.len&lt;25000,3,IF(_xlpm.len&lt;50000,4,IF(_xlpm.len&lt;100000,5,IF(_xlpm.len&lt;250000,6,IF(_xlpm.len&lt;500000,7,8))))))),_xlpm.widthRow,IF($AH$5&lt;=990,0,5),_xlpm.colorOffset,IF(OR(_xlpm.colors=1,_xlpm.colors=2,_xlpm.colors="1-2"),1,IF(OR(_xlpm.colors=3,_xlpm.colors=4,_xlpm.colors="3-4"),2,IF(OR(_xlpm.colors&gt;=5,_xlpm.colors="5-6",_xlpm.colors="5-8"),3,0))),_xlpm.supplierRow,IF($AH$13="Marma",3,IF($AH$13="Bastin",13,0)),IF(OR(_xlpm.supplierRow=0,_xlpm.colorOffset=0),0,INDEX('Lmntn &amp; Prntng- Marma &amp; Bastin '!$D:$K,_xlpm.supplierRow+_xlpm.widthRow+_xlpm.colorOffset,_xlpm.colNum)))))</f>
        <v>0</v>
      </c>
      <c r="T8" s="522">
        <f>IFERROR(Table1[[#This Row],[Printing]]*Table1[[#This Row],[Length (Mr)]]/Table1[[#This Row],[Weight Override]],0)</f>
        <v>0</v>
      </c>
      <c r="U8" s="522">
        <f>IF(Table1[[#This Row],[Printing]]&gt;0,Table1[[#This Row],[RM cost in 1 Kg]]*0.028,0)</f>
        <v>0</v>
      </c>
      <c r="V8" s="515">
        <f>IF(Table1[[#This Row],[RM cost in 1 Kg]]&gt;0,((1500+3000)/30000),0)</f>
        <v>0.15</v>
      </c>
      <c r="W8" s="523">
        <f>IF(AND(Table1[[#This Row],[Weight Override]]&gt;0,ISNUMBER(SEARCH("W",Table1[[#This Row],[Film Type]]))),1500/Table1[[#This Row],[Weight Override]],0)</f>
        <v>0.3</v>
      </c>
      <c r="X8" s="498" t="str" cm="1">
        <f t="array" ref="X8">CHOOSE(ROW()-ROW(Table1[#Headers]),$AH$10,$AL$10,$AP$10,$AT$10,$AX$10,$BB$10)</f>
        <v>Europe to Europe</v>
      </c>
      <c r="Y8" s="516">
        <f>IFERROR(IF(X8="Europe to Canada",IF(I8&lt;1000,(I8/1000)*VLOOKUP(1000,HELPER!$AG$4:$AH$8,2,FALSE)/I8,VLOOKUP(I8,HELPER!$AG$4:$AH$8,2,TRUE)/I8),VLOOKUP(X8,HELPER!$AF$2:$AH$3,3,FALSE)),0)</f>
        <v>0.2</v>
      </c>
      <c r="Z8" s="530">
        <f>IFERROR((Table1[[#This Row],[Total Cost and depreciation]]+Table1[[#This Row],[Thickness waste]]+Table1[[#This Row],[Other costs]]+Table1[[#This Row],[Setup]]+Table1[[#This Row],[Setup for colored Films]]+Table1[[#This Row],[Shiping cost]]+Table1[[#This Row],[Printing Waste]]+Table1[[#This Row],[Printing per KG]]),0)</f>
        <v>8.9442203000000013</v>
      </c>
      <c r="AA8" s="531" cm="1">
        <f t="array" ref="AA8">Table1[[#This Row],[Total Cost]]/(1-CHOOSE(ROW()-ROW(Table1[#Headers]),$AH$2,$AL$2,$AP$2,$AT$2,$AX$2,$BB$2))-Table1[[#This Row],[Total Cost]]</f>
        <v>2.9814067666666677</v>
      </c>
      <c r="AB8" s="532" cm="1">
        <f t="array" ref="AB8">Table1[[#This Row],[Total Cost]]/(1-CHOOSE(ROW()-ROW(Table1[#Headers]),$AH$2,$AL$2,$AP$2,$AT$2,$AX$2,$BB$2))</f>
        <v>11.925627066666669</v>
      </c>
      <c r="AC8" s="850">
        <f>Table1[[#This Row],[Total Cost and depreciation]]+Table1[[#This Row],[Thickness waste]]+Table1[[#This Row],[Other costs]]</f>
        <v>8.294220300000001</v>
      </c>
      <c r="AG8" s="242" t="s">
        <v>515</v>
      </c>
      <c r="AH8" s="246">
        <v>300</v>
      </c>
      <c r="AI8" s="251" t="s">
        <v>225</v>
      </c>
      <c r="AK8" s="242" t="s">
        <v>515</v>
      </c>
      <c r="AL8" s="246">
        <v>3000</v>
      </c>
      <c r="AM8" s="251" t="s">
        <v>225</v>
      </c>
      <c r="AO8" s="242" t="s">
        <v>515</v>
      </c>
      <c r="AP8" s="246">
        <v>138000</v>
      </c>
      <c r="AQ8" s="251" t="s">
        <v>225</v>
      </c>
      <c r="AS8" s="242" t="s">
        <v>515</v>
      </c>
      <c r="AT8" s="246">
        <v>3000</v>
      </c>
      <c r="AU8" s="251" t="s">
        <v>225</v>
      </c>
      <c r="AW8" s="242" t="s">
        <v>515</v>
      </c>
      <c r="AX8" s="246">
        <v>4000</v>
      </c>
      <c r="AY8" s="251" t="s">
        <v>225</v>
      </c>
      <c r="BA8" s="242" t="s">
        <v>515</v>
      </c>
      <c r="BB8" s="246">
        <v>5000</v>
      </c>
      <c r="BC8" s="251" t="s">
        <v>225</v>
      </c>
    </row>
    <row r="9" spans="1:58">
      <c r="A9" s="189"/>
      <c r="B9" s="189"/>
      <c r="C9" s="189"/>
      <c r="D9" s="189"/>
      <c r="E9" s="189"/>
      <c r="F9" s="189"/>
      <c r="G9" s="189"/>
      <c r="H9" s="189"/>
      <c r="I9" s="189"/>
      <c r="J9" s="9"/>
      <c r="L9" s="8"/>
      <c r="M9" s="66"/>
      <c r="N9" s="5"/>
      <c r="O9" s="66"/>
      <c r="AC9" s="189"/>
      <c r="AG9" s="242" t="s">
        <v>516</v>
      </c>
      <c r="AH9" s="247">
        <f>IF(AH21="By Length", IF(AH22="",0,AH22), IFERROR(AH8/H3,0))</f>
        <v>12631.578947368422</v>
      </c>
      <c r="AI9" s="251" t="s">
        <v>517</v>
      </c>
      <c r="AK9" s="242" t="s">
        <v>516</v>
      </c>
      <c r="AL9" s="247">
        <f>IF(AL21="By Length", IF(AL22="",0,AL22), IFERROR(AL8/H4,0))</f>
        <v>77669.902912621357</v>
      </c>
      <c r="AM9" s="251" t="s">
        <v>517</v>
      </c>
      <c r="AO9" s="242" t="s">
        <v>516</v>
      </c>
      <c r="AP9" s="247">
        <f>IF(AP21="By Length", IF(AP22="",0,AP22), IFERROR(AP8/H5,0))</f>
        <v>3572815.5339805824</v>
      </c>
      <c r="AQ9" s="251" t="s">
        <v>517</v>
      </c>
      <c r="AS9" s="242" t="s">
        <v>516</v>
      </c>
      <c r="AT9" s="247">
        <f>IF(AT21="By Length", IF(AT22="",0,AT22), IFERROR(AT8/H6,0))</f>
        <v>295566.50246305414</v>
      </c>
      <c r="AU9" s="251" t="s">
        <v>517</v>
      </c>
      <c r="AW9" s="242" t="s">
        <v>516</v>
      </c>
      <c r="AX9" s="247">
        <f>IF(AX21="By Length", IF(AX22="",0,AX22), IFERROR(AX8/H7,0))</f>
        <v>394088.6699507389</v>
      </c>
      <c r="AY9" s="251" t="s">
        <v>517</v>
      </c>
      <c r="BA9" s="242" t="s">
        <v>516</v>
      </c>
      <c r="BB9" s="247">
        <f>IF(BB21="By Length", IF(BB22="",0,BB22), IFERROR(BB8/H8,0))</f>
        <v>492610.83743842359</v>
      </c>
      <c r="BC9" s="251" t="s">
        <v>517</v>
      </c>
    </row>
    <row r="10" spans="1:58">
      <c r="A10" s="189"/>
      <c r="B10" s="189"/>
      <c r="C10" s="189"/>
      <c r="D10" s="189"/>
      <c r="E10" s="189"/>
      <c r="F10" s="189"/>
      <c r="G10" s="189"/>
      <c r="H10" s="189"/>
      <c r="I10" s="189"/>
      <c r="J10" s="9"/>
      <c r="L10" s="8"/>
      <c r="M10" s="66"/>
      <c r="N10" s="5"/>
      <c r="O10" s="66"/>
      <c r="AG10" s="243" t="s">
        <v>519</v>
      </c>
      <c r="AH10" s="248" t="s">
        <v>572</v>
      </c>
      <c r="AI10" s="251"/>
      <c r="AK10" s="243" t="s">
        <v>519</v>
      </c>
      <c r="AL10" s="248" t="s">
        <v>572</v>
      </c>
      <c r="AM10" s="251"/>
      <c r="AO10" s="243" t="s">
        <v>519</v>
      </c>
      <c r="AP10" s="248" t="s">
        <v>572</v>
      </c>
      <c r="AQ10" s="251"/>
      <c r="AS10" s="243" t="s">
        <v>519</v>
      </c>
      <c r="AT10" s="248" t="s">
        <v>572</v>
      </c>
      <c r="AU10" s="251"/>
      <c r="AW10" s="243" t="s">
        <v>519</v>
      </c>
      <c r="AX10" s="248" t="s">
        <v>572</v>
      </c>
      <c r="AY10" s="251"/>
      <c r="BA10" s="243" t="s">
        <v>519</v>
      </c>
      <c r="BB10" s="248" t="s">
        <v>572</v>
      </c>
      <c r="BC10" s="252"/>
    </row>
    <row r="11" spans="1:58">
      <c r="A11" s="189"/>
      <c r="B11" s="189"/>
      <c r="C11" s="189"/>
      <c r="D11" s="189"/>
      <c r="E11" s="189"/>
      <c r="F11" s="189"/>
      <c r="G11" s="189"/>
      <c r="H11" s="189"/>
      <c r="I11" s="8"/>
      <c r="J11" s="9"/>
      <c r="L11" s="8"/>
      <c r="M11" s="66"/>
      <c r="N11" s="5"/>
      <c r="O11" s="66"/>
      <c r="AG11" s="242" t="s">
        <v>598</v>
      </c>
      <c r="AH11" s="246" t="s">
        <v>139</v>
      </c>
      <c r="AI11" s="251"/>
      <c r="AK11" s="242" t="s">
        <v>598</v>
      </c>
      <c r="AL11" s="246" t="s">
        <v>139</v>
      </c>
      <c r="AM11" s="251"/>
      <c r="AO11" s="242" t="s">
        <v>598</v>
      </c>
      <c r="AP11" s="246" t="s">
        <v>139</v>
      </c>
      <c r="AQ11" s="251"/>
      <c r="AS11" s="242" t="s">
        <v>598</v>
      </c>
      <c r="AT11" s="246" t="s">
        <v>138</v>
      </c>
      <c r="AU11" s="251"/>
      <c r="AW11" s="242" t="s">
        <v>598</v>
      </c>
      <c r="AX11" s="246" t="s">
        <v>139</v>
      </c>
      <c r="AY11" s="251"/>
      <c r="BA11" s="244" t="s">
        <v>598</v>
      </c>
      <c r="BB11" s="245" t="s">
        <v>139</v>
      </c>
      <c r="BC11" s="253"/>
    </row>
    <row r="12" spans="1:58">
      <c r="A12" s="189"/>
      <c r="B12" s="189"/>
      <c r="C12" s="189"/>
      <c r="D12" s="189"/>
      <c r="E12" s="189"/>
      <c r="F12" s="189"/>
      <c r="G12" s="189"/>
      <c r="H12" s="189"/>
      <c r="I12" s="189"/>
      <c r="J12" s="9"/>
      <c r="L12" s="8"/>
      <c r="M12" s="66"/>
      <c r="N12" s="5"/>
      <c r="O12" s="66"/>
      <c r="AG12" s="242" t="s">
        <v>825</v>
      </c>
      <c r="AH12" s="266" t="s">
        <v>243</v>
      </c>
      <c r="AI12" s="251"/>
      <c r="AK12" s="242" t="s">
        <v>825</v>
      </c>
      <c r="AL12" s="266" t="s">
        <v>243</v>
      </c>
      <c r="AM12" s="251"/>
      <c r="AO12" s="242" t="s">
        <v>825</v>
      </c>
      <c r="AP12" s="266" t="s">
        <v>243</v>
      </c>
      <c r="AQ12" s="251"/>
      <c r="AS12" s="242" t="s">
        <v>825</v>
      </c>
      <c r="AT12" s="266" t="s">
        <v>619</v>
      </c>
      <c r="AU12" s="251"/>
      <c r="AW12" s="242" t="s">
        <v>825</v>
      </c>
      <c r="AX12" s="266" t="s">
        <v>243</v>
      </c>
      <c r="AY12" s="251"/>
      <c r="BA12" s="244" t="s">
        <v>825</v>
      </c>
      <c r="BB12" s="249" t="s">
        <v>243</v>
      </c>
      <c r="BC12" s="253"/>
    </row>
    <row r="13" spans="1:58">
      <c r="A13" s="189"/>
      <c r="B13" s="189"/>
      <c r="C13" s="189"/>
      <c r="D13" s="189"/>
      <c r="E13" s="189"/>
      <c r="F13" s="189"/>
      <c r="G13" s="189"/>
      <c r="H13" s="189"/>
      <c r="I13" s="189"/>
      <c r="J13" s="9"/>
      <c r="L13" s="8"/>
      <c r="M13" s="66"/>
      <c r="N13" s="5"/>
      <c r="O13" s="66"/>
      <c r="AG13" s="242" t="s">
        <v>600</v>
      </c>
      <c r="AH13" s="246" t="s">
        <v>272</v>
      </c>
      <c r="AI13" s="251"/>
      <c r="AK13" s="242" t="s">
        <v>600</v>
      </c>
      <c r="AL13" s="246" t="s">
        <v>272</v>
      </c>
      <c r="AM13" s="251"/>
      <c r="AO13" s="242" t="s">
        <v>600</v>
      </c>
      <c r="AP13" s="246" t="s">
        <v>272</v>
      </c>
      <c r="AQ13" s="251"/>
      <c r="AS13" s="242" t="s">
        <v>600</v>
      </c>
      <c r="AT13" s="246" t="s">
        <v>262</v>
      </c>
      <c r="AU13" s="251"/>
      <c r="AW13" s="242" t="s">
        <v>600</v>
      </c>
      <c r="AX13" s="246" t="s">
        <v>262</v>
      </c>
      <c r="AY13" s="251"/>
      <c r="BA13" s="244" t="s">
        <v>600</v>
      </c>
      <c r="BB13" s="264" t="s">
        <v>262</v>
      </c>
      <c r="BC13" s="253"/>
    </row>
    <row r="14" spans="1:58" ht="15.75">
      <c r="A14" s="189"/>
      <c r="B14" s="189"/>
      <c r="C14" s="189"/>
      <c r="D14" s="189"/>
      <c r="E14" s="189"/>
      <c r="F14" s="189"/>
      <c r="G14" s="189"/>
      <c r="H14" s="189"/>
      <c r="I14" s="189"/>
      <c r="J14" s="9"/>
      <c r="K14" s="265"/>
      <c r="L14" s="8"/>
      <c r="M14" s="66"/>
      <c r="N14" s="5"/>
      <c r="O14" s="66"/>
      <c r="AG14" s="254" t="s">
        <v>520</v>
      </c>
      <c r="AH14" s="938">
        <f>Z3</f>
        <v>9.3042791000000005</v>
      </c>
      <c r="AI14" s="939"/>
      <c r="AK14" s="254" t="s">
        <v>520</v>
      </c>
      <c r="AL14" s="938">
        <f>Z4</f>
        <v>8.7406761999999993</v>
      </c>
      <c r="AM14" s="939"/>
      <c r="AO14" s="254" t="s">
        <v>520</v>
      </c>
      <c r="AP14" s="938">
        <f>Z5</f>
        <v>8.0756615000000007</v>
      </c>
      <c r="AQ14" s="939"/>
      <c r="AS14" s="254" t="s">
        <v>520</v>
      </c>
      <c r="AT14" s="938">
        <f>Z6</f>
        <v>9.1442203000000006</v>
      </c>
      <c r="AU14" s="939"/>
      <c r="AW14" s="254" t="s">
        <v>520</v>
      </c>
      <c r="AX14" s="938">
        <f>Z7</f>
        <v>8.6442203000000006</v>
      </c>
      <c r="AY14" s="939"/>
      <c r="BA14" s="254" t="s">
        <v>520</v>
      </c>
      <c r="BB14" s="938">
        <f>IFERROR(Z8,0)</f>
        <v>8.9442203000000013</v>
      </c>
      <c r="BC14" s="939"/>
    </row>
    <row r="15" spans="1:58">
      <c r="A15" s="189"/>
      <c r="B15" s="189"/>
      <c r="C15" s="189"/>
      <c r="D15" s="189"/>
      <c r="E15" s="189"/>
      <c r="F15" s="189"/>
      <c r="G15" s="189"/>
      <c r="H15" s="189"/>
      <c r="I15" s="189"/>
      <c r="J15" s="9"/>
      <c r="L15" s="8"/>
      <c r="M15" s="66"/>
      <c r="N15" s="5"/>
      <c r="O15" s="66"/>
      <c r="AG15" s="935"/>
      <c r="AH15" s="936"/>
      <c r="AI15" s="937"/>
      <c r="AK15" s="935"/>
      <c r="AL15" s="936"/>
      <c r="AM15" s="937"/>
      <c r="AO15" s="935"/>
      <c r="AP15" s="936"/>
      <c r="AQ15" s="937"/>
      <c r="AS15" s="935"/>
      <c r="AT15" s="936"/>
      <c r="AU15" s="937"/>
      <c r="AW15" s="935"/>
      <c r="AX15" s="936"/>
      <c r="AY15" s="937"/>
      <c r="BA15" s="935"/>
      <c r="BB15" s="936"/>
      <c r="BC15" s="937"/>
    </row>
    <row r="16" spans="1:58">
      <c r="A16" s="189"/>
      <c r="B16" s="189"/>
      <c r="C16" s="189"/>
      <c r="D16" s="189"/>
      <c r="E16" s="189"/>
      <c r="F16" s="189"/>
      <c r="G16" s="189"/>
      <c r="H16" s="189"/>
      <c r="I16" s="189"/>
      <c r="J16" s="9"/>
      <c r="L16" s="8"/>
      <c r="M16" s="66"/>
      <c r="N16" s="5"/>
      <c r="O16" s="66"/>
      <c r="AG16" s="951" t="s">
        <v>521</v>
      </c>
      <c r="AH16" s="952"/>
      <c r="AI16" s="953"/>
      <c r="AK16" s="951" t="s">
        <v>521</v>
      </c>
      <c r="AL16" s="952"/>
      <c r="AM16" s="953"/>
      <c r="AO16" s="951" t="s">
        <v>521</v>
      </c>
      <c r="AP16" s="952"/>
      <c r="AQ16" s="953"/>
      <c r="AS16" s="951" t="s">
        <v>521</v>
      </c>
      <c r="AT16" s="952"/>
      <c r="AU16" s="953"/>
      <c r="AW16" s="951" t="s">
        <v>521</v>
      </c>
      <c r="AX16" s="952"/>
      <c r="AY16" s="953"/>
      <c r="BA16" s="951" t="s">
        <v>521</v>
      </c>
      <c r="BB16" s="952"/>
      <c r="BC16" s="953"/>
      <c r="BF16">
        <f>AG17*830</f>
        <v>9964.5827780645159</v>
      </c>
    </row>
    <row r="17" spans="1:58" ht="18.75">
      <c r="A17" s="189"/>
      <c r="B17" s="189"/>
      <c r="C17" s="189"/>
      <c r="D17" s="189"/>
      <c r="E17" s="189"/>
      <c r="F17" s="189"/>
      <c r="G17" s="189"/>
      <c r="H17" s="189"/>
      <c r="I17" s="189"/>
      <c r="J17" s="9"/>
      <c r="L17" s="8"/>
      <c r="AG17" s="954">
        <f>IFERROR(AH14/(1-AH2),0)</f>
        <v>12.005521419354839</v>
      </c>
      <c r="AH17" s="955"/>
      <c r="AI17" s="956"/>
      <c r="AK17" s="954">
        <f>IFERROR(AL14/(1-AL2),0)</f>
        <v>11.654234933333333</v>
      </c>
      <c r="AL17" s="955"/>
      <c r="AM17" s="956"/>
      <c r="AO17" s="954">
        <f>IFERROR(AP14/(1-AP2),0)</f>
        <v>10.094576875</v>
      </c>
      <c r="AP17" s="955"/>
      <c r="AQ17" s="956"/>
      <c r="AS17" s="954">
        <f>IFERROR(AB6,0)</f>
        <v>12.192293733333335</v>
      </c>
      <c r="AT17" s="955"/>
      <c r="AU17" s="956"/>
      <c r="AW17" s="954">
        <f>IFERROR(AB7,0)</f>
        <v>11.525627066666667</v>
      </c>
      <c r="AX17" s="955"/>
      <c r="AY17" s="956"/>
      <c r="BA17" s="954">
        <f>IFERROR(AB8,0)</f>
        <v>11.925627066666669</v>
      </c>
      <c r="BB17" s="955"/>
      <c r="BC17" s="956"/>
      <c r="BF17">
        <f>AK17*3000</f>
        <v>34962.7048</v>
      </c>
    </row>
    <row r="18" spans="1:58" ht="15.75" thickBot="1">
      <c r="A18" s="189"/>
      <c r="B18" s="189"/>
      <c r="C18" s="189"/>
      <c r="D18" s="189"/>
      <c r="E18" s="189"/>
      <c r="F18" s="189"/>
      <c r="G18" s="189"/>
      <c r="H18" s="189"/>
      <c r="I18" s="189"/>
      <c r="L18" s="8"/>
      <c r="AG18" s="957"/>
      <c r="AH18" s="958"/>
      <c r="AI18" s="959"/>
      <c r="AK18" s="957"/>
      <c r="AL18" s="958"/>
      <c r="AM18" s="959"/>
      <c r="AO18" s="957"/>
      <c r="AP18" s="958"/>
      <c r="AQ18" s="959"/>
      <c r="AS18" s="957"/>
      <c r="AT18" s="958"/>
      <c r="AU18" s="959"/>
      <c r="AW18" s="957"/>
      <c r="AX18" s="958"/>
      <c r="AY18" s="959"/>
      <c r="BA18" s="957"/>
      <c r="BB18" s="958"/>
      <c r="BC18" s="959"/>
      <c r="BF18">
        <f>AO17*138000</f>
        <v>1393051.6087499999</v>
      </c>
    </row>
    <row r="19" spans="1:58">
      <c r="A19" s="189"/>
      <c r="B19" s="189"/>
      <c r="C19" s="189"/>
      <c r="D19" s="189"/>
      <c r="E19" s="189"/>
      <c r="F19" s="189"/>
      <c r="G19" s="189"/>
      <c r="H19" s="189"/>
      <c r="I19" s="189"/>
      <c r="L19" s="8"/>
      <c r="AG19" s="255" t="s">
        <v>569</v>
      </c>
      <c r="AH19" s="256">
        <f>AG17*HELPER!$AK$2</f>
        <v>13.926404846451613</v>
      </c>
      <c r="AI19" s="257" t="s">
        <v>292</v>
      </c>
      <c r="AK19" s="255" t="s">
        <v>569</v>
      </c>
      <c r="AL19" s="256">
        <f>AK17*HELPER!$AK$2</f>
        <v>13.518912522666666</v>
      </c>
      <c r="AM19" s="257" t="s">
        <v>292</v>
      </c>
      <c r="AO19" s="255" t="s">
        <v>569</v>
      </c>
      <c r="AP19" s="256">
        <f>AO17*HELPER!$AK$2</f>
        <v>11.709709174999999</v>
      </c>
      <c r="AQ19" s="257" t="s">
        <v>292</v>
      </c>
      <c r="AS19" s="255" t="s">
        <v>569</v>
      </c>
      <c r="AT19" s="256">
        <f>AS17*HELPER!$AK$2</f>
        <v>14.143060730666667</v>
      </c>
      <c r="AU19" s="257" t="s">
        <v>292</v>
      </c>
      <c r="AW19" s="255" t="s">
        <v>569</v>
      </c>
      <c r="AX19" s="256">
        <f>AW17*HELPER!$AK$2</f>
        <v>13.369727397333333</v>
      </c>
      <c r="AY19" s="257" t="s">
        <v>292</v>
      </c>
      <c r="BA19" s="255" t="s">
        <v>569</v>
      </c>
      <c r="BB19" s="256">
        <f>BA17*HELPER!$AK$2</f>
        <v>13.833727397333336</v>
      </c>
      <c r="BC19" s="257" t="s">
        <v>292</v>
      </c>
    </row>
    <row r="20" spans="1:58" outlineLevel="1">
      <c r="A20" s="189"/>
      <c r="B20" s="189"/>
      <c r="C20" s="189"/>
      <c r="D20" s="189"/>
      <c r="E20" s="189"/>
      <c r="F20" s="189"/>
      <c r="G20" s="189"/>
      <c r="H20" s="189"/>
      <c r="I20" s="189"/>
      <c r="J20" s="4"/>
      <c r="K20" s="4"/>
      <c r="L20" s="4"/>
      <c r="AG20" s="258" t="s">
        <v>1303</v>
      </c>
      <c r="AH20" s="856">
        <v>750</v>
      </c>
      <c r="AI20" s="857" t="s">
        <v>225</v>
      </c>
      <c r="AK20" s="258" t="s">
        <v>1303</v>
      </c>
      <c r="AL20" s="856">
        <v>750</v>
      </c>
      <c r="AM20" s="857" t="s">
        <v>225</v>
      </c>
      <c r="AO20" s="258" t="s">
        <v>1303</v>
      </c>
      <c r="AP20" s="856">
        <v>750</v>
      </c>
      <c r="AQ20" s="857" t="s">
        <v>225</v>
      </c>
      <c r="AS20" s="258" t="s">
        <v>1303</v>
      </c>
      <c r="AT20" s="856">
        <v>750</v>
      </c>
      <c r="AU20" s="857" t="s">
        <v>225</v>
      </c>
      <c r="AW20" s="258" t="s">
        <v>1303</v>
      </c>
      <c r="AX20" s="856">
        <v>750</v>
      </c>
      <c r="AY20" s="857" t="s">
        <v>225</v>
      </c>
      <c r="BA20" s="258" t="s">
        <v>1303</v>
      </c>
      <c r="BB20" s="856">
        <v>750</v>
      </c>
      <c r="BC20" s="857" t="s">
        <v>225</v>
      </c>
    </row>
    <row r="21" spans="1:58">
      <c r="A21" s="189"/>
      <c r="B21" s="189"/>
      <c r="C21" s="189"/>
      <c r="D21" s="189"/>
      <c r="E21" s="189"/>
      <c r="F21" s="189"/>
      <c r="G21" s="189"/>
      <c r="H21" s="189"/>
      <c r="I21" s="189"/>
      <c r="J21" s="4"/>
      <c r="K21" s="4"/>
      <c r="L21" s="4"/>
      <c r="AG21" s="258" t="s">
        <v>589</v>
      </c>
      <c r="AH21" s="260" t="s">
        <v>584</v>
      </c>
      <c r="AI21" s="261"/>
      <c r="AK21" s="258" t="s">
        <v>589</v>
      </c>
      <c r="AL21" s="260" t="s">
        <v>584</v>
      </c>
      <c r="AM21" s="261"/>
      <c r="AO21" s="258" t="s">
        <v>589</v>
      </c>
      <c r="AP21" s="260" t="s">
        <v>584</v>
      </c>
      <c r="AQ21" s="261"/>
      <c r="AS21" s="258" t="s">
        <v>589</v>
      </c>
      <c r="AT21" s="260" t="s">
        <v>584</v>
      </c>
      <c r="AU21" s="261"/>
      <c r="AW21" s="258" t="s">
        <v>589</v>
      </c>
      <c r="AX21" s="260" t="s">
        <v>584</v>
      </c>
      <c r="AY21" s="261"/>
      <c r="BA21" s="258" t="s">
        <v>589</v>
      </c>
      <c r="BB21" s="260" t="s">
        <v>584</v>
      </c>
      <c r="BC21" s="261"/>
    </row>
    <row r="22" spans="1:58">
      <c r="A22" s="4"/>
      <c r="B22" s="4"/>
      <c r="C22" s="4"/>
      <c r="D22" s="4"/>
      <c r="E22" s="4"/>
      <c r="F22" s="4"/>
      <c r="G22" s="4"/>
      <c r="J22" s="4"/>
      <c r="K22" s="4"/>
      <c r="L22" s="4"/>
      <c r="AG22" s="259" t="s">
        <v>588</v>
      </c>
      <c r="AH22" s="262">
        <v>900</v>
      </c>
      <c r="AI22" s="263" t="s">
        <v>517</v>
      </c>
      <c r="AK22" s="259" t="s">
        <v>588</v>
      </c>
      <c r="AL22" s="262"/>
      <c r="AM22" s="263" t="s">
        <v>517</v>
      </c>
      <c r="AO22" s="259" t="s">
        <v>588</v>
      </c>
      <c r="AP22" s="262"/>
      <c r="AQ22" s="263" t="s">
        <v>517</v>
      </c>
      <c r="AS22" s="259" t="s">
        <v>588</v>
      </c>
      <c r="AT22" s="262"/>
      <c r="AU22" s="263" t="s">
        <v>517</v>
      </c>
      <c r="AW22" s="259" t="s">
        <v>588</v>
      </c>
      <c r="AX22" s="262"/>
      <c r="AY22" s="263" t="s">
        <v>517</v>
      </c>
      <c r="BA22" s="259" t="s">
        <v>588</v>
      </c>
      <c r="BB22" s="262"/>
      <c r="BC22" s="263" t="s">
        <v>517</v>
      </c>
    </row>
    <row r="23" spans="1:58">
      <c r="A23" s="4"/>
      <c r="B23" s="4"/>
      <c r="C23" s="4"/>
      <c r="D23" s="4"/>
      <c r="E23" s="4"/>
      <c r="F23" s="4"/>
      <c r="G23" s="4"/>
      <c r="J23" s="4"/>
      <c r="K23" s="4"/>
      <c r="L23" s="4"/>
      <c r="AG23" s="218">
        <f>IF(AND(AH21="By Weight", AH5&gt;HELPER!$BN$2), HELPER!$BO$2, "")</f>
        <v>0</v>
      </c>
      <c r="AH23" s="219"/>
      <c r="AI23" s="220"/>
      <c r="AK23" s="948">
        <f>IF(AND(AL21="By Weight", AL5&gt;HELPER!$BN$2), HELPER!$BO$2, "")</f>
        <v>0</v>
      </c>
      <c r="AL23" s="949"/>
      <c r="AM23" s="950"/>
      <c r="AO23" s="948">
        <f>IF(AND(AP21="By Weight", AP5&gt;HELPER!$BN$2), HELPER!$BO$2, "")</f>
        <v>0</v>
      </c>
      <c r="AP23" s="949"/>
      <c r="AQ23" s="950"/>
      <c r="AS23" s="948">
        <f>IF(AND(AT21="By Weight", AT5&gt;HELPER!$BN$2), HELPER!$BO$2, "")</f>
        <v>0</v>
      </c>
      <c r="AT23" s="949"/>
      <c r="AU23" s="950"/>
      <c r="AW23" s="948">
        <f>IF(AND(AX21="By Weight", AX5&gt;HELPER!$BN$2), HELPER!$BO$2, "")</f>
        <v>0</v>
      </c>
      <c r="AX23" s="949"/>
      <c r="AY23" s="950"/>
      <c r="BA23" s="948">
        <f>IF(AND(BB21="By Weight", BB5&gt;HELPER!$BN$2), HELPER!$BO$2, "")</f>
        <v>0</v>
      </c>
      <c r="BB23" s="949"/>
      <c r="BC23" s="950"/>
    </row>
    <row r="24" spans="1:58" ht="18" customHeight="1">
      <c r="A24" s="4"/>
      <c r="B24" s="4"/>
      <c r="C24" s="4"/>
      <c r="D24" s="4"/>
      <c r="E24" s="4"/>
      <c r="F24" s="4"/>
      <c r="G24" s="4"/>
      <c r="J24" s="4"/>
      <c r="K24" s="4"/>
      <c r="L24" s="4"/>
      <c r="AD24" s="4"/>
      <c r="AE24" s="4"/>
      <c r="AF24" s="4"/>
      <c r="AG24" s="862" t="s">
        <v>1316</v>
      </c>
      <c r="AH24" s="960" t="str">
        <f>IF(IF(AH21="By Length",IF(AH22="",0,AH22*$H$3),AH8)&lt;AH20,"under MOQ","fine from MOQ perspective")</f>
        <v>under MOQ</v>
      </c>
      <c r="AI24" s="961"/>
      <c r="AJ24" s="863"/>
      <c r="AK24" s="862" t="s">
        <v>1316</v>
      </c>
      <c r="AL24" s="960" t="str">
        <f>IF(IF(AL21="By Length",IF(AL22="",0,AL22*$H$4),AL8)&lt;AL20,"under MOQ","fine from MOQ perspective")</f>
        <v>fine from MOQ perspective</v>
      </c>
      <c r="AM24" s="961"/>
      <c r="AN24" s="864"/>
      <c r="AO24" s="862" t="s">
        <v>1316</v>
      </c>
      <c r="AP24" s="960" t="str">
        <f>IF(IF(AP21="By Length",IF(AP22="",0,AP22*$H$5),AP8)&lt;AP20,"under MOQ","fine from MOQ perspective")</f>
        <v>fine from MOQ perspective</v>
      </c>
      <c r="AQ24" s="961"/>
      <c r="AR24" s="864"/>
      <c r="AS24" s="862" t="s">
        <v>1316</v>
      </c>
      <c r="AT24" s="960" t="str">
        <f>IF(IF(AT21="By Length",IF(AT22="",0,AT22*$H$6),AT8)&lt;AT20,"under MOQ","fine from MOQ perspective")</f>
        <v>fine from MOQ perspective</v>
      </c>
      <c r="AU24" s="961"/>
      <c r="AV24" s="864"/>
      <c r="AW24" s="862" t="s">
        <v>1316</v>
      </c>
      <c r="AX24" s="960" t="str">
        <f>IF(IF(AX21="By Length",IF(AX22="",0,AX22*$H$7),AX8)&lt;AX20,"under MOQ","fine from MOQ perspective")</f>
        <v>fine from MOQ perspective</v>
      </c>
      <c r="AY24" s="961"/>
      <c r="AZ24" s="864"/>
      <c r="BA24" s="862" t="s">
        <v>1316</v>
      </c>
      <c r="BB24" s="960" t="str">
        <f>IF(IF(BB21="By Length",IF(BB22="",0,BB22*$H$8),BB8)&lt;BB20,"under MOQ","fine from MOQ perspective")</f>
        <v>fine from MOQ perspective</v>
      </c>
      <c r="BC24" s="961"/>
    </row>
    <row r="25" spans="1:58" ht="18" customHeight="1">
      <c r="A25" s="4"/>
      <c r="B25" s="4"/>
      <c r="C25" s="4"/>
      <c r="D25" s="4"/>
      <c r="E25" s="4"/>
      <c r="F25" s="4"/>
      <c r="G25" s="4"/>
      <c r="J25" s="4"/>
      <c r="K25" s="4"/>
      <c r="L25" s="4"/>
      <c r="AD25" s="4"/>
      <c r="AE25" s="4"/>
      <c r="AF25" s="4"/>
      <c r="AG25" s="862" t="s">
        <v>1317</v>
      </c>
      <c r="AH25" s="865">
        <f>IFERROR(AH20/$H$3,0)</f>
        <v>31578.947368421053</v>
      </c>
      <c r="AI25" s="866" t="s">
        <v>517</v>
      </c>
      <c r="AJ25" s="863"/>
      <c r="AK25" s="862" t="s">
        <v>1317</v>
      </c>
      <c r="AL25" s="865">
        <f>IFERROR(AL20/$H$4,0)</f>
        <v>19417.475728155339</v>
      </c>
      <c r="AM25" s="866" t="s">
        <v>517</v>
      </c>
      <c r="AN25" s="864"/>
      <c r="AO25" s="862" t="s">
        <v>1317</v>
      </c>
      <c r="AP25" s="865">
        <f>IFERROR(AP20/$H$5,0)</f>
        <v>19417.475728155339</v>
      </c>
      <c r="AQ25" s="866" t="s">
        <v>517</v>
      </c>
      <c r="AR25" s="864"/>
      <c r="AS25" s="862" t="s">
        <v>1317</v>
      </c>
      <c r="AT25" s="865">
        <f>IFERROR(AT20/$H$6,0)</f>
        <v>73891.625615763536</v>
      </c>
      <c r="AU25" s="866" t="s">
        <v>517</v>
      </c>
      <c r="AV25" s="864"/>
      <c r="AW25" s="862" t="s">
        <v>1317</v>
      </c>
      <c r="AX25" s="865">
        <f>IFERROR(AX20/$H$7,0)</f>
        <v>73891.625615763536</v>
      </c>
      <c r="AY25" s="866" t="s">
        <v>517</v>
      </c>
      <c r="AZ25" s="864"/>
      <c r="BA25" s="862" t="s">
        <v>1317</v>
      </c>
      <c r="BB25" s="865">
        <f>IFERROR(BB20/$H$8,0)</f>
        <v>73891.625615763536</v>
      </c>
      <c r="BC25" s="866" t="s">
        <v>517</v>
      </c>
    </row>
    <row r="26" spans="1:58">
      <c r="A26" s="4"/>
      <c r="B26" s="4"/>
      <c r="C26" s="4"/>
      <c r="D26" s="4"/>
      <c r="E26" s="4"/>
      <c r="F26" s="4"/>
      <c r="G26" s="4"/>
      <c r="J26" s="4"/>
      <c r="K26" s="4"/>
      <c r="L26" s="4"/>
      <c r="AD26" s="4"/>
      <c r="AE26" s="4"/>
      <c r="AF26" s="4"/>
      <c r="AG26" s="4"/>
      <c r="AH26" s="4"/>
      <c r="AI26" s="4"/>
      <c r="AJ26" s="4"/>
      <c r="AK26" s="4"/>
      <c r="AL26" s="4"/>
      <c r="AM26" s="4"/>
      <c r="AO26" s="4"/>
      <c r="AP26" s="4"/>
      <c r="AQ26" s="4"/>
      <c r="AS26" s="4"/>
      <c r="AT26" s="4"/>
      <c r="AU26" s="4"/>
      <c r="AW26" s="4"/>
      <c r="AX26" s="4"/>
      <c r="AY26" s="4"/>
      <c r="BA26" s="4"/>
      <c r="BB26" s="4"/>
      <c r="BC26" s="4"/>
    </row>
    <row r="27" spans="1:58">
      <c r="A27" s="4"/>
      <c r="B27" s="4"/>
      <c r="C27" s="4"/>
      <c r="D27" s="4"/>
      <c r="E27" s="4"/>
      <c r="F27" s="4"/>
      <c r="G27" s="4"/>
      <c r="J27" s="4"/>
      <c r="K27" s="4"/>
      <c r="L27" s="4"/>
      <c r="AD27" s="4"/>
      <c r="AE27" s="4"/>
      <c r="AF27" s="4"/>
      <c r="AG27" s="4"/>
      <c r="AH27" s="4"/>
      <c r="AI27" s="4"/>
      <c r="AJ27" s="4"/>
      <c r="AK27" s="4"/>
      <c r="AL27" s="4"/>
      <c r="AM27" s="4"/>
      <c r="AO27" s="4"/>
      <c r="AP27" s="4"/>
      <c r="AQ27" s="4"/>
      <c r="AS27" s="4"/>
      <c r="AT27" s="4"/>
      <c r="AU27" s="4"/>
      <c r="AW27" s="4"/>
      <c r="AX27" s="4"/>
      <c r="AY27" s="4"/>
      <c r="BA27" s="4"/>
      <c r="BB27" s="4"/>
      <c r="BC27" s="4"/>
    </row>
    <row r="28" spans="1:58">
      <c r="A28" s="4"/>
      <c r="B28" s="4"/>
      <c r="C28" s="4"/>
      <c r="D28" s="4"/>
      <c r="E28" s="4"/>
      <c r="F28" s="4"/>
      <c r="G28" s="4"/>
      <c r="J28" s="4"/>
      <c r="K28" s="4"/>
      <c r="L28" s="4"/>
      <c r="AD28" s="4"/>
      <c r="AE28" s="4"/>
      <c r="AF28" s="4"/>
      <c r="AG28" s="4"/>
      <c r="AH28" s="4"/>
      <c r="AI28" s="4"/>
      <c r="AJ28" s="4"/>
      <c r="AK28" s="4"/>
      <c r="AL28" s="4"/>
      <c r="AM28" s="4"/>
      <c r="AO28" s="4"/>
      <c r="AP28" s="4"/>
      <c r="AQ28" s="4"/>
      <c r="AS28" s="4"/>
      <c r="AT28" s="4"/>
      <c r="AU28" s="4"/>
      <c r="AW28" s="4"/>
      <c r="AX28" s="4"/>
      <c r="AY28" s="4"/>
      <c r="BA28" s="4"/>
      <c r="BB28" s="4"/>
      <c r="BC28" s="4"/>
    </row>
    <row r="29" spans="1:58">
      <c r="A29" s="4"/>
      <c r="B29" s="4"/>
      <c r="C29" s="4"/>
      <c r="D29" s="4"/>
      <c r="E29" s="4"/>
      <c r="F29" s="4"/>
      <c r="G29" s="4"/>
      <c r="J29" s="4"/>
      <c r="K29" s="4"/>
      <c r="L29" s="4"/>
      <c r="AD29" s="4"/>
      <c r="AE29" s="4"/>
      <c r="AF29" s="4"/>
      <c r="AG29" s="4"/>
      <c r="AH29" s="4"/>
      <c r="AI29" s="4"/>
      <c r="AJ29" s="4"/>
      <c r="AK29" s="4"/>
      <c r="AL29" s="4"/>
      <c r="AM29" s="4"/>
      <c r="AO29" s="4"/>
      <c r="AP29" s="4"/>
      <c r="AQ29" s="4"/>
      <c r="AS29" s="4"/>
      <c r="AT29" s="4"/>
      <c r="AU29" s="4"/>
      <c r="AW29" s="4"/>
      <c r="AX29" s="4"/>
      <c r="AY29" s="4"/>
      <c r="BA29" s="4"/>
      <c r="BB29" s="4"/>
      <c r="BC29" s="4"/>
    </row>
    <row r="30" spans="1:58">
      <c r="A30" s="4"/>
      <c r="B30" s="4"/>
      <c r="C30" s="4"/>
      <c r="D30" s="4"/>
      <c r="E30" s="4"/>
      <c r="F30" s="4"/>
      <c r="G30" s="4"/>
      <c r="J30" s="4"/>
      <c r="K30" s="4"/>
      <c r="L30" s="4"/>
      <c r="T30" s="4"/>
      <c r="U30" s="4"/>
      <c r="V30" s="4"/>
      <c r="W30" s="4"/>
      <c r="X30" s="4"/>
      <c r="Y30" s="4"/>
      <c r="Z30" s="4"/>
      <c r="AA30" s="4"/>
      <c r="AD30" s="4"/>
      <c r="AE30" s="4"/>
      <c r="AF30" s="4"/>
      <c r="AG30" s="4"/>
      <c r="AH30" s="4"/>
      <c r="AI30" s="4"/>
      <c r="AJ30" s="4"/>
      <c r="AK30" s="4"/>
      <c r="AL30" s="4"/>
      <c r="AM30" s="4"/>
      <c r="AO30" s="4"/>
      <c r="AP30" s="4"/>
      <c r="AQ30" s="4"/>
      <c r="AS30" s="4"/>
      <c r="AT30" s="4"/>
      <c r="AU30" s="4"/>
      <c r="AW30" s="4"/>
      <c r="AX30" s="4"/>
      <c r="AY30" s="4"/>
      <c r="BA30" s="4"/>
      <c r="BB30" s="4"/>
      <c r="BC30" s="4"/>
    </row>
    <row r="31" spans="1:58">
      <c r="A31" s="4"/>
      <c r="B31" s="4"/>
      <c r="C31" s="4"/>
      <c r="D31" s="4"/>
      <c r="E31" s="4"/>
      <c r="F31" s="4"/>
      <c r="G31" s="4"/>
      <c r="J31" s="4"/>
      <c r="K31" s="4"/>
      <c r="L31" s="4"/>
      <c r="T31" s="4"/>
      <c r="U31" s="4"/>
      <c r="V31" s="4"/>
      <c r="W31" s="4"/>
      <c r="X31" s="4"/>
      <c r="Y31" s="4"/>
      <c r="Z31" s="4"/>
      <c r="AA31" s="4"/>
      <c r="AD31" s="4"/>
      <c r="AE31" s="4"/>
      <c r="AF31" s="4"/>
      <c r="AG31" s="4"/>
      <c r="AH31" s="4"/>
      <c r="AI31" s="4"/>
      <c r="AJ31" s="4"/>
      <c r="AK31" s="4"/>
      <c r="AL31" s="4"/>
      <c r="AM31" s="4"/>
      <c r="AO31" s="4"/>
      <c r="AP31" s="4"/>
      <c r="AQ31" s="4"/>
      <c r="AS31" s="4"/>
      <c r="AT31" s="4"/>
      <c r="AU31" s="4"/>
      <c r="AW31" s="4"/>
      <c r="AX31" s="4"/>
      <c r="AY31" s="4"/>
      <c r="BA31" s="4"/>
      <c r="BB31" s="4"/>
      <c r="BC31" s="4"/>
    </row>
    <row r="32" spans="1:58">
      <c r="A32" s="4"/>
      <c r="B32" s="4"/>
      <c r="C32" s="4"/>
      <c r="D32" s="4"/>
      <c r="E32" s="4"/>
      <c r="F32" s="4"/>
      <c r="G32" s="4"/>
      <c r="J32" s="4"/>
      <c r="K32" s="4"/>
      <c r="L32" s="4"/>
      <c r="T32" s="4"/>
      <c r="U32" s="4"/>
      <c r="V32" s="4"/>
      <c r="W32" s="4"/>
      <c r="X32" s="4"/>
      <c r="Y32" s="4"/>
      <c r="Z32" s="4"/>
      <c r="AA32" s="4"/>
      <c r="AD32" s="4"/>
      <c r="AE32" s="4"/>
      <c r="AF32" s="4"/>
      <c r="AG32" s="4"/>
      <c r="AH32" s="4"/>
      <c r="AI32" s="4"/>
      <c r="AJ32" s="4"/>
      <c r="AK32" s="4"/>
      <c r="AL32" s="4"/>
      <c r="AM32" s="4"/>
      <c r="AO32" s="4"/>
      <c r="AP32" s="4"/>
      <c r="AQ32" s="4"/>
      <c r="AS32" s="4"/>
      <c r="AT32" s="4"/>
      <c r="AU32" s="4"/>
      <c r="AW32" s="4"/>
      <c r="AX32" s="4"/>
      <c r="AY32" s="4"/>
      <c r="BA32" s="4"/>
      <c r="BB32" s="4"/>
      <c r="BC32" s="4"/>
    </row>
    <row r="33" spans="1:55">
      <c r="A33" s="4"/>
      <c r="B33" s="4"/>
      <c r="C33" s="4"/>
      <c r="D33" s="4"/>
      <c r="E33" s="4"/>
      <c r="F33" s="4"/>
      <c r="G33" s="4"/>
      <c r="J33" s="4"/>
      <c r="K33" s="4"/>
      <c r="L33" s="4"/>
      <c r="T33" s="4"/>
      <c r="U33" s="4"/>
      <c r="V33" s="4"/>
      <c r="W33" s="4"/>
      <c r="X33" s="4"/>
      <c r="Y33" s="4"/>
      <c r="Z33" s="4"/>
      <c r="AA33" s="4"/>
      <c r="AD33" s="4"/>
      <c r="AE33" s="4"/>
      <c r="AF33" s="4"/>
      <c r="AG33" s="4"/>
      <c r="AH33" s="4"/>
      <c r="AI33" s="4"/>
      <c r="AJ33" s="4"/>
      <c r="AK33" s="4"/>
      <c r="AL33" s="4"/>
      <c r="AM33" s="4"/>
      <c r="AO33" s="4"/>
      <c r="AP33" s="4"/>
      <c r="AQ33" s="4"/>
      <c r="AS33" s="4"/>
      <c r="AT33" s="4"/>
      <c r="AU33" s="4"/>
      <c r="AW33" s="4"/>
      <c r="AX33" s="4"/>
      <c r="AY33" s="4"/>
      <c r="BA33" s="4"/>
      <c r="BB33" s="4"/>
      <c r="BC33" s="4"/>
    </row>
    <row r="34" spans="1:55">
      <c r="A34" s="4"/>
      <c r="B34" s="4"/>
      <c r="C34" s="4"/>
      <c r="D34" s="4"/>
      <c r="E34" s="4"/>
      <c r="F34" s="4"/>
      <c r="G34" s="4"/>
      <c r="J34" s="4"/>
      <c r="K34" s="4"/>
      <c r="L34" s="4"/>
      <c r="T34" s="4"/>
      <c r="U34" s="4"/>
      <c r="V34" s="4"/>
      <c r="W34" s="4"/>
      <c r="X34" s="4"/>
      <c r="Y34" s="4"/>
      <c r="Z34" s="4"/>
      <c r="AA34" s="4"/>
      <c r="AD34" s="4"/>
      <c r="AE34" s="4"/>
      <c r="AF34" s="4"/>
      <c r="AG34" s="4"/>
      <c r="AH34" s="4"/>
      <c r="AI34" s="4"/>
      <c r="AJ34" s="4"/>
      <c r="AK34" s="4"/>
      <c r="AL34" s="4"/>
      <c r="AM34" s="4"/>
      <c r="AO34" s="4"/>
      <c r="AP34" s="4"/>
      <c r="AQ34" s="4"/>
      <c r="AS34" s="4"/>
      <c r="AT34" s="4"/>
      <c r="AU34" s="4"/>
      <c r="AW34" s="4"/>
      <c r="AX34" s="4"/>
      <c r="AY34" s="4"/>
      <c r="BA34" s="4"/>
      <c r="BB34" s="4"/>
      <c r="BC34" s="4"/>
    </row>
    <row r="35" spans="1:55">
      <c r="A35" s="4"/>
      <c r="B35" s="4"/>
      <c r="C35" s="4"/>
      <c r="D35" s="4"/>
      <c r="E35" s="4"/>
      <c r="F35" s="4"/>
      <c r="G35" s="4"/>
      <c r="J35" s="4"/>
      <c r="K35" s="4"/>
      <c r="L35" s="4"/>
      <c r="T35" s="4"/>
      <c r="U35" s="4"/>
      <c r="V35" s="4"/>
      <c r="W35" s="4"/>
      <c r="X35" s="4"/>
      <c r="Y35" s="4"/>
      <c r="Z35" s="4"/>
      <c r="AA35" s="4"/>
      <c r="AD35" s="4"/>
      <c r="AE35" s="4"/>
      <c r="AF35" s="4"/>
      <c r="AG35" s="4"/>
      <c r="AH35" s="4"/>
      <c r="AI35" s="4"/>
      <c r="AJ35" s="4"/>
      <c r="AK35" s="4"/>
      <c r="AL35" s="4"/>
      <c r="AM35" s="4"/>
      <c r="AO35" s="4"/>
      <c r="AP35" s="4"/>
      <c r="AQ35" s="4"/>
      <c r="AS35" s="4"/>
      <c r="AT35" s="4"/>
      <c r="AU35" s="4"/>
      <c r="AW35" s="4"/>
      <c r="AX35" s="4"/>
      <c r="AY35" s="4"/>
      <c r="BA35" s="4"/>
      <c r="BB35" s="4"/>
      <c r="BC35" s="4"/>
    </row>
    <row r="36" spans="1:55">
      <c r="A36" s="4"/>
      <c r="B36" s="4"/>
      <c r="C36" s="4"/>
      <c r="D36" s="4"/>
      <c r="E36" s="4"/>
      <c r="F36" s="4"/>
      <c r="G36" s="4"/>
      <c r="J36" s="4"/>
      <c r="K36" s="4"/>
      <c r="L36" s="4"/>
      <c r="T36" s="4"/>
      <c r="U36" s="4"/>
      <c r="V36" s="4"/>
      <c r="W36" s="4"/>
      <c r="X36" s="4"/>
      <c r="Y36" s="4"/>
      <c r="Z36" s="4"/>
      <c r="AA36" s="4"/>
      <c r="AD36" s="4"/>
      <c r="AE36" s="4"/>
      <c r="AF36" s="4"/>
      <c r="AG36" s="4"/>
      <c r="AH36" s="4"/>
      <c r="AI36" s="4"/>
      <c r="AJ36" s="4"/>
      <c r="AK36" s="4"/>
      <c r="AL36" s="4"/>
      <c r="AM36" s="4"/>
      <c r="AO36" s="4"/>
      <c r="AP36" s="4"/>
      <c r="AQ36" s="4"/>
      <c r="AS36" s="4"/>
      <c r="AT36" s="4"/>
      <c r="AU36" s="4"/>
      <c r="AW36" s="4"/>
      <c r="AX36" s="4"/>
      <c r="AY36" s="4"/>
      <c r="BA36" s="4"/>
      <c r="BB36" s="4"/>
      <c r="BC36" s="4"/>
    </row>
    <row r="37" spans="1:55">
      <c r="A37" s="4"/>
      <c r="B37" s="4"/>
      <c r="C37" s="4"/>
      <c r="D37" s="4"/>
      <c r="E37" s="4"/>
      <c r="F37" s="4"/>
      <c r="G37" s="4"/>
      <c r="J37" s="4"/>
      <c r="K37" s="4"/>
      <c r="L37" s="4"/>
      <c r="T37" s="4"/>
      <c r="U37" s="4"/>
      <c r="V37" s="4"/>
      <c r="W37" s="4"/>
      <c r="X37" s="4"/>
      <c r="Y37" s="4"/>
      <c r="Z37" s="4"/>
      <c r="AA37" s="4"/>
      <c r="AD37" s="4"/>
      <c r="AE37" s="4"/>
      <c r="AF37" s="4"/>
      <c r="AG37" s="4"/>
      <c r="AH37" s="4"/>
      <c r="AI37" s="4"/>
      <c r="AJ37" s="4"/>
      <c r="AK37" s="4"/>
      <c r="AL37" s="4"/>
      <c r="AM37" s="4"/>
      <c r="AO37" s="4"/>
      <c r="AP37" s="4"/>
      <c r="AQ37" s="4"/>
      <c r="AS37" s="4"/>
      <c r="AT37" s="4"/>
      <c r="AU37" s="4"/>
      <c r="AW37" s="4"/>
      <c r="AX37" s="4"/>
      <c r="AY37" s="4"/>
      <c r="BA37" s="4"/>
      <c r="BB37" s="4"/>
      <c r="BC37" s="4"/>
    </row>
    <row r="38" spans="1:55">
      <c r="A38" s="4"/>
      <c r="B38" s="4"/>
      <c r="C38" s="4"/>
      <c r="D38" s="4"/>
      <c r="E38" s="4"/>
      <c r="F38" s="4"/>
      <c r="G38" s="4"/>
      <c r="J38" s="4"/>
      <c r="K38" s="4"/>
      <c r="L38" s="4"/>
      <c r="M38" s="4"/>
      <c r="N38" s="4"/>
      <c r="O38" s="4"/>
      <c r="P38" s="4"/>
      <c r="Q38" s="4"/>
      <c r="R38" s="4"/>
      <c r="S38" s="4"/>
      <c r="T38" s="4"/>
      <c r="U38" s="4"/>
      <c r="V38" s="4"/>
      <c r="W38" s="4"/>
      <c r="X38" s="4"/>
      <c r="Y38" s="4"/>
      <c r="Z38" s="4"/>
      <c r="AA38" s="4"/>
      <c r="AD38" s="4"/>
      <c r="AE38" s="4"/>
      <c r="AF38" s="4"/>
      <c r="AG38" s="4"/>
      <c r="AH38" s="4"/>
      <c r="AI38" s="4"/>
      <c r="AJ38" s="4"/>
      <c r="AK38" s="4"/>
      <c r="AL38" s="4"/>
      <c r="AM38" s="4"/>
      <c r="AO38" s="4"/>
      <c r="AP38" s="4"/>
      <c r="AQ38" s="4"/>
      <c r="AS38" s="4"/>
      <c r="AT38" s="4"/>
      <c r="AU38" s="4"/>
      <c r="AW38" s="4"/>
      <c r="AX38" s="4"/>
      <c r="AY38" s="4"/>
      <c r="BA38" s="4"/>
      <c r="BB38" s="4"/>
      <c r="BC38" s="4"/>
    </row>
    <row r="39" spans="1:55">
      <c r="A39" s="4"/>
      <c r="B39" s="4"/>
      <c r="C39" s="4"/>
      <c r="D39" s="4"/>
      <c r="E39" s="4"/>
      <c r="F39" s="4"/>
      <c r="G39" s="4"/>
      <c r="J39" s="4"/>
      <c r="K39" s="4"/>
      <c r="L39" s="4"/>
      <c r="M39" s="4"/>
      <c r="N39" s="4"/>
      <c r="O39" s="4"/>
      <c r="P39" s="4"/>
      <c r="Q39" s="4"/>
      <c r="R39" s="4"/>
      <c r="S39" s="4"/>
      <c r="T39" s="4"/>
      <c r="U39" s="4"/>
      <c r="V39" s="4"/>
      <c r="W39" s="4"/>
      <c r="X39" s="4"/>
      <c r="Y39" s="4"/>
      <c r="Z39" s="4"/>
      <c r="AA39" s="4"/>
      <c r="AD39" s="4"/>
      <c r="AE39" s="4"/>
      <c r="AF39" s="4"/>
      <c r="AG39" s="4"/>
      <c r="AH39" s="4"/>
      <c r="AI39" s="4"/>
      <c r="AJ39" s="4"/>
      <c r="AK39" s="4"/>
      <c r="AL39" s="4"/>
      <c r="AM39" s="4"/>
      <c r="AO39" s="4"/>
      <c r="AP39" s="4"/>
      <c r="AQ39" s="4"/>
      <c r="AS39" s="4"/>
      <c r="AT39" s="4"/>
      <c r="AU39" s="4"/>
      <c r="AW39" s="4"/>
      <c r="AX39" s="4"/>
      <c r="AY39" s="4"/>
      <c r="BA39" s="4"/>
      <c r="BB39" s="4"/>
      <c r="BC39" s="4"/>
    </row>
    <row r="40" spans="1:55">
      <c r="A40" s="4"/>
      <c r="B40" s="4"/>
      <c r="C40" s="4"/>
      <c r="D40" s="4"/>
      <c r="E40" s="4"/>
      <c r="F40" s="4"/>
      <c r="G40" s="4"/>
      <c r="J40" s="4"/>
      <c r="K40" s="4"/>
      <c r="L40" s="4"/>
      <c r="M40" s="4"/>
      <c r="N40" s="4"/>
      <c r="O40" s="4"/>
      <c r="P40" s="4"/>
      <c r="Q40" s="4"/>
      <c r="R40" s="4"/>
      <c r="S40" s="4"/>
      <c r="T40" s="4"/>
      <c r="U40" s="4"/>
      <c r="V40" s="4"/>
      <c r="W40" s="4"/>
      <c r="X40" s="4"/>
      <c r="Y40" s="4"/>
      <c r="Z40" s="4"/>
      <c r="AA40" s="4"/>
      <c r="AD40" s="4"/>
      <c r="AE40" s="4"/>
      <c r="AF40" s="4"/>
      <c r="AG40" s="4"/>
      <c r="AH40" s="4"/>
      <c r="AI40" s="4"/>
      <c r="AJ40" s="4"/>
      <c r="AK40" s="4"/>
      <c r="AL40" s="4"/>
      <c r="AM40" s="4"/>
      <c r="AO40" s="4"/>
      <c r="AP40" s="4"/>
      <c r="AQ40" s="4"/>
      <c r="AS40" s="4"/>
      <c r="AT40" s="4"/>
      <c r="AU40" s="4"/>
      <c r="AW40" s="4"/>
      <c r="AX40" s="4"/>
      <c r="AY40" s="4"/>
      <c r="BA40" s="4"/>
      <c r="BB40" s="4"/>
      <c r="BC40" s="4"/>
    </row>
    <row r="41" spans="1:55">
      <c r="A41" s="4"/>
      <c r="B41" s="4"/>
      <c r="C41" s="4"/>
      <c r="D41" s="4"/>
      <c r="E41" s="4"/>
      <c r="F41" s="4"/>
      <c r="G41" s="4"/>
      <c r="J41" s="4"/>
      <c r="K41" s="4"/>
      <c r="L41" s="4"/>
      <c r="M41" s="4"/>
      <c r="N41" s="4"/>
      <c r="O41" s="4"/>
      <c r="P41" s="4"/>
      <c r="Q41" s="4"/>
      <c r="R41" s="4"/>
      <c r="S41" s="4"/>
      <c r="T41" s="4"/>
      <c r="U41" s="4"/>
      <c r="V41" s="4"/>
      <c r="W41" s="4"/>
      <c r="X41" s="4"/>
      <c r="Y41" s="4"/>
      <c r="Z41" s="4"/>
      <c r="AA41" s="4"/>
      <c r="AD41" s="4"/>
      <c r="AE41" s="4"/>
      <c r="AF41" s="4"/>
      <c r="AG41" s="4"/>
      <c r="AH41" s="4"/>
      <c r="AI41" s="4"/>
      <c r="AJ41" s="4"/>
      <c r="AK41" s="4"/>
      <c r="AL41" s="4"/>
      <c r="AM41" s="4"/>
      <c r="AO41" s="4"/>
      <c r="AP41" s="4"/>
      <c r="AQ41" s="4"/>
      <c r="AS41" s="4"/>
      <c r="AT41" s="4"/>
      <c r="AU41" s="4"/>
      <c r="AW41" s="4"/>
      <c r="AX41" s="4"/>
      <c r="AY41" s="4"/>
      <c r="BA41" s="4"/>
      <c r="BB41" s="4"/>
      <c r="BC41" s="4"/>
    </row>
    <row r="42" spans="1:55">
      <c r="A42" s="4"/>
      <c r="B42" s="4"/>
      <c r="C42" s="4"/>
      <c r="D42" s="4"/>
      <c r="E42" s="4"/>
      <c r="F42" s="4"/>
      <c r="G42" s="4"/>
      <c r="J42" s="4"/>
      <c r="K42" s="4"/>
      <c r="L42" s="4"/>
      <c r="M42" s="4"/>
      <c r="N42" s="4"/>
      <c r="O42" s="4"/>
      <c r="P42" s="4"/>
      <c r="Q42" s="4"/>
      <c r="R42" s="4"/>
      <c r="S42" s="4"/>
      <c r="T42" s="4"/>
      <c r="U42" s="4"/>
      <c r="V42" s="4"/>
      <c r="W42" s="4"/>
      <c r="X42" s="4"/>
      <c r="Y42" s="4"/>
      <c r="Z42" s="4"/>
      <c r="AA42" s="4"/>
      <c r="AD42" s="4"/>
      <c r="AE42" s="4"/>
      <c r="AF42" s="4"/>
      <c r="AG42" s="4"/>
      <c r="AH42" s="4"/>
      <c r="AI42" s="4"/>
      <c r="AJ42" s="4"/>
      <c r="AK42" s="4"/>
      <c r="AL42" s="4"/>
      <c r="AM42" s="4"/>
      <c r="AO42" s="4"/>
      <c r="AP42" s="4"/>
      <c r="AQ42" s="4"/>
      <c r="AS42" s="4"/>
      <c r="AT42" s="4"/>
      <c r="AU42" s="4"/>
      <c r="AW42" s="4"/>
      <c r="AX42" s="4"/>
      <c r="AY42" s="4"/>
      <c r="BA42" s="4"/>
      <c r="BB42" s="4"/>
      <c r="BC42" s="4"/>
    </row>
    <row r="43" spans="1:55">
      <c r="A43" s="4"/>
      <c r="B43" s="4"/>
      <c r="C43" s="4"/>
      <c r="D43" s="4"/>
      <c r="E43" s="4"/>
      <c r="F43" s="4"/>
      <c r="G43" s="4"/>
      <c r="J43" s="4"/>
      <c r="K43" s="4"/>
      <c r="L43" s="4"/>
      <c r="M43" s="4"/>
      <c r="N43" s="4"/>
      <c r="O43" s="4"/>
      <c r="P43" s="4"/>
      <c r="Q43" s="4"/>
      <c r="R43" s="4"/>
      <c r="S43" s="4"/>
      <c r="T43" s="4"/>
      <c r="U43" s="4"/>
      <c r="V43" s="4"/>
      <c r="W43" s="4"/>
      <c r="X43" s="4"/>
      <c r="Y43" s="4"/>
      <c r="Z43" s="4"/>
      <c r="AA43" s="4"/>
      <c r="AD43" s="4"/>
      <c r="AE43" s="4"/>
      <c r="AF43" s="4"/>
      <c r="AG43" s="4"/>
      <c r="AH43" s="4"/>
      <c r="AI43" s="4"/>
      <c r="AJ43" s="4"/>
      <c r="AK43" s="4"/>
      <c r="AL43" s="4"/>
      <c r="AM43" s="4"/>
      <c r="AO43" s="4"/>
      <c r="AP43" s="4"/>
      <c r="AQ43" s="4"/>
      <c r="AS43" s="4"/>
      <c r="AT43" s="4"/>
      <c r="AU43" s="4"/>
      <c r="AW43" s="4"/>
      <c r="AX43" s="4"/>
      <c r="AY43" s="4"/>
      <c r="BA43" s="4"/>
      <c r="BB43" s="4"/>
      <c r="BC43" s="4"/>
    </row>
    <row r="44" spans="1:55">
      <c r="A44" s="4"/>
      <c r="B44" s="4"/>
      <c r="C44" s="4"/>
      <c r="D44" s="4"/>
      <c r="E44" s="4"/>
      <c r="F44" s="4"/>
      <c r="G44" s="4"/>
      <c r="J44" s="4"/>
      <c r="K44" s="4"/>
      <c r="L44" s="4"/>
      <c r="M44" s="4"/>
      <c r="N44" s="4"/>
      <c r="O44" s="4"/>
      <c r="P44" s="4"/>
      <c r="Q44" s="4"/>
      <c r="R44" s="4"/>
      <c r="S44" s="4"/>
      <c r="T44" s="4"/>
      <c r="U44" s="4"/>
      <c r="V44" s="4"/>
      <c r="W44" s="4"/>
      <c r="X44" s="4"/>
      <c r="Y44" s="4"/>
      <c r="Z44" s="4"/>
      <c r="AA44" s="4"/>
      <c r="AD44" s="4"/>
      <c r="AE44" s="4"/>
      <c r="AF44" s="4"/>
      <c r="AG44" s="4"/>
      <c r="AH44" s="4"/>
      <c r="AI44" s="4"/>
      <c r="AJ44" s="4"/>
      <c r="AK44" s="4"/>
      <c r="AL44" s="4"/>
      <c r="AM44" s="4"/>
      <c r="AO44" s="4"/>
      <c r="AP44" s="4"/>
      <c r="AQ44" s="4"/>
      <c r="AS44" s="4"/>
      <c r="AT44" s="4"/>
      <c r="AU44" s="4"/>
      <c r="AW44" s="4"/>
      <c r="AX44" s="4"/>
      <c r="AY44" s="4"/>
      <c r="BA44" s="4"/>
      <c r="BB44" s="4"/>
      <c r="BC44" s="4"/>
    </row>
    <row r="45" spans="1:55">
      <c r="A45" s="4"/>
      <c r="B45" s="4"/>
      <c r="C45" s="4"/>
      <c r="D45" s="4"/>
      <c r="E45" s="4"/>
      <c r="F45" s="4"/>
      <c r="G45" s="4"/>
      <c r="J45" s="4"/>
      <c r="K45" s="4"/>
      <c r="L45" s="4"/>
      <c r="M45" s="4"/>
      <c r="N45" s="4"/>
      <c r="O45" s="4"/>
      <c r="P45" s="4"/>
      <c r="Q45" s="4"/>
      <c r="R45" s="4"/>
      <c r="S45" s="4"/>
      <c r="T45" s="4"/>
      <c r="U45" s="4"/>
      <c r="V45" s="4"/>
      <c r="W45" s="4"/>
      <c r="X45" s="4"/>
      <c r="Y45" s="4"/>
      <c r="Z45" s="4"/>
      <c r="AA45" s="4"/>
      <c r="AD45" s="4"/>
      <c r="AE45" s="4"/>
      <c r="AF45" s="4"/>
      <c r="AG45" s="4"/>
      <c r="AH45" s="4"/>
      <c r="AI45" s="4"/>
      <c r="AJ45" s="4"/>
      <c r="AK45" s="4"/>
      <c r="AL45" s="4"/>
      <c r="AM45" s="4"/>
      <c r="AO45" s="4"/>
      <c r="AP45" s="4"/>
      <c r="AQ45" s="4"/>
      <c r="AS45" s="4"/>
      <c r="AT45" s="4"/>
      <c r="AU45" s="4"/>
      <c r="AW45" s="4"/>
      <c r="AX45" s="4"/>
      <c r="AY45" s="4"/>
      <c r="BA45" s="4"/>
      <c r="BB45" s="4"/>
      <c r="BC45" s="4"/>
    </row>
    <row r="46" spans="1:55">
      <c r="A46" s="4"/>
      <c r="B46" s="4"/>
      <c r="C46" s="4"/>
      <c r="D46" s="4"/>
      <c r="E46" s="4"/>
      <c r="F46" s="4"/>
      <c r="G46" s="4"/>
      <c r="J46" s="4"/>
      <c r="K46" s="4"/>
      <c r="L46" s="4"/>
      <c r="M46" s="4"/>
      <c r="N46" s="4"/>
      <c r="O46" s="4"/>
      <c r="P46" s="4"/>
      <c r="Q46" s="4"/>
      <c r="R46" s="4"/>
      <c r="S46" s="4"/>
      <c r="T46" s="4"/>
      <c r="U46" s="4"/>
      <c r="V46" s="4"/>
      <c r="W46" s="4"/>
      <c r="X46" s="4"/>
      <c r="Y46" s="4"/>
      <c r="Z46" s="4"/>
      <c r="AA46" s="4"/>
      <c r="AD46" s="4"/>
      <c r="AE46" s="4"/>
      <c r="AF46" s="4"/>
      <c r="AG46" s="4"/>
      <c r="AH46" s="4"/>
      <c r="AI46" s="4"/>
      <c r="AJ46" s="4"/>
      <c r="AK46" s="4"/>
      <c r="AL46" s="4"/>
      <c r="AM46" s="4"/>
      <c r="AO46" s="4"/>
      <c r="AP46" s="4"/>
      <c r="AQ46" s="4"/>
      <c r="AS46" s="4"/>
      <c r="AT46" s="4"/>
      <c r="AU46" s="4"/>
      <c r="AW46" s="4"/>
      <c r="AX46" s="4"/>
      <c r="AY46" s="4"/>
      <c r="BA46" s="4"/>
      <c r="BB46" s="4"/>
      <c r="BC46" s="4"/>
    </row>
    <row r="47" spans="1:55">
      <c r="A47" s="4"/>
      <c r="B47" s="4"/>
      <c r="C47" s="4"/>
      <c r="D47" s="4"/>
      <c r="E47" s="4"/>
      <c r="F47" s="4"/>
      <c r="G47" s="4"/>
      <c r="J47" s="4"/>
      <c r="K47" s="4"/>
      <c r="L47" s="4"/>
      <c r="M47" s="4"/>
      <c r="N47" s="4"/>
      <c r="O47" s="4"/>
      <c r="P47" s="4"/>
      <c r="Q47" s="4"/>
      <c r="R47" s="4"/>
      <c r="S47" s="4"/>
      <c r="T47" s="4"/>
      <c r="U47" s="4"/>
      <c r="V47" s="4"/>
      <c r="W47" s="4"/>
      <c r="X47" s="4"/>
      <c r="Y47" s="4"/>
      <c r="Z47" s="4"/>
      <c r="AA47" s="4"/>
      <c r="AD47" s="4"/>
      <c r="AE47" s="4"/>
      <c r="AF47" s="4"/>
      <c r="AG47" s="4"/>
      <c r="AH47" s="4"/>
      <c r="AI47" s="4"/>
      <c r="AJ47" s="4"/>
      <c r="AK47" s="4"/>
      <c r="AL47" s="4"/>
      <c r="AM47" s="4"/>
      <c r="AO47" s="4"/>
      <c r="AP47" s="4"/>
      <c r="AQ47" s="4"/>
      <c r="AS47" s="4"/>
      <c r="AT47" s="4"/>
      <c r="AU47" s="4"/>
      <c r="AW47" s="4"/>
      <c r="AX47" s="4"/>
      <c r="AY47" s="4"/>
      <c r="BA47" s="4"/>
      <c r="BB47" s="4"/>
      <c r="BC47" s="4"/>
    </row>
    <row r="48" spans="1:55">
      <c r="A48" s="4"/>
      <c r="B48" s="4"/>
      <c r="C48" s="4"/>
      <c r="D48" s="4"/>
      <c r="E48" s="4"/>
      <c r="F48" s="4"/>
      <c r="G48" s="4"/>
      <c r="J48" s="4"/>
      <c r="K48" s="4"/>
      <c r="L48" s="4"/>
      <c r="M48" s="4"/>
      <c r="N48" s="4"/>
      <c r="O48" s="4"/>
      <c r="P48" s="4"/>
      <c r="Q48" s="4"/>
      <c r="R48" s="4"/>
      <c r="S48" s="4"/>
      <c r="T48" s="4"/>
      <c r="U48" s="4"/>
      <c r="V48" s="4"/>
      <c r="W48" s="4"/>
      <c r="X48" s="4"/>
      <c r="Y48" s="4"/>
      <c r="Z48" s="4"/>
      <c r="AA48" s="4"/>
      <c r="AD48" s="4"/>
      <c r="AE48" s="4"/>
      <c r="AF48" s="4"/>
      <c r="AG48" s="4"/>
      <c r="AH48" s="4"/>
      <c r="AI48" s="4"/>
      <c r="AJ48" s="4"/>
      <c r="AK48" s="4"/>
      <c r="AL48" s="4"/>
      <c r="AM48" s="4"/>
      <c r="AO48" s="4"/>
      <c r="AP48" s="4"/>
      <c r="AQ48" s="4"/>
      <c r="AS48" s="4"/>
      <c r="AT48" s="4"/>
      <c r="AU48" s="4"/>
      <c r="AW48" s="4"/>
      <c r="AX48" s="4"/>
      <c r="AY48" s="4"/>
      <c r="BA48" s="4"/>
      <c r="BB48" s="4"/>
      <c r="BC48" s="4"/>
    </row>
    <row r="49" spans="1:55">
      <c r="A49" s="4"/>
      <c r="B49" s="4"/>
      <c r="C49" s="4"/>
      <c r="D49" s="4"/>
      <c r="E49" s="4"/>
      <c r="F49" s="4"/>
      <c r="G49" s="4"/>
      <c r="J49" s="4"/>
      <c r="K49" s="4"/>
      <c r="L49" s="4"/>
      <c r="M49" s="4"/>
      <c r="N49" s="4"/>
      <c r="O49" s="4"/>
      <c r="P49" s="4"/>
      <c r="Q49" s="4"/>
      <c r="R49" s="4"/>
      <c r="S49" s="4"/>
      <c r="T49" s="4"/>
      <c r="U49" s="4"/>
      <c r="V49" s="4"/>
      <c r="W49" s="4"/>
      <c r="X49" s="4"/>
      <c r="Y49" s="4"/>
      <c r="Z49" s="4"/>
      <c r="AA49" s="4"/>
      <c r="AD49" s="4"/>
      <c r="AE49" s="4"/>
      <c r="AF49" s="4"/>
      <c r="AG49" s="4"/>
      <c r="AH49" s="4"/>
      <c r="AI49" s="4"/>
      <c r="AJ49" s="4"/>
      <c r="AK49" s="4"/>
      <c r="AL49" s="4"/>
      <c r="AM49" s="4"/>
      <c r="AO49" s="4"/>
      <c r="AP49" s="4"/>
      <c r="AQ49" s="4"/>
      <c r="AS49" s="4"/>
      <c r="AT49" s="4"/>
      <c r="AU49" s="4"/>
      <c r="AW49" s="4"/>
      <c r="AX49" s="4"/>
      <c r="AY49" s="4"/>
      <c r="BA49" s="4"/>
      <c r="BB49" s="4"/>
      <c r="BC49" s="4"/>
    </row>
    <row r="50" spans="1:55">
      <c r="A50" s="4"/>
      <c r="B50" s="4"/>
      <c r="C50" s="4"/>
      <c r="D50" s="4"/>
      <c r="E50" s="4"/>
      <c r="F50" s="4"/>
      <c r="G50" s="4"/>
      <c r="J50" s="4"/>
      <c r="K50" s="4"/>
      <c r="L50" s="4"/>
      <c r="M50" s="4"/>
      <c r="N50" s="4"/>
      <c r="O50" s="4"/>
      <c r="P50" s="4"/>
      <c r="Q50" s="4"/>
      <c r="R50" s="4"/>
      <c r="S50" s="4"/>
      <c r="T50" s="4"/>
      <c r="U50" s="4"/>
      <c r="V50" s="4"/>
      <c r="W50" s="4"/>
      <c r="X50" s="4"/>
      <c r="Y50" s="4"/>
      <c r="Z50" s="4"/>
      <c r="AA50" s="4"/>
      <c r="AD50" s="4"/>
      <c r="AE50" s="4"/>
      <c r="AF50" s="4"/>
      <c r="AG50" s="4"/>
      <c r="AH50" s="4"/>
      <c r="AI50" s="4"/>
      <c r="AJ50" s="4"/>
      <c r="AK50" s="4"/>
      <c r="AL50" s="4"/>
      <c r="AM50" s="4"/>
      <c r="AO50" s="4"/>
      <c r="AP50" s="4"/>
      <c r="AQ50" s="4"/>
      <c r="AS50" s="4"/>
      <c r="AT50" s="4"/>
      <c r="AU50" s="4"/>
      <c r="AW50" s="4"/>
      <c r="AX50" s="4"/>
      <c r="AY50" s="4"/>
      <c r="BA50" s="4"/>
      <c r="BB50" s="4"/>
      <c r="BC50" s="4"/>
    </row>
    <row r="51" spans="1:55">
      <c r="A51" s="4"/>
      <c r="B51" s="4"/>
      <c r="C51" s="4"/>
      <c r="D51" s="4"/>
      <c r="E51" s="4"/>
      <c r="F51" s="4"/>
      <c r="G51" s="4"/>
      <c r="J51" s="4"/>
      <c r="K51" s="4"/>
      <c r="L51" s="4"/>
      <c r="M51" s="4"/>
      <c r="N51" s="4"/>
      <c r="O51" s="4"/>
      <c r="P51" s="4"/>
      <c r="Q51" s="4"/>
      <c r="R51" s="4"/>
      <c r="S51" s="4"/>
      <c r="T51" s="4"/>
      <c r="U51" s="4"/>
      <c r="V51" s="4"/>
      <c r="W51" s="4"/>
      <c r="X51" s="4"/>
      <c r="Y51" s="4"/>
      <c r="Z51" s="4"/>
      <c r="AA51" s="4"/>
      <c r="AD51" s="4"/>
      <c r="AE51" s="4"/>
      <c r="AF51" s="4"/>
      <c r="AG51" s="4"/>
      <c r="AH51" s="4"/>
      <c r="AI51" s="4"/>
      <c r="AJ51" s="4"/>
      <c r="AK51" s="4"/>
      <c r="AL51" s="4"/>
      <c r="AM51" s="4"/>
      <c r="AO51" s="4"/>
      <c r="AP51" s="4"/>
      <c r="AQ51" s="4"/>
      <c r="AS51" s="4"/>
      <c r="AT51" s="4"/>
      <c r="AU51" s="4"/>
      <c r="AW51" s="4"/>
      <c r="AX51" s="4"/>
      <c r="AY51" s="4"/>
      <c r="BA51" s="4"/>
      <c r="BB51" s="4"/>
      <c r="BC51" s="4"/>
    </row>
    <row r="52" spans="1:55">
      <c r="A52" s="4"/>
      <c r="B52" s="4"/>
      <c r="C52" s="4"/>
      <c r="D52" s="4"/>
      <c r="E52" s="4"/>
      <c r="F52" s="4"/>
      <c r="G52" s="4"/>
      <c r="J52" s="4"/>
      <c r="K52" s="4"/>
      <c r="L52" s="4"/>
      <c r="M52" s="4"/>
      <c r="N52" s="4"/>
      <c r="O52" s="4"/>
      <c r="P52" s="4"/>
      <c r="Q52" s="4"/>
      <c r="R52" s="4"/>
      <c r="S52" s="4"/>
      <c r="T52" s="4"/>
      <c r="U52" s="4"/>
      <c r="V52" s="4"/>
      <c r="W52" s="4"/>
      <c r="X52" s="4"/>
      <c r="Y52" s="4"/>
      <c r="Z52" s="4"/>
      <c r="AA52" s="4"/>
      <c r="AD52" s="4"/>
      <c r="AE52" s="4"/>
      <c r="AF52" s="4"/>
      <c r="AG52" s="4"/>
      <c r="AH52" s="4"/>
      <c r="AI52" s="4"/>
      <c r="AJ52" s="4"/>
      <c r="AK52" s="4"/>
      <c r="AL52" s="4"/>
      <c r="AM52" s="4"/>
      <c r="AO52" s="4"/>
      <c r="AP52" s="4"/>
      <c r="AQ52" s="4"/>
      <c r="AS52" s="4"/>
      <c r="AT52" s="4"/>
      <c r="AU52" s="4"/>
      <c r="AW52" s="4"/>
      <c r="AX52" s="4"/>
      <c r="AY52" s="4"/>
      <c r="BA52" s="4"/>
      <c r="BB52" s="4"/>
      <c r="BC52" s="4"/>
    </row>
    <row r="53" spans="1:55">
      <c r="A53" s="4"/>
      <c r="B53" s="4"/>
      <c r="C53" s="4"/>
      <c r="D53" s="4"/>
      <c r="E53" s="4"/>
      <c r="F53" s="4"/>
      <c r="G53" s="4"/>
      <c r="J53" s="4"/>
      <c r="K53" s="4"/>
      <c r="L53" s="4"/>
      <c r="M53" s="4"/>
      <c r="N53" s="4"/>
      <c r="O53" s="4"/>
      <c r="P53" s="4"/>
      <c r="Q53" s="4"/>
      <c r="R53" s="4"/>
      <c r="S53" s="4"/>
      <c r="T53" s="4"/>
      <c r="U53" s="4"/>
      <c r="V53" s="4"/>
      <c r="W53" s="4"/>
      <c r="X53" s="4"/>
      <c r="Y53" s="4"/>
      <c r="Z53" s="4"/>
      <c r="AA53" s="4"/>
      <c r="AD53" s="4"/>
      <c r="AE53" s="4"/>
      <c r="AF53" s="4"/>
      <c r="AG53" s="4"/>
      <c r="AH53" s="4"/>
      <c r="AI53" s="4"/>
      <c r="AJ53" s="4"/>
      <c r="AK53" s="4"/>
      <c r="AL53" s="4"/>
      <c r="AM53" s="4"/>
      <c r="AO53" s="4"/>
      <c r="AP53" s="4"/>
      <c r="AQ53" s="4"/>
      <c r="AS53" s="4"/>
      <c r="AT53" s="4"/>
      <c r="AU53" s="4"/>
      <c r="AW53" s="4"/>
      <c r="AX53" s="4"/>
      <c r="AY53" s="4"/>
      <c r="BA53" s="4"/>
      <c r="BB53" s="4"/>
      <c r="BC53" s="4"/>
    </row>
    <row r="54" spans="1:55">
      <c r="AD54" s="4"/>
      <c r="AE54" s="4"/>
      <c r="AF54" s="4"/>
      <c r="AG54" s="4"/>
      <c r="AH54" s="4"/>
      <c r="AI54" s="4"/>
      <c r="AJ54" s="4"/>
      <c r="AK54" s="4"/>
      <c r="AL54" s="4"/>
      <c r="AM54" s="4"/>
      <c r="AO54" s="4"/>
      <c r="AP54" s="4"/>
      <c r="AQ54" s="4"/>
      <c r="AS54" s="4"/>
      <c r="AT54" s="4"/>
      <c r="AU54" s="4"/>
      <c r="AW54" s="4"/>
      <c r="AX54" s="4"/>
      <c r="AY54" s="4"/>
      <c r="BA54" s="4"/>
      <c r="BB54" s="4"/>
      <c r="BC54" s="4"/>
    </row>
  </sheetData>
  <mergeCells count="53">
    <mergeCell ref="BB24:BC24"/>
    <mergeCell ref="AH24:AI24"/>
    <mergeCell ref="AL24:AM24"/>
    <mergeCell ref="AP24:AQ24"/>
    <mergeCell ref="AT24:AU24"/>
    <mergeCell ref="AX24:AY24"/>
    <mergeCell ref="AO17:AQ17"/>
    <mergeCell ref="AO18:AQ18"/>
    <mergeCell ref="AG16:AI16"/>
    <mergeCell ref="AG17:AI17"/>
    <mergeCell ref="AG18:AI18"/>
    <mergeCell ref="AK16:AM16"/>
    <mergeCell ref="BA16:BC16"/>
    <mergeCell ref="BA17:BC17"/>
    <mergeCell ref="BA18:BC18"/>
    <mergeCell ref="BA23:BC23"/>
    <mergeCell ref="AW18:AY18"/>
    <mergeCell ref="AK23:AM23"/>
    <mergeCell ref="AO23:AQ23"/>
    <mergeCell ref="AS23:AU23"/>
    <mergeCell ref="AW23:AY23"/>
    <mergeCell ref="AX14:AY14"/>
    <mergeCell ref="AP14:AQ14"/>
    <mergeCell ref="AT14:AU14"/>
    <mergeCell ref="AS16:AU16"/>
    <mergeCell ref="AS17:AU17"/>
    <mergeCell ref="AW15:AY15"/>
    <mergeCell ref="AW16:AY16"/>
    <mergeCell ref="AW17:AY17"/>
    <mergeCell ref="AK17:AM17"/>
    <mergeCell ref="AK18:AM18"/>
    <mergeCell ref="AS18:AU18"/>
    <mergeCell ref="AO16:AQ16"/>
    <mergeCell ref="AS15:AU15"/>
    <mergeCell ref="BB2:BC2"/>
    <mergeCell ref="BA3:BC3"/>
    <mergeCell ref="BB14:BC14"/>
    <mergeCell ref="BA15:BC15"/>
    <mergeCell ref="AX2:AY2"/>
    <mergeCell ref="AW3:AY3"/>
    <mergeCell ref="AL2:AM2"/>
    <mergeCell ref="AK3:AM3"/>
    <mergeCell ref="AT2:AU2"/>
    <mergeCell ref="AS3:AU3"/>
    <mergeCell ref="AH2:AI2"/>
    <mergeCell ref="AG3:AI3"/>
    <mergeCell ref="AP2:AQ2"/>
    <mergeCell ref="AO3:AQ3"/>
    <mergeCell ref="AG15:AI15"/>
    <mergeCell ref="AH14:AI14"/>
    <mergeCell ref="AL14:AM14"/>
    <mergeCell ref="AK15:AM15"/>
    <mergeCell ref="AO15:AQ15"/>
  </mergeCells>
  <phoneticPr fontId="60" type="noConversion"/>
  <conditionalFormatting sqref="S2:T2">
    <cfRule type="containsText" dxfId="40" priority="2" operator="containsText" text="Error! please choose width not higher than 1220">
      <formula>NOT(ISERROR(SEARCH("Error! please choose width not higher than 1220",S2)))</formula>
    </cfRule>
  </conditionalFormatting>
  <conditionalFormatting sqref="U2">
    <cfRule type="containsText" dxfId="39" priority="1" operator="containsText" text="Error! please choose width not higher than 1220">
      <formula>NOT(ISERROR(SEARCH("Error! please choose width not higher than 1220",U2)))</formula>
    </cfRule>
  </conditionalFormatting>
  <conditionalFormatting sqref="AH24:AI24">
    <cfRule type="containsText" dxfId="38" priority="3" operator="containsText" text="under MOQ">
      <formula>NOT(ISERROR(SEARCH("under MOQ",AH24)))</formula>
    </cfRule>
    <cfRule type="containsText" dxfId="37" priority="4" operator="containsText" text="fine from MOQ perspective">
      <formula>NOT(ISERROR(SEARCH("fine from MOQ perspective",AH24)))</formula>
    </cfRule>
  </conditionalFormatting>
  <conditionalFormatting sqref="AL24:AM24">
    <cfRule type="containsText" dxfId="36" priority="5" operator="containsText" text="under MOQ">
      <formula>NOT(ISERROR(SEARCH("under MOQ",AL24)))</formula>
    </cfRule>
    <cfRule type="containsText" dxfId="35" priority="6" operator="containsText" text="fine from MOQ perspective">
      <formula>NOT(ISERROR(SEARCH("fine from MOQ perspective",AL24)))</formula>
    </cfRule>
  </conditionalFormatting>
  <conditionalFormatting sqref="AP24:AQ24">
    <cfRule type="containsText" dxfId="34" priority="7" operator="containsText" text="under MOQ">
      <formula>NOT(ISERROR(SEARCH("under MOQ",AP24)))</formula>
    </cfRule>
    <cfRule type="containsText" dxfId="33" priority="8" operator="containsText" text="fine from MOQ perspective">
      <formula>NOT(ISERROR(SEARCH("fine from MOQ perspective",AP24)))</formula>
    </cfRule>
  </conditionalFormatting>
  <conditionalFormatting sqref="AT24:AU24">
    <cfRule type="containsText" dxfId="32" priority="9" operator="containsText" text="under MOQ">
      <formula>NOT(ISERROR(SEARCH("under MOQ",AT24)))</formula>
    </cfRule>
    <cfRule type="containsText" dxfId="31" priority="10" operator="containsText" text="fine from MOQ perspective">
      <formula>NOT(ISERROR(SEARCH("fine from MOQ perspective",AT24)))</formula>
    </cfRule>
  </conditionalFormatting>
  <conditionalFormatting sqref="AX24:AY24">
    <cfRule type="containsText" dxfId="30" priority="11" operator="containsText" text="under MOQ">
      <formula>NOT(ISERROR(SEARCH("under MOQ",AX24)))</formula>
    </cfRule>
    <cfRule type="containsText" dxfId="29" priority="12" operator="containsText" text="fine from MOQ perspective">
      <formula>NOT(ISERROR(SEARCH("fine from MOQ perspective",AX24)))</formula>
    </cfRule>
  </conditionalFormatting>
  <conditionalFormatting sqref="BB24:BC24">
    <cfRule type="containsText" dxfId="28" priority="13" operator="containsText" text="under MOQ">
      <formula>NOT(ISERROR(SEARCH("under MOQ",BB24)))</formula>
    </cfRule>
    <cfRule type="containsText" dxfId="27" priority="14" operator="containsText" text="fine from MOQ perspective">
      <formula>NOT(ISERROR(SEARCH("fine from MOQ perspective",BB24)))</formula>
    </cfRule>
  </conditionalFormatting>
  <dataValidations count="11">
    <dataValidation operator="greaterThan" allowBlank="1" showInputMessage="1" showErrorMessage="1" errorTitle="MOQ is 5K Meter" sqref="B43" xr:uid="{C24D7340-C97D-4CB3-A3CE-22506D8FBB5D}"/>
    <dataValidation type="list" allowBlank="1" showInputMessage="1" showErrorMessage="1" sqref="B45" xr:uid="{7BB512FF-29F0-45D5-AB41-D417080B7921}">
      <formula1>"Y,N"</formula1>
    </dataValidation>
    <dataValidation type="whole" operator="greaterThan" allowBlank="1" showInputMessage="1" showErrorMessage="1" errorTitle="Length of reel must be 500M+ " sqref="B46" xr:uid="{468E4B9D-D63A-498A-86BE-77F4588E6C06}">
      <formula1>500</formula1>
    </dataValidation>
    <dataValidation type="list" allowBlank="1" showInputMessage="1" showErrorMessage="1" sqref="AH4 AL4 AP4 AX4 BB4 AT4" xr:uid="{F4E5CFE5-9A51-447C-A324-6DBBF1D85851}">
      <formula1>"TIPA 302FG,TIPA 302FG W,TIPA 306M,TIPA 306W,TIPA 312 MFG,TIPA 312 MET,TIPA 312MFGW"</formula1>
    </dataValidation>
    <dataValidation type="list" allowBlank="1" showInputMessage="1" showErrorMessage="1" sqref="AX6 AH6 AL6 AP6 AT6" xr:uid="{57EFE91B-0FAA-4048-BCF3-145D95157798}">
      <formula1>"20,25,30,35,40,45,50,55,60"</formula1>
    </dataValidation>
    <dataValidation type="list" allowBlank="1" showInputMessage="1" showErrorMessage="1" sqref="BB10 AH10 AL10 AP10 AT10 AX10" xr:uid="{66724176-614B-449C-A56A-58FB52BD9A94}">
      <formula1>ShippingRoutes</formula1>
    </dataValidation>
    <dataValidation type="list" allowBlank="1" showInputMessage="1" showErrorMessage="1" sqref="BB21 AH21 AL21 AP21 AT21 AX21" xr:uid="{E1CF8401-7A65-4885-9E7C-32FFAF008743}">
      <formula1>"By Weight,By Length"</formula1>
    </dataValidation>
    <dataValidation type="list" allowBlank="1" showInputMessage="1" showErrorMessage="1" sqref="AH11 AL11 AP11 AT11 AX11 BB11" xr:uid="{C141A69F-5DFA-477B-A2ED-64283F0FB152}">
      <formula1>"Printed,Not Printed"</formula1>
    </dataValidation>
    <dataValidation type="list" allowBlank="1" showInputMessage="1" showErrorMessage="1" sqref="AT12 AX12 AH12 AL12 AP12 BB12" xr:uid="{77708764-FB03-4B47-B127-A09F58A933BB}">
      <formula1>"0,1-2,3-4,5-8"</formula1>
    </dataValidation>
    <dataValidation type="list" allowBlank="1" showInputMessage="1" showErrorMessage="1" sqref="AH13 AL13 AP13 AT13 AX13 BB13" xr:uid="{85C2F0F3-F99D-483F-997B-F0D5FE692D12}">
      <formula1>"Marma,Bastin"</formula1>
    </dataValidation>
    <dataValidation type="list" allowBlank="1" showInputMessage="1" showErrorMessage="1" sqref="AH7 AL7 AP7 AT7 AX7 BB7" xr:uid="{222EDEEF-15EB-4F67-B2F1-12AB7525AA4B}">
      <formula1>"1.25"</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0">
        <x14:dataValidation type="list" allowBlank="1" showInputMessage="1" showErrorMessage="1" xr:uid="{C3784390-7344-4E27-8922-752E0DEED8C6}">
          <x14:formula1>
            <xm:f>HELPER!$I$1:$I$12</xm:f>
          </x14:formula1>
          <xm:sqref>C23:C31</xm:sqref>
        </x14:dataValidation>
        <x14:dataValidation type="list" allowBlank="1" showInputMessage="1" showErrorMessage="1" xr:uid="{760E6BD7-5F6A-4B77-9F22-3BEBE02298C6}">
          <x14:formula1>
            <xm:f>HELPER!$K$1:$K$12</xm:f>
          </x14:formula1>
          <xm:sqref>D23:D31</xm:sqref>
        </x14:dataValidation>
        <x14:dataValidation type="list" allowBlank="1" showInputMessage="1" showErrorMessage="1" xr:uid="{47E22613-0193-4648-9BE2-8D03B06EB5C2}">
          <x14:formula1>
            <xm:f>HELPER!$M$2:$M$12</xm:f>
          </x14:formula1>
          <xm:sqref>P34:P37</xm:sqref>
        </x14:dataValidation>
        <x14:dataValidation type="list" allowBlank="1" showInputMessage="1" showErrorMessage="1" xr:uid="{DAE93EA2-D705-441A-ACA6-D1FD50A15E57}">
          <x14:formula1>
            <xm:f>HELPER!$O$2:$O$12</xm:f>
          </x14:formula1>
          <xm:sqref>J23:J37</xm:sqref>
        </x14:dataValidation>
        <x14:dataValidation type="list" allowBlank="1" showInputMessage="1" showErrorMessage="1" xr:uid="{C3602ACC-8F88-420D-9F5E-F763227A1034}">
          <x14:formula1>
            <xm:f>HELPER!$I$2:$I$13</xm:f>
          </x14:formula1>
          <xm:sqref>B49</xm:sqref>
        </x14:dataValidation>
        <x14:dataValidation type="list" allowBlank="1" showInputMessage="1" showErrorMessage="1" xr:uid="{17F1378E-5DDB-4BE4-8DCC-6589A1CC6C83}">
          <x14:formula1>
            <xm:f>HELPER!$BD$2:$BD$4</xm:f>
          </x14:formula1>
          <xm:sqref>B42</xm:sqref>
        </x14:dataValidation>
        <x14:dataValidation type="list" allowBlank="1" showInputMessage="1" showErrorMessage="1" xr:uid="{1C102E8A-5FB0-463A-9190-DEF1FED36403}">
          <x14:formula1>
            <xm:f>HELPER!$X$2:$X$7</xm:f>
          </x14:formula1>
          <xm:sqref>B48</xm:sqref>
        </x14:dataValidation>
        <x14:dataValidation type="list" allowBlank="1" showInputMessage="1" showErrorMessage="1" xr:uid="{B5451F2C-BAD3-4AAE-AA95-B732F105D623}">
          <x14:formula1>
            <xm:f>HELPER!$V$2:$V$3</xm:f>
          </x14:formula1>
          <xm:sqref>B47</xm:sqref>
        </x14:dataValidation>
        <x14:dataValidation type="list" allowBlank="1" showInputMessage="1" showErrorMessage="1" xr:uid="{3238ED12-B5C6-4924-93F2-D03968D5A4F4}">
          <x14:formula1>
            <xm:f>BOM!$Q$2:$Q$4</xm:f>
          </x14:formula1>
          <xm:sqref>A23:A37</xm:sqref>
        </x14:dataValidation>
        <x14:dataValidation type="list" allowBlank="1" showInputMessage="1" showErrorMessage="1" xr:uid="{7FB433F2-2B2D-4A30-B359-BE1670F552EF}">
          <x14:formula1>
            <xm:f>HELPER!$AV$2:$AV$170</xm:f>
          </x14:formula1>
          <xm:sqref>B41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D646E-31A2-4F37-9EA6-0B37A52997B3}">
  <sheetPr>
    <tabColor rgb="FFFFFF00"/>
    <pageSetUpPr autoPageBreaks="0"/>
  </sheetPr>
  <dimension ref="A1:AW178"/>
  <sheetViews>
    <sheetView tabSelected="1" topLeftCell="U1" zoomScale="70" zoomScaleNormal="70" zoomScaleSheetLayoutView="85" workbookViewId="0">
      <selection activeCell="AJ21" sqref="AJ21"/>
    </sheetView>
  </sheetViews>
  <sheetFormatPr defaultRowHeight="15" outlineLevelRow="1" outlineLevelCol="2"/>
  <cols>
    <col min="1" max="1" width="17.140625" style="96" customWidth="1" outlineLevel="2"/>
    <col min="2" max="2" width="17.140625" customWidth="1" outlineLevel="2"/>
    <col min="3" max="3" width="27.140625" customWidth="1" outlineLevel="2"/>
    <col min="4" max="4" width="18.140625" customWidth="1" outlineLevel="2"/>
    <col min="5" max="5" width="17.28515625" customWidth="1" outlineLevel="2"/>
    <col min="6" max="6" width="19.5703125" customWidth="1" outlineLevel="2"/>
    <col min="7" max="7" width="29.7109375" customWidth="1" outlineLevel="2"/>
    <col min="8" max="9" width="17.140625" customWidth="1" outlineLevel="2"/>
    <col min="10" max="10" width="24.5703125" customWidth="1" outlineLevel="2"/>
    <col min="11" max="11" width="13.42578125" customWidth="1" outlineLevel="2"/>
    <col min="12" max="13" width="13.140625" customWidth="1" outlineLevel="2"/>
    <col min="14" max="14" width="17.42578125" customWidth="1" outlineLevel="2"/>
    <col min="15" max="15" width="20.5703125" customWidth="1" outlineLevel="2"/>
    <col min="16" max="16" width="15.140625" customWidth="1" outlineLevel="2"/>
    <col min="17" max="17" width="17.140625" customWidth="1" outlineLevel="2"/>
    <col min="18" max="19" width="24" style="141" customWidth="1" outlineLevel="2"/>
    <col min="20" max="20" width="14.5703125" style="141" customWidth="1" outlineLevel="2"/>
    <col min="21" max="21" width="24" style="141" customWidth="1" outlineLevel="2"/>
    <col min="22" max="23" width="14.5703125" customWidth="1" outlineLevel="2"/>
    <col min="24" max="24" width="8.85546875" customWidth="1" outlineLevel="2"/>
    <col min="25" max="25" width="15.42578125" customWidth="1" outlineLevel="2"/>
    <col min="26" max="26" width="21.42578125" customWidth="1" outlineLevel="2"/>
    <col min="27" max="27" width="15.42578125" style="727" customWidth="1" outlineLevel="2"/>
    <col min="28" max="28" width="11.85546875" style="117" customWidth="1" outlineLevel="2"/>
    <col min="29" max="29" width="11.28515625" style="838" customWidth="1" outlineLevel="2"/>
    <col min="30" max="30" width="11.28515625" style="117" customWidth="1"/>
    <col min="31" max="31" width="12.7109375" style="117" customWidth="1"/>
    <col min="32" max="32" width="16.42578125" style="117" customWidth="1"/>
    <col min="33" max="33" width="28.85546875" bestFit="1" customWidth="1"/>
    <col min="34" max="34" width="25.85546875" bestFit="1" customWidth="1"/>
    <col min="35" max="35" width="24.140625" customWidth="1"/>
    <col min="36" max="36" width="14.5703125" customWidth="1"/>
    <col min="37" max="37" width="22.42578125" bestFit="1" customWidth="1"/>
    <col min="38" max="39" width="14.5703125" customWidth="1"/>
    <col min="40" max="40" width="3.85546875" customWidth="1"/>
    <col min="41" max="41" width="23.5703125" customWidth="1"/>
    <col min="42" max="42" width="17.85546875" customWidth="1"/>
    <col min="43" max="43" width="15.42578125" bestFit="1" customWidth="1"/>
    <col min="45" max="45" width="19.5703125" bestFit="1" customWidth="1"/>
    <col min="46" max="46" width="4.140625" bestFit="1" customWidth="1"/>
    <col min="47" max="48" width="12.28515625" bestFit="1" customWidth="1"/>
    <col min="49" max="49" width="2.7109375" style="867" customWidth="1"/>
    <col min="51" max="51" width="4.140625" bestFit="1" customWidth="1"/>
    <col min="52" max="53" width="12.28515625" bestFit="1" customWidth="1"/>
  </cols>
  <sheetData>
    <row r="1" spans="1:48" ht="15.75" thickBot="1">
      <c r="A1" s="276" t="s">
        <v>875</v>
      </c>
      <c r="B1" s="276" t="s">
        <v>875</v>
      </c>
      <c r="C1" s="276" t="s">
        <v>617</v>
      </c>
      <c r="D1" s="534"/>
      <c r="E1" s="535"/>
      <c r="F1" s="276" t="s">
        <v>875</v>
      </c>
      <c r="G1" s="276" t="s">
        <v>141</v>
      </c>
      <c r="H1" s="276" t="s">
        <v>875</v>
      </c>
      <c r="I1" s="276" t="s">
        <v>875</v>
      </c>
      <c r="J1" s="276" t="s">
        <v>876</v>
      </c>
      <c r="K1" s="277" t="s">
        <v>141</v>
      </c>
      <c r="L1" s="276" t="s">
        <v>141</v>
      </c>
      <c r="M1" s="276" t="s">
        <v>141</v>
      </c>
      <c r="N1" s="277" t="s">
        <v>141</v>
      </c>
      <c r="O1" s="276" t="s">
        <v>875</v>
      </c>
      <c r="P1" s="276" t="s">
        <v>141</v>
      </c>
      <c r="Q1" s="276" t="s">
        <v>875</v>
      </c>
      <c r="R1" s="278" t="s">
        <v>877</v>
      </c>
      <c r="S1" s="278" t="s">
        <v>877</v>
      </c>
      <c r="T1" s="275" t="s">
        <v>141</v>
      </c>
      <c r="U1" s="278" t="s">
        <v>877</v>
      </c>
      <c r="V1" s="278" t="s">
        <v>141</v>
      </c>
      <c r="W1" s="278" t="s">
        <v>141</v>
      </c>
      <c r="X1" s="276"/>
      <c r="Y1" s="276" t="s">
        <v>141</v>
      </c>
      <c r="Z1" s="238" t="s">
        <v>865</v>
      </c>
      <c r="AA1" s="835" t="s">
        <v>875</v>
      </c>
      <c r="AB1" s="836" t="s">
        <v>141</v>
      </c>
      <c r="AC1" s="837" t="s">
        <v>141</v>
      </c>
      <c r="AG1" s="869" t="s">
        <v>878</v>
      </c>
      <c r="AH1" s="870">
        <v>0.15</v>
      </c>
      <c r="AI1" s="673"/>
      <c r="AK1" s="869" t="s">
        <v>878</v>
      </c>
      <c r="AL1" s="870">
        <v>0.15</v>
      </c>
      <c r="AM1" s="673"/>
      <c r="AO1" s="869" t="s">
        <v>878</v>
      </c>
      <c r="AP1" s="870">
        <v>0.15</v>
      </c>
      <c r="AQ1" s="673"/>
    </row>
    <row r="2" spans="1:48" ht="18.95" customHeight="1" thickBot="1">
      <c r="A2" s="94" t="s">
        <v>227</v>
      </c>
      <c r="B2" s="94" t="s">
        <v>180</v>
      </c>
      <c r="C2" s="92" t="s">
        <v>181</v>
      </c>
      <c r="D2" s="94" t="s">
        <v>883</v>
      </c>
      <c r="E2" s="94" t="s">
        <v>1040</v>
      </c>
      <c r="F2" s="94" t="s">
        <v>239</v>
      </c>
      <c r="G2" s="94" t="s">
        <v>183</v>
      </c>
      <c r="H2" s="92" t="s">
        <v>184</v>
      </c>
      <c r="I2" s="94" t="s">
        <v>612</v>
      </c>
      <c r="J2" s="536" t="s">
        <v>1041</v>
      </c>
      <c r="K2" s="92" t="s">
        <v>4</v>
      </c>
      <c r="L2" s="92" t="s">
        <v>58</v>
      </c>
      <c r="M2" s="94" t="s">
        <v>187</v>
      </c>
      <c r="N2" s="92" t="s">
        <v>188</v>
      </c>
      <c r="O2" s="94" t="s">
        <v>148</v>
      </c>
      <c r="P2" s="94" t="s">
        <v>122</v>
      </c>
      <c r="Q2" s="118" t="s">
        <v>244</v>
      </c>
      <c r="R2" s="139" t="s">
        <v>291</v>
      </c>
      <c r="S2" s="139" t="s">
        <v>293</v>
      </c>
      <c r="T2" s="139" t="s">
        <v>874</v>
      </c>
      <c r="U2" s="140" t="s">
        <v>827</v>
      </c>
      <c r="V2" s="140" t="s">
        <v>621</v>
      </c>
      <c r="W2" s="140" t="s">
        <v>622</v>
      </c>
      <c r="X2" s="92" t="s">
        <v>189</v>
      </c>
      <c r="Y2" s="239" t="s">
        <v>866</v>
      </c>
      <c r="Z2" s="140" t="s">
        <v>777</v>
      </c>
      <c r="AA2" s="835" t="s">
        <v>1250</v>
      </c>
      <c r="AB2" s="836" t="s">
        <v>1251</v>
      </c>
      <c r="AC2" s="837" t="s">
        <v>1252</v>
      </c>
      <c r="AG2" s="898" t="str">
        <f>"📊 LAMINATE CALCULATOR 1-"&amp;AH3&amp;" Laminate"</f>
        <v>📊 LAMINATE CALCULATOR 1-821M Laminate</v>
      </c>
      <c r="AH2" s="899"/>
      <c r="AI2" s="900"/>
      <c r="AK2" s="898" t="str">
        <f>"📊 LAMINATE CALCULATOR 2-"&amp;AL3&amp;" Laminate"</f>
        <v>📊 LAMINATE CALCULATOR 2-418 Laminate</v>
      </c>
      <c r="AL2" s="899"/>
      <c r="AM2" s="900"/>
      <c r="AO2" s="898" t="str">
        <f>"📊 LAMINATE CALCULATOR 3-"&amp;AP3&amp;" Laminate"</f>
        <v>📊 LAMINATE CALCULATOR 3-428 Laminate</v>
      </c>
      <c r="AP2" s="899"/>
      <c r="AQ2" s="900"/>
    </row>
    <row r="3" spans="1:48" ht="15.75">
      <c r="A3" s="893">
        <f>IF(AH12="By Length",IF(AH13&lt;&gt;"",IFERROR(AH13*$M$8*($D3/$J3),""),""),IF(OR(AH12="By Imp",AH12="IMP"),IFERROR(AH40*$M$8*($D3/$J3),""),IF(AH6="","",AH6)))</f>
        <v>799.88139000000001</v>
      </c>
      <c r="B3" s="891" t="str">
        <f>AH3</f>
        <v>821M</v>
      </c>
      <c r="C3" t="str" cm="1">
        <f t="array" ref="C3:C6">IFERROR(_xlfn.LET(_xlpm.lam,TEXT(B3,"0"),_xlpm.thick,AH4,_xlfn.TAKE(_xlfn._xlws.FILTER(HELPER!$BW$2:$BW$250,(TEXT(HELPER!$BZ$2:$BZ$250,"0")=_xlpm.lam)*(HELPER!$CC$2:$CC$250=_xlpm.thick)*(HELPER!$BW$2:$BW$250&lt;&gt;""),"No match"),6)),"")</f>
        <v>TIPA 302FG</v>
      </c>
      <c r="D3" s="891">
        <f>AH5</f>
        <v>420</v>
      </c>
      <c r="E3" s="895">
        <f>IF(D3="","",IF(D3&lt;300,D3*4,IF(D3&lt;400,D3*3,IF(D3&lt;600,D3*2,D3))))</f>
        <v>840</v>
      </c>
      <c r="F3" s="891"/>
      <c r="G3" s="892">
        <f>IF(OR(AH12="IMP",AH12="By Imp",AH12="By Length"),IFERROR(AH15,""),IFERROR(IF(OR(A3="",A3=0,$D3="",$D3=0,$J3="",$M$8="",$M$8=0,A3&lt;=5),"",(A3-5)/$M$8*($J3/$D3)),""))</f>
        <v>18150</v>
      </c>
      <c r="H3" s="891" t="str">
        <f>AH7</f>
        <v>Not Printed</v>
      </c>
      <c r="I3" s="894">
        <f>IF(H3="Not Printed",0,AH8)</f>
        <v>0</v>
      </c>
      <c r="J3" s="537">
        <f t="shared" ref="J3:J8" si="0">IF($C3="","",IF($E$3="","",$E$3+50))</f>
        <v>890</v>
      </c>
      <c r="K3" cm="1">
        <f t="array" ref="K3">_xlfn.LET(_xlpm.baseThick,IFERROR(INDEX(HELPER!$BX$2:$BX$250,MATCH(1,(TEXT(HELPER!$BZ$2:$BZ$250,"0")=TEXT($B$3,"0"))*(HELPER!$CC$2:$CC$250=$AH$4)*(HELPER!$BW$2:$BW$250=C3),0)),""),IF(_xlpm.baseThick="","",_xlpm.baseThick))</f>
        <v>25</v>
      </c>
      <c r="L3">
        <f>IFERROR(VLOOKUP(C3,HELPER!$AP$1:$AQ$20,2,FALSE),"")</f>
        <v>1.25</v>
      </c>
      <c r="M3" s="283">
        <f>IF(C3="","",IF(ISNUMBER(SEARCH("paper",C3)),42/1000*(J3/1000),IF(OR(L3="",L3=0),"",L3*1000*(K3/1000000)*(J3/1000))))</f>
        <v>2.78125E-2</v>
      </c>
      <c r="N3" s="235" cm="1">
        <f t="array" ref="N3">IF($C3="","",_xlfn.LET(
    _xlpm.mat,TRIM($C3),
    _xlpm.matKey,UPPER(SUBSTITUTE(_xlpm.mat," ","")),
    _xlpm.pr,IFERROR(LOOKUP(2,1/($H$3:H3&lt;&gt;""),$H$3:H3),""),
    _xlpm.widthActual,IFERROR(LOOKUP(2,1/($E$3:E3&lt;&gt;""),$E$3:E3),$E3),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",""))=_xlpm.matKey)*(_xlpm.summaryThick=$K3)*(_xlpm.summaryCosts&gt;0))),INDEX(_xlfn._xlws.FILTER(_xlpm.summaryCosts,(UPPER(SUBSTITUTE(_xlpm.summaryNames," ",""))=_xlpm.matKey)*(_xlpm.summaryThick=$K3)*(_xlpm.summaryCosts&gt;0)),1)),""),""),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6.6535064000000004</v>
      </c>
      <c r="O3" s="891" t="str">
        <f>AH10</f>
        <v>Europe to Europe</v>
      </c>
      <c r="P3" s="95">
        <f>IF(C3="","",IFERROR(IF(O$3="Europe to Canada",IF(A$3&lt;1000,VLOOKUP(1000,HELPER!$AG$4:$AH$8,2,FALSE)/A$3,VLOOKUP(A$3,HELPER!$AG$4:$AH$8,2,TRUE)/A$3),IF(O$3="Europe to US",HELPER!$AH$2,IF(O$3="Europe to Europe",HELPER!$AH$3,0))),0))</f>
        <v>0.2</v>
      </c>
      <c r="Q3" s="891" t="str">
        <f>AH11</f>
        <v>Marma</v>
      </c>
      <c r="R3" s="901" cm="1">
        <f t="array" ref="R3">IF(OR($Q3="",$G3=""),"",IF($J3&gt;1220,"Error! please choose lamination width not higher than 1220",_xlfn.LET(_xlpm.struct,$C$3:$C$8,_xlpm.realLayers,SUMPRODUCT(--(_xlpm.struct&lt;&gt;""),--ISERROR(SEARCH("EPOTAL",_xlpm.struct&amp;"")),--ISERROR(SEARCH("BASONAT",_xlpm.struct&amp;"")),--ISERROR(SEARCH("ADHESIVE",_xlpm.struct&amp;"")),--ISERROR(SEARCH("HARDENER",_xlpm.struct&amp;""))),_xlpm.lamSteps,MAX(0,_xlpm.realLayers-1),_xlpm.len,$AH$21,_xlpm.colNum,IF(_xlpm.len&lt;3000,1,IF(_xlpm.len&lt;10000,2,IF(_xlpm.len&lt;25000,3,IF(_xlpm.len&lt;50000,4,IF(_xlpm.len&lt;100000,5,IF(_xlpm.len&lt;250000,6,IF(_xlpm.len&lt;500000,7,8))))))),_xlpm.widthRow,IF($J3&lt;=990,0,5),_xlpm.supplierRow,IF($Q3="Marma",3,IF($Q3="Bastin",13,0)),_xlpm.baseRate,IF(_xlpm.supplierRow=0,"",INDEX('Lmntn &amp; Prntng- Marma &amp; Bastin '!$D$1:$K$22,_xlpm.supplierRow+_xlpm.widthRow,_xlpm.colNum)),IF(_xlpm.realLayers=0,"",_xlpm.baseRate*_xlpm.lamSteps))))</f>
        <v>0.23346</v>
      </c>
      <c r="S3" s="888" t="str" cm="1">
        <f t="array" ref="S3">IF(OR($Q3="",$I3=0,$I3="0"),"",IF($J3&gt;1220,"Error! please choose lamination width not higher than 1220",_xlfn.LET(_xlpm.len,$AH$21,_xlpm.colors,$I3,_xlpm.colNum,IF(_xlpm.len&lt;3000,1,IF(_xlpm.len&lt;10000,2,IF(_xlpm.len&lt;25000,3,IF(_xlpm.len&lt;50000,4,IF(_xlpm.len&lt;100000,5,IF(_xlpm.len&lt;250000,6,IF(_xlpm.len&lt;500000,7,8))))))),_xlpm.widthRow,IF($J3&lt;=990,0,5),_xlpm.colorOffset,IF(OR(_xlpm.colors=1,_xlpm.colors=2,_xlpm.colors="1-2"),1,IF(OR(_xlpm.colors=3,_xlpm.colors=4,_xlpm.colors="3-4"),2,IF(OR(_xlpm.colors&gt;=5,_xlpm.colors="5-6",_xlpm.colors="5-8"),3,0))),_xlpm.supplierRow,IF($Q3="Marma",3,IF($Q3="Bastin",13,0)),IF(OR(_xlpm.supplierRow=0,_xlpm.colorOffset=0),"",INDEX('Lmntn &amp; Prntng- Marma &amp; Bastin '!$D$1:$K$22,_xlpm.supplierRow+_xlpm.widthRow+_xlpm.colorOffset,_xlpm.colNum)))))</f>
        <v/>
      </c>
      <c r="T3" s="889" t="str">
        <f>IF(OR($S3="",$K3=""),"",IFERROR($S3*(1/$M$8)*($J3/($D3*MAX(1,ROUNDDOWN(760/$D3,0)))),""))</f>
        <v/>
      </c>
      <c r="U3" s="896" cm="1">
        <f t="array" ref="U3">IF($Q3="","",IF($J3&gt;1220,"Error! please choose lamination width not higher than 1220",_xlfn.LET(_xlpm.len,$AH$21,_xlpm.colNum,IF(_xlpm.len&lt;3000,1,IF(_xlpm.len&lt;10000,2,IF(_xlpm.len&lt;25000,3,IF(_xlpm.len&lt;50000,4,IF(_xlpm.len&lt;100000,5,IF(_xlpm.len&lt;250000,6,IF(_xlpm.len&lt;500000,7,8))))))),_xlpm.widthRow,IF($J3&lt;=990,0,5),_xlpm.supplierRow,IF($Q3="Marma",7,IF($Q3="Bastin",17,0)),IF(_xlpm.supplierRow=0,"",INDEX('Lmntn &amp; Prntng- Marma &amp; Bastin '!$D$1:$K$22,_xlpm.supplierRow+_xlpm.widthRow,_xlpm.colNum)))))</f>
        <v>3.492E-2</v>
      </c>
      <c r="V3" s="890">
        <f>IFERROR(IF(AH22="","",VLOOKUP($K$8,HELPER!$BH$3:$BI$5,2,TRUE)*AH22),"")</f>
        <v>0</v>
      </c>
      <c r="W3" s="885">
        <f>IF(OR($H3&lt;&gt;"Printed",$I3=0,$I3="0"),0,IFERROR(AH22*0.028,0)+IFERROR(AH43,0))</f>
        <v>0</v>
      </c>
      <c r="X3" s="237">
        <f t="shared" ref="X3:X19" si="1">IF($K3="","",IFERROR($M3*($N3+$P3),""))</f>
        <v>0.19061314675000002</v>
      </c>
      <c r="Y3" s="886">
        <f>IFERROR((SUM(X3:X8)+SUM(R3:S3,U3))*(1/M8)*(J3/E3)+V3+W3,"")</f>
        <v>11.929192372579452</v>
      </c>
      <c r="Z3" s="282">
        <f>IF($M3="","",IFERROR(($N3+$P3)*$M3/$M$8,""))</f>
        <v>2.0410947774706947</v>
      </c>
      <c r="AA3" s="727" t="str">
        <f>AH9</f>
        <v>1</v>
      </c>
      <c r="AB3" s="117" t="str">
        <f>IF(OR(AH12="IMP",AH12="By Imp"),IFERROR(AH13/AA3,""),"")</f>
        <v/>
      </c>
      <c r="AC3" s="838">
        <f>AH42</f>
        <v>0</v>
      </c>
      <c r="AG3" s="556" t="s">
        <v>594</v>
      </c>
      <c r="AH3" s="196" t="s">
        <v>1083</v>
      </c>
      <c r="AI3" s="557"/>
      <c r="AK3" s="556" t="s">
        <v>594</v>
      </c>
      <c r="AL3" s="196">
        <v>418</v>
      </c>
      <c r="AM3" s="557"/>
      <c r="AO3" s="556" t="s">
        <v>594</v>
      </c>
      <c r="AP3" s="196">
        <v>428</v>
      </c>
      <c r="AQ3" s="557"/>
    </row>
    <row r="4" spans="1:48" ht="15.75">
      <c r="A4" s="893"/>
      <c r="B4" s="891"/>
      <c r="C4" t="str">
        <v>NK White</v>
      </c>
      <c r="D4" s="891"/>
      <c r="E4" s="891"/>
      <c r="F4" s="891"/>
      <c r="G4" s="892"/>
      <c r="H4" s="891"/>
      <c r="I4" s="891"/>
      <c r="J4" s="537">
        <f t="shared" si="0"/>
        <v>890</v>
      </c>
      <c r="K4" cm="1">
        <f t="array" ref="K4">_xlfn.LET(_xlpm.baseThick,IFERROR(INDEX(HELPER!$BX$2:$BX$250,MATCH(1,(TEXT(HELPER!$BZ$2:$BZ$250,"0")=TEXT($B$3,"0"))*(HELPER!$CC$2:$CC$250=$AH$4)*(HELPER!$BW$2:$BW$250=C4),0)),""),IF(_xlpm.baseThick="","",_xlpm.baseThick))</f>
        <v>22</v>
      </c>
      <c r="L4">
        <f>IFERROR(VLOOKUP(C4,HELPER!$AP$1:$AQ$20,2,FALSE),"")</f>
        <v>1.44</v>
      </c>
      <c r="M4" s="283">
        <f>IF(C4="","",IF(ISNUMBER(SEARCH("paper",C4)),42/1000*(J4/1000),IF(OR(L4="",L4=0),"",L4*1000*(K4/1000000)*(J4/1000))))</f>
        <v>2.81952E-2</v>
      </c>
      <c r="N4" s="533" cm="1">
        <f t="array" ref="N4">IF($C4="","",_xlfn.LET(
    _xlpm.mat,TRIM($C4),
    _xlpm.matKey,UPPER(SUBSTITUTE(_xlpm.mat," ","")),
    _xlpm.pr,IFERROR(LOOKUP(2,1/($H$3:H4&lt;&gt;""),$H$3:H4),""),
    _xlpm.widthActual,IFERROR(LOOKUP(2,1/($E$3:E4&lt;&gt;""),$E$3:E4),$E4),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",""))=_xlpm.matKey)*(_xlpm.summaryThick=$K4)*(_xlpm.summaryCosts&gt;0))),INDEX(_xlfn._xlws.FILTER(_xlpm.summaryCosts,(UPPER(SUBSTITUTE(_xlpm.summaryNames," ",""))=_xlpm.matKey)*(_xlpm.summaryThick=$K4)*(_xlpm.summaryCosts&gt;0)),1)),""),""),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9.7199999999999989</v>
      </c>
      <c r="O4" s="891"/>
      <c r="P4" s="95">
        <f>IF(C4="","",IFERROR(IF(O$3="Europe to Canada",IF(A$3&lt;1000,VLOOKUP(1000,HELPER!$AG$4:$AH$8,2,FALSE)/A$3,VLOOKUP(A$3,HELPER!$AG$4:$AH$8,2,TRUE)/A$3),IF(O$3="Europe to US",HELPER!$AH$2,IF(O$3="Europe to Europe",HELPER!$AH$3,0))),0))</f>
        <v>0.2</v>
      </c>
      <c r="Q4" s="891"/>
      <c r="R4" s="901"/>
      <c r="S4" s="888"/>
      <c r="T4" s="889"/>
      <c r="U4" s="896"/>
      <c r="V4" s="897"/>
      <c r="W4" s="885"/>
      <c r="X4" s="237">
        <f t="shared" si="1"/>
        <v>0.27969638399999996</v>
      </c>
      <c r="Y4" s="886"/>
      <c r="Z4" s="281">
        <f>IF($M4="","",IFERROR(($N4+$P4)*$M4/$M$8,""))</f>
        <v>2.9950023825407408</v>
      </c>
      <c r="AG4" s="556" t="s">
        <v>595</v>
      </c>
      <c r="AH4" s="667">
        <v>79</v>
      </c>
      <c r="AI4" s="557" t="s">
        <v>109</v>
      </c>
      <c r="AK4" s="556" t="s">
        <v>595</v>
      </c>
      <c r="AL4" s="667">
        <v>51</v>
      </c>
      <c r="AM4" s="557" t="s">
        <v>109</v>
      </c>
      <c r="AO4" s="556" t="s">
        <v>595</v>
      </c>
      <c r="AP4" s="667" cm="1">
        <f t="array" ref="AP4">IFERROR(INDEX(HELPER!$CC$2:$CC$250,MATCH(TEXT(AP3,"0"),TEXT(HELPER!$BZ$2:$BZ$250,"0"),0)),"")</f>
        <v>79</v>
      </c>
      <c r="AQ4" s="557" t="s">
        <v>109</v>
      </c>
    </row>
    <row r="5" spans="1:48" ht="15.75">
      <c r="A5" s="893"/>
      <c r="B5" s="891"/>
      <c r="C5" t="str">
        <v> NK MATT</v>
      </c>
      <c r="D5" s="891"/>
      <c r="E5" s="891"/>
      <c r="F5" s="891"/>
      <c r="G5" s="892"/>
      <c r="H5" s="891"/>
      <c r="I5" s="891"/>
      <c r="J5" s="537">
        <f t="shared" si="0"/>
        <v>890</v>
      </c>
      <c r="K5" cm="1">
        <f t="array" ref="K5">_xlfn.LET(_xlpm.baseThick,IFERROR(INDEX(HELPER!$BX$2:$BX$250,MATCH(1,(TEXT(HELPER!$BZ$2:$BZ$250,"0")=TEXT($B$3,"0"))*(HELPER!$CC$2:$CC$250=$AH$4)*(HELPER!$BW$2:$BW$250=C5),0)),""),IF(_xlpm.baseThick="","",_xlpm.baseThick))</f>
        <v>25</v>
      </c>
      <c r="L5">
        <f>IFERROR(VLOOKUP(C5,HELPER!$AP$1:$AQ$20,2,FALSE),"")</f>
        <v>1.44</v>
      </c>
      <c r="M5" s="283">
        <f>IF(C5="","",IF(ISNUMBER(SEARCH("paper",C5)),42/1000*(J5/1000),IF(OR(L5="",L5=0),"",L5*1000*(K5/1000000)*(J5/1000))))</f>
        <v>3.2040000000000006E-2</v>
      </c>
      <c r="N5" s="236" cm="1">
        <f t="array" ref="N5">IF($C5="","",_xlfn.LET(
    _xlpm.mat,TRIM($C5),
    _xlpm.matKey,UPPER(SUBSTITUTE(_xlpm.mat," ","")),
    _xlpm.pr,IFERROR(LOOKUP(2,1/($H$3:H5&lt;&gt;""),$H$3:H5),""),
    _xlpm.widthActual,IFERROR(LOOKUP(2,1/($E$3:E5&lt;&gt;""),$E$3:E5),$E5),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",""))=_xlpm.matKey)*(_xlpm.summaryThick=$K5)*(_xlpm.summaryCosts&gt;0))),INDEX(_xlfn._xlws.FILTER(_xlpm.summaryCosts,(UPPER(SUBSTITUTE(_xlpm.summaryNames," ",""))=_xlpm.matKey)*(_xlpm.summaryThick=$K5)*(_xlpm.summaryCosts&gt;0)),1)),""),""),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8.7199999999999989</v>
      </c>
      <c r="O5" s="891"/>
      <c r="P5" s="95">
        <f>IF(C5="","",IFERROR(IF(O$3="Europe to Canada",IF(A$3&lt;1000,VLOOKUP(1000,HELPER!$AG$4:$AH$8,2,FALSE)/A$3,VLOOKUP(A$3,HELPER!$AG$4:$AH$8,2,TRUE)/A$3),IF(O$3="Europe to US",HELPER!$AH$2,IF(O$3="Europe to Europe",HELPER!$AH$3,0))),0))</f>
        <v>0.2</v>
      </c>
      <c r="Q5" s="891"/>
      <c r="R5" s="901"/>
      <c r="S5" s="888"/>
      <c r="T5" s="889"/>
      <c r="U5" s="896"/>
      <c r="V5" s="897"/>
      <c r="W5" s="885"/>
      <c r="X5" s="237">
        <f t="shared" si="1"/>
        <v>0.28579680000000002</v>
      </c>
      <c r="Y5" s="886"/>
      <c r="Z5" s="233">
        <f>IF($M5="","",IFERROR(($N5+$P5)*$M5/$M$8,""))</f>
        <v>3.0603259315734301</v>
      </c>
      <c r="AG5" s="556" t="s">
        <v>596</v>
      </c>
      <c r="AH5" s="196">
        <v>420</v>
      </c>
      <c r="AI5" s="557" t="s">
        <v>511</v>
      </c>
      <c r="AK5" s="556" t="s">
        <v>596</v>
      </c>
      <c r="AL5" s="196">
        <v>420</v>
      </c>
      <c r="AM5" s="557" t="s">
        <v>511</v>
      </c>
      <c r="AO5" s="556" t="s">
        <v>596</v>
      </c>
      <c r="AP5" s="196">
        <v>750</v>
      </c>
      <c r="AQ5" s="557" t="s">
        <v>511</v>
      </c>
    </row>
    <row r="6" spans="1:48" ht="15.75">
      <c r="A6" s="893"/>
      <c r="B6" s="891"/>
      <c r="C6" t="str">
        <v>RM G Epotal ECO 3675</v>
      </c>
      <c r="D6" s="891"/>
      <c r="E6" s="891"/>
      <c r="F6" s="891"/>
      <c r="G6" s="892"/>
      <c r="H6" s="891"/>
      <c r="I6" s="891"/>
      <c r="J6" s="537">
        <f t="shared" si="0"/>
        <v>890</v>
      </c>
      <c r="K6" cm="1">
        <f t="array" ref="K6">_xlfn.LET(_xlpm.baseThick,IFERROR(INDEX(HELPER!$BX$2:$BX$250,MATCH(1,(TEXT(HELPER!$BZ$2:$BZ$250,"0")=TEXT($B$3,"0"))*(HELPER!$CC$2:$CC$250=$AH$4)*(HELPER!$BW$2:$BW$250=C6),0)),""),IF(_xlpm.baseThick="","",_xlpm.baseThick))</f>
        <v>6</v>
      </c>
      <c r="L6">
        <f>IFERROR(VLOOKUP(C6,HELPER!$AP$1:$AQ$20,2,FALSE),"")</f>
        <v>1</v>
      </c>
      <c r="M6" s="283">
        <f>IF(C6="","",IF(ISNUMBER(SEARCH("paper",C6)),42/1000*(J6/1000),IF(OR(L6="",L6=0),"",L6*1000*(K6/1000000)*(J6/1000))))</f>
        <v>5.3400000000000001E-3</v>
      </c>
      <c r="N6" s="235" cm="1">
        <f t="array" ref="N6">IF($C6="","",_xlfn.LET(
    _xlpm.mat,TRIM($C6),
    _xlpm.matKey,UPPER(SUBSTITUTE(_xlpm.mat," ","")),
    _xlpm.pr,IFERROR(LOOKUP(2,1/($H$3:H6&lt;&gt;""),$H$3:H6),""),
    _xlpm.widthActual,IFERROR(LOOKUP(2,1/($E$3:E6&lt;&gt;""),$E$3:E6),$E6),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",""))=_xlpm.matKey)*(_xlpm.summaryThick=$K6)*(_xlpm.summaryCosts&gt;0))),INDEX(_xlfn._xlws.FILTER(_xlpm.summaryCosts,(UPPER(SUBSTITUTE(_xlpm.summaryNames," ",""))=_xlpm.matKey)*(_xlpm.summaryThick=$K6)*(_xlpm.summaryCosts&gt;0)),1)),""),""),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4.8500000000000005</v>
      </c>
      <c r="O6" s="891"/>
      <c r="P6" s="95">
        <f>IF(C6="","",IFERROR(IF(O$3="Europe to Canada",IF(A$3&lt;1000,VLOOKUP(1000,HELPER!$AG$4:$AH$8,2,FALSE)/A$3,VLOOKUP(A$3,HELPER!$AG$4:$AH$8,2,TRUE)/A$3),IF(O$3="Europe to US",HELPER!$AH$2,IF(O$3="Europe to Europe",HELPER!$AH$3,0))),0))</f>
        <v>0.2</v>
      </c>
      <c r="Q6" s="891"/>
      <c r="R6" s="901"/>
      <c r="S6" s="888"/>
      <c r="T6" s="889"/>
      <c r="U6" s="896"/>
      <c r="V6" s="897"/>
      <c r="W6" s="885"/>
      <c r="X6" s="237">
        <f t="shared" si="1"/>
        <v>2.6967000000000005E-2</v>
      </c>
      <c r="Y6" s="886"/>
      <c r="Z6" s="280">
        <f>IF($M6="","",IFERROR(($N6+$P6)*$M6/$M$8,""))</f>
        <v>0.28876393786333748</v>
      </c>
      <c r="AG6" s="556" t="s">
        <v>597</v>
      </c>
      <c r="AH6" s="196"/>
      <c r="AI6" s="557" t="s">
        <v>225</v>
      </c>
      <c r="AK6" s="556" t="s">
        <v>597</v>
      </c>
      <c r="AL6" s="196"/>
      <c r="AM6" s="557" t="s">
        <v>225</v>
      </c>
      <c r="AO6" s="556" t="s">
        <v>597</v>
      </c>
      <c r="AP6" s="196"/>
      <c r="AQ6" s="557" t="s">
        <v>225</v>
      </c>
    </row>
    <row r="7" spans="1:48" ht="15.75">
      <c r="A7" s="893"/>
      <c r="B7" s="891"/>
      <c r="C7" s="95"/>
      <c r="D7" s="891"/>
      <c r="E7" s="891"/>
      <c r="F7" s="891"/>
      <c r="G7" s="892"/>
      <c r="H7" s="891"/>
      <c r="I7" s="891"/>
      <c r="J7" s="537" t="str">
        <f t="shared" si="0"/>
        <v/>
      </c>
      <c r="K7" t="str" cm="1">
        <f t="array" ref="K7">_xlfn.LET(_xlpm.baseThick,IFERROR(INDEX(HELPER!$BX$2:$BX$250,MATCH(1,(TEXT(HELPER!$BZ$2:$BZ$250,"0")=TEXT($B$3,"0"))*(HELPER!$CC$2:$CC$250=$AH$4)*(HELPER!$BW$2:$BW$250=C7),0)),""),IF(_xlpm.baseThick="","",_xlpm.baseThick))</f>
        <v/>
      </c>
      <c r="L7" t="str">
        <f>IFERROR(VLOOKUP(C7,HELPER!$AP$1:$AQ$20,2,FALSE),"")</f>
        <v/>
      </c>
      <c r="M7" s="283" t="str">
        <f>IF(C7="","",IF(ISNUMBER(SEARCH("paper",C7)),42/1000*(J7/1000),IF(OR(L7="",L7=0),"",L7*1000*(K7/1000000)*(J7/1000))))</f>
        <v/>
      </c>
      <c r="N7" s="235" t="str" cm="1">
        <f t="array" ref="N7">IF($C7="","",_xlfn.LET(
    _xlpm.mat,TRIM($C7),
    _xlpm.matKey,UPPER(SUBSTITUTE(_xlpm.mat," ","")),
    _xlpm.pr,IFERROR(LOOKUP(2,1/($H$3:H7&lt;&gt;""),$H$3:H7),""),
    _xlpm.widthActual,IFERROR(LOOKUP(2,1/($E$3:E7&lt;&gt;""),$E$3:E7),$E7),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",""))=_xlpm.matKey)*(_xlpm.summaryThick=$K7)*(_xlpm.summaryCosts&gt;0))),INDEX(_xlfn._xlws.FILTER(_xlpm.summaryCosts,(UPPER(SUBSTITUTE(_xlpm.summaryNames," ",""))=_xlpm.matKey)*(_xlpm.summaryThick=$K7)*(_xlpm.summaryCosts&gt;0)),1)),""),""),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
      </c>
      <c r="O7" s="891"/>
      <c r="P7" s="65" t="str">
        <f>IF(C7="","",IFERROR(IF(O$3="Europe to Canada",IF(A$3&lt;1000,VLOOKUP(1000,HELPER!$AG$4:$AH$8,2,FALSE)/A$3,VLOOKUP(A$3,HELPER!$AG$4:$AH$8,2,TRUE)/A$3),IF(O$3="Europe to US",HELPER!$AH$2,IF(O$3="Europe to Europe",HELPER!$AH$3,0))),0))</f>
        <v/>
      </c>
      <c r="Q7" s="891"/>
      <c r="R7" s="901"/>
      <c r="S7" s="888"/>
      <c r="T7" s="889"/>
      <c r="U7" s="896"/>
      <c r="V7" s="897"/>
      <c r="W7" s="885"/>
      <c r="X7" s="289" t="str">
        <f t="shared" si="1"/>
        <v/>
      </c>
      <c r="Y7" s="886"/>
      <c r="Z7" s="233" t="str">
        <f>IF($M7="","",IFERROR(($N7+$P7)*$M7/$M$8,""))</f>
        <v/>
      </c>
      <c r="AG7" s="556" t="s">
        <v>598</v>
      </c>
      <c r="AH7" s="196" t="s">
        <v>139</v>
      </c>
      <c r="AI7" s="557"/>
      <c r="AK7" s="556" t="s">
        <v>598</v>
      </c>
      <c r="AL7" s="196" t="s">
        <v>139</v>
      </c>
      <c r="AM7" s="557"/>
      <c r="AO7" s="556" t="s">
        <v>598</v>
      </c>
      <c r="AP7" s="196" t="s">
        <v>138</v>
      </c>
      <c r="AQ7" s="557"/>
    </row>
    <row r="8" spans="1:48" ht="15.75">
      <c r="A8" s="893"/>
      <c r="B8" s="891"/>
      <c r="C8" s="38"/>
      <c r="D8" s="891"/>
      <c r="E8" s="891"/>
      <c r="F8" s="891"/>
      <c r="G8" s="892"/>
      <c r="H8" s="891"/>
      <c r="I8" s="891"/>
      <c r="J8" s="537" t="str">
        <f t="shared" si="0"/>
        <v/>
      </c>
      <c r="K8" s="192">
        <f>AH4</f>
        <v>79</v>
      </c>
      <c r="L8" t="str">
        <f>IFERROR(VLOOKUP(C8,HELPER!$AP$1:$AQ$20,2,FALSE),"")</f>
        <v/>
      </c>
      <c r="M8" s="284">
        <f>SUM(M3:M7)</f>
        <v>9.3387700000000004E-2</v>
      </c>
      <c r="N8" s="235" t="str" cm="1">
        <f t="array" ref="N8">IF($C8="","",_xlfn.LET(
    _xlpm.mat,TRIM($C8),
    _xlpm.matKey,UPPER(SUBSTITUTE(_xlpm.mat," ","")),
    _xlpm.pr,IFERROR(LOOKUP(2,1/($H$3:H8&lt;&gt;""),$H$3:H8),""),
    _xlpm.widthActual,IFERROR(LOOKUP(2,1/($E$3:E8&lt;&gt;""),$E$3:E8),$E8),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",""))=_xlpm.matKey)*(_xlpm.summaryThick=$K8)*(_xlpm.summaryCosts&gt;0))),INDEX(_xlfn._xlws.FILTER(_xlpm.summaryCosts,(UPPER(SUBSTITUTE(_xlpm.summaryNames," ",""))=_xlpm.matKey)*(_xlpm.summaryThick=$K8)*(_xlpm.summaryCosts&gt;0)),1)),""),""),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
      </c>
      <c r="O8" s="891"/>
      <c r="P8" s="95" t="str">
        <f>IF(C8="","",IFERROR(IF(O$3="Europe to Canada",IF(A$3&lt;1000,VLOOKUP(1000,HELPER!$AG$4:$AH$8,2,FALSE)/A$3,VLOOKUP(A$3,HELPER!$AG$4:$AH$8,2,TRUE)/A$3),IF(O$3="Europe to US",HELPER!$AH$2,IF(O$3="Europe to Europe",HELPER!$AH$3,0))),0))</f>
        <v/>
      </c>
      <c r="Q8" s="891"/>
      <c r="R8" s="901"/>
      <c r="S8" s="888"/>
      <c r="T8" s="889"/>
      <c r="U8" s="896"/>
      <c r="V8" s="897"/>
      <c r="W8" s="885"/>
      <c r="X8" s="234" t="str">
        <f t="shared" si="1"/>
        <v/>
      </c>
      <c r="Y8" s="886"/>
      <c r="Z8" s="233"/>
      <c r="AG8" s="556" t="s">
        <v>825</v>
      </c>
      <c r="AH8" s="197" t="s">
        <v>243</v>
      </c>
      <c r="AI8" s="557"/>
      <c r="AK8" s="556" t="s">
        <v>825</v>
      </c>
      <c r="AL8" s="197" t="s">
        <v>243</v>
      </c>
      <c r="AM8" s="557"/>
      <c r="AO8" s="556" t="s">
        <v>825</v>
      </c>
      <c r="AP8" s="197" t="s">
        <v>137</v>
      </c>
      <c r="AQ8" s="557"/>
    </row>
    <row r="9" spans="1:48" ht="15.75">
      <c r="A9" s="893">
        <f>IF(AL12="By Length",IF(AL13&lt;&gt;"",IFERROR(AL13*$M$14*($D9/$J9),""),""),IF(OR(AL12="By Imp",AL12="IMP"),IFERROR(AL40*$M$14*($D9/$J9),""),IF(AL6="","",AL6)))</f>
        <v>56.590799999999994</v>
      </c>
      <c r="B9" s="891">
        <f>AL3</f>
        <v>418</v>
      </c>
      <c r="C9" t="str" cm="1">
        <f t="array" ref="C9:C11">IFERROR(_xlfn.LET(_xlpm.lam,TEXT(B9,"0"),_xlpm.thick,AL4,_xlfn.TAKE(_xlfn._xlws.FILTER(HELPER!$BW$2:$BW$250,(TEXT(HELPER!$BZ$2:$BZ$250,"0")=_xlpm.lam)*(HELPER!$CC$2:$CC$250=_xlpm.thick)*(HELPER!$BW$2:$BW$250&lt;&gt;""),"No match"),6)),"")</f>
        <v>NK</v>
      </c>
      <c r="D9" s="891">
        <f>AL5</f>
        <v>420</v>
      </c>
      <c r="E9" s="895">
        <f>IF(D9="","",IF(D9&lt;300,D9*4,IF(D9&lt;400,D9*3,IF(D9&lt;600,D9*2,D9))))</f>
        <v>840</v>
      </c>
      <c r="F9" s="891"/>
      <c r="G9" s="892">
        <f>IF(OR(AL12="IMP",AL12="By Imp",AL12="By Length"),IFERROR(AL15,""),IFERROR(IF(OR(A9="",A9=0,$D9="",$D9=0,$J9="",$M$14="",$M$14=0,A9&lt;=5),"",(A9-5)/$M$14*($J9/$D9)),""))</f>
        <v>2000</v>
      </c>
      <c r="H9" s="891" t="str">
        <f>AL7</f>
        <v>Not Printed</v>
      </c>
      <c r="I9" s="894">
        <f>IF(H9="Not Printed",0,AL8)</f>
        <v>0</v>
      </c>
      <c r="J9" s="537">
        <f t="shared" ref="J9:J14" si="2">IF($C9="","",IF($E$9="","",$E$9+50))</f>
        <v>890</v>
      </c>
      <c r="K9" cm="1">
        <f t="array" ref="K9">_xlfn.LET(_xlpm.baseThick,IFERROR(INDEX(HELPER!$BX$2:$BX$250,MATCH(1,(TEXT(HELPER!$BZ$2:$BZ$250,"0")=TEXT($B$9,"0"))*(HELPER!$CC$2:$CC$250=$AL$4)*(HELPER!$BW$2:$BW$250=C9),0)),""),IF(_xlpm.baseThick="","",_xlpm.baseThick))</f>
        <v>23</v>
      </c>
      <c r="L9">
        <f>IFERROR(VLOOKUP(C9,HELPER!$AP$1:$AQ$20,2,FALSE),"")</f>
        <v>1.44</v>
      </c>
      <c r="M9" s="283">
        <f>IF(C9="","",IF(ISNUMBER(SEARCH("paper",C9)),42/1000*(J9/1000),IF(OR(L9="",L9=0),"",L9*1000*(K9/1000000)*(J9/1000))))</f>
        <v>2.9476799999999997E-2</v>
      </c>
      <c r="N9" s="235" cm="1">
        <f t="array" ref="N9">IF($C9="","",_xlfn.LET(
    _xlpm.mat,TRIM($C9),
    _xlpm.matKey,UPPER(SUBSTITUTE(_xlpm.mat," ","")),
    _xlpm.pr,IFERROR(LOOKUP(2,1/($H$3:H9&lt;&gt;""),$H$3:H9),""),
    _xlpm.widthActual,IFERROR(LOOKUP(2,1/($E$3:E9&lt;&gt;""),$E$3:E9),$E9),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",""))=_xlpm.matKey)*(_xlpm.summaryThick=$K9)*(_xlpm.summaryCosts&gt;0))),INDEX(_xlfn._xlws.FILTER(_xlpm.summaryCosts,(UPPER(SUBSTITUTE(_xlpm.summaryNames," ",""))=_xlpm.matKey)*(_xlpm.summaryThick=$K9)*(_xlpm.summaryCosts&gt;0)),1)),""),""),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7.95</v>
      </c>
      <c r="O9" s="891" t="str">
        <f>AL10</f>
        <v>Europe to Europe</v>
      </c>
      <c r="P9" s="95">
        <f>IF(C9="","",IFERROR(IF(O$9="Europe to Canada",IF(A$9&lt;1000,VLOOKUP(1000,HELPER!$AG$4:$AH$8,2,FALSE)/A$9,VLOOKUP(A$9,HELPER!$AG$4:$AH$8,2,TRUE)/A$9),IF(O$9="Europe to US",HELPER!$AH$2,IF(O$9="Europe to Europe",HELPER!$AH$3,0))),0))</f>
        <v>0.2</v>
      </c>
      <c r="Q9" s="891" t="str">
        <f>AL11</f>
        <v>Marma</v>
      </c>
      <c r="R9" s="888" cm="1">
        <f t="array" ref="R9">IF(OR($Q9="",$G9=""),"",IF($J9&gt;1220,"Error! please choose lamination width not higher than 1220",_xlfn.LET(_xlpm.struct,$C$9:$C$14,_xlpm.realLayers,SUMPRODUCT(--(_xlpm.struct&lt;&gt;""),--ISERROR(SEARCH("EPOTAL",_xlpm.struct&amp;"")),--ISERROR(SEARCH("BASONAT",_xlpm.struct&amp;"")),--ISERROR(SEARCH("ADHESIVE",_xlpm.struct&amp;"")),--ISERROR(SEARCH("HARDENER",_xlpm.struct&amp;""))),_xlpm.lamSteps,MAX(0,_xlpm.realLayers-1),_xlpm.len,$AL$21,_xlpm.colNum,IF(_xlpm.len&lt;3000,1,IF(_xlpm.len&lt;10000,2,IF(_xlpm.len&lt;25000,3,IF(_xlpm.len&lt;50000,4,IF(_xlpm.len&lt;100000,5,IF(_xlpm.len&lt;250000,6,IF(_xlpm.len&lt;500000,7,8))))))),_xlpm.widthRow,IF($J9&lt;=990,0,5),_xlpm.supplierRow,IF($Q9="Marma",3,IF($Q9="Bastin",13,0)),_xlpm.baseRate,IF(_xlpm.supplierRow=0,"",INDEX('Lmntn &amp; Prntng- Marma &amp; Bastin '!$D$1:$K$22,_xlpm.supplierRow+_xlpm.widthRow,_xlpm.colNum)),IF(_xlpm.realLayers=0,"",_xlpm.baseRate*_xlpm.lamSteps))))</f>
        <v>0.11673</v>
      </c>
      <c r="S9" s="888" t="str" cm="1">
        <f t="array" ref="S9">IF(OR($Q9="",$I9=0,$I9="0"),"",IF($J9&gt;1220,"Error! please choose lamination width not higher than 1220",_xlfn.LET(_xlpm.len,$AL$21,_xlpm.colors,$I9,_xlpm.colNum,IF(_xlpm.len&lt;3000,1,IF(_xlpm.len&lt;10000,2,IF(_xlpm.len&lt;25000,3,IF(_xlpm.len&lt;50000,4,IF(_xlpm.len&lt;100000,5,IF(_xlpm.len&lt;250000,6,IF(_xlpm.len&lt;500000,7,8))))))),_xlpm.widthRow,IF($J9&lt;=990,0,5),_xlpm.colorOffset,IF(OR(_xlpm.colors=1,_xlpm.colors=2,_xlpm.colors="1-2"),1,IF(OR(_xlpm.colors=3,_xlpm.colors=4,_xlpm.colors="3-4"),2,IF(OR(_xlpm.colors&gt;=5,_xlpm.colors="5-6",_xlpm.colors="5-8"),3,0))),_xlpm.supplierRow,IF($Q9="Marma",3,IF($Q9="Bastin",13,0)),IF(OR(_xlpm.supplierRow=0,_xlpm.colorOffset=0),"",INDEX('Lmntn &amp; Prntng- Marma &amp; Bastin '!$D$1:$K$22,_xlpm.supplierRow+_xlpm.widthRow+_xlpm.colorOffset,_xlpm.colNum)))))</f>
        <v/>
      </c>
      <c r="T9" s="889" t="str">
        <f>IF(OR($S9="",$K9=""),"",IFERROR($S9*(1/$M$14)*($J9/($D9*MAX(1,ROUNDDOWN(760/$D9,0)))),""))</f>
        <v/>
      </c>
      <c r="U9" s="888" cm="1">
        <f t="array" ref="U9">IF($Q9="","",IF($J9&gt;1220,"Error! please choose lamination width not higher than 1220",_xlfn.LET(_xlpm.len,$AL$21,_xlpm.colNum,IF(_xlpm.len&lt;3000,1,IF(_xlpm.len&lt;10000,2,IF(_xlpm.len&lt;25000,3,IF(_xlpm.len&lt;50000,4,IF(_xlpm.len&lt;100000,5,IF(_xlpm.len&lt;250000,6,IF(_xlpm.len&lt;500000,7,8))))))),_xlpm.widthRow,IF($J9&lt;=990,0,5),_xlpm.supplierRow,IF($Q9="Marma",7,IF($Q9="Bastin",17,0)),IF(_xlpm.supplierRow=0,"",INDEX('Lmntn &amp; Prntng- Marma &amp; Bastin '!$D$1:$K$22,_xlpm.supplierRow+_xlpm.widthRow,_xlpm.colNum)))))</f>
        <v>3.492E-2</v>
      </c>
      <c r="V9" s="890">
        <f>IFERROR(IF(AL22="","",VLOOKUP($K$14,HELPER!$BH$3:$BI$5,2,TRUE)*AL22),"")</f>
        <v>0</v>
      </c>
      <c r="W9" s="885">
        <f>IF(OR($H9&lt;&gt;"Printed",$I9=0,$I9="0"),0,IFERROR(AL22*0.028,0)+IFERROR(AL43,0))</f>
        <v>0</v>
      </c>
      <c r="X9" s="234">
        <f t="shared" si="1"/>
        <v>0.24023591999999999</v>
      </c>
      <c r="Y9" s="886">
        <f>IFERROR((SUM(X9:X14)+SUM(R9:S9,U9))*(1/M14)*(J9/E9)+V9+W9,"")</f>
        <v>11.662192573152351</v>
      </c>
      <c r="Z9" s="233">
        <f>IF($M9="","",IFERROR(($N9+$P9)*$M9/$M$14,""))</f>
        <v>4.0066498441442775</v>
      </c>
      <c r="AA9" s="727">
        <f>AL9</f>
        <v>1</v>
      </c>
      <c r="AB9" s="117" t="str">
        <f>IF(OR(AL12="IMP",AL12="By Imp"),IFERROR(AL13/AA9,""),"")</f>
        <v/>
      </c>
      <c r="AC9" s="838">
        <f>AL42</f>
        <v>0.5</v>
      </c>
      <c r="AG9" s="556" t="s">
        <v>1253</v>
      </c>
      <c r="AH9" s="197" t="s">
        <v>1320</v>
      </c>
      <c r="AI9" s="557" t="s">
        <v>1254</v>
      </c>
      <c r="AJ9" s="38"/>
      <c r="AK9" s="556" t="s">
        <v>1253</v>
      </c>
      <c r="AL9" s="197">
        <v>1</v>
      </c>
      <c r="AM9" s="557" t="s">
        <v>1254</v>
      </c>
      <c r="AN9" s="38"/>
      <c r="AO9" s="556" t="s">
        <v>1253</v>
      </c>
      <c r="AP9" s="197">
        <v>1</v>
      </c>
      <c r="AQ9" s="557" t="s">
        <v>1254</v>
      </c>
    </row>
    <row r="10" spans="1:48" ht="15.75">
      <c r="A10" s="893"/>
      <c r="B10" s="891"/>
      <c r="C10" t="str">
        <v>TIPA 312 MET</v>
      </c>
      <c r="D10" s="891"/>
      <c r="E10" s="891"/>
      <c r="F10" s="891"/>
      <c r="G10" s="893"/>
      <c r="H10" s="891"/>
      <c r="I10" s="891"/>
      <c r="J10" s="537">
        <f t="shared" si="2"/>
        <v>890</v>
      </c>
      <c r="K10" cm="1">
        <f t="array" ref="K10">_xlfn.LET(_xlpm.baseThick,IFERROR(INDEX(HELPER!$BX$2:$BX$250,MATCH(1,(TEXT(HELPER!$BZ$2:$BZ$250,"0")=TEXT($B$9,"0"))*(HELPER!$CC$2:$CC$250=$AL$4)*(HELPER!$BW$2:$BW$250=C10),0)),""),IF(_xlpm.baseThick="","",_xlpm.baseThick))</f>
        <v>25</v>
      </c>
      <c r="L10">
        <f>IFERROR(VLOOKUP(C10,HELPER!$AP$1:$AQ$20,2,FALSE),"")</f>
        <v>1.25</v>
      </c>
      <c r="M10" s="283">
        <f>IF(C10="","",IF(ISNUMBER(SEARCH("paper",C10)),42/1000*(J10/1000),IF(OR(L10="",L10=0),"",L10*1000*(K10/1000000)*(J10/1000))))</f>
        <v>2.78125E-2</v>
      </c>
      <c r="N10" s="236" cm="1">
        <f t="array" ref="N10">IF($C10="","",_xlfn.LET(
    _xlpm.mat,TRIM($C10),
    _xlpm.matKey,UPPER(SUBSTITUTE(_xlpm.mat," ","")),
    _xlpm.pr,IFERROR(LOOKUP(2,1/($H$3:H10&lt;&gt;""),$H$3:H10),""),
    _xlpm.widthActual,IFERROR(LOOKUP(2,1/($E$3:E10&lt;&gt;""),$E$3:E10),$E10),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",""))=_xlpm.matKey)*(_xlpm.summaryThick=$K10)*(_xlpm.summaryCosts&gt;0))),INDEX(_xlfn._xlws.FILTER(_xlpm.summaryCosts,(UPPER(SUBSTITUTE(_xlpm.summaryNames," ",""))=_xlpm.matKey)*(_xlpm.summaryThick=$K10)*(_xlpm.summaryCosts&gt;0)),1)),""),""),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8.9542791000000008</v>
      </c>
      <c r="O10" s="891"/>
      <c r="P10" s="95">
        <f>IF(C10="","",IFERROR(IF(O$9="Europe to Canada",IF(A$9&lt;1000,VLOOKUP(1000,HELPER!$AG$4:$AH$8,2,FALSE)/A$9,VLOOKUP(A$9,HELPER!$AG$4:$AH$8,2,TRUE)/A$9),IF(O$9="Europe to US",HELPER!$AH$2,IF(O$9="Europe to Europe",HELPER!$AH$3,0))),0))</f>
        <v>0.2</v>
      </c>
      <c r="Q10" s="891"/>
      <c r="R10" s="888"/>
      <c r="S10" s="888"/>
      <c r="T10" s="889"/>
      <c r="U10" s="888"/>
      <c r="V10" s="891"/>
      <c r="W10" s="885"/>
      <c r="X10" s="234">
        <f t="shared" si="1"/>
        <v>0.25460338746875</v>
      </c>
      <c r="Y10" s="886"/>
      <c r="Z10" s="233">
        <f>IF($M10="","",IFERROR(($N10+$P10)*$M10/$M$14,""))</f>
        <v>4.2462701777497402</v>
      </c>
      <c r="AG10" s="556" t="s">
        <v>599</v>
      </c>
      <c r="AH10" s="196" t="s">
        <v>572</v>
      </c>
      <c r="AI10" s="557"/>
      <c r="AK10" s="556" t="s">
        <v>599</v>
      </c>
      <c r="AL10" s="196" t="s">
        <v>572</v>
      </c>
      <c r="AM10" s="557"/>
      <c r="AO10" s="556" t="s">
        <v>599</v>
      </c>
      <c r="AP10" s="196" t="s">
        <v>572</v>
      </c>
      <c r="AQ10" s="557"/>
    </row>
    <row r="11" spans="1:48" ht="15.75">
      <c r="A11" s="893"/>
      <c r="B11" s="891"/>
      <c r="C11" t="str">
        <v>RM G Epotal ECO 3675</v>
      </c>
      <c r="D11" s="891"/>
      <c r="E11" s="891"/>
      <c r="F11" s="891"/>
      <c r="G11" s="893"/>
      <c r="H11" s="891"/>
      <c r="I11" s="891"/>
      <c r="J11" s="537">
        <f t="shared" si="2"/>
        <v>890</v>
      </c>
      <c r="K11" cm="1">
        <f t="array" ref="K11">_xlfn.LET(_xlpm.baseThick,IFERROR(INDEX(HELPER!$BX$2:$BX$250,MATCH(1,(TEXT(HELPER!$BZ$2:$BZ$250,"0")=TEXT($B$9,"0"))*(HELPER!$CC$2:$CC$250=$AL$4)*(HELPER!$BW$2:$BW$250=C11),0)),""),IF(_xlpm.baseThick="","",_xlpm.baseThick))</f>
        <v>3</v>
      </c>
      <c r="L11">
        <f>IFERROR(VLOOKUP(C11,HELPER!$AP$1:$AQ$20,2,FALSE),"")</f>
        <v>1</v>
      </c>
      <c r="M11" s="283">
        <f>IF(C11="","",IF(ISNUMBER(SEARCH("paper",C11)),42/1000*(J11/1000),IF(OR(L11="",L11=0),"",L11*1000*(K11/1000000)*(J11/1000))))</f>
        <v>2.6700000000000001E-3</v>
      </c>
      <c r="N11" s="235" cm="1">
        <f t="array" ref="N11">IF($C11="","",_xlfn.LET(
    _xlpm.mat,TRIM($C11),
    _xlpm.matKey,UPPER(SUBSTITUTE(_xlpm.mat," ","")),
    _xlpm.pr,IFERROR(LOOKUP(2,1/($H$3:H11&lt;&gt;""),$H$3:H11),""),
    _xlpm.widthActual,IFERROR(LOOKUP(2,1/($E$3:E11&lt;&gt;""),$E$3:E11),$E11),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",""))=_xlpm.matKey)*(_xlpm.summaryThick=$K11)*(_xlpm.summaryCosts&gt;0))),INDEX(_xlfn._xlws.FILTER(_xlpm.summaryCosts,(UPPER(SUBSTITUTE(_xlpm.summaryNames," ",""))=_xlpm.matKey)*(_xlpm.summaryThick=$K11)*(_xlpm.summaryCosts&gt;0)),1)),""),""),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4.8500000000000005</v>
      </c>
      <c r="O11" s="891"/>
      <c r="P11" s="95">
        <f>IF(C11="","",IFERROR(IF(O$9="Europe to Canada",IF(A$9&lt;1000,VLOOKUP(1000,HELPER!$AG$4:$AH$8,2,FALSE)/A$9,VLOOKUP(A$9,HELPER!$AG$4:$AH$8,2,TRUE)/A$9),IF(O$9="Europe to US",HELPER!$AH$2,IF(O$9="Europe to Europe",HELPER!$AH$3,0))),0))</f>
        <v>0.2</v>
      </c>
      <c r="Q11" s="891"/>
      <c r="R11" s="888"/>
      <c r="S11" s="888"/>
      <c r="T11" s="889"/>
      <c r="U11" s="888"/>
      <c r="V11" s="891"/>
      <c r="W11" s="885"/>
      <c r="X11" s="234">
        <f t="shared" si="1"/>
        <v>1.3483500000000002E-2</v>
      </c>
      <c r="Y11" s="886"/>
      <c r="Z11" s="233">
        <f>IF($M11="","",IFERROR(($N11+$P11)*$M11/$M$14,""))</f>
        <v>0.224877541932611</v>
      </c>
      <c r="AG11" s="556" t="s">
        <v>600</v>
      </c>
      <c r="AH11" s="196" t="s">
        <v>272</v>
      </c>
      <c r="AI11" s="557"/>
      <c r="AK11" s="556" t="s">
        <v>600</v>
      </c>
      <c r="AL11" s="196" t="s">
        <v>272</v>
      </c>
      <c r="AM11" s="557"/>
      <c r="AO11" s="556" t="s">
        <v>600</v>
      </c>
      <c r="AP11" s="196" t="s">
        <v>272</v>
      </c>
      <c r="AQ11" s="557"/>
    </row>
    <row r="12" spans="1:48" ht="15.75">
      <c r="A12" s="893"/>
      <c r="B12" s="891"/>
      <c r="D12" s="891"/>
      <c r="E12" s="891"/>
      <c r="F12" s="891"/>
      <c r="G12" s="893"/>
      <c r="H12" s="891"/>
      <c r="I12" s="891"/>
      <c r="J12" s="537" t="str">
        <f t="shared" si="2"/>
        <v/>
      </c>
      <c r="K12" t="str" cm="1">
        <f t="array" ref="K12">_xlfn.LET(_xlpm.baseThick,IFERROR(INDEX(HELPER!$BX$2:$BX$250,MATCH(1,(TEXT(HELPER!$BZ$2:$BZ$250,"0")=TEXT($B$9,"0"))*(HELPER!$CC$2:$CC$250=$AL$4)*(HELPER!$BW$2:$BW$250=C12),0)),""),IF(_xlpm.baseThick="","",_xlpm.baseThick))</f>
        <v/>
      </c>
      <c r="L12" t="str">
        <f>IFERROR(VLOOKUP(C12,HELPER!$AP$1:$AQ$20,2,FALSE),"")</f>
        <v/>
      </c>
      <c r="M12" s="283" t="str">
        <f>IF(C12="","",IF(ISNUMBER(SEARCH("paper",C12)),42/1000*(J12/1000),IF(OR(L12="",L12=0),"",L12*1000*(K12/1000000)*(J12/1000))))</f>
        <v/>
      </c>
      <c r="N12" s="235" t="str" cm="1">
        <f t="array" ref="N12">IF($C12="","",_xlfn.LET(
    _xlpm.mat,TRIM($C12),
    _xlpm.matKey,UPPER(SUBSTITUTE(_xlpm.mat," ","")),
    _xlpm.pr,IFERROR(LOOKUP(2,1/($H$3:H12&lt;&gt;""),$H$3:H12),""),
    _xlpm.widthActual,IFERROR(LOOKUP(2,1/($E$3:E12&lt;&gt;""),$E$3:E12),$E12),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",""))=_xlpm.matKey)*(_xlpm.summaryThick=$K12)*(_xlpm.summaryCosts&gt;0))),INDEX(_xlfn._xlws.FILTER(_xlpm.summaryCosts,(UPPER(SUBSTITUTE(_xlpm.summaryNames," ",""))=_xlpm.matKey)*(_xlpm.summaryThick=$K12)*(_xlpm.summaryCosts&gt;0)),1)),""),""),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
      </c>
      <c r="O12" s="891"/>
      <c r="P12" s="95" t="str">
        <f>IF(C12="","",IFERROR(IF(O$9="Europe to Canada",IF(A$9&lt;1000,VLOOKUP(1000,HELPER!$AG$4:$AH$8,2,FALSE)/A$9,VLOOKUP(A$9,HELPER!$AG$4:$AH$8,2,TRUE)/A$9),IF(O$9="Europe to US",HELPER!$AH$2,IF(O$9="Europe to Europe",HELPER!$AH$3,0))),0))</f>
        <v/>
      </c>
      <c r="Q12" s="891"/>
      <c r="R12" s="888"/>
      <c r="S12" s="888"/>
      <c r="T12" s="889"/>
      <c r="U12" s="888"/>
      <c r="V12" s="891"/>
      <c r="W12" s="885"/>
      <c r="X12" s="234" t="str">
        <f t="shared" si="1"/>
        <v/>
      </c>
      <c r="Y12" s="886"/>
      <c r="Z12" s="233" t="str">
        <f>IF($M12="","",IFERROR(($N12+$P12)*$M12/$M$14,""))</f>
        <v/>
      </c>
      <c r="AG12" s="599" t="s">
        <v>589</v>
      </c>
      <c r="AH12" s="848" t="s">
        <v>585</v>
      </c>
      <c r="AI12" s="559"/>
      <c r="AJ12" s="270"/>
      <c r="AK12" s="599" t="s">
        <v>589</v>
      </c>
      <c r="AL12" s="848" t="s">
        <v>585</v>
      </c>
      <c r="AM12" s="559"/>
      <c r="AO12" s="599" t="s">
        <v>589</v>
      </c>
      <c r="AP12" s="848" t="s">
        <v>1070</v>
      </c>
      <c r="AQ12" s="559"/>
      <c r="AS12" s="288"/>
    </row>
    <row r="13" spans="1:48" ht="15.75">
      <c r="A13" s="893"/>
      <c r="B13" s="891"/>
      <c r="D13" s="891"/>
      <c r="E13" s="891"/>
      <c r="F13" s="891"/>
      <c r="G13" s="893"/>
      <c r="H13" s="891"/>
      <c r="I13" s="891"/>
      <c r="J13" s="537" t="str">
        <f t="shared" si="2"/>
        <v/>
      </c>
      <c r="K13" t="str" cm="1">
        <f t="array" ref="K13">_xlfn.LET(_xlpm.baseThick,IFERROR(INDEX(HELPER!$BX$2:$BX$250,MATCH(1,(TEXT(HELPER!$BZ$2:$BZ$250,"0")=TEXT($B$9,"0"))*(HELPER!$CC$2:$CC$250=$AL$4)*(HELPER!$BW$2:$BW$250=C13),0)),""),IF(_xlpm.baseThick="","",_xlpm.baseThick))</f>
        <v/>
      </c>
      <c r="L13" t="str">
        <f>IFERROR(VLOOKUP(C13,HELPER!$AP$1:$AQ$20,2,FALSE),"")</f>
        <v/>
      </c>
      <c r="M13" s="283" t="str">
        <f>IF(C13="","",IF(ISNUMBER(SEARCH("paper",C13)),42/1000*(J13/1000),IF(OR(L13="",L13=0),"",L13*1000*(K13/1000000)*(J13/1000))))</f>
        <v/>
      </c>
      <c r="N13" s="235" t="str" cm="1">
        <f t="array" ref="N13">IF($C13="","",_xlfn.LET(
    _xlpm.mat,TRIM($C13),
    _xlpm.matKey,UPPER(SUBSTITUTE(_xlpm.mat," ","")),
    _xlpm.pr,IFERROR(LOOKUP(2,1/($H$3:H13&lt;&gt;""),$H$3:H13),""),
    _xlpm.widthActual,IFERROR(LOOKUP(2,1/($E$3:E13&lt;&gt;""),$E$3:E13),$E13),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",""))=_xlpm.matKey)*(_xlpm.summaryThick=$K13)*(_xlpm.summaryCosts&gt;0))),INDEX(_xlfn._xlws.FILTER(_xlpm.summaryCosts,(UPPER(SUBSTITUTE(_xlpm.summaryNames," ",""))=_xlpm.matKey)*(_xlpm.summaryThick=$K13)*(_xlpm.summaryCosts&gt;0)),1)),""),""),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
      </c>
      <c r="O13" s="891"/>
      <c r="P13" s="95" t="str">
        <f>IF(C13="","",IFERROR(IF(O$9="Europe to Canada",IF(A$9&lt;1000,VLOOKUP(1000,HELPER!$AG$4:$AH$8,2,FALSE)/A$9,VLOOKUP(A$9,HELPER!$AG$4:$AH$8,2,TRUE)/A$9),IF(O$9="Europe to US",HELPER!$AH$2,IF(O$9="Europe to Europe",HELPER!$AH$3,0))),0))</f>
        <v/>
      </c>
      <c r="Q13" s="891"/>
      <c r="R13" s="888"/>
      <c r="S13" s="888"/>
      <c r="T13" s="889"/>
      <c r="U13" s="888"/>
      <c r="V13" s="891"/>
      <c r="W13" s="885"/>
      <c r="X13" s="234" t="str">
        <f t="shared" si="1"/>
        <v/>
      </c>
      <c r="Y13" s="886"/>
      <c r="Z13" s="233"/>
      <c r="AG13" s="599" t="s">
        <v>1064</v>
      </c>
      <c r="AH13" s="549">
        <v>18150</v>
      </c>
      <c r="AI13" s="575" t="str">
        <f>IF(AH12="IMP","IMP",IF(AH12="By Length","m",""))</f>
        <v>m</v>
      </c>
      <c r="AJ13" s="555"/>
      <c r="AK13" s="599" t="s">
        <v>1064</v>
      </c>
      <c r="AL13" s="549">
        <v>2000</v>
      </c>
      <c r="AM13" s="575" t="str">
        <f>IF(AL12="IMP","IMP",IF(AL12="By Length","m",""))</f>
        <v>m</v>
      </c>
      <c r="AN13" s="555"/>
      <c r="AO13" s="599" t="s">
        <v>1064</v>
      </c>
      <c r="AP13" s="549">
        <v>475000</v>
      </c>
      <c r="AQ13" s="575" t="str">
        <f>IF(AP12="IMP","IMP",IF(AP12="By Length","m",""))</f>
        <v/>
      </c>
    </row>
    <row r="14" spans="1:48" ht="15.75">
      <c r="A14" s="893"/>
      <c r="B14" s="891"/>
      <c r="C14" s="38"/>
      <c r="D14" s="891"/>
      <c r="E14" s="891"/>
      <c r="F14" s="891"/>
      <c r="G14" s="893"/>
      <c r="H14" s="891"/>
      <c r="I14" s="891"/>
      <c r="J14" s="537" t="str">
        <f t="shared" si="2"/>
        <v/>
      </c>
      <c r="K14" s="192">
        <f>AL4</f>
        <v>51</v>
      </c>
      <c r="L14" t="str">
        <f>IFERROR(VLOOKUP(C14,HELPER!$AP$1:$AQ$20,2,FALSE),"")</f>
        <v/>
      </c>
      <c r="M14" s="284">
        <f>SUM(M9:M13)</f>
        <v>5.99593E-2</v>
      </c>
      <c r="N14" s="235" t="str" cm="1">
        <f t="array" ref="N14">IF($C14="","",_xlfn.LET(
    _xlpm.mat,TRIM($C14),
    _xlpm.matKey,UPPER(SUBSTITUTE(_xlpm.mat," ","")),
    _xlpm.pr,IFERROR(LOOKUP(2,1/($H$3:H14&lt;&gt;""),$H$3:H14),""),
    _xlpm.widthActual,IFERROR(LOOKUP(2,1/($E$3:E14&lt;&gt;""),$E$3:E14),$E14),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",""))=_xlpm.matKey)*(_xlpm.summaryThick=$K14)*(_xlpm.summaryCosts&gt;0))),INDEX(_xlfn._xlws.FILTER(_xlpm.summaryCosts,(UPPER(SUBSTITUTE(_xlpm.summaryNames," ",""))=_xlpm.matKey)*(_xlpm.summaryThick=$K14)*(_xlpm.summaryCosts&gt;0)),1)),""),""),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
      </c>
      <c r="O14" s="891"/>
      <c r="P14" s="95" t="str">
        <f>IF(C14="","",IFERROR(IF(O$9="Europe to Canada",IF(A$9&lt;1000,VLOOKUP(1000,HELPER!$AG$4:$AH$8,2,FALSE)/A$9,VLOOKUP(A$9,HELPER!$AG$4:$AH$8,2,TRUE)/A$9),IF(O$9="Europe to US",HELPER!$AH$2,IF(O$9="Europe to Europe",HELPER!$AH$3,0))),0))</f>
        <v/>
      </c>
      <c r="Q14" s="891"/>
      <c r="R14" s="888"/>
      <c r="S14" s="888"/>
      <c r="T14" s="889"/>
      <c r="U14" s="888"/>
      <c r="V14" s="891"/>
      <c r="W14" s="885"/>
      <c r="X14" s="234" t="str">
        <f t="shared" si="1"/>
        <v/>
      </c>
      <c r="Y14" s="886"/>
      <c r="Z14" s="233"/>
      <c r="AG14" s="560" t="s">
        <v>1319</v>
      </c>
      <c r="AH14" s="872"/>
      <c r="AI14" s="625"/>
      <c r="AK14" s="560" t="s">
        <v>1319</v>
      </c>
      <c r="AL14" s="872"/>
      <c r="AM14" s="625"/>
      <c r="AO14" s="560" t="s">
        <v>1319</v>
      </c>
      <c r="AP14" s="872">
        <v>70</v>
      </c>
      <c r="AQ14" s="625">
        <v>105</v>
      </c>
    </row>
    <row r="15" spans="1:48" ht="15.75">
      <c r="A15" s="893">
        <f>IF(AP12="By Length",IF(AP13&lt;&gt;"",IFERROR(AP13*$M$20*($D15/$J15),""),""),IF(OR(AP12="By Imp",AP12="IMP"),IFERROR(AP40*$M$20*($D15/$J15),""),IF(AP6="","",AP6)))</f>
        <v>354.78082499999999</v>
      </c>
      <c r="B15" s="891">
        <f>AP3</f>
        <v>428</v>
      </c>
      <c r="C15" t="str" cm="1">
        <f t="array" ref="C15:C18">IFERROR(_xlfn.LET(_xlpm.lam,TEXT(B15,"0"),_xlpm.thick,AP4,_xlfn.TAKE(_xlfn._xlws.FILTER(HELPER!$BW$2:$BW$250,(TEXT(HELPER!$BZ$2:$BZ$250,"0")=_xlpm.lam)*(HELPER!$CC$2:$CC$250=_xlpm.thick)*(HELPER!$BW$2:$BW$250&lt;&gt;""),"No match"),6)),"")</f>
        <v>NK</v>
      </c>
      <c r="D15" s="891">
        <f>AP5</f>
        <v>750</v>
      </c>
      <c r="E15" s="895">
        <f>IF(D15="","",IF(D15&lt;300,D15*4,IF(D15&lt;400,D15*3,IF(D15&lt;600,D15*2,D15))))</f>
        <v>750</v>
      </c>
      <c r="F15" s="891"/>
      <c r="G15" s="892">
        <f>IF(OR(AP12="IMP",AP12="By Imp",AP12="By Length"),IFERROR(AP15,""),IFERROR(IF(OR(A15="",A15=0,$D15="",$D15=0,$J15="",$M$20="",$M$20=0,A15&lt;=5),"",(A15-5)/$M$20*($J15/$D15)),""))</f>
        <v>4987.5</v>
      </c>
      <c r="H15" s="891" t="str">
        <f>AP7</f>
        <v>Printed</v>
      </c>
      <c r="I15" s="894" t="str">
        <f>IF(H15="Not Printed",0,AP8)</f>
        <v>3-4</v>
      </c>
      <c r="J15" s="537">
        <f t="shared" ref="J15:J20" si="3">IF($C15="","",IF($E$15="","",$E$15+50))</f>
        <v>800</v>
      </c>
      <c r="K15" cm="1">
        <f t="array" ref="K15">_xlfn.LET(_xlpm.baseThick,IFERROR(INDEX(HELPER!$BX$2:$BX$250,MATCH(1,(TEXT(HELPER!$BZ$2:$BZ$250,"0")=TEXT($B$15,"0"))*(HELPER!$CC$2:$CC$250=$AP$4)*(HELPER!$BW$2:$BW$250=C15),0)),""),IF(_xlpm.baseThick="","",_xlpm.baseThick))</f>
        <v>23</v>
      </c>
      <c r="L15">
        <f>IFERROR(VLOOKUP(C15,HELPER!$AP$1:$AQ$20,2,FALSE),"")</f>
        <v>1.44</v>
      </c>
      <c r="M15" s="285">
        <f>IF(C15="","",IF(ISNUMBER(SEARCH("paper",C15)),42/1000*(J15/1000),IF(OR(L15="",L15=0),"",L15*1000*(K15/1000000)*(J15/1000))))</f>
        <v>2.6495999999999999E-2</v>
      </c>
      <c r="N15" s="235" cm="1">
        <f t="array" ref="N15">IF($C15="","",_xlfn.LET(
    _xlpm.mat,TRIM($C15),
    _xlpm.matKey,UPPER(SUBSTITUTE(_xlpm.mat," ","")),
    _xlpm.pr,IFERROR(LOOKUP(2,1/($H$3:H15&lt;&gt;""),$H$3:H15),""),
    _xlpm.widthActual,IFERROR(LOOKUP(2,1/($E$3:E15&lt;&gt;""),$E$3:E15),$E15),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",""))=_xlpm.matKey)*(_xlpm.summaryThick=$K15)*(_xlpm.summaryCosts&gt;0))),INDEX(_xlfn._xlws.FILTER(_xlpm.summaryCosts,(UPPER(SUBSTITUTE(_xlpm.summaryNames," ",""))=_xlpm.matKey)*(_xlpm.summaryThick=$K15)*(_xlpm.summaryCosts&gt;0)),1)),""),""),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7.95</v>
      </c>
      <c r="O15" s="891" t="str">
        <f>AP10</f>
        <v>Europe to Europe</v>
      </c>
      <c r="P15" s="95">
        <f>IF(C15="","",IFERROR(IF(O$15="Europe to Canada",IF(A$15&lt;1000,VLOOKUP(1000,HELPER!$AG$4:$AH$8,2,FALSE)/A$15,VLOOKUP(A$15,HELPER!$AG$4:$AH$8,2,TRUE)/A$15),IF(O$15="Europe to US",HELPER!$AH$2,IF(O$15="Europe to Europe",HELPER!$AH$3,0))),0))</f>
        <v>0.2</v>
      </c>
      <c r="Q15" s="891" t="str">
        <f>AP11</f>
        <v>Marma</v>
      </c>
      <c r="R15" s="888" cm="1">
        <f t="array" ref="R15">IF(OR($Q15="",$G15=""),"",IF($J15&gt;1220,"Error! please choose lamination width not higher than 1220",_xlfn.LET(_xlpm.struct,$C$15:$C$20,_xlpm.realLayers,SUMPRODUCT(--(_xlpm.struct&lt;&gt;""),--ISERROR(SEARCH("EPOTAL",_xlpm.struct&amp;"")),--ISERROR(SEARCH("BASONAT",_xlpm.struct&amp;"")),--ISERROR(SEARCH("ADHESIVE",_xlpm.struct&amp;"")),--ISERROR(SEARCH("HARDENER",_xlpm.struct&amp;""))),_xlpm.lamSteps,MAX(0,_xlpm.realLayers-1),_xlpm.len,$G15,_xlpm.colNum,IF(_xlpm.len&lt;3000,1,IF(_xlpm.len&lt;10000,2,IF(_xlpm.len&lt;25000,3,IF(_xlpm.len&lt;50000,4,IF(_xlpm.len&lt;100000,5,IF(_xlpm.len&lt;250000,6,IF(_xlpm.len&lt;500000,7,8))))))),_xlpm.widthRow,IF($J15&lt;=990,0,5),_xlpm.supplierRow,IF($Q15="Marma",3,IF($Q15="Bastin",13,0)),_xlpm.baseRate,IF(_xlpm.supplierRow=0,"",INDEX('Lmntn &amp; Prntng- Marma &amp; Bastin '!$D$1:$K$22,_xlpm.supplierRow+_xlpm.widthRow,_xlpm.colNum)),IF(_xlpm.realLayers=0,"",_xlpm.baseRate*_xlpm.lamSteps))))</f>
        <v>0.20826</v>
      </c>
      <c r="S15" s="888" cm="1">
        <f t="array" ref="S15">IF(OR($Q15="",$I15=0,$I15="0"),"",IF($J15&gt;1220,"Error! please choose lamination width not higher than 1220",_xlfn.LET(_xlpm.len,$G15,_xlpm.colors,$I15,_xlpm.colNum,IF(_xlpm.len&lt;3000,1,IF(_xlpm.len&lt;10000,2,IF(_xlpm.len&lt;25000,3,IF(_xlpm.len&lt;50000,4,IF(_xlpm.len&lt;100000,5,IF(_xlpm.len&lt;250000,6,IF(_xlpm.len&lt;500000,7,8))))))),_xlpm.widthRow,IF($J15&lt;=990,0,5),_xlpm.colorOffset,IF(OR(_xlpm.colors=1,_xlpm.colors=2,_xlpm.colors="1-2"),1,IF(OR(_xlpm.colors=3,_xlpm.colors=4,_xlpm.colors="3-4"),2,IF(OR(_xlpm.colors&gt;=5,_xlpm.colors="5-6",_xlpm.colors="5-8"),3,0))),_xlpm.supplierRow,IF($Q15="Marma",3,IF($Q15="Bastin",13,0)),IF(OR(_xlpm.supplierRow=0,_xlpm.colorOffset=0),"",INDEX('Lmntn &amp; Prntng- Marma &amp; Bastin '!$D$1:$K$22,_xlpm.supplierRow+_xlpm.widthRow+_xlpm.colorOffset,_xlpm.colNum)))))</f>
        <v>0.17702000000000001</v>
      </c>
      <c r="T15" s="889">
        <f>IF(OR($S15="",$K15=""),"",IFERROR($S15*(1/$M$20)*($J15/($D15*MAX(1,ROUNDDOWN(760/$D15,0)))),""))</f>
        <v>2.3226399002820965</v>
      </c>
      <c r="U15" s="888" cm="1">
        <f t="array" ref="U15">IF(OR($Q15="",$G15=""),"",IF($J15&gt;1220,"Error! please choose lamination width not higher than 1220",_xlfn.LET(_xlpm.len,$G15,_xlpm.colNum,IF(_xlpm.len&lt;3000,1,IF(_xlpm.len&lt;10000,2,IF(_xlpm.len&lt;25000,3,IF(_xlpm.len&lt;50000,4,IF(_xlpm.len&lt;100000,5,IF(_xlpm.len&lt;250000,6,IF(_xlpm.len&lt;500000,7,8))))))),_xlpm.widthRow,IF($J15&lt;=990,0,5),_xlpm.supplierRow,IF($Q15="Marma",7,IF($Q15="Bastin",17,0)),IF(_xlpm.supplierRow=0,"",INDEX('Lmntn &amp; Prntng- Marma &amp; Bastin '!$D$1:$K$22,_xlpm.supplierRow+_xlpm.widthRow,_xlpm.colNum)))))</f>
        <v>3.0420000000000003E-2</v>
      </c>
      <c r="V15" s="890">
        <f>IFERROR(IF(AP22="","",VLOOKUP($K$20,HELPER!$BH$3:$BI$5,2,TRUE)*AP22),"")</f>
        <v>0</v>
      </c>
      <c r="W15" s="885">
        <f>IF(OR($H15&lt;&gt;"Printed",$I15=0,$I15="0"),0,IFERROR(AP22*0.028,0)+IFERROR(AP43,0))</f>
        <v>1.3409836750154143</v>
      </c>
      <c r="X15" s="234">
        <f t="shared" si="1"/>
        <v>0.21594240000000001</v>
      </c>
      <c r="Y15" s="886">
        <f>IFERROR((SUM(X15:X20)+SUM(R15:S15,U15))*(1/M20)*(J15/E15)+V15+W15,"")</f>
        <v>15.952232838565894</v>
      </c>
      <c r="Z15" s="233">
        <f>IF(OR($M15="",$M$20=""),"",IFERROR(($N15+$P15)*$M15/$M$20,""))</f>
        <v>2.6562487699271795</v>
      </c>
      <c r="AA15" s="727">
        <f>AP9</f>
        <v>1</v>
      </c>
      <c r="AB15" s="117">
        <f>IF(OR(AP12="IMP",AP12="By Imp"),IFERROR(AP13/AA15,""),"")</f>
        <v>475000</v>
      </c>
      <c r="AC15" s="838">
        <f>AP42</f>
        <v>0.33333333333333331</v>
      </c>
      <c r="AG15" s="562" t="s">
        <v>602</v>
      </c>
      <c r="AH15" s="868" cm="1">
        <f t="array" ref="AH15">IF(OR(AH12="IMP",AH12="By Imp"),IFERROR(AH13/(ROUNDDOWN(AH5/AH14,0))*(AI14/1000),""),IF(AH12="By Length",IFERROR(AH13,""),IF(AH12="By Weight",IFERROR(ROUND(INDEX($G$3:$G$20,MATCH(1,($B$3:$B$20=AH3)*($D$3:$D$20=AH5)*($A$3:$A$20=IF(AH6&lt;&gt;"",AH6,A3))*($O$3:$O$20=AH10),0)),0),""),"")))</f>
        <v>18150</v>
      </c>
      <c r="AI15" s="563" t="s">
        <v>607</v>
      </c>
      <c r="AK15" s="562" t="s">
        <v>602</v>
      </c>
      <c r="AL15" s="868" cm="1">
        <f t="array" ref="AL15">IF(OR(AL12="IMP",AL12="By Imp"),IFERROR(AL13/(ROUNDDOWN(AL5/AL14,0))*(AM14/1000),""),IF(AL12="By Length",IFERROR(AL13,""),IF(AL12="By Weight",IFERROR(ROUND(INDEX($G$3:$G$20,MATCH(1,($B$3:$B$20=AL3)*($D$3:$D$20=AL5)*($A$3:$A$20=IF(AL6&lt;&gt;"",AL6,A9))*($O$3:$O$20=AL10),0)),0),""),"")))</f>
        <v>2000</v>
      </c>
      <c r="AM15" s="563" t="s">
        <v>607</v>
      </c>
      <c r="AO15" s="562" t="s">
        <v>602</v>
      </c>
      <c r="AP15" s="868" cm="1">
        <f t="array" ref="AP15">IF(OR(AP12="IMP",AP12="By Imp"),IFERROR(AP13/(ROUNDDOWN(AP5/AP14,0))*(AQ14/1000),""),IF(AP12="By Length",IFERROR(AP13,""),IF(AP12="By Weight",IFERROR(ROUND(INDEX($G$3:$G$20,MATCH(1,($B$3:$B$20=AP3)*($D$3:$D$20=AP5)*($A$3:$A$20=IF(AP6&lt;&gt;"",AP6,A15))*($O$3:$O$20=AP10),0)),0),""),"")))</f>
        <v>4987.5</v>
      </c>
      <c r="AQ15" s="563" t="s">
        <v>607</v>
      </c>
    </row>
    <row r="16" spans="1:48" ht="15.75">
      <c r="A16" s="893"/>
      <c r="B16" s="891"/>
      <c r="C16" t="str">
        <v>TIPA 312 MET</v>
      </c>
      <c r="D16" s="891"/>
      <c r="E16" s="891"/>
      <c r="F16" s="891"/>
      <c r="G16" s="893"/>
      <c r="H16" s="891"/>
      <c r="I16" s="891"/>
      <c r="J16" s="537">
        <f t="shared" si="3"/>
        <v>800</v>
      </c>
      <c r="K16" cm="1">
        <f t="array" ref="K16">_xlfn.LET(_xlpm.baseThick,IFERROR(INDEX(HELPER!$BX$2:$BX$250,MATCH(1,(TEXT(HELPER!$BZ$2:$BZ$250,"0")=TEXT($B$15,"0"))*(HELPER!$CC$2:$CC$250=$AP$4)*(HELPER!$BW$2:$BW$250=C16),0)),""),IF(_xlpm.baseThick="","",_xlpm.baseThick))</f>
        <v>25</v>
      </c>
      <c r="L16">
        <f>IFERROR(VLOOKUP(C16,HELPER!$AP$1:$AQ$20,2,FALSE),"")</f>
        <v>1.25</v>
      </c>
      <c r="M16" s="285">
        <f>IF(C16="","",IF(ISNUMBER(SEARCH("paper",C16)),42/1000*(J16/1000),IF(OR(L16="",L16=0),"",L16*1000*(K16/1000000)*(J16/1000))))</f>
        <v>2.5000000000000001E-2</v>
      </c>
      <c r="N16" s="236" cm="1">
        <f t="array" ref="N16">IF($C16="","",_xlfn.LET(
    _xlpm.mat,TRIM($C16),
    _xlpm.matKey,UPPER(SUBSTITUTE(_xlpm.mat," ","")),
    _xlpm.pr,IFERROR(LOOKUP(2,1/($H$3:H16&lt;&gt;""),$H$3:H16),""),
    _xlpm.widthActual,IFERROR(LOOKUP(2,1/($E$3:E16&lt;&gt;""),$E$3:E16),$E16),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",""))=_xlpm.matKey)*(_xlpm.summaryThick=$K16)*(_xlpm.summaryCosts&gt;0))),INDEX(_xlfn._xlws.FILTER(_xlpm.summaryCosts,(UPPER(SUBSTITUTE(_xlpm.summaryNames," ",""))=_xlpm.matKey)*(_xlpm.summaryThick=$K16)*(_xlpm.summaryCosts&gt;0)),1)),""),""),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8.9542791000000008</v>
      </c>
      <c r="O16" s="891"/>
      <c r="P16" s="95">
        <f>IF(C16="","",IFERROR(IF(O$15="Europe to Canada",IF(A$15&lt;1000,VLOOKUP(1000,HELPER!$AG$4:$AH$8,2,FALSE)/A$15,VLOOKUP(A$15,HELPER!$AG$4:$AH$8,2,TRUE)/A$15),IF(O$15="Europe to US",HELPER!$AH$2,IF(O$15="Europe to Europe",HELPER!$AH$3,0))),0))</f>
        <v>0.2</v>
      </c>
      <c r="Q16" s="891"/>
      <c r="R16" s="888"/>
      <c r="S16" s="888"/>
      <c r="T16" s="889"/>
      <c r="U16" s="888"/>
      <c r="V16" s="891"/>
      <c r="W16" s="885"/>
      <c r="X16" s="234">
        <f t="shared" si="1"/>
        <v>0.2288569775</v>
      </c>
      <c r="Y16" s="886"/>
      <c r="Z16" s="233">
        <f>IF(OR($M16="",$M$20=""),"",IFERROR(($N16+$P16)*$M16/$M$20,""))</f>
        <v>2.8151074776126745</v>
      </c>
      <c r="AG16" s="564" t="s">
        <v>603</v>
      </c>
      <c r="AH16" s="221">
        <f>IF(AH38&lt;&gt;"",IFERROR(AH38*AH18,""),"")</f>
        <v>9601.5849384191461</v>
      </c>
      <c r="AI16" s="565" t="s">
        <v>518</v>
      </c>
      <c r="AK16" s="564" t="s">
        <v>603</v>
      </c>
      <c r="AL16" s="221">
        <f>IF(AL38&lt;&gt;"",IFERROR(AL38*AL18,""),"")</f>
        <v>718.2837703345117</v>
      </c>
      <c r="AM16" s="565" t="s">
        <v>518</v>
      </c>
      <c r="AO16" s="564" t="s">
        <v>603</v>
      </c>
      <c r="AP16" s="221">
        <f>IF(AP38&lt;&gt;"",IFERROR(AP38*AP18,""),"")</f>
        <v>6143.5608003269372</v>
      </c>
      <c r="AQ16" s="565" t="s">
        <v>518</v>
      </c>
      <c r="AV16" s="96"/>
    </row>
    <row r="17" spans="1:49" ht="15.75">
      <c r="A17" s="893"/>
      <c r="B17" s="891"/>
      <c r="C17" t="str">
        <v>TIPA 312 MET</v>
      </c>
      <c r="D17" s="891"/>
      <c r="E17" s="891"/>
      <c r="F17" s="891"/>
      <c r="G17" s="893"/>
      <c r="H17" s="891"/>
      <c r="I17" s="891"/>
      <c r="J17" s="537">
        <f t="shared" si="3"/>
        <v>800</v>
      </c>
      <c r="K17" cm="1">
        <f t="array" ref="K17">_xlfn.LET(_xlpm.baseThick,IFERROR(INDEX(HELPER!$BX$2:$BX$250,MATCH(1,(TEXT(HELPER!$BZ$2:$BZ$250,"0")=TEXT($B$15,"0"))*(HELPER!$CC$2:$CC$250=$AP$4)*(HELPER!$BW$2:$BW$250=C17),0)),""),IF(_xlpm.baseThick="","",_xlpm.baseThick))</f>
        <v>25</v>
      </c>
      <c r="L17">
        <f>IFERROR(VLOOKUP(C17,HELPER!$AP$1:$AQ$20,2,FALSE),"")</f>
        <v>1.25</v>
      </c>
      <c r="M17" s="285">
        <f>IF(C17="","",IF(ISNUMBER(SEARCH("paper",C17)),42/1000*(J17/1000),IF(OR(L17="",L17=0),"",L17*1000*(K17/1000000)*(J17/1000))))</f>
        <v>2.5000000000000001E-2</v>
      </c>
      <c r="N17" s="235" cm="1">
        <f t="array" ref="N17">IF($C17="","",_xlfn.LET(
    _xlpm.mat,TRIM($C17),
    _xlpm.matKey,UPPER(SUBSTITUTE(_xlpm.mat," ","")),
    _xlpm.pr,IFERROR(LOOKUP(2,1/($H$3:H17&lt;&gt;""),$H$3:H17),""),
    _xlpm.widthActual,IFERROR(LOOKUP(2,1/($E$3:E17&lt;&gt;""),$E$3:E17),$E17),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",""))=_xlpm.matKey)*(_xlpm.summaryThick=$K17)*(_xlpm.summaryCosts&gt;0))),INDEX(_xlfn._xlws.FILTER(_xlpm.summaryCosts,(UPPER(SUBSTITUTE(_xlpm.summaryNames," ",""))=_xlpm.matKey)*(_xlpm.summaryThick=$K17)*(_xlpm.summaryCosts&gt;0)),1)),""),""),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8.9542791000000008</v>
      </c>
      <c r="O17" s="891"/>
      <c r="P17" s="95">
        <f>IF(C17="","",IFERROR(IF(O$15="Europe to Canada",IF(A$15&lt;1000,VLOOKUP(1000,HELPER!$AG$4:$AH$8,2,FALSE)/A$15,VLOOKUP(A$15,HELPER!$AG$4:$AH$8,2,TRUE)/A$15),IF(O$15="Europe to US",HELPER!$AH$2,IF(O$15="Europe to Europe",HELPER!$AH$3,0))),0))</f>
        <v>0.2</v>
      </c>
      <c r="Q17" s="891"/>
      <c r="R17" s="888"/>
      <c r="S17" s="888"/>
      <c r="T17" s="889"/>
      <c r="U17" s="888"/>
      <c r="V17" s="891"/>
      <c r="W17" s="885"/>
      <c r="X17" s="234">
        <f t="shared" si="1"/>
        <v>0.2288569775</v>
      </c>
      <c r="Y17" s="886"/>
      <c r="Z17" s="233">
        <f>IF(OR($M17="",$M$20=""),"",IFERROR(($N17+$P17)*$M17/$M$20,""))</f>
        <v>2.8151074776126745</v>
      </c>
      <c r="AG17" s="564" t="s">
        <v>604</v>
      </c>
      <c r="AH17" s="222">
        <f>IF(AH16&lt;&gt;"",IFERROR(AH16*1.16,""),"")</f>
        <v>11137.838528566208</v>
      </c>
      <c r="AI17" s="565" t="s">
        <v>292</v>
      </c>
      <c r="AK17" s="564" t="s">
        <v>604</v>
      </c>
      <c r="AL17" s="222">
        <f>IF(AL16&lt;&gt;"",IFERROR(AL16*1.16,""),"")</f>
        <v>833.20917358803354</v>
      </c>
      <c r="AM17" s="565" t="s">
        <v>292</v>
      </c>
      <c r="AO17" s="564" t="s">
        <v>604</v>
      </c>
      <c r="AP17" s="222">
        <f>IF(AP16&lt;&gt;"",IFERROR(AP16*1.16,""),"")</f>
        <v>7126.5305283792468</v>
      </c>
      <c r="AQ17" s="565" t="s">
        <v>292</v>
      </c>
      <c r="AV17" s="96"/>
    </row>
    <row r="18" spans="1:49" ht="15.75">
      <c r="A18" s="893"/>
      <c r="B18" s="891"/>
      <c r="C18" t="str">
        <v>RM G Epotal ECO 3675</v>
      </c>
      <c r="D18" s="891"/>
      <c r="E18" s="891"/>
      <c r="F18" s="891"/>
      <c r="G18" s="893"/>
      <c r="H18" s="891"/>
      <c r="I18" s="891"/>
      <c r="J18" s="537">
        <f t="shared" si="3"/>
        <v>800</v>
      </c>
      <c r="K18" cm="1">
        <f t="array" ref="K18">_xlfn.LET(_xlpm.baseThick,IFERROR(INDEX(HELPER!$BX$2:$BX$250,MATCH(1,(TEXT(HELPER!$BZ$2:$BZ$250,"0")=TEXT($B$15,"0"))*(HELPER!$CC$2:$CC$250=$AP$4)*(HELPER!$BW$2:$BW$250=C18),0)),""),IF(_xlpm.baseThick="","",_xlpm.baseThick))</f>
        <v>6</v>
      </c>
      <c r="L18">
        <f>IFERROR(VLOOKUP(C18,HELPER!$AP$1:$AQ$20,2,FALSE),"")</f>
        <v>1</v>
      </c>
      <c r="M18" s="285">
        <f>IF(C18="","",IF(ISNUMBER(SEARCH("paper",C18)),42/1000*(J18/1000),IF(OR(L18="",L18=0),"",L18*1000*(K18/1000000)*(J18/1000))))</f>
        <v>4.8000000000000004E-3</v>
      </c>
      <c r="N18" s="235" cm="1">
        <f t="array" ref="N18">IF($C18="","",_xlfn.LET(
    _xlpm.mat,TRIM($C18),
    _xlpm.matKey,UPPER(SUBSTITUTE(_xlpm.mat," ","")),
    _xlpm.pr,IFERROR(LOOKUP(2,1/($H$3:H18&lt;&gt;""),$H$3:H18),""),
    _xlpm.widthActual,IFERROR(LOOKUP(2,1/($E$3:E18&lt;&gt;""),$E$3:E18),$E18),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",""))=_xlpm.matKey)*(_xlpm.summaryThick=$K18)*(_xlpm.summaryCosts&gt;0))),INDEX(_xlfn._xlws.FILTER(_xlpm.summaryCosts,(UPPER(SUBSTITUTE(_xlpm.summaryNames," ",""))=_xlpm.matKey)*(_xlpm.summaryThick=$K18)*(_xlpm.summaryCosts&gt;0)),1)),""),""),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4.8500000000000005</v>
      </c>
      <c r="O18" s="891"/>
      <c r="P18" s="95">
        <f>IF(C18="","",IFERROR(IF(O$15="Europe to Canada",IF(A$15&lt;1000,VLOOKUP(1000,HELPER!$AG$4:$AH$8,2,FALSE)/A$15,VLOOKUP(A$15,HELPER!$AG$4:$AH$8,2,TRUE)/A$15),IF(O$15="Europe to US",HELPER!$AH$2,IF(O$15="Europe to Europe",HELPER!$AH$3,0))),0))</f>
        <v>0.2</v>
      </c>
      <c r="Q18" s="891"/>
      <c r="R18" s="888"/>
      <c r="S18" s="888"/>
      <c r="T18" s="889"/>
      <c r="U18" s="888"/>
      <c r="V18" s="891"/>
      <c r="W18" s="885"/>
      <c r="X18" s="234">
        <f t="shared" si="1"/>
        <v>2.4240000000000005E-2</v>
      </c>
      <c r="Y18" s="886"/>
      <c r="Z18" s="233">
        <f>IF(OR($M18="",$M$20=""),"",IFERROR(($N18+$P18)*$M18/$M$20,""))</f>
        <v>0.29816965164337733</v>
      </c>
      <c r="AG18" s="566" t="s">
        <v>605</v>
      </c>
      <c r="AH18" s="230" cm="1">
        <f t="array" ref="AH18">IF(OR(AND(AH12="By Weight",AH6&lt;&gt;""),AND(AH12="By Length",AH13&lt;&gt;""),AND(OR(AH12="IMP",AH12="By Imp"),AH13&lt;&gt;"",AH14&lt;&gt;"")),IFERROR(_xlfn.LET(_xlpm.r,MATCH(1,($B$3:$B$20=AH3)*($D$3:$D$20=AH5)*($A$3:$A$20=IF(AH6&lt;&gt;"",AH6,A3))*($O$3:$O$20=AH10),0)+2,SUM(AH22:AH23,AH25)+INDEX($V$3:$V$20,_xlpm.r-2)),""),"")</f>
        <v>11.92919237257945</v>
      </c>
      <c r="AI18" s="567" t="s">
        <v>518</v>
      </c>
      <c r="AK18" s="566" t="s">
        <v>605</v>
      </c>
      <c r="AL18" s="230" cm="1">
        <f t="array" ref="AL18">IF(OR(AND(AL12="By Weight",AL6&lt;&gt;""),AND(AL12="By Length",AL13&lt;&gt;""),AND(OR(AL12="IMP",AL12="By Imp"),AL13&lt;&gt;"",AL14&lt;&gt;"")),IFERROR(_xlfn.LET(_xlpm.r,MATCH(1,($B$3:$B$20=AL3)*($D$3:$D$20=AL5)*($A$3:$A$20=IF(AL6&lt;&gt;"",AL6,A9))*($O$3:$O$20=AL10),0)+2,SUM(AL22:AL23,AL25)+INDEX($V$3:$V$20,_xlpm.r-2)),""),"")</f>
        <v>11.66219257315235</v>
      </c>
      <c r="AM18" s="567" t="s">
        <v>518</v>
      </c>
      <c r="AO18" s="566" t="s">
        <v>605</v>
      </c>
      <c r="AP18" s="230" cm="1">
        <f t="array" ref="AP18">IF(OR(AND(AP12="By Weight",AP6&lt;&gt;""),AND(AP12="By Length",AP13&lt;&gt;""),AND(OR(AP12="IMP",AP12="By Imp"),AP13&lt;&gt;"",AP14&lt;&gt;"")),IFERROR(_xlfn.LET(_xlpm.r,MATCH(1,($B$3:$B$20=AP3)*($D$3:$D$20=AP5)*($A$3:$A$20=IF(AP6&lt;&gt;"",AP6,A15))*($O$3:$O$20=AP10),0)+2,SUM(AP22:AP23,AP25)+INDEX($V$3:$V$20,_xlpm.r-2)),""),"")</f>
        <v>15.952232838565894</v>
      </c>
      <c r="AQ18" s="567" t="s">
        <v>518</v>
      </c>
      <c r="AV18" s="96"/>
    </row>
    <row r="19" spans="1:49" ht="15.75">
      <c r="A19" s="893"/>
      <c r="B19" s="891"/>
      <c r="D19" s="891"/>
      <c r="E19" s="891"/>
      <c r="F19" s="891"/>
      <c r="G19" s="893"/>
      <c r="H19" s="891"/>
      <c r="I19" s="891"/>
      <c r="J19" s="537" t="str">
        <f t="shared" si="3"/>
        <v/>
      </c>
      <c r="K19" t="str" cm="1">
        <f t="array" ref="K19">_xlfn.LET(_xlpm.baseThick,IFERROR(INDEX(HELPER!$BX$2:$BX$250,MATCH(1,(TEXT(HELPER!$BZ$2:$BZ$250,"0")=TEXT($B$15,"0"))*(HELPER!$CC$2:$CC$250=$AP$4)*(HELPER!$BW$2:$BW$250=C19),0)),""),IF(_xlpm.baseThick="","",_xlpm.baseThick))</f>
        <v/>
      </c>
      <c r="L19" t="str">
        <f>IFERROR(VLOOKUP(C19,HELPER!$AP$1:$AQ$20,2,FALSE),"")</f>
        <v/>
      </c>
      <c r="M19" s="285" t="str">
        <f>IF(C19="","",IF(ISNUMBER(SEARCH("paper",C19)),42/1000*(J19/1000),IF(OR(L19="",L19=0),"",L19*1000*(K19/1000000)*(J19/1000))))</f>
        <v/>
      </c>
      <c r="N19" s="235" t="str" cm="1">
        <f t="array" ref="N19">IF($C19="","",_xlfn.LET(
    _xlpm.mat,TRIM($C19),
    _xlpm.matKey,UPPER(SUBSTITUTE(_xlpm.mat," ","")),
    _xlpm.pr,IFERROR(LOOKUP(2,1/($H$3:H19&lt;&gt;""),$H$3:H19),""),
    _xlpm.widthActual,IFERROR(LOOKUP(2,1/($E$3:E19&lt;&gt;""),$E$3:E19),$E19),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",""))=_xlpm.matKey)*(_xlpm.summaryThick=$K19)*(_xlpm.summaryCosts&gt;0))),INDEX(_xlfn._xlws.FILTER(_xlpm.summaryCosts,(UPPER(SUBSTITUTE(_xlpm.summaryNames," ",""))=_xlpm.matKey)*(_xlpm.summaryThick=$K19)*(_xlpm.summaryCosts&gt;0)),1)),""),""),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
      </c>
      <c r="O19" s="891"/>
      <c r="P19" s="95" t="str">
        <f>IF(C19="","",IFERROR(IF(O$15="Europe to Canada",IF(A$15&lt;1000,VLOOKUP(1000,HELPER!$AG$4:$AH$8,2,FALSE)/A$15,VLOOKUP(A$15,HELPER!$AG$4:$AH$8,2,TRUE)/A$15),IF(O$15="Europe to US",HELPER!$AH$2,IF(O$15="Europe to Europe",HELPER!$AH$3,0))),0))</f>
        <v/>
      </c>
      <c r="Q19" s="891"/>
      <c r="R19" s="888"/>
      <c r="S19" s="888"/>
      <c r="T19" s="889"/>
      <c r="U19" s="888"/>
      <c r="V19" s="891"/>
      <c r="W19" s="885"/>
      <c r="X19" s="234" t="str">
        <f t="shared" si="1"/>
        <v/>
      </c>
      <c r="Y19" s="886"/>
      <c r="Z19" s="233"/>
      <c r="AG19" s="564" t="s">
        <v>606</v>
      </c>
      <c r="AH19" s="222">
        <f>IF(AH18&lt;&gt;"",IFERROR(AH18*1.16,""),"")</f>
        <v>13.837863152192162</v>
      </c>
      <c r="AI19" s="565" t="s">
        <v>292</v>
      </c>
      <c r="AJ19" s="271"/>
      <c r="AK19" s="564" t="s">
        <v>606</v>
      </c>
      <c r="AL19" s="222">
        <f>IF(AL18&lt;&gt;"",IFERROR(AL18*1.16,""),"")</f>
        <v>13.528143384856724</v>
      </c>
      <c r="AM19" s="565" t="s">
        <v>292</v>
      </c>
      <c r="AO19" s="564" t="s">
        <v>606</v>
      </c>
      <c r="AP19" s="222">
        <f>IF(AP18&lt;&gt;"",IFERROR(AP18*1.16,""),"")</f>
        <v>18.504590092736436</v>
      </c>
      <c r="AQ19" s="565" t="s">
        <v>292</v>
      </c>
      <c r="AV19" s="96"/>
    </row>
    <row r="20" spans="1:49" ht="16.5" thickBot="1">
      <c r="A20" s="893"/>
      <c r="B20" s="891"/>
      <c r="D20" s="891"/>
      <c r="E20" s="891"/>
      <c r="F20" s="891"/>
      <c r="G20" s="893"/>
      <c r="H20" s="891"/>
      <c r="I20" s="891"/>
      <c r="J20" s="537" t="str">
        <f t="shared" si="3"/>
        <v/>
      </c>
      <c r="K20" s="192">
        <f>AP4</f>
        <v>79</v>
      </c>
      <c r="L20" t="str">
        <f>IFERROR(VLOOKUP(C20,HELPER!$AP$1:$AQ$20,2,FALSE),"")</f>
        <v/>
      </c>
      <c r="M20" s="286">
        <f>SUM(M15:M19)</f>
        <v>8.1296000000000007E-2</v>
      </c>
      <c r="N20" s="235" t="str" cm="1">
        <f t="array" ref="N20">IF($C20="","",_xlfn.LET(
    _xlpm.mat,TRIM($C20),
    _xlpm.matKey,UPPER(SUBSTITUTE(_xlpm.mat," ","")),
    _xlpm.pr,IFERROR(LOOKUP(2,1/($H$3:H20&lt;&gt;""),$H$3:H20),""),
    _xlpm.widthActual,IFERROR(LOOKUP(2,1/($E$3:E20&lt;&gt;""),$E$3:E20),$E20),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",""))=_xlpm.matKey)*(_xlpm.summaryThick=$K20)*(_xlpm.summaryCosts&gt;0))),INDEX(_xlfn._xlws.FILTER(_xlpm.summaryCosts,(UPPER(SUBSTITUTE(_xlpm.summaryNames," ",""))=_xlpm.matKey)*(_xlpm.summaryThick=$K20)*(_xlpm.summaryCosts&gt;0)),1)),""),""),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
      </c>
      <c r="O20" s="891"/>
      <c r="P20" s="95" t="str">
        <f>IF(C20="","",IFERROR(IF(O$15="Europe to Canada",IF(A$15&lt;1000,VLOOKUP(1000,HELPER!$AG$4:$AH$8,2,FALSE)/A$15,VLOOKUP(A$15,HELPER!$AG$4:$AH$8,2,TRUE)/A$15),IF(O$15="Europe to US",HELPER!$AH$2,IF(O$15="Europe to Europe",HELPER!$AH$3,0))),0))</f>
        <v/>
      </c>
      <c r="Q20" s="891"/>
      <c r="R20" s="888"/>
      <c r="S20" s="888"/>
      <c r="T20" s="889"/>
      <c r="U20" s="888"/>
      <c r="V20" s="891"/>
      <c r="W20" s="885"/>
      <c r="X20" s="234"/>
      <c r="Y20" s="886"/>
      <c r="AG20" s="568" t="s">
        <v>863</v>
      </c>
      <c r="AH20" s="569">
        <f>IF(AH38&lt;&gt;"",IFERROR(AH16/AH38,""),"")</f>
        <v>11.92919237257945</v>
      </c>
      <c r="AI20" s="570" t="s">
        <v>864</v>
      </c>
      <c r="AK20" s="568" t="s">
        <v>863</v>
      </c>
      <c r="AL20" s="569">
        <f>IF(AL38&lt;&gt;"",IFERROR(AL16/AL38,""),"")</f>
        <v>11.66219257315235</v>
      </c>
      <c r="AM20" s="570" t="s">
        <v>864</v>
      </c>
      <c r="AO20" s="568" t="s">
        <v>863</v>
      </c>
      <c r="AP20" s="569">
        <f>IF(AP38&lt;&gt;"",IFERROR(AP16/AP38,""),"")</f>
        <v>15.952232838565896</v>
      </c>
      <c r="AQ20" s="570" t="s">
        <v>864</v>
      </c>
      <c r="AV20" s="96"/>
    </row>
    <row r="21" spans="1:49">
      <c r="A21"/>
      <c r="C21" s="38"/>
      <c r="G21">
        <f>85772/(ROUNDDOWN(J3/D3,0))</f>
        <v>42886</v>
      </c>
      <c r="J21" s="537" t="str">
        <f t="shared" ref="J21:J26" si="4">IF($C21="","",IF($E$15="","",IF($E$15+50&gt;1220,"ERROR: Lamination Width &gt; 1220",$E$15+50)))</f>
        <v/>
      </c>
      <c r="K21" s="191">
        <v>202</v>
      </c>
      <c r="M21" s="285"/>
      <c r="N21" s="235" t="str" cm="1">
        <f t="array" ref="N21">IF($C21="","",_xlfn.LET(
    _xlpm.mat,TRIM($C21),
    _xlpm.matKey,UPPER(SUBSTITUTE(_xlpm.mat," ","")),
    _xlpm.pr,IFERROR(LOOKUP(2,1/($H$3:H21&lt;&gt;""),$H$3:H21),""),
    _xlpm.widthActual,IFERROR(LOOKUP(2,1/($E$3:E21&lt;&gt;""),$E$3:E21),$E21),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",""))=_xlpm.matKey)*(_xlpm.summaryThick=$K21)*(_xlpm.summaryCosts&gt;0))),INDEX(_xlfn._xlws.FILTER(_xlpm.summaryCosts,(UPPER(SUBSTITUTE(_xlpm.summaryNames," ",""))=_xlpm.matKey)*(_xlpm.summaryThick=$K21)*(_xlpm.summaryCosts&gt;0)),1)),""),""),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21"/>
      <c r="S21"/>
      <c r="T21" s="887" t="str">
        <f>IF(OR($S21="",$K21=""),"",IFERROR($S21*(1/$M$26)*($J21/($D21*MAX(1,ROUNDDOWN(760/$D21,0)))),""))</f>
        <v/>
      </c>
      <c r="U21"/>
      <c r="X21" s="234"/>
      <c r="Y21" s="234"/>
      <c r="Z21" s="233"/>
      <c r="AG21" t="s">
        <v>1318</v>
      </c>
      <c r="AH21" s="96">
        <f>IFERROR(AH40*AH42,"")</f>
        <v>0</v>
      </c>
      <c r="AI21" t="s">
        <v>607</v>
      </c>
      <c r="AK21" t="s">
        <v>1318</v>
      </c>
      <c r="AL21" s="96">
        <f>IFERROR(AL40*AL42,"")</f>
        <v>1000</v>
      </c>
      <c r="AM21" t="s">
        <v>607</v>
      </c>
      <c r="AO21" t="s">
        <v>1318</v>
      </c>
      <c r="AP21" s="96">
        <f>IFERROR(AP40*AP42,"")</f>
        <v>1551.6666666666665</v>
      </c>
      <c r="AQ21" t="s">
        <v>607</v>
      </c>
    </row>
    <row r="22" spans="1:49">
      <c r="A22"/>
      <c r="J22" s="537" t="str">
        <f t="shared" si="4"/>
        <v/>
      </c>
      <c r="M22" s="285"/>
      <c r="N22" s="235" t="str" cm="1">
        <f t="array" ref="N22">IF($C22="","",_xlfn.LET(
    _xlpm.mat,TRIM($C22),
    _xlpm.matKey,UPPER(SUBSTITUTE(_xlpm.mat," ","")),
    _xlpm.pr,IFERROR(LOOKUP(2,1/($H$3:H22&lt;&gt;""),$H$3:H22),""),
    _xlpm.widthActual,IFERROR(LOOKUP(2,1/($E$3:E22&lt;&gt;""),$E$3:E22),$E22),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",""))=_xlpm.matKey)*(_xlpm.summaryThick=$K22)*(_xlpm.summaryCosts&gt;0))),INDEX(_xlfn._xlws.FILTER(_xlpm.summaryCosts,(UPPER(SUBSTITUTE(_xlpm.summaryNames," ",""))=_xlpm.matKey)*(_xlpm.summaryThick=$K22)*(_xlpm.summaryCosts&gt;0)),1)),""),""),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22"/>
      <c r="S22"/>
      <c r="T22" s="887"/>
      <c r="U22"/>
      <c r="X22" s="66"/>
      <c r="Y22" s="66" t="s">
        <v>531</v>
      </c>
      <c r="AG22" t="s">
        <v>608</v>
      </c>
      <c r="AH22" s="288" cm="1">
        <f t="array" ref="AH22">IF(OR(AND(AH12="By Weight",AH6&lt;&gt;""),AND(AH12="By Length",AH13&lt;&gt;""),AND(OR(AH12="IMP",AH12="By Imp"),AH13&lt;&gt;"",AH14&lt;&gt;"")),IFERROR(_xlfn.LET(_xlpm.r,MATCH(1,($B$3:$B$20=AH3)*($D$3:$D$20=AH5)*($A$3:$A$20=IF(AH6&lt;&gt;"",AH6,A3))*($O$3:$O$20=AH10),0)+2,SUMPRODUCT(INDEX($N$3:$N$20,_xlpm.r-2):INDEX($N$3:$N$20,_xlpm.r+3),INDEX($M$3:$M$20,_xlpm.r-2):INDEX($M$3:$M$20,_xlpm.r+3))*(1/INDEX($M$3:$M$20,MATCH(1,($B$3:$B$20=AH3)*($D$3:$D$20=AH5)*($A$3:$A$20=IF(AH6&lt;&gt;"",AH6,A3))*($O$3:$O$20=AH10),0)+5))*(INDEX($J$3:$J$20,_xlpm.r-2)/INDEX($E$3:$E$20,_xlpm.r-2))),""),"")</f>
        <v>8.6724005431058337</v>
      </c>
      <c r="AK22" t="s">
        <v>614</v>
      </c>
      <c r="AL22" s="288" cm="1">
        <f t="array" ref="AL22">IF(OR(AND(AL12="By Weight",AL6&lt;&gt;""),AND(AL12="By Length",AL13&lt;&gt;""),AND(OR(AL12="IMP",AL12="By Imp"),AL13&lt;&gt;"",AL14&lt;&gt;"")),IFERROR(_xlfn.LET(_xlpm.r,MATCH(1,($B$3:$B$20=AL3)*($D$3:$D$20=AL5)*($A$3:$A$20=IF(AL6&lt;&gt;"",AL6,A9))*($O$3:$O$20=AL10),0)+2,SUMPRODUCT(INDEX($N$3:$N$20,_xlpm.r-2):INDEX($N$3:$N$20,_xlpm.r+3),INDEX($M$3:$M$20,_xlpm.r-2):INDEX($M$3:$M$20,_xlpm.r+3))*(1/INDEX($M$3:$M$20,MATCH(1,($B$3:$B$20=AL3)*($D$3:$D$20=AL5)*($A$3:$A$20=IF(AL6&lt;&gt;"",AL6,A9))*($O$3:$O$20=AL10),0)+5))*(INDEX($J$3:$J$20,_xlpm.r-2)/INDEX($E$3:$E$20,_xlpm.r-2))),""),"")</f>
        <v>8.7705236092924999</v>
      </c>
      <c r="AO22" t="s">
        <v>614</v>
      </c>
      <c r="AP22" s="288" cm="1">
        <f t="array" ref="AP22">IF(OR(AND(AP12="By Weight",AP6&lt;&gt;""),AND(AP12="By Length",AP13&lt;&gt;""),AND(OR(AP12="IMP",AP12="By Imp"),AP13&lt;&gt;"",AP14&lt;&gt;"")),IFERROR(_xlfn.LET(_xlpm.r,MATCH(1,($B$3:$B$20=AP3)*($D$3:$D$20=AP5)*($A$3:$A$20=IF(AP6&lt;&gt;"",AP6,A15))*($O$3:$O$20=AP10),0)+2,SUMPRODUCT(INDEX($N$3:$N$20,_xlpm.r-2):INDEX($N$3:$N$20,_xlpm.r+3),INDEX($M$3:$M$20,_xlpm.r-2):INDEX($M$3:$M$20,_xlpm.r+3))*(1/INDEX($M$3:$M$20,MATCH(1,($B$3:$B$20=AP3)*($D$3:$D$20=AP5)*($A$3:$A$20=IF(AP6&lt;&gt;"",AP6,A15))*($O$3:$O$20=AP10),0)+5))*(INDEX($J$3:$J$20,_xlpm.r-2)/INDEX($E$3:$E$20,_xlpm.r-2))),""),"")</f>
        <v>8.9436089352489656</v>
      </c>
    </row>
    <row r="23" spans="1:49">
      <c r="A23"/>
      <c r="J23" s="537" t="str">
        <f t="shared" si="4"/>
        <v/>
      </c>
      <c r="M23" s="285"/>
      <c r="N23" s="235" t="str" cm="1">
        <f t="array" ref="N23">IF($C23="","",_xlfn.LET(
    _xlpm.mat,TRIM($C23),
    _xlpm.matKey,UPPER(SUBSTITUTE(_xlpm.mat," ","")),
    _xlpm.pr,IFERROR(LOOKUP(2,1/($H$3:H23&lt;&gt;""),$H$3:H23),""),
    _xlpm.widthActual,IFERROR(LOOKUP(2,1/($E$3:E23&lt;&gt;""),$E$3:E23),$E23),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",""))=_xlpm.matKey)*(_xlpm.summaryThick=$K23)*(_xlpm.summaryCosts&gt;0))),INDEX(_xlfn._xlws.FILTER(_xlpm.summaryCosts,(UPPER(SUBSTITUTE(_xlpm.summaryNames," ",""))=_xlpm.matKey)*(_xlpm.summaryThick=$K23)*(_xlpm.summaryCosts&gt;0)),1)),""),""),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23"/>
      <c r="S23"/>
      <c r="T23" s="887"/>
      <c r="U23"/>
      <c r="Z23" s="480"/>
      <c r="AG23" t="s">
        <v>609</v>
      </c>
      <c r="AH23" s="288" cm="1">
        <f t="array" ref="AH23">IF(OR(AND(AH12="By Weight",AH6&lt;&gt;""),AND(AH12="By Length",AH13&lt;&gt;""),AND(OR(AH12="IMP",AH12="By Imp"),AH13&lt;&gt;"",AH14&lt;&gt;"")),IFERROR(_xlfn.LET(_xlpm.r,MATCH(1,($B$3:$B$20=AH3)*($D$3:$D$20=AH5)*($A$3:$A$20=IF(AH6&lt;&gt;"",AH6,A3))*($O$3:$O$20=AH10),0)+2,SUMPRODUCT(INDEX($P$3:$P$20,_xlpm.r-2):INDEX($P$3:$P$20,_xlpm.r+3),INDEX($M$3:$M$20,_xlpm.r-2):INDEX($M$3:$M$20,_xlpm.r+3))*(1/INDEX($M$3:$M$20,MATCH(1,($B$3:$B$20=AH3)*($D$3:$D$20=AH5)*($A$3:$A$20=IF(AH6&lt;&gt;"",AH6,A3))*($O$3:$O$20=AH10),0)+5))*(INDEX($J$3:$J$20,_xlpm.r-2)/INDEX($E$3:$E$20,_xlpm.r-2))),""),"")</f>
        <v>0.21190476190476193</v>
      </c>
      <c r="AK23" t="s">
        <v>615</v>
      </c>
      <c r="AL23" s="288" cm="1">
        <f t="array" ref="AL23">IF(OR(AND(AL12="By Weight",AL6&lt;&gt;""),AND(AL12="By Length",AL13&lt;&gt;""),AND(OR(AL12="IMP",AL12="By Imp"),AL13&lt;&gt;"",AL14&lt;&gt;"")),IFERROR(_xlfn.LET(_xlpm.r,MATCH(1,($B$3:$B$20=AL3)*($D$3:$D$20=AL5)*($A$3:$A$20=IF(AL6&lt;&gt;"",AL6,A9))*($O$3:$O$20=AL10),0)+2,SUMPRODUCT(INDEX($P$3:$P$20,_xlpm.r-2):INDEX($P$3:$P$20,_xlpm.r+3),INDEX($M$3:$M$20,_xlpm.r-2):INDEX($M$3:$M$20,_xlpm.r+3))*(1/INDEX($M$3:$M$20,MATCH(1,($B$3:$B$20=AL3)*($D$3:$D$20=AL5)*($A$3:$A$20=IF(AL6&lt;&gt;"",AL6,A9))*($O$3:$O$20=AL10),0)+5))*(INDEX($J$3:$J$20,_xlpm.r-2)/INDEX($E$3:$E$20,_xlpm.r-2))),""),"")</f>
        <v>0.21190476190476193</v>
      </c>
      <c r="AO23" t="s">
        <v>615</v>
      </c>
      <c r="AP23" s="288" cm="1">
        <f t="array" ref="AP23">IF(OR(AND(AP12="By Weight",AP6&lt;&gt;""),AND(AP12="By Length",AP13&lt;&gt;""),AND(OR(AP12="IMP",AP12="By Imp"),AP13&lt;&gt;"",AP14&lt;&gt;"")),IFERROR(_xlfn.LET(_xlpm.r,MATCH(1,($B$3:$B$20=AP3)*($D$3:$D$20=AP5)*($A$3:$A$20=IF(AP6&lt;&gt;"",AP6,A15))*($O$3:$O$20=AP10),0)+2,SUMPRODUCT(INDEX($P$3:$P$20,_xlpm.r-2):INDEX($P$3:$P$20,_xlpm.r+3),INDEX($M$3:$M$20,_xlpm.r-2):INDEX($M$3:$M$20,_xlpm.r+3))*(1/INDEX($M$3:$M$20,MATCH(1,($B$3:$B$20=AP3)*($D$3:$D$20=AP5)*($A$3:$A$20=IF(AP6&lt;&gt;"",AP6,A15))*($O$3:$O$20=AP10),0)+5))*(INDEX($J$3:$J$20,_xlpm.r-2)/INDEX($E$3:$E$20,_xlpm.r-2))),""),"")</f>
        <v>0.21333333333333332</v>
      </c>
    </row>
    <row r="24" spans="1:49">
      <c r="A24"/>
      <c r="J24" s="537" t="str">
        <f t="shared" si="4"/>
        <v/>
      </c>
      <c r="M24" s="285"/>
      <c r="N24" s="235" t="str" cm="1">
        <f t="array" ref="N24">IF($C24="","",_xlfn.LET(
    _xlpm.mat,TRIM($C24),
    _xlpm.matKey,UPPER(SUBSTITUTE(_xlpm.mat," ","")),
    _xlpm.pr,IFERROR(LOOKUP(2,1/($H$3:H24&lt;&gt;""),$H$3:H24),""),
    _xlpm.widthActual,IFERROR(LOOKUP(2,1/($E$3:E24&lt;&gt;""),$E$3:E24),$E24),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",""))=_xlpm.matKey)*(_xlpm.summaryThick=$K24)*(_xlpm.summaryCosts&gt;0))),INDEX(_xlfn._xlws.FILTER(_xlpm.summaryCosts,(UPPER(SUBSTITUTE(_xlpm.summaryNames," ",""))=_xlpm.matKey)*(_xlpm.summaryThick=$K24)*(_xlpm.summaryCosts&gt;0)),1)),""),""),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24"/>
      <c r="S24"/>
      <c r="T24" s="887"/>
      <c r="U24"/>
      <c r="AG24" t="s">
        <v>610</v>
      </c>
      <c r="AH24" s="288" cm="1">
        <f t="array" ref="AH24">IF(OR(AND(AH12="By Weight",AH6&lt;&gt;""),AND(AH12="By Length",AH13&lt;&gt;""),AND(OR(AH12="IMP",AH12="By Imp"),AH13&lt;&gt;"",AH14&lt;&gt;"")),IFERROR(_xlfn.LET(_xlpm.r,MATCH(1,($B$3:$B$20=AH3)*($D$3:$D$20=AH5)*($A$3:$A$20=IF(AH6&lt;&gt;"",AH6,A3))*($O$3:$O$20=AH10),0)+2,INDEX($R$3:$R$20,_xlpm.r-2)*(1/INDEX($M$3:$M$20,MATCH(1,($B$3:$B$20=AH3)*($D$3:$D$20=AH5)*($A$3:$A$20=IF(AH6&lt;&gt;"",AH6,A3))*($O$3:$O$20=AH10),0)+5))*(INDEX($J$3:$J$20,_xlpm.r-2)/INDEX($E$3:$E$20,_xlpm.r-2))),""),"")</f>
        <v>2.6487045785625787</v>
      </c>
      <c r="AK24" t="s">
        <v>616</v>
      </c>
      <c r="AL24" s="288" cm="1">
        <f t="array" ref="AL24">IF(OR(AND(AL12="By Weight",AL6&lt;&gt;""),AND(AL12="By Length",AL13&lt;&gt;""),AND(OR(AL12="IMP",AL12="By Imp"),AL13&lt;&gt;"",AL14&lt;&gt;"")),IFERROR(_xlfn.LET(_xlpm.r,MATCH(1,($B$3:$B$20=AL3)*($D$3:$D$20=AL5)*($A$3:$A$20=IF(AL6&lt;&gt;"",AL6,A9))*($O$3:$O$20=AL10),0)+2,INDEX($R$3:$R$20,_xlpm.r-2)*(1/INDEX($M$3:$M$20,MATCH(1,($B$3:$B$20=AL3)*($D$3:$D$20=AL5)*($A$3:$A$20=IF(AL6&lt;&gt;"",AL6,A9))*($O$3:$O$20=AL10),0)+5))*(INDEX($J$3:$J$20,_xlpm.r-2)/INDEX($E$3:$E$20,_xlpm.r-2))),""),"")</f>
        <v>2.0627027714752222</v>
      </c>
      <c r="AO24" t="s">
        <v>616</v>
      </c>
      <c r="AP24" s="288" cm="1">
        <f t="array" ref="AP24">IF(OR(AND(AP12="By Weight",AP6&lt;&gt;""),AND(AP12="By Length",AP13&lt;&gt;""),AND(OR(AP12="IMP",AP12="By Imp"),AP13&lt;&gt;"",AP14&lt;&gt;"")),IFERROR(_xlfn.LET(_xlpm.r,MATCH(1,($B$3:$B$20=AP3)*($D$3:$D$20=AP5)*($A$3:$A$20=IF(AP6&lt;&gt;"",AP6,A15))*($O$3:$O$20=AP10),0)+2,INDEX($R$3:$R$20,_xlpm.r-2)*(1/INDEX($M$3:$M$20,MATCH(1,($B$3:$B$20=AP3)*($D$3:$D$20=AP5)*($A$3:$A$20=IF(AP6&lt;&gt;"",AP6,A15))*($O$3:$O$20=AP10),0)+5))*(INDEX($J$3:$J$20,_xlpm.r-2)/INDEX($E$3:$E$20,_xlpm.r-2))),""),"")</f>
        <v>2.732532965951584</v>
      </c>
    </row>
    <row r="25" spans="1:49" ht="15.75" thickBot="1">
      <c r="A25"/>
      <c r="J25" s="537" t="str">
        <f t="shared" si="4"/>
        <v/>
      </c>
      <c r="M25" s="285"/>
      <c r="N25" s="235" t="str" cm="1">
        <f t="array" ref="N25">IF($C25="","",_xlfn.LET(
    _xlpm.mat,TRIM($C25),
    _xlpm.matKey,UPPER(SUBSTITUTE(_xlpm.mat," ","")),
    _xlpm.pr,IFERROR(LOOKUP(2,1/($H$3:H25&lt;&gt;""),$H$3:H25),""),
    _xlpm.widthActual,IFERROR(LOOKUP(2,1/($E$3:E25&lt;&gt;""),$E$3:E25),$E25),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",""))=_xlpm.matKey)*(_xlpm.summaryThick=$K25)*(_xlpm.summaryCosts&gt;0))),INDEX(_xlfn._xlws.FILTER(_xlpm.summaryCosts,(UPPER(SUBSTITUTE(_xlpm.summaryNames," ",""))=_xlpm.matKey)*(_xlpm.summaryThick=$K25)*(_xlpm.summaryCosts&gt;0)),1)),""),""),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25"/>
      <c r="S25"/>
      <c r="T25" s="887"/>
      <c r="U25"/>
      <c r="AG25" t="s">
        <v>867</v>
      </c>
      <c r="AH25" s="288" cm="1">
        <f t="array" ref="AH25">IF(OR(AND(AH12="By Weight",AH6&lt;&gt;""),AND(AH12="By Length",AH13&lt;&gt;""),AND(OR(AH12="IMP",AH12="By Imp"),AH13&lt;&gt;"",AH14&lt;&gt;"")),IFERROR(_xlfn.LET(_xlpm.r,MATCH(1,($B$3:$B$20=AH3)*($D$3:$D$20=AH5)*($A$3:$A$20=IF(AH6&lt;&gt;"",AH6,A3))*($O$3:$O$20=AH10),0)+2,(SUM(INDEX($R$3:$S$20,_xlpm.r-2,1):INDEX($R$3:$S$20,_xlpm.r-2,2))+INDEX($U$3:$U$20,_xlpm.r-2))*(1/INDEX($M$3:$M$20,MATCH(1,($B$3:$B$20=AH3)*($D$3:$D$20=AH5)*($A$3:$A$20=IF(AH6&lt;&gt;"",AH6,A3))*($O$3:$O$20=AH10),0)+5))*(INDEX($J$3:$J$20,_xlpm.r-2)/INDEX($E$3:$E$20,_xlpm.r-2))+INDEX($W$3:$W$20,_xlpm.r-2)),""),"")</f>
        <v>3.0448870675688551</v>
      </c>
      <c r="AK25" t="s">
        <v>868</v>
      </c>
      <c r="AL25" s="288" cm="1">
        <f t="array" ref="AL25">IF(OR(AND(AL12="By Weight",AL6&lt;&gt;""),AND(AL12="By Length",AL13&lt;&gt;""),AND(OR(AL12="IMP",AL12="By Imp"),AL13&lt;&gt;"",AL14&lt;&gt;"")),IFERROR(_xlfn.LET(_xlpm.r,MATCH(1,($B$3:$B$20=AL3)*($D$3:$D$20=AL5)*($A$3:$A$20=IF(AL6&lt;&gt;"",AL6,A9))*($O$3:$O$20=AL10),0)+2,(SUM(INDEX($R$3:$S$20,_xlpm.r-2,1):INDEX($R$3:$S$20,_xlpm.r-2,2))+INDEX($U$3:$U$20,_xlpm.r-2))*(1/INDEX($M$3:$M$20,MATCH(1,($B$3:$B$20=AL3)*($D$3:$D$20=AL5)*($A$3:$A$20=IF(AL6&lt;&gt;"",AL6,A9))*($O$3:$O$20=AL10),0)+5))*(INDEX($J$3:$J$20,_xlpm.r-2)/INDEX($E$3:$E$20,_xlpm.r-2))+INDEX($W$3:$W$20,_xlpm.r-2)),""),"")</f>
        <v>2.6797642019550882</v>
      </c>
      <c r="AO25" t="s">
        <v>868</v>
      </c>
      <c r="AP25" s="288" cm="1">
        <f t="array" ref="AP25">IF(OR(AND(AP12="By Weight",AP6&lt;&gt;""),AND(AP12="By Length",AP13&lt;&gt;""),AND(OR(AP12="IMP",AP12="By Imp"),AP13&lt;&gt;"",AP14&lt;&gt;"")),IFERROR(_xlfn.LET(_xlpm.r,MATCH(1,($B$3:$B$20=AP3)*($D$3:$D$20=AP5)*($A$3:$A$20=IF(AP6&lt;&gt;"",AP6,A15))*($O$3:$O$20=AP10),0)+2,(SUM(INDEX($R$3:$S$20,_xlpm.r-2,1):INDEX($R$3:$S$20,_xlpm.r-2,2))+INDEX($U$3:$U$20,_xlpm.r-2))*(1/INDEX($M$3:$M$20,MATCH(1,($B$3:$B$20=AP3)*($D$3:$D$20=AP5)*($A$3:$A$20=IF(AP6&lt;&gt;"",AP6,A15))*($O$3:$O$20=AP10),0)+5))*(INDEX($J$3:$J$20,_xlpm.r-2)/INDEX($E$3:$E$20,_xlpm.r-2))+INDEX($W$3:$W$20,_xlpm.r-2)),""),"")</f>
        <v>6.7952905699835959</v>
      </c>
    </row>
    <row r="26" spans="1:49" ht="15.75">
      <c r="A26"/>
      <c r="J26" s="537" t="str">
        <f t="shared" si="4"/>
        <v/>
      </c>
      <c r="M26" s="285"/>
      <c r="N26" s="235" t="str" cm="1">
        <f t="array" ref="N26">IF($C26="","",_xlfn.LET(
    _xlpm.mat,TRIM($C26),
    _xlpm.matKey,UPPER(SUBSTITUTE(_xlpm.mat," ","")),
    _xlpm.pr,IFERROR(LOOKUP(2,1/($H$3:H26&lt;&gt;""),$H$3:H26),""),
    _xlpm.widthActual,IFERROR(LOOKUP(2,1/($E$3:E26&lt;&gt;""),$E$3:E26),$E26),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",""))=_xlpm.matKey)*(_xlpm.summaryThick=$K26)*(_xlpm.summaryCosts&gt;0))),INDEX(_xlfn._xlws.FILTER(_xlpm.summaryCosts,(UPPER(SUBSTITUTE(_xlpm.summaryNames," ",""))=_xlpm.matKey)*(_xlpm.summaryThick=$K26)*(_xlpm.summaryCosts&gt;0)),1)),""),""),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26"/>
      <c r="S26"/>
      <c r="T26" s="887"/>
      <c r="U26"/>
      <c r="AG26" s="876" t="s">
        <v>1025</v>
      </c>
      <c r="AH26" s="877"/>
      <c r="AI26" s="878"/>
      <c r="AK26" s="876" t="s">
        <v>1025</v>
      </c>
      <c r="AL26" s="877"/>
      <c r="AM26" s="878"/>
      <c r="AO26" s="876" t="s">
        <v>1025</v>
      </c>
      <c r="AP26" s="877"/>
      <c r="AQ26" s="878"/>
    </row>
    <row r="27" spans="1:49" ht="21">
      <c r="A27"/>
      <c r="J27" s="537"/>
      <c r="M27" s="285"/>
      <c r="N27" s="235"/>
      <c r="R27"/>
      <c r="S27"/>
      <c r="T27" s="544"/>
      <c r="U27"/>
      <c r="AG27" s="879">
        <f>IF(AH38&lt;&gt;"",IFERROR(AH18/(1-AH1),""),"")</f>
        <v>14.034343967740531</v>
      </c>
      <c r="AH27" s="880"/>
      <c r="AI27" s="881"/>
      <c r="AK27" s="879">
        <f>IF(AL38&lt;&gt;"",IFERROR(AL18/(1-AL1),""),"")</f>
        <v>13.720226556649823</v>
      </c>
      <c r="AL27" s="880"/>
      <c r="AM27" s="881"/>
      <c r="AO27" s="879">
        <f>IF(AP38&lt;&gt;"",IFERROR(AP18/(1-AP1),""),"")</f>
        <v>18.767332751253996</v>
      </c>
      <c r="AP27" s="880"/>
      <c r="AQ27" s="881"/>
    </row>
    <row r="28" spans="1:49">
      <c r="A28"/>
      <c r="J28" s="537"/>
      <c r="M28" s="285"/>
      <c r="N28" s="235"/>
      <c r="R28"/>
      <c r="S28"/>
      <c r="T28" s="544"/>
      <c r="U28"/>
      <c r="AG28" s="604" t="s">
        <v>1071</v>
      </c>
      <c r="AH28" s="480">
        <f>IF(OR(AH15="",AH38=""),"",IFERROR(AG27*AH38/AH15,""))</f>
        <v>0.62236816972413844</v>
      </c>
      <c r="AI28" s="605" t="s">
        <v>1026</v>
      </c>
      <c r="AK28" s="604" t="s">
        <v>1071</v>
      </c>
      <c r="AL28" s="480">
        <f>IF(OR(AL15="",AL38=""),"",IFERROR(AK27*AL38/AL15,""))</f>
        <v>0.42251986490265392</v>
      </c>
      <c r="AM28" s="605" t="s">
        <v>1026</v>
      </c>
      <c r="AO28" s="604" t="s">
        <v>1071</v>
      </c>
      <c r="AP28" s="480">
        <f>IF(OR(AP15="",AP38=""),"",IFERROR(AO27*AP38/AP15,""))</f>
        <v>1.4491666343097598</v>
      </c>
      <c r="AQ28" s="605" t="s">
        <v>1026</v>
      </c>
      <c r="AS28" s="141"/>
    </row>
    <row r="29" spans="1:49">
      <c r="A29"/>
      <c r="J29" s="537" t="str">
        <f>IF($C29="","",IF($E$15="","",IF($E$15+50&gt;1220,"ERROR: Lamination Width &gt; 1220",$E$15+50)))</f>
        <v/>
      </c>
      <c r="M29" s="285"/>
      <c r="N29" s="235" t="str" cm="1">
        <f t="array" ref="N29">IF($C29="","",_xlfn.LET(
    _xlpm.mat,TRIM($C29),
    _xlpm.matKey,UPPER(SUBSTITUTE(_xlpm.mat," ","")),
    _xlpm.pr,IFERROR(LOOKUP(2,1/($H$3:H29&lt;&gt;""),$H$3:H29),""),
    _xlpm.widthActual,IFERROR(LOOKUP(2,1/($E$3:E29&lt;&gt;""),$E$3:E29),$E29),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",""))=_xlpm.matKey)*(_xlpm.summaryThick=$K29)*(_xlpm.summaryCosts&gt;0))),INDEX(_xlfn._xlws.FILTER(_xlpm.summaryCosts,(UPPER(SUBSTITUTE(_xlpm.summaryNames," ",""))=_xlpm.matKey)*(_xlpm.summaryThick=$K29)*(_xlpm.summaryCosts&gt;0)),1)),""),""),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29"/>
      <c r="S29"/>
      <c r="T29" t="str">
        <f>IF(OR($S29="",$K29=""),"",IFERROR($S29*(1/$M$37)*($J29/($D29*MAX(1,ROUNDDOWN(760/$D29,0)))),""))</f>
        <v/>
      </c>
      <c r="U29"/>
      <c r="AG29" s="604" t="s">
        <v>1072</v>
      </c>
      <c r="AH29" s="288">
        <f>IFERROR(AG27,"")</f>
        <v>14.034343967740531</v>
      </c>
      <c r="AI29" s="605" t="s">
        <v>864</v>
      </c>
      <c r="AK29" s="604" t="s">
        <v>1072</v>
      </c>
      <c r="AL29" s="288">
        <f>IFERROR(AK27,"")</f>
        <v>13.720226556649823</v>
      </c>
      <c r="AM29" s="605" t="s">
        <v>864</v>
      </c>
      <c r="AO29" s="604" t="s">
        <v>1072</v>
      </c>
      <c r="AP29" s="288">
        <f>IFERROR(AO27,"")</f>
        <v>18.767332751253996</v>
      </c>
      <c r="AQ29" s="605" t="s">
        <v>864</v>
      </c>
    </row>
    <row r="30" spans="1:49">
      <c r="A30"/>
      <c r="J30" s="537"/>
      <c r="M30" s="285"/>
      <c r="N30" s="235"/>
      <c r="R30"/>
      <c r="S30"/>
      <c r="T30"/>
      <c r="U30"/>
      <c r="AG30" s="604" t="s">
        <v>1073</v>
      </c>
      <c r="AH30" s="480" t="str">
        <f>IF(OR(AH28="",AH5="",AH14="",AI14=""),"",IFERROR(AH28*(AI14/1000)/ROUNDDOWN(AH5/AH14,0),""))</f>
        <v/>
      </c>
      <c r="AI30" s="605" t="s">
        <v>1074</v>
      </c>
      <c r="AK30" s="604" t="s">
        <v>1073</v>
      </c>
      <c r="AL30" s="480" t="str">
        <f>IF(OR(AL28="",AL5="",AL14="",AM14=""),"",IFERROR(AL28*(AM14/1000)/ROUNDDOWN(AL5/AL14,0),""))</f>
        <v/>
      </c>
      <c r="AM30" s="605" t="s">
        <v>1074</v>
      </c>
      <c r="AO30" s="604" t="s">
        <v>1073</v>
      </c>
      <c r="AP30" s="480">
        <f>IF(OR(AP28="",AP5="",AP14="",AQ14=""),"",IFERROR(AP28*(AQ14/1000)/ROUNDDOWN(AP5/AP14,0),""))</f>
        <v>1.5216249660252475E-2</v>
      </c>
      <c r="AQ30" s="605" t="s">
        <v>1074</v>
      </c>
    </row>
    <row r="31" spans="1:49">
      <c r="A31"/>
      <c r="J31" s="537"/>
      <c r="M31" s="285"/>
      <c r="N31" s="235"/>
      <c r="R31"/>
      <c r="S31"/>
      <c r="T31"/>
      <c r="U31"/>
      <c r="AG31" s="606" t="s">
        <v>1075</v>
      </c>
      <c r="AH31" s="602">
        <f>IFERROR(AH28*1.16,"")</f>
        <v>0.72194707688000059</v>
      </c>
      <c r="AI31" s="607" t="s">
        <v>1076</v>
      </c>
      <c r="AK31" s="606" t="s">
        <v>1075</v>
      </c>
      <c r="AL31" s="602">
        <f>IFERROR(AL28*1.16,"")</f>
        <v>0.49012304328707851</v>
      </c>
      <c r="AM31" s="607" t="s">
        <v>1076</v>
      </c>
      <c r="AO31" s="606" t="s">
        <v>1075</v>
      </c>
      <c r="AP31" s="602">
        <f>IFERROR(AP28*1.16,"")</f>
        <v>1.6810332957993213</v>
      </c>
      <c r="AQ31" s="607" t="s">
        <v>1076</v>
      </c>
      <c r="AW31"/>
    </row>
    <row r="32" spans="1:49">
      <c r="A32"/>
      <c r="J32" s="537" t="str">
        <f>IF($C32="","",IF($E$15="","",IF($E$15+50&gt;1220,"ERROR: Lamination Width &gt; 1220",$E$15+50)))</f>
        <v/>
      </c>
      <c r="M32" s="285"/>
      <c r="N32" s="235" t="str" cm="1">
        <f t="array" ref="N32">IF($C32="","",_xlfn.LET(
    _xlpm.mat,TRIM($C32),
    _xlpm.matKey,UPPER(SUBSTITUTE(_xlpm.mat," ","")),
    _xlpm.pr,IFERROR(LOOKUP(2,1/($H$3:H32&lt;&gt;""),$H$3:H32),""),
    _xlpm.widthActual,IFERROR(LOOKUP(2,1/($E$3:E32&lt;&gt;""),$E$3:E32),$E32),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",""))=_xlpm.matKey)*(_xlpm.summaryThick=$K32)*(_xlpm.summaryCosts&gt;0))),INDEX(_xlfn._xlws.FILTER(_xlpm.summaryCosts,(UPPER(SUBSTITUTE(_xlpm.summaryNames," ",""))=_xlpm.matKey)*(_xlpm.summaryThick=$K32)*(_xlpm.summaryCosts&gt;0)),1)),""),""),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32"/>
      <c r="S32"/>
      <c r="T32"/>
      <c r="U32"/>
      <c r="AG32" s="606" t="s">
        <v>1077</v>
      </c>
      <c r="AH32" s="548">
        <f>IFERROR(AH29*1.16,"")</f>
        <v>16.279839002579013</v>
      </c>
      <c r="AI32" s="607" t="s">
        <v>1067</v>
      </c>
      <c r="AK32" s="606" t="s">
        <v>1077</v>
      </c>
      <c r="AL32" s="548">
        <f>IFERROR(AL29*1.16,"")</f>
        <v>15.915462805713794</v>
      </c>
      <c r="AM32" s="607" t="s">
        <v>1067</v>
      </c>
      <c r="AO32" s="606" t="s">
        <v>1077</v>
      </c>
      <c r="AP32" s="548">
        <f>IFERROR(AP29*1.16,"")</f>
        <v>21.770105991454635</v>
      </c>
      <c r="AQ32" s="607" t="s">
        <v>1067</v>
      </c>
      <c r="AW32"/>
    </row>
    <row r="33" spans="1:49">
      <c r="A33"/>
      <c r="J33" s="537"/>
      <c r="M33" s="285"/>
      <c r="N33" s="235"/>
      <c r="R33"/>
      <c r="S33"/>
      <c r="T33"/>
      <c r="U33"/>
      <c r="AG33" s="606" t="s">
        <v>1078</v>
      </c>
      <c r="AH33" s="602" t="str">
        <f>IF(OR(AH31="",AH5="",AH14="",AI14=""),"",IFERROR(AH31*(AI14/1000)/(AH5/AH14),""))</f>
        <v/>
      </c>
      <c r="AI33" s="607" t="s">
        <v>1066</v>
      </c>
      <c r="AK33" s="606" t="s">
        <v>1078</v>
      </c>
      <c r="AL33" s="602" t="str">
        <f>IF(OR(AL31="",AL5="",AL14="",AM14=""),"",IFERROR(AL31*(AM14/1000)/(AL5/AL14),""))</f>
        <v/>
      </c>
      <c r="AM33" s="607" t="s">
        <v>1066</v>
      </c>
      <c r="AO33" s="606" t="s">
        <v>1078</v>
      </c>
      <c r="AP33" s="602">
        <f>IF(OR(AP31="",AP5="",AP14="",AQ14=""),"",IFERROR(AP31*(AQ14/1000)/(AP5/AP14),""))</f>
        <v>1.6474126298833349E-2</v>
      </c>
      <c r="AQ33" s="607" t="s">
        <v>1066</v>
      </c>
      <c r="AW33"/>
    </row>
    <row r="34" spans="1:49">
      <c r="A34"/>
      <c r="J34" s="537" t="str">
        <f t="shared" ref="J34:J45" si="5">IF($C34="","",IF($E$15="","",IF($E$15+50&gt;1220,"ERROR: Lamination Width &gt; 1220",$E$15+50)))</f>
        <v/>
      </c>
      <c r="M34" s="285"/>
      <c r="N34" s="235" t="str" cm="1">
        <f t="array" ref="N34">IF($C34="","",_xlfn.LET(
    _xlpm.mat,TRIM($C34),
    _xlpm.matKey,UPPER(SUBSTITUTE(_xlpm.mat," ","")),
    _xlpm.pr,IFERROR(LOOKUP(2,1/($H$3:H34&lt;&gt;""),$H$3:H34),""),
    _xlpm.widthActual,IFERROR(LOOKUP(2,1/($E$3:E34&lt;&gt;""),$E$3:E34),$E34),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",""))=_xlpm.matKey)*(_xlpm.summaryThick=$K34)*(_xlpm.summaryCosts&gt;0))),INDEX(_xlfn._xlws.FILTER(_xlpm.summaryCosts,(UPPER(SUBSTITUTE(_xlpm.summaryNames," ",""))=_xlpm.matKey)*(_xlpm.summaryThick=$K34)*(_xlpm.summaryCosts&gt;0)),1)),""),""),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34"/>
      <c r="S34"/>
      <c r="T34"/>
      <c r="U34"/>
      <c r="AG34" s="608" t="s">
        <v>1079</v>
      </c>
      <c r="AH34" s="603" cm="1">
        <f t="array" ref="AH34">IFERROR(_xlfn.SWITCH(AH12,"By Imp",AH13*AH30,"IMP",AH13*AH30,"By Length",AH13*AH28,"By Weight",AH13*AH29,AG27*AH38),"")</f>
        <v>11295.982280493112</v>
      </c>
      <c r="AI34" s="607" t="s">
        <v>1080</v>
      </c>
      <c r="AK34" s="608" t="s">
        <v>1079</v>
      </c>
      <c r="AL34" s="603" cm="1">
        <f t="array" ref="AL34">IFERROR(_xlfn.SWITCH(AL12,"By Imp",AL13*AL30,"IMP",AL13*AL30,"By Length",AL13*AL28,"By Weight",AL13*AL29,AK27*AL38),"")</f>
        <v>845.03972980530784</v>
      </c>
      <c r="AM34" s="607" t="s">
        <v>1080</v>
      </c>
      <c r="AO34" s="608" t="s">
        <v>1079</v>
      </c>
      <c r="AP34" s="603" cm="1">
        <f t="array" ref="AP34">IFERROR(_xlfn.SWITCH(AP12,"By Imp",AP13*AP30,"IMP",AP13*AP30,"By Length",AP13*AP28,"By Weight",AP13*AP29,AO27*AP38),"")</f>
        <v>7227.7185886199259</v>
      </c>
      <c r="AQ34" s="607" t="s">
        <v>1080</v>
      </c>
      <c r="AW34"/>
    </row>
    <row r="35" spans="1:49">
      <c r="A35"/>
      <c r="J35" s="537" t="str">
        <f t="shared" si="5"/>
        <v/>
      </c>
      <c r="M35" s="285"/>
      <c r="N35" s="235" t="str" cm="1">
        <f t="array" ref="N35">IF($C35="","",_xlfn.LET(
    _xlpm.mat,TRIM($C35),
    _xlpm.matKey,UPPER(SUBSTITUTE(_xlpm.mat," ","")),
    _xlpm.pr,IFERROR(LOOKUP(2,1/($H$3:H35&lt;&gt;""),$H$3:H35),""),
    _xlpm.widthActual,IFERROR(LOOKUP(2,1/($E$3:E35&lt;&gt;""),$E$3:E35),$E35),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",""))=_xlpm.matKey)*(_xlpm.summaryThick=$K35)*(_xlpm.summaryCosts&gt;0))),INDEX(_xlfn._xlws.FILTER(_xlpm.summaryCosts,(UPPER(SUBSTITUTE(_xlpm.summaryNames," ",""))=_xlpm.matKey)*(_xlpm.summaryThick=$K35)*(_xlpm.summaryCosts&gt;0)),1)),""),""),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35"/>
      <c r="S35"/>
      <c r="T35"/>
      <c r="U35"/>
      <c r="AG35" s="608" t="s">
        <v>1081</v>
      </c>
      <c r="AH35" s="548" cm="1">
        <f t="array" ref="AH35">IFERROR(_xlfn.SWITCH(AH12,"By Imp",AH13*AH33,"IMP",AH13*AH33,"By Length",AH13*AH31,"By Weight",AH13*AH32,AG27*AH38*1.16),"")</f>
        <v>13103.33944537201</v>
      </c>
      <c r="AI35" s="607" t="s">
        <v>1082</v>
      </c>
      <c r="AK35" s="608" t="s">
        <v>1081</v>
      </c>
      <c r="AL35" s="548" cm="1">
        <f t="array" ref="AL35">IFERROR(_xlfn.SWITCH(AL12,"By Imp",AL13*AL33,"IMP",AL13*AL33,"By Length",AL13*AL31,"By Weight",AL13*AL32,AK27*AL38*1.16),"")</f>
        <v>980.24608657415706</v>
      </c>
      <c r="AM35" s="607" t="s">
        <v>1082</v>
      </c>
      <c r="AO35" s="608" t="s">
        <v>1081</v>
      </c>
      <c r="AP35" s="548" cm="1">
        <f t="array" ref="AP35">IFERROR(_xlfn.SWITCH(AP12,"By Imp",AP13*AP33,"IMP",AP13*AP33,"By Length",AP13*AP31,"By Weight",AP13*AP32,AO27*AP38*1.16),"")</f>
        <v>7825.2099919458406</v>
      </c>
      <c r="AQ35" s="607" t="s">
        <v>1082</v>
      </c>
      <c r="AW35"/>
    </row>
    <row r="36" spans="1:49">
      <c r="A36"/>
      <c r="J36" s="537" t="str">
        <f t="shared" si="5"/>
        <v/>
      </c>
      <c r="M36" s="285"/>
      <c r="N36" s="235" t="str" cm="1">
        <f t="array" ref="N36">IF($C36="","",_xlfn.LET(
    _xlpm.mat,TRIM($C36),
    _xlpm.matKey,UPPER(SUBSTITUTE(_xlpm.mat," ","")),
    _xlpm.pr,IFERROR(LOOKUP(2,1/($H$3:H36&lt;&gt;""),$H$3:H36),""),
    _xlpm.widthActual,IFERROR(LOOKUP(2,1/($E$3:E36&lt;&gt;""),$E$3:E36),$E36),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",""))=_xlpm.matKey)*(_xlpm.summaryThick=$K36)*(_xlpm.summaryCosts&gt;0))),INDEX(_xlfn._xlws.FILTER(_xlpm.summaryCosts,(UPPER(SUBSTITUTE(_xlpm.summaryNames," ",""))=_xlpm.matKey)*(_xlpm.summaryThick=$K36)*(_xlpm.summaryCosts&gt;0)),1)),""),""),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36"/>
      <c r="S36"/>
      <c r="T36"/>
      <c r="U36"/>
      <c r="AG36" s="609" t="s">
        <v>871</v>
      </c>
      <c r="AH36" s="610">
        <f>IFERROR(AH37/($M$8*($D$3/$J$3))+5,"")</f>
        <v>11350.432102127041</v>
      </c>
      <c r="AI36" s="611" t="s">
        <v>607</v>
      </c>
      <c r="AK36" s="609" t="s">
        <v>871</v>
      </c>
      <c r="AL36" s="610">
        <f>IFERROR(AL37/($M$14*($D$9/$J$9))+5,"")</f>
        <v>17675.716794956072</v>
      </c>
      <c r="AM36" s="611" t="s">
        <v>607</v>
      </c>
      <c r="AO36" s="609" t="s">
        <v>871</v>
      </c>
      <c r="AP36" s="610">
        <f>IFERROR(AP37/($M$20*($D$15/$J$15))+5,"")</f>
        <v>6565.3883749917995</v>
      </c>
      <c r="AQ36" s="611" t="s">
        <v>607</v>
      </c>
      <c r="AW36"/>
    </row>
    <row r="37" spans="1:49">
      <c r="A37"/>
      <c r="J37" s="537" t="str">
        <f t="shared" si="5"/>
        <v/>
      </c>
      <c r="M37" s="285"/>
      <c r="N37" s="235" t="str" cm="1">
        <f t="array" ref="N37">IF($C37="","",_xlfn.LET(
    _xlpm.mat,TRIM($C37),
    _xlpm.matKey,UPPER(SUBSTITUTE(_xlpm.mat," ","")),
    _xlpm.pr,IFERROR(LOOKUP(2,1/($H$3:H37&lt;&gt;""),$H$3:H37),""),
    _xlpm.widthActual,IFERROR(LOOKUP(2,1/($E$3:E37&lt;&gt;""),$E$3:E37),$E37),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",""))=_xlpm.matKey)*(_xlpm.summaryThick=$K37)*(_xlpm.summaryCosts&gt;0))),INDEX(_xlfn._xlws.FILTER(_xlpm.summaryCosts,(UPPER(SUBSTITUTE(_xlpm.summaryNames," ",""))=_xlpm.matKey)*(_xlpm.summaryThick=$K37)*(_xlpm.summaryCosts&gt;0)),1)),""),""),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37"/>
      <c r="S37"/>
      <c r="T37"/>
      <c r="U37"/>
      <c r="AG37" s="609" t="s">
        <v>872</v>
      </c>
      <c r="AH37" s="610">
        <f>_xlfn.LET(_xlpm.lam,UPPER(SUBSTITUTE(AH3&amp;"","LAMINATE","")),IF(_xlpm.lam="608W",2000,IF(_xlpm.lam="608",750,500)))</f>
        <v>500</v>
      </c>
      <c r="AI37" s="611" t="s">
        <v>225</v>
      </c>
      <c r="AK37" s="609" t="s">
        <v>872</v>
      </c>
      <c r="AL37" s="610">
        <f>_xlfn.LET(_xlpm.lam,UPPER(SUBSTITUTE(AL3&amp;"","LAMINATE","")),IF(_xlpm.lam="608W",2000,IF(_xlpm.lam="608",750,500)))</f>
        <v>500</v>
      </c>
      <c r="AM37" s="611" t="s">
        <v>225</v>
      </c>
      <c r="AO37" s="609" t="s">
        <v>872</v>
      </c>
      <c r="AP37" s="610">
        <f>_xlfn.LET(_xlpm.lam,UPPER(SUBSTITUTE(AP3&amp;"","LAMINATE","")),IF(_xlpm.lam="608W",2000,IF(_xlpm.lam="608",750,500)))</f>
        <v>500</v>
      </c>
      <c r="AQ37" s="611" t="s">
        <v>225</v>
      </c>
      <c r="AW37"/>
    </row>
    <row r="38" spans="1:49" ht="15.75" outlineLevel="1" thickBot="1">
      <c r="J38" s="537" t="str">
        <f t="shared" si="5"/>
        <v/>
      </c>
      <c r="M38" s="285"/>
      <c r="N38" s="235" t="str" cm="1">
        <f t="array" ref="N38">IF($C38="","",_xlfn.LET(
    _xlpm.mat,TRIM($C38),
    _xlpm.matKey,UPPER(SUBSTITUTE(_xlpm.mat," ","")),
    _xlpm.pr,IFERROR(LOOKUP(2,1/($H$3:H38&lt;&gt;""),$H$3:H38),""),
    _xlpm.widthActual,IFERROR(LOOKUP(2,1/($E$3:E38&lt;&gt;""),$E$3:E38),$E38),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",""))=_xlpm.matKey)*(_xlpm.summaryThick=$K38)*(_xlpm.summaryCosts&gt;0))),INDEX(_xlfn._xlws.FILTER(_xlpm.summaryCosts,(UPPER(SUBSTITUTE(_xlpm.summaryNames," ",""))=_xlpm.matKey)*(_xlpm.summaryThick=$K38)*(_xlpm.summaryCosts&gt;0)),1)),""),""),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38"/>
      <c r="T38" t="str">
        <f>IF(OR($S38="",$K38=""),"",IFERROR($S38*(1/$M$41)*($J38/($D38*MAX(1,ROUNDDOWN(760/$D38,0)))),""))</f>
        <v/>
      </c>
      <c r="U38"/>
      <c r="AG38" s="612" t="s">
        <v>873</v>
      </c>
      <c r="AH38" s="613">
        <f>IF(OR(AH12="IMP",AH12="By Imp"),IFERROR(AH15*$M$8*($D$3/$J$3)+5,""),IF(AH12="By Length",IFERROR(AH13*$M$8*($D$3/$J$3)+5,""),IF(AH12="By Weight",IFERROR(IF(AH6&lt;&gt;"",AH6,A3),""),"")))</f>
        <v>804.88139000000001</v>
      </c>
      <c r="AI38" s="614" t="s">
        <v>225</v>
      </c>
      <c r="AJ38" s="272"/>
      <c r="AK38" s="612" t="s">
        <v>873</v>
      </c>
      <c r="AL38" s="613">
        <f>IF(OR(AL12="IMP",AL12="By Imp"),IFERROR(AL15*$M$14*($D$9/$J$9)+5,""),IF(AL12="By Length",IFERROR(AL13*$M$14*($D$9/$J$9)+5,""),IF(AL12="By Weight",IFERROR(IF(AL6&lt;&gt;"",AL6,A9),""),"")))</f>
        <v>61.590799999999994</v>
      </c>
      <c r="AM38" s="614" t="s">
        <v>225</v>
      </c>
      <c r="AN38" s="272"/>
      <c r="AO38" s="612" t="s">
        <v>873</v>
      </c>
      <c r="AP38" s="613">
        <f>IF(OR(AP12="IMP",AP12="By Imp"),IFERROR(AP15*$M$20*($D$15/$J$15)+5,""),IF(AP12="By Length",IFERROR(AP13*$M$20*($D$15/$J$15)+5,""),IF(AP12="By Weight",IFERROR(IF(AP6&lt;&gt;"",AP6,A15),""),"")))</f>
        <v>385.12231250000002</v>
      </c>
      <c r="AQ38" s="614" t="s">
        <v>225</v>
      </c>
      <c r="AW38"/>
    </row>
    <row r="39" spans="1:49" ht="15.75" outlineLevel="1" thickBot="1">
      <c r="J39" s="537" t="str">
        <f t="shared" si="5"/>
        <v/>
      </c>
      <c r="M39" s="285"/>
      <c r="N39" s="235" t="str" cm="1">
        <f t="array" ref="N39">IF($C39="","",_xlfn.LET(
    _xlpm.mat,TRIM($C39),
    _xlpm.matKey,UPPER(SUBSTITUTE(_xlpm.mat," ","")),
    _xlpm.pr,IFERROR(LOOKUP(2,1/($H$3:H39&lt;&gt;""),$H$3:H39),""),
    _xlpm.widthActual,IFERROR(LOOKUP(2,1/($E$3:E39&lt;&gt;""),$E$3:E39),$E39),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",""))=_xlpm.matKey)*(_xlpm.summaryThick=$K39)*(_xlpm.summaryCosts&gt;0))),INDEX(_xlfn._xlws.FILTER(_xlpm.summaryCosts,(UPPER(SUBSTITUTE(_xlpm.summaryNames," ",""))=_xlpm.matKey)*(_xlpm.summaryThick=$K39)*(_xlpm.summaryCosts&gt;0)),1)),""),""),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39"/>
      <c r="T39"/>
      <c r="U39"/>
      <c r="AG39" s="882" t="s">
        <v>1068</v>
      </c>
      <c r="AH39" s="883"/>
      <c r="AI39" s="884"/>
      <c r="AK39" s="882" t="s">
        <v>1068</v>
      </c>
      <c r="AL39" s="883"/>
      <c r="AM39" s="884"/>
      <c r="AO39" s="882" t="s">
        <v>1068</v>
      </c>
      <c r="AP39" s="883"/>
      <c r="AQ39" s="884"/>
      <c r="AW39"/>
    </row>
    <row r="40" spans="1:49" outlineLevel="1">
      <c r="J40" s="537" t="str">
        <f t="shared" si="5"/>
        <v/>
      </c>
      <c r="M40" s="285"/>
      <c r="N40" s="235" t="str" cm="1">
        <f t="array" ref="N40">IF($C40="","",_xlfn.LET(
    _xlpm.mat,TRIM($C40),
    _xlpm.matKey,UPPER(SUBSTITUTE(_xlpm.mat," ","")),
    _xlpm.pr,IFERROR(LOOKUP(2,1/($H$3:H40&lt;&gt;""),$H$3:H40),""),
    _xlpm.widthActual,IFERROR(LOOKUP(2,1/($E$3:E40&lt;&gt;""),$E$3:E40),$E40),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",""))=_xlpm.matKey)*(_xlpm.summaryThick=$K40)*(_xlpm.summaryCosts&gt;0))),INDEX(_xlfn._xlws.FILTER(_xlpm.summaryCosts,(UPPER(SUBSTITUTE(_xlpm.summaryNames," ",""))=_xlpm.matKey)*(_xlpm.summaryThick=$K40)*(_xlpm.summaryCosts&gt;0)),1)),""),""),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40"/>
      <c r="T40"/>
      <c r="U40"/>
      <c r="AG40" s="839" t="s">
        <v>1065</v>
      </c>
      <c r="AH40" s="117">
        <f>IF(OR(AH12="IMP",AH12="By Imp"),IFERROR(AH13/(AH5/AH14)*(AI14/1000),""),IFERROR(AH13,""))</f>
        <v>18150</v>
      </c>
      <c r="AI40" s="272" t="s">
        <v>607</v>
      </c>
      <c r="AK40" s="839" t="s">
        <v>1065</v>
      </c>
      <c r="AL40" s="117">
        <f>IF(OR(AL12="IMP",AL12="By Imp"),IFERROR(AL13/(AL5/AL14)*(AM14/1000),""),IFERROR(AL13,""))</f>
        <v>2000</v>
      </c>
      <c r="AM40" s="272" t="s">
        <v>607</v>
      </c>
      <c r="AO40" s="839" t="s">
        <v>1065</v>
      </c>
      <c r="AP40" s="117">
        <f>IF(OR(AP12="IMP",AP12="By Imp"),IFERROR(AP13/(AP5/AP14)*(AQ14/1000),""),IFERROR(AP13,""))</f>
        <v>4655</v>
      </c>
      <c r="AQ40" s="272" t="s">
        <v>607</v>
      </c>
      <c r="AW40"/>
    </row>
    <row r="41" spans="1:49">
      <c r="J41" s="537" t="str">
        <f t="shared" si="5"/>
        <v/>
      </c>
      <c r="M41" s="285"/>
      <c r="N41" s="235" t="str" cm="1">
        <f t="array" ref="N41">IF($C41="","",_xlfn.LET(
    _xlpm.mat,TRIM($C41),
    _xlpm.matKey,UPPER(SUBSTITUTE(_xlpm.mat," ","")),
    _xlpm.pr,IFERROR(LOOKUP(2,1/($H$3:H41&lt;&gt;""),$H$3:H41),""),
    _xlpm.widthActual,IFERROR(LOOKUP(2,1/($E$3:E41&lt;&gt;""),$E$3:E41),$E41),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",""))=_xlpm.matKey)*(_xlpm.summaryThick=$K41)*(_xlpm.summaryCosts&gt;0))),INDEX(_xlfn._xlws.FILTER(_xlpm.summaryCosts,(UPPER(SUBSTITUTE(_xlpm.summaryNames," ",""))=_xlpm.matKey)*(_xlpm.summaryThick=$K41)*(_xlpm.summaryCosts&gt;0)),1)),""),""),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41"/>
      <c r="T41"/>
      <c r="U41"/>
      <c r="AG41" s="839" t="s">
        <v>1255</v>
      </c>
      <c r="AH41" s="843" t="str">
        <f>IF(OR(AH12="IMP",AH12="By Imp"),IFERROR(AH13/AH9,""),"")</f>
        <v/>
      </c>
      <c r="AI41" s="839" t="s">
        <v>1059</v>
      </c>
      <c r="AK41" s="839" t="s">
        <v>1255</v>
      </c>
      <c r="AL41" s="843" t="str">
        <f>IF(OR(AL12="IMP",AL12="By Imp"),IFERROR(AL13/AL9,""),"")</f>
        <v/>
      </c>
      <c r="AM41" s="839" t="s">
        <v>1059</v>
      </c>
      <c r="AO41" s="839" t="s">
        <v>1255</v>
      </c>
      <c r="AP41" s="843">
        <f>IF(OR(AP12="IMP",AP12="By Imp"),IFERROR(AP13/AP9,""),"")</f>
        <v>475000</v>
      </c>
      <c r="AQ41" s="839" t="s">
        <v>1059</v>
      </c>
    </row>
    <row r="42" spans="1:49">
      <c r="J42" s="537" t="str">
        <f t="shared" si="5"/>
        <v/>
      </c>
      <c r="M42" s="285"/>
      <c r="N42" s="235" t="str" cm="1">
        <f t="array" ref="N42">IF($C42="","",_xlfn.LET(
    _xlpm.mat,TRIM($C42),
    _xlpm.matKey,UPPER(SUBSTITUTE(_xlpm.mat," ","")),
    _xlpm.pr,IFERROR(LOOKUP(2,1/($H$3:H42&lt;&gt;""),$H$3:H42),""),
    _xlpm.widthActual,IFERROR(LOOKUP(2,1/($E$3:E42&lt;&gt;""),$E$3:E42),$E42),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",""))=_xlpm.matKey)*(_xlpm.summaryThick=$K42)*(_xlpm.summaryCosts&gt;0))),INDEX(_xlfn._xlws.FILTER(_xlpm.summaryCosts,(UPPER(SUBSTITUTE(_xlpm.summaryNames," ",""))=_xlpm.matKey)*(_xlpm.summaryThick=$K42)*(_xlpm.summaryCosts&gt;0)),1)),""),""),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42"/>
      <c r="T42" t="str">
        <f>IF(OR($S42="",$K42=""),"",IFERROR($S42*(1/$M$47)*($J42/($D42*MAX(1,ROUNDDOWN(760/$D42,0)))),""))</f>
        <v/>
      </c>
      <c r="U42"/>
      <c r="Y42" t="str">
        <f>IFERROR((SUM(X42:X47)+SUM(R42:S42,U42))*(1/M47)*(J42/(D42*MAX(1,ROUNDDOWN(760/D42,0))))+W42,"")</f>
        <v/>
      </c>
      <c r="AG42" s="839" t="s">
        <v>1256</v>
      </c>
      <c r="AH42" s="844" cm="1">
        <f t="array" ref="AH42">_xlfn.LET(_xlpm.lam,TEXT(AH3,"0"),_xlpm.thick,AH4,_xlpm.mats,_xlfn._xlws.FILTER(HELPER!$BW$2:$BW$250,(TEXT(HELPER!$BZ$2:$BZ$250,"0")=_xlpm.lam)*(HELPER!$CC$2:$CC$250=_xlpm.thick)*(HELPER!$BW$2:$BW$250&lt;&gt;""),""),_xlpm.real,_xlfn._xlws.FILTER(_xlpm.mats,(ISERROR(SEARCH("EPOTAL",_xlpm.mats&amp;"")))*(ISERROR(SEARCH("BASONAT",_xlpm.mats&amp;"")))*(ISERROR(SEARCH("ADHESIVE",_xlpm.mats&amp;"")))*(ISERROR(SEARCH("HARDENER",_xlpm.mats&amp;""))),""),IFERROR(SUM(--(UPPER(TRIM(_xlpm.real))="NK"))/ROWS(_xlpm.real),0))</f>
        <v>0</v>
      </c>
      <c r="AI42" s="839" t="s">
        <v>1257</v>
      </c>
      <c r="AK42" s="839" t="s">
        <v>1256</v>
      </c>
      <c r="AL42" s="840" cm="1">
        <f t="array" ref="AL42">_xlfn.LET(_xlpm.lam,TEXT(AL3,"0"),_xlpm.thick,AL4,_xlpm.mats,_xlfn._xlws.FILTER(HELPER!$BW$2:$BW$250,(TEXT(HELPER!$BZ$2:$BZ$250,"0")=_xlpm.lam)*(HELPER!$CC$2:$CC$250=_xlpm.thick)*(HELPER!$BW$2:$BW$250&lt;&gt;""),""),_xlpm.real,_xlfn._xlws.FILTER(_xlpm.mats,(ISERROR(SEARCH("EPOTAL",_xlpm.mats&amp;"")))*(ISERROR(SEARCH("BASONAT",_xlpm.mats&amp;"")))*(ISERROR(SEARCH("ADHESIVE",_xlpm.mats&amp;"")))*(ISERROR(SEARCH("HARDENER",_xlpm.mats&amp;""))),""),IFERROR(SUM(--(UPPER(TRIM(_xlpm.real))="NK"))/ROWS(_xlpm.real),0))</f>
        <v>0.5</v>
      </c>
      <c r="AM42" s="839" t="s">
        <v>1257</v>
      </c>
      <c r="AO42" s="839" t="s">
        <v>1256</v>
      </c>
      <c r="AP42" s="840" cm="1">
        <f t="array" ref="AP42">_xlfn.LET(_xlpm.lam,TEXT(AP3,"0"),_xlpm.thick,AP4,_xlpm.mats,_xlfn._xlws.FILTER(HELPER!$BW$2:$BW$250,(TEXT(HELPER!$BZ$2:$BZ$250,"0")=_xlpm.lam)*(HELPER!$CC$2:$CC$250=_xlpm.thick)*(HELPER!$BW$2:$BW$250&lt;&gt;""),""),_xlpm.real,_xlfn._xlws.FILTER(_xlpm.mats,(ISERROR(SEARCH("EPOTAL",_xlpm.mats&amp;"")))*(ISERROR(SEARCH("BASONAT",_xlpm.mats&amp;"")))*(ISERROR(SEARCH("ADHESIVE",_xlpm.mats&amp;"")))*(ISERROR(SEARCH("HARDENER",_xlpm.mats&amp;""))),""),IFERROR(SUM(--(UPPER(TRIM(_xlpm.real))="NK"))/ROWS(_xlpm.real),0))</f>
        <v>0.33333333333333331</v>
      </c>
      <c r="AQ42" s="839" t="s">
        <v>1257</v>
      </c>
    </row>
    <row r="43" spans="1:49">
      <c r="J43" s="537" t="str">
        <f t="shared" si="5"/>
        <v/>
      </c>
      <c r="M43" s="285"/>
      <c r="N43" s="235" t="str" cm="1">
        <f t="array" ref="N43">IF($C43="","",_xlfn.LET(
    _xlpm.mat,TRIM($C43),
    _xlpm.matKey,UPPER(SUBSTITUTE(_xlpm.mat," ","")),
    _xlpm.pr,IFERROR(LOOKUP(2,1/($H$3:H43&lt;&gt;""),$H$3:H43),""),
    _xlpm.widthActual,IFERROR(LOOKUP(2,1/($E$3:E43&lt;&gt;""),$E$3:E43),$E43),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",""))=_xlpm.matKey)*(_xlpm.summaryThick=$K43)*(_xlpm.summaryCosts&gt;0))),INDEX(_xlfn._xlws.FILTER(_xlpm.summaryCosts,(UPPER(SUBSTITUTE(_xlpm.summaryNames," ",""))=_xlpm.matKey)*(_xlpm.summaryThick=$K43)*(_xlpm.summaryCosts&gt;0)),1)),""),""),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43"/>
      <c r="T43"/>
      <c r="U43"/>
      <c r="AG43" s="839" t="s">
        <v>1258</v>
      </c>
      <c r="AH43" s="842">
        <f>IF(OR(AH7&lt;&gt;"Printed",AH8=0,AH8="0",AH8=""),0,IFERROR(_xlfn.LET(_xlpm.colors,AH8,_xlpm.numColors,IF(ISNUMBER(_xlpm.colors),_xlpm.colors,IFERROR(--RIGHT(_xlpm.colors,LEN(_xlpm.colors)-FIND("-",_xlpm.colors)),IFERROR(--_xlpm.colors,0))),HELPER!$DB$1*_xlpm.numColors*AH9*1.05*AH42/AH38),0))</f>
        <v>0</v>
      </c>
      <c r="AI43" s="839" t="s">
        <v>864</v>
      </c>
      <c r="AK43" s="839" t="s">
        <v>1258</v>
      </c>
      <c r="AL43" s="842">
        <f>IF(OR(AL7&lt;&gt;"Printed",AL8=0,AL8="0",AL8=""),0,IFERROR(_xlfn.LET(_xlpm.colors,AL8,_xlpm.numColors,IF(ISNUMBER(_xlpm.colors),_xlpm.colors,IFERROR(--RIGHT(_xlpm.colors,LEN(_xlpm.colors)-FIND("-",_xlpm.colors)),IFERROR(--_xlpm.colors,0))),HELPER!$DB$1*_xlpm.numColors*AL9*1.05*AL42/AL38),0))</f>
        <v>0</v>
      </c>
      <c r="AM43" s="839" t="s">
        <v>864</v>
      </c>
      <c r="AO43" s="839" t="s">
        <v>1258</v>
      </c>
      <c r="AP43" s="842">
        <f>IF(OR(AP7&lt;&gt;"Printed",AP8=0,AP8="0",AP8=""),0,IFERROR(_xlfn.LET(_xlpm.colors,AP8,_xlpm.numColors,IF(ISNUMBER(_xlpm.colors),_xlpm.colors,IFERROR(--RIGHT(_xlpm.colors,LEN(_xlpm.colors)-FIND("-",_xlpm.colors)),IFERROR(--_xlpm.colors,0))),HELPER!$DB$1*_xlpm.numColors*AP9*1.05*AP42/AP38),0))</f>
        <v>1.0905626248284432</v>
      </c>
      <c r="AQ43" s="839" t="s">
        <v>864</v>
      </c>
    </row>
    <row r="44" spans="1:49">
      <c r="J44" s="537" t="str">
        <f t="shared" si="5"/>
        <v/>
      </c>
      <c r="N44" s="235" t="str" cm="1">
        <f t="array" ref="N44">IF($C44="","",_xlfn.LET(
    _xlpm.mat,TRIM($C44),
    _xlpm.matKey,UPPER(SUBSTITUTE(_xlpm.mat," ","")),
    _xlpm.pr,IFERROR(LOOKUP(2,1/($H$3:H44&lt;&gt;""),$H$3:H44),""),
    _xlpm.widthActual,IFERROR(LOOKUP(2,1/($E$3:E44&lt;&gt;""),$E$3:E44),$E44),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",""))=_xlpm.matKey)*(_xlpm.summaryThick=$K44)*(_xlpm.summaryCosts&gt;0))),INDEX(_xlfn._xlws.FILTER(_xlpm.summaryCosts,(UPPER(SUBSTITUTE(_xlpm.summaryNames," ",""))=_xlpm.matKey)*(_xlpm.summaryThick=$K44)*(_xlpm.summaryCosts&gt;0)),1)),""),""),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44"/>
      <c r="T44"/>
      <c r="U44"/>
      <c r="AG44" s="841" t="s">
        <v>1259</v>
      </c>
      <c r="AH44" s="843">
        <f>IFERROR(IF(OR(AH12="IMP",AH12="By Imp"),AH13/(AH5/AH14)*(AI14/1000),AH13)*AH42,"")</f>
        <v>0</v>
      </c>
      <c r="AI44" s="839" t="s">
        <v>607</v>
      </c>
      <c r="AK44" s="839" t="s">
        <v>1259</v>
      </c>
      <c r="AL44" s="843">
        <f>IFERROR(IF(OR(AL12="IMP",AL12="By Imp"),AL13/(AL5/AL14)*(AM14/1000),AL13)*AL42,"")</f>
        <v>1000</v>
      </c>
      <c r="AM44" s="839" t="s">
        <v>607</v>
      </c>
      <c r="AO44" s="839" t="s">
        <v>1259</v>
      </c>
      <c r="AP44" s="843">
        <f>IFERROR(IF(OR(AP12="IMP",AP12="By Imp"),AP13/(AP5/AP14)*(AQ14/1000),AP13)*AP42,"")</f>
        <v>1551.6666666666665</v>
      </c>
      <c r="AQ44" s="839" t="s">
        <v>607</v>
      </c>
    </row>
    <row r="45" spans="1:49">
      <c r="J45" s="537" t="str">
        <f t="shared" si="5"/>
        <v/>
      </c>
      <c r="N45" s="235" t="str" cm="1">
        <f t="array" ref="N45">IF($C45="","",_xlfn.LET(
    _xlpm.mat,TRIM($C45),
    _xlpm.matKey,UPPER(SUBSTITUTE(_xlpm.mat," ","")),
    _xlpm.pr,IFERROR(LOOKUP(2,1/($H$3:H45&lt;&gt;""),$H$3:H45),""),
    _xlpm.widthActual,IFERROR(LOOKUP(2,1/($E$3:E45&lt;&gt;""),$E$3:E45),$E45),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",""))=_xlpm.matKey)*(_xlpm.summaryThick=$K45)*(_xlpm.summaryCosts&gt;0))),INDEX(_xlfn._xlws.FILTER(_xlpm.summaryCosts,(UPPER(SUBSTITUTE(_xlpm.summaryNames," ",""))=_xlpm.matKey)*(_xlpm.summaryThick=$K45)*(_xlpm.summaryCosts&gt;0)),1)),""),""),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45"/>
      <c r="T45"/>
      <c r="U45"/>
      <c r="AG45" s="839" t="s">
        <v>1259</v>
      </c>
      <c r="AH45" s="843">
        <f>IFERROR(IF(OR(AH12="IMP",AH12="By Imp"),AH13/(AH5/AH14)*(AI14/1000),AH15)*AH42,"")</f>
        <v>0</v>
      </c>
      <c r="AI45" s="839" t="s">
        <v>607</v>
      </c>
      <c r="AK45" s="839" t="s">
        <v>1259</v>
      </c>
      <c r="AL45" s="843">
        <f>IFERROR(IF(OR(AL12="IMP",AL12="By Imp"),AL13/(AL5/AL14)*(AM14/1000),AL15)*AL42,"")</f>
        <v>1000</v>
      </c>
      <c r="AM45" s="839" t="s">
        <v>607</v>
      </c>
      <c r="AO45" s="839" t="s">
        <v>1259</v>
      </c>
      <c r="AP45" s="843">
        <f>IFERROR(IF(OR(AP12="IMP",AP12="By Imp"),AP13/(AP5/AP14)*(AQ14/1000),AP15)*AP42,"")</f>
        <v>1551.6666666666665</v>
      </c>
      <c r="AQ45" s="839" t="s">
        <v>607</v>
      </c>
    </row>
    <row r="46" spans="1:49">
      <c r="S46"/>
      <c r="T46"/>
      <c r="U46"/>
      <c r="AG46" s="875"/>
      <c r="AH46" s="875"/>
      <c r="AI46" s="875"/>
      <c r="AJ46" s="861"/>
      <c r="AK46" s="875"/>
      <c r="AL46" s="875"/>
      <c r="AM46" s="875"/>
      <c r="AN46" s="861"/>
      <c r="AO46" s="861"/>
      <c r="AP46" s="861"/>
      <c r="AQ46" s="861"/>
    </row>
    <row r="47" spans="1:49" ht="27">
      <c r="S47"/>
      <c r="T47"/>
      <c r="U47"/>
      <c r="AG47" s="851" t="s">
        <v>1301</v>
      </c>
      <c r="AH47" s="852">
        <f>IF(AH28="","",AH28*1000)</f>
        <v>622.3681697241384</v>
      </c>
      <c r="AI47" s="853" t="s">
        <v>1302</v>
      </c>
      <c r="AJ47" s="854"/>
      <c r="AK47" s="851" t="s">
        <v>1301</v>
      </c>
      <c r="AL47" s="852">
        <f>IF(AL28="","",AL28*1000)</f>
        <v>422.51986490265392</v>
      </c>
      <c r="AM47" s="853" t="s">
        <v>1302</v>
      </c>
      <c r="AN47" s="854"/>
      <c r="AO47" s="851" t="s">
        <v>1301</v>
      </c>
      <c r="AP47" s="852">
        <f>IF(AP28="","",AP28*1000)</f>
        <v>1449.1666343097597</v>
      </c>
      <c r="AQ47" s="853" t="s">
        <v>1302</v>
      </c>
    </row>
    <row r="48" spans="1:49" ht="18" customHeight="1" thickBot="1">
      <c r="S48"/>
      <c r="T48"/>
      <c r="U48"/>
      <c r="AE48"/>
      <c r="AF48"/>
    </row>
    <row r="49" spans="1:43" ht="18" customHeight="1" thickBot="1">
      <c r="A49" s="276" t="s">
        <v>875</v>
      </c>
      <c r="B49" s="276" t="s">
        <v>875</v>
      </c>
      <c r="C49" s="276" t="s">
        <v>617</v>
      </c>
      <c r="D49" s="534"/>
      <c r="E49" s="535"/>
      <c r="F49" s="276" t="s">
        <v>875</v>
      </c>
      <c r="G49" s="276" t="s">
        <v>141</v>
      </c>
      <c r="H49" s="276" t="s">
        <v>875</v>
      </c>
      <c r="I49" s="276" t="s">
        <v>875</v>
      </c>
      <c r="J49" s="276" t="s">
        <v>876</v>
      </c>
      <c r="K49" s="277" t="s">
        <v>141</v>
      </c>
      <c r="L49" s="276" t="s">
        <v>141</v>
      </c>
      <c r="M49" s="276" t="s">
        <v>141</v>
      </c>
      <c r="N49" s="277" t="s">
        <v>141</v>
      </c>
      <c r="O49" s="276" t="s">
        <v>875</v>
      </c>
      <c r="P49" s="276" t="s">
        <v>141</v>
      </c>
      <c r="Q49" s="276" t="s">
        <v>875</v>
      </c>
      <c r="R49" s="278" t="s">
        <v>877</v>
      </c>
      <c r="S49" s="278" t="s">
        <v>877</v>
      </c>
      <c r="T49" s="275" t="s">
        <v>141</v>
      </c>
      <c r="U49" s="278" t="s">
        <v>877</v>
      </c>
      <c r="V49" s="278" t="s">
        <v>141</v>
      </c>
      <c r="W49" s="278" t="s">
        <v>141</v>
      </c>
      <c r="X49" s="276"/>
      <c r="Y49" s="276" t="s">
        <v>141</v>
      </c>
      <c r="Z49" s="238" t="s">
        <v>865</v>
      </c>
      <c r="AA49" s="835" t="s">
        <v>875</v>
      </c>
      <c r="AB49" s="836" t="s">
        <v>141</v>
      </c>
      <c r="AC49" s="837" t="s">
        <v>141</v>
      </c>
      <c r="AG49" s="869" t="s">
        <v>878</v>
      </c>
      <c r="AH49" s="870">
        <v>0.15</v>
      </c>
      <c r="AI49" s="673"/>
      <c r="AK49" s="869" t="s">
        <v>878</v>
      </c>
      <c r="AL49" s="870">
        <v>0.15</v>
      </c>
      <c r="AM49" s="673"/>
      <c r="AO49" s="869" t="s">
        <v>878</v>
      </c>
      <c r="AP49" s="870">
        <v>0.15</v>
      </c>
      <c r="AQ49" s="673"/>
    </row>
    <row r="50" spans="1:43" ht="18" customHeight="1" thickBot="1">
      <c r="A50" s="94" t="s">
        <v>227</v>
      </c>
      <c r="B50" s="94" t="s">
        <v>180</v>
      </c>
      <c r="C50" s="92" t="s">
        <v>181</v>
      </c>
      <c r="D50" s="94" t="s">
        <v>883</v>
      </c>
      <c r="E50" s="94" t="s">
        <v>1040</v>
      </c>
      <c r="F50" s="94" t="s">
        <v>239</v>
      </c>
      <c r="G50" s="94" t="s">
        <v>183</v>
      </c>
      <c r="H50" s="92" t="s">
        <v>184</v>
      </c>
      <c r="I50" s="94" t="s">
        <v>612</v>
      </c>
      <c r="J50" s="536" t="s">
        <v>1041</v>
      </c>
      <c r="K50" s="92" t="s">
        <v>4</v>
      </c>
      <c r="L50" s="92" t="s">
        <v>58</v>
      </c>
      <c r="M50" s="94" t="s">
        <v>187</v>
      </c>
      <c r="N50" s="92" t="s">
        <v>188</v>
      </c>
      <c r="O50" s="94" t="s">
        <v>148</v>
      </c>
      <c r="P50" s="94" t="s">
        <v>122</v>
      </c>
      <c r="Q50" s="118" t="s">
        <v>244</v>
      </c>
      <c r="R50" s="139" t="s">
        <v>291</v>
      </c>
      <c r="S50" s="139" t="s">
        <v>293</v>
      </c>
      <c r="T50" s="139" t="s">
        <v>874</v>
      </c>
      <c r="U50" s="140" t="s">
        <v>827</v>
      </c>
      <c r="V50" s="140" t="s">
        <v>621</v>
      </c>
      <c r="W50" s="140" t="s">
        <v>622</v>
      </c>
      <c r="X50" s="92" t="s">
        <v>189</v>
      </c>
      <c r="Y50" s="239" t="s">
        <v>866</v>
      </c>
      <c r="Z50" s="140" t="s">
        <v>777</v>
      </c>
      <c r="AA50" s="835" t="s">
        <v>1250</v>
      </c>
      <c r="AB50" s="836" t="s">
        <v>1251</v>
      </c>
      <c r="AC50" s="837" t="s">
        <v>1252</v>
      </c>
      <c r="AG50" s="898" t="str">
        <f>"📊 LAMINATE CALCULATOR 4-"&amp;AH51&amp;" Laminate"</f>
        <v>📊 LAMINATE CALCULATOR 4-823 Laminate</v>
      </c>
      <c r="AH50" s="899"/>
      <c r="AI50" s="900"/>
      <c r="AK50" s="898" t="str">
        <f>"📊 LAMINATE CALCULATOR 5-"&amp;AL51&amp;" Laminate"</f>
        <v>📊 LAMINATE CALCULATOR 5-821M Laminate</v>
      </c>
      <c r="AL50" s="899"/>
      <c r="AM50" s="900"/>
      <c r="AO50" s="898" t="str">
        <f>"📊 LAMINATE CALCULATOR 6-"&amp;AP51&amp;" Laminate"</f>
        <v>📊 LAMINATE CALCULATOR 6-819 Laminate</v>
      </c>
      <c r="AP50" s="899"/>
      <c r="AQ50" s="900"/>
    </row>
    <row r="51" spans="1:43" ht="18" customHeight="1">
      <c r="A51" s="893">
        <f>IF(AH60="By Length",IF(AH61&lt;&gt;"",IFERROR(AH61*$M$56*($D51/$J51),""),""),IF(OR(AH60="By Imp",AH60="IMP"),IFERROR(AH88*$M$56*($D51/$J51),""),IF(AH54="","",AH54)))</f>
        <v>1427.6608500000002</v>
      </c>
      <c r="B51" s="891">
        <f>AH51</f>
        <v>823</v>
      </c>
      <c r="C51" t="str" cm="1">
        <f t="array" ref="C51:C54">IFERROR(_xlfn.LET(_xlpm.lam,TEXT(B51,"0"),_xlpm.thick,AH52,_xlfn.TAKE(_xlfn._xlws.FILTER(HELPER!$BW$2:$BW$250,(TEXT(HELPER!$BZ$2:$BZ$250,"0")=_xlpm.lam)*(HELPER!$CC$2:$CC$250=_xlpm.thick)*(HELPER!$BW$2:$BW$250&lt;&gt;""),"No match"),6)),"")</f>
        <v>NK</v>
      </c>
      <c r="D51" s="891">
        <f>AH53</f>
        <v>700</v>
      </c>
      <c r="E51" s="895">
        <f>IF(D51="","",IF(D51&lt;300,D51*4,IF(D51&lt;400,D51*3,IF(D51&lt;600,D51*2,D51))))</f>
        <v>700</v>
      </c>
      <c r="F51" s="891"/>
      <c r="G51" s="892">
        <f>IF(OR(AH60="IMP",AH60="By Imp",AH60="By Length"),IFERROR(AH63,""),IFERROR(IF(OR(A51="",A51=0,$D51="",$D51=0,$J51="",$M$56="",$M$56=0,A51&lt;=5),"",(A51-5)/$M$56*($J51/$D51)),""))</f>
        <v>18150</v>
      </c>
      <c r="H51" s="891" t="str">
        <f>AH55</f>
        <v>Not Printed</v>
      </c>
      <c r="I51" s="894">
        <f>IF(H51="Not Printed",0,AH56)</f>
        <v>0</v>
      </c>
      <c r="J51" s="537">
        <f t="shared" ref="J51:J56" si="6">IF($C51="","",IF($E$51="","",$E$51+50))</f>
        <v>750</v>
      </c>
      <c r="K51" cm="1">
        <f t="array" ref="K51">_xlfn.LET(_xlpm.baseThick,IFERROR(INDEX(HELPER!$BX$2:$BX$250,MATCH(1,(TEXT(HELPER!$BZ$2:$BZ$250,"0")=TEXT($B$51,"0"))*(HELPER!$CC$2:$CC$250=$AH$52)*(HELPER!$BW$2:$BW$250=C51),0)),""),IF(_xlpm.baseThick="","",_xlpm.baseThick))</f>
        <v>23</v>
      </c>
      <c r="L51">
        <f>IFERROR(VLOOKUP(C51,HELPER!$AP$1:$AQ$20,2,FALSE),"")</f>
        <v>1.44</v>
      </c>
      <c r="M51" s="283">
        <f>IF(C51="","",IF(ISNUMBER(SEARCH("paper",C51)),42/1000*(J51/1000),IF(OR(L51="",L51=0),"",L51*1000*(K51/1000000)*(J51/1000))))</f>
        <v>2.4839999999999997E-2</v>
      </c>
      <c r="N51" s="235" cm="1">
        <f t="array" ref="N51">IF($C51="","",_xlfn.LET(
    _xlpm.mat,TRIM($C51),
    _xlpm.matKey,UPPER(SUBSTITUTE(_xlpm.mat," ","")),
    _xlpm.pr,IFERROR(LOOKUP(2,1/($H$51:H51&lt;&gt;""),$H$51:H51),""),
    _xlpm.widthActual,IFERROR(LOOKUP(2,1/($E$51:E51&lt;&gt;""),$E$51:E51),$E51),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",""))=_xlpm.matKey)*(_xlpm.summaryThick=$K51)*(_xlpm.summaryCosts&gt;0))),INDEX(_xlfn._xlws.FILTER(_xlpm.summaryCosts,(UPPER(SUBSTITUTE(_xlpm.summaryNames," ",""))=_xlpm.matKey)*(_xlpm.summaryThick=$K51)*(_xlpm.summaryCosts&gt;0)),1)),""),""),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7.95</v>
      </c>
      <c r="O51" s="891" t="str">
        <f>AH58</f>
        <v>Europe to Europe</v>
      </c>
      <c r="P51" s="95">
        <f>IF(C51="","",IFERROR(IF(O$51="Europe to Canada",IF(A$51&lt;1000,VLOOKUP(1000,HELPER!$AG$4:$AH$8,2,FALSE)/A$51,VLOOKUP(A$51,HELPER!$AG$4:$AH$8,2,TRUE)/A$51),IF(O$51="Europe to US",HELPER!$AH$2,IF(O$51="Europe to Europe",HELPER!$AH$3,0))),0))</f>
        <v>0.2</v>
      </c>
      <c r="Q51" s="891" t="str">
        <f>AH59</f>
        <v>Marma</v>
      </c>
      <c r="R51" s="901" cm="1">
        <f t="array" ref="R51">IF(OR($Q51="",$G51=""),"",IF($J51&gt;1220,"Error! please choose lamination width not higher than 1220",_xlfn.LET(_xlpm.struct,$C$51:$C$56,_xlpm.realLayers,SUMPRODUCT(--(_xlpm.struct&lt;&gt;""),--ISERROR(SEARCH("EPOTAL",_xlpm.struct&amp;"")),--ISERROR(SEARCH("BASONAT",_xlpm.struct&amp;"")),--ISERROR(SEARCH("ADHESIVE",_xlpm.struct&amp;"")),--ISERROR(SEARCH("HARDENER",_xlpm.struct&amp;""))),_xlpm.lamSteps,MAX(0,_xlpm.realLayers-1),_xlpm.len,$AH$69,_xlpm.colNum,IF(_xlpm.len&lt;3000,1,IF(_xlpm.len&lt;10000,2,IF(_xlpm.len&lt;25000,3,IF(_xlpm.len&lt;50000,4,IF(_xlpm.len&lt;100000,5,IF(_xlpm.len&lt;250000,6,IF(_xlpm.len&lt;500000,7,8))))))),_xlpm.widthRow,IF($J51&lt;=990,0,5),_xlpm.supplierRow,IF($Q51="Marma",3,IF($Q51="Bastin",13,0)),_xlpm.baseRate,IF(_xlpm.supplierRow=0,"",INDEX('Lmntn &amp; Prntng- Marma &amp; Bastin '!$D$1:$K$22,_xlpm.supplierRow+_xlpm.widthRow,_xlpm.colNum)),IF(_xlpm.realLayers=0,"",_xlpm.baseRate*_xlpm.lamSteps))))</f>
        <v>0.20826</v>
      </c>
      <c r="S51" s="888" t="str" cm="1">
        <f t="array" ref="S51">IF(OR($Q51="",$I51=0,$I51="0"),"",IF($J51&gt;1220,"Error! please choose lamination width not higher than 1220",_xlfn.LET(_xlpm.len,$AH$69,_xlpm.colors,$I51,_xlpm.colNum,IF(_xlpm.len&lt;3000,1,IF(_xlpm.len&lt;10000,2,IF(_xlpm.len&lt;25000,3,IF(_xlpm.len&lt;50000,4,IF(_xlpm.len&lt;100000,5,IF(_xlpm.len&lt;250000,6,IF(_xlpm.len&lt;500000,7,8))))))),_xlpm.widthRow,IF($J51&lt;=990,0,5),_xlpm.colorOffset,IF(OR(_xlpm.colors=1,_xlpm.colors=2,_xlpm.colors="1-2"),1,IF(OR(_xlpm.colors=3,_xlpm.colors=4,_xlpm.colors="3-4"),2,IF(OR(_xlpm.colors&gt;=5,_xlpm.colors="5-6",_xlpm.colors="5-8"),3,0))),_xlpm.supplierRow,IF($Q51="Marma",3,IF($Q51="Bastin",13,0)),IF(OR(_xlpm.supplierRow=0,_xlpm.colorOffset=0),"",INDEX('Lmntn &amp; Prntng- Marma &amp; Bastin '!$D$1:$K$22,_xlpm.supplierRow+_xlpm.widthRow+_xlpm.colorOffset,_xlpm.colNum)))))</f>
        <v/>
      </c>
      <c r="T51" s="889" t="str">
        <f>IF(OR($S51="",$K51=""),"",IFERROR($S51*(1/$M$56)*($J51/($D51*MAX(1,ROUNDDOWN(760/$D51,0)))),""))</f>
        <v/>
      </c>
      <c r="U51" s="896" cm="1">
        <f t="array" ref="U51">IF($Q51="","",IF($J51&gt;1220,"Error! please choose lamination width not higher than 1220",_xlfn.LET(_xlpm.len,$AH$69,_xlpm.colNum,IF(_xlpm.len&lt;3000,1,IF(_xlpm.len&lt;10000,2,IF(_xlpm.len&lt;25000,3,IF(_xlpm.len&lt;50000,4,IF(_xlpm.len&lt;100000,5,IF(_xlpm.len&lt;250000,6,IF(_xlpm.len&lt;500000,7,8))))))),_xlpm.widthRow,IF($J51&lt;=990,0,5),_xlpm.supplierRow,IF($Q51="Marma",7,IF($Q51="Bastin",17,0)),IF(_xlpm.supplierRow=0,"",INDEX('Lmntn &amp; Prntng- Marma &amp; Bastin '!$D$1:$K$22,_xlpm.supplierRow+_xlpm.widthRow,_xlpm.colNum)))))</f>
        <v>3.0420000000000003E-2</v>
      </c>
      <c r="V51" s="890">
        <f>IFERROR(IF(AH70="","",VLOOKUP($K$56,HELPER!$BH$3:$BI$5,2,TRUE)*AH70),"")</f>
        <v>0</v>
      </c>
      <c r="W51" s="885">
        <f>IF(OR($H51&lt;&gt;"Printed",$I51=0,$I51="0"),0,IFERROR(AH70*0.028,0)+IFERROR(AH91,0))</f>
        <v>0</v>
      </c>
      <c r="X51" s="237">
        <f t="shared" ref="X51:X67" si="7">IF($K51="","",IFERROR($M51*($N51+$P51),""))</f>
        <v>0.20244599999999999</v>
      </c>
      <c r="Y51" s="886">
        <f>IFERROR((SUM(X51:X56)+SUM(R51:S51,U51))*(1/M56)*(J51/E51)+V51+W51,"")</f>
        <v>9.3094168042595253</v>
      </c>
      <c r="Z51" s="282">
        <f>IF($M51="","",IFERROR(($N51+$P51)*$M51/$M$56,""))</f>
        <v>2.4021358013704721</v>
      </c>
      <c r="AA51" s="727" t="str">
        <f>AH57</f>
        <v>1</v>
      </c>
      <c r="AB51" s="117" t="str">
        <f>IF(OR(AH60="IMP",AH60="By Imp"),IFERROR(AH61/AA51,""),"")</f>
        <v/>
      </c>
      <c r="AC51" s="838">
        <f>AH90</f>
        <v>0.33333333333333331</v>
      </c>
      <c r="AG51" s="556" t="s">
        <v>594</v>
      </c>
      <c r="AH51" s="196">
        <v>823</v>
      </c>
      <c r="AI51" s="557"/>
      <c r="AK51" s="556" t="s">
        <v>594</v>
      </c>
      <c r="AL51" s="196" t="s">
        <v>1083</v>
      </c>
      <c r="AM51" s="557"/>
      <c r="AO51" s="556" t="s">
        <v>594</v>
      </c>
      <c r="AP51" s="196">
        <v>819</v>
      </c>
      <c r="AQ51" s="557"/>
    </row>
    <row r="52" spans="1:43" ht="18" customHeight="1">
      <c r="A52" s="893"/>
      <c r="B52" s="891"/>
      <c r="C52" t="str">
        <v>TIPA 312 MET</v>
      </c>
      <c r="D52" s="891"/>
      <c r="E52" s="891"/>
      <c r="F52" s="891"/>
      <c r="G52" s="892"/>
      <c r="H52" s="891"/>
      <c r="I52" s="891"/>
      <c r="J52" s="537">
        <f t="shared" si="6"/>
        <v>750</v>
      </c>
      <c r="K52" cm="1">
        <f t="array" ref="K52">_xlfn.LET(_xlpm.baseThick,IFERROR(INDEX(HELPER!$BX$2:$BX$250,MATCH(1,(TEXT(HELPER!$BZ$2:$BZ$250,"0")=TEXT($B$51,"0"))*(HELPER!$CC$2:$CC$250=$AH$52)*(HELPER!$BW$2:$BW$250=C52),0)),""),IF(_xlpm.baseThick="","",_xlpm.baseThick))</f>
        <v>25</v>
      </c>
      <c r="L52">
        <f>IFERROR(VLOOKUP(C52,HELPER!$AP$1:$AQ$20,2,FALSE),"")</f>
        <v>1.25</v>
      </c>
      <c r="M52" s="283">
        <f>IF(C52="","",IF(ISNUMBER(SEARCH("paper",C52)),42/1000*(J52/1000),IF(OR(L52="",L52=0),"",L52*1000*(K52/1000000)*(J52/1000))))</f>
        <v>2.34375E-2</v>
      </c>
      <c r="N52" s="533" cm="1">
        <f t="array" ref="N52">IF($C52="","",_xlfn.LET(
    _xlpm.mat,TRIM($C52),
    _xlpm.matKey,UPPER(SUBSTITUTE(_xlpm.mat," ","")),
    _xlpm.pr,IFERROR(LOOKUP(2,1/($H$51:H52&lt;&gt;""),$H$51:H52),""),
    _xlpm.widthActual,IFERROR(LOOKUP(2,1/($E$51:E52&lt;&gt;""),$E$51:E52),$E52),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",""))=_xlpm.matKey)*(_xlpm.summaryThick=$K52)*(_xlpm.summaryCosts&gt;0))),INDEX(_xlfn._xlws.FILTER(_xlpm.summaryCosts,(UPPER(SUBSTITUTE(_xlpm.summaryNames," ",""))=_xlpm.matKey)*(_xlpm.summaryThick=$K52)*(_xlpm.summaryCosts&gt;0)),1)),""),""),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8.9542791000000008</v>
      </c>
      <c r="O52" s="891"/>
      <c r="P52" s="95">
        <f>IF(C52="","",IFERROR(IF(O$51="Europe to Canada",IF(A$51&lt;1000,VLOOKUP(1000,HELPER!$AG$4:$AH$8,2,FALSE)/A$51,VLOOKUP(A$51,HELPER!$AG$4:$AH$8,2,TRUE)/A$51),IF(O$51="Europe to US",HELPER!$AH$2,IF(O$51="Europe to Europe",HELPER!$AH$3,0))),0))</f>
        <v>0.2</v>
      </c>
      <c r="Q52" s="891"/>
      <c r="R52" s="901"/>
      <c r="S52" s="888"/>
      <c r="T52" s="889"/>
      <c r="U52" s="896"/>
      <c r="V52" s="897"/>
      <c r="W52" s="885"/>
      <c r="X52" s="237">
        <f t="shared" si="7"/>
        <v>0.21455341640625</v>
      </c>
      <c r="Y52" s="886"/>
      <c r="Z52" s="281">
        <f>IF($M52="","",IFERROR(($N52+$P52)*$M52/$M$56,""))</f>
        <v>2.5457971155557533</v>
      </c>
      <c r="AG52" s="556" t="s">
        <v>595</v>
      </c>
      <c r="AH52" s="667">
        <v>121</v>
      </c>
      <c r="AI52" s="557" t="s">
        <v>109</v>
      </c>
      <c r="AK52" s="556" t="s">
        <v>595</v>
      </c>
      <c r="AL52" s="667">
        <v>79</v>
      </c>
      <c r="AM52" s="557" t="s">
        <v>109</v>
      </c>
      <c r="AO52" s="556" t="s">
        <v>595</v>
      </c>
      <c r="AP52" s="667">
        <v>121</v>
      </c>
      <c r="AQ52" s="557" t="s">
        <v>109</v>
      </c>
    </row>
    <row r="53" spans="1:43" ht="15.75">
      <c r="A53" s="893"/>
      <c r="B53" s="891"/>
      <c r="C53" t="str">
        <v>Billerud Kraft White Paper</v>
      </c>
      <c r="D53" s="891"/>
      <c r="E53" s="891"/>
      <c r="F53" s="891"/>
      <c r="G53" s="892"/>
      <c r="H53" s="891"/>
      <c r="I53" s="891"/>
      <c r="J53" s="537">
        <f t="shared" si="6"/>
        <v>750</v>
      </c>
      <c r="K53" cm="1">
        <f t="array" ref="K53">_xlfn.LET(_xlpm.baseThick,IFERROR(INDEX(HELPER!$BX$2:$BX$250,MATCH(1,(TEXT(HELPER!$BZ$2:$BZ$250,"0")=TEXT($B$51,"0"))*(HELPER!$CC$2:$CC$250=$AH$52)*(HELPER!$BW$2:$BW$250=C53),0)),""),IF(_xlpm.baseThick="","",_xlpm.baseThick))</f>
        <v>67</v>
      </c>
      <c r="L53">
        <f>IFERROR(VLOOKUP(C53,HELPER!$AP$1:$AQ$20,2,FALSE),"")</f>
        <v>1</v>
      </c>
      <c r="M53" s="283">
        <f>IF(C53="","",IF(ISNUMBER(SEARCH("paper",C53)),42/1000*(J53/1000),IF(OR(L53="",L53=0),"",L53*1000*(K53/1000000)*(J53/1000))))</f>
        <v>3.15E-2</v>
      </c>
      <c r="N53" s="236" cm="1">
        <f t="array" ref="N53">IF($C53="","",_xlfn.LET(
    _xlpm.mat,TRIM($C53),
    _xlpm.matKey,UPPER(SUBSTITUTE(_xlpm.mat," ","")),
    _xlpm.pr,IFERROR(LOOKUP(2,1/($H$51:H53&lt;&gt;""),$H$51:H53),""),
    _xlpm.widthActual,IFERROR(LOOKUP(2,1/($E$51:E53&lt;&gt;""),$E$51:E53),$E53),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",""))=_xlpm.matKey)*(_xlpm.summaryThick=$K53)*(_xlpm.summaryCosts&gt;0))),INDEX(_xlfn._xlws.FILTER(_xlpm.summaryCosts,(UPPER(SUBSTITUTE(_xlpm.summaryNames," ",""))=_xlpm.matKey)*(_xlpm.summaryThick=$K53)*(_xlpm.summaryCosts&gt;0)),1)),""),""),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1.51</v>
      </c>
      <c r="O53" s="891"/>
      <c r="P53" s="95">
        <f>IF(C53="","",IFERROR(IF(O$51="Europe to Canada",IF(A$51&lt;1000,VLOOKUP(1000,HELPER!$AG$4:$AH$8,2,FALSE)/A$51,VLOOKUP(A$51,HELPER!$AG$4:$AH$8,2,TRUE)/A$51),IF(O$51="Europe to US",HELPER!$AH$2,IF(O$51="Europe to Europe",HELPER!$AH$3,0))),0))</f>
        <v>0.2</v>
      </c>
      <c r="Q53" s="891"/>
      <c r="R53" s="901"/>
      <c r="S53" s="888"/>
      <c r="T53" s="889"/>
      <c r="U53" s="896"/>
      <c r="V53" s="897"/>
      <c r="W53" s="885"/>
      <c r="X53" s="237">
        <f t="shared" si="7"/>
        <v>5.3864999999999996E-2</v>
      </c>
      <c r="Y53" s="886"/>
      <c r="Z53" s="233">
        <f>IF($M53="","",IFERROR(($N53+$P53)*$M53/$M$56,""))</f>
        <v>0.63913856011390935</v>
      </c>
      <c r="AG53" s="556" t="s">
        <v>596</v>
      </c>
      <c r="AH53" s="196">
        <v>700</v>
      </c>
      <c r="AI53" s="557" t="s">
        <v>511</v>
      </c>
      <c r="AK53" s="556" t="s">
        <v>596</v>
      </c>
      <c r="AL53" s="196">
        <v>250</v>
      </c>
      <c r="AM53" s="557" t="s">
        <v>511</v>
      </c>
      <c r="AO53" s="556" t="s">
        <v>596</v>
      </c>
      <c r="AP53" s="196">
        <v>750</v>
      </c>
      <c r="AQ53" s="557" t="s">
        <v>511</v>
      </c>
    </row>
    <row r="54" spans="1:43" ht="15.75">
      <c r="A54" s="893"/>
      <c r="B54" s="891"/>
      <c r="C54" t="str">
        <v>RM G Epotal ECO 3675</v>
      </c>
      <c r="D54" s="891"/>
      <c r="E54" s="891"/>
      <c r="F54" s="891"/>
      <c r="G54" s="892"/>
      <c r="H54" s="891"/>
      <c r="I54" s="891"/>
      <c r="J54" s="537">
        <f t="shared" si="6"/>
        <v>750</v>
      </c>
      <c r="K54" cm="1">
        <f t="array" ref="K54">_xlfn.LET(_xlpm.baseThick,IFERROR(INDEX(HELPER!$BX$2:$BX$250,MATCH(1,(TEXT(HELPER!$BZ$2:$BZ$250,"0")=TEXT($B$51,"0"))*(HELPER!$CC$2:$CC$250=$AH$52)*(HELPER!$BW$2:$BW$250=C54),0)),""),IF(_xlpm.baseThick="","",_xlpm.baseThick))</f>
        <v>6</v>
      </c>
      <c r="L54">
        <f>IFERROR(VLOOKUP(C54,HELPER!$AP$1:$AQ$20,2,FALSE),"")</f>
        <v>1</v>
      </c>
      <c r="M54" s="283">
        <f>IF(C54="","",IF(ISNUMBER(SEARCH("paper",C54)),42/1000*(J54/1000),IF(OR(L54="",L54=0),"",L54*1000*(K54/1000000)*(J54/1000))))</f>
        <v>4.5000000000000005E-3</v>
      </c>
      <c r="N54" s="235" cm="1">
        <f t="array" ref="N54">IF($C54="","",_xlfn.LET(
    _xlpm.mat,TRIM($C54),
    _xlpm.matKey,UPPER(SUBSTITUTE(_xlpm.mat," ","")),
    _xlpm.pr,IFERROR(LOOKUP(2,1/($H$51:H54&lt;&gt;""),$H$51:H54),""),
    _xlpm.widthActual,IFERROR(LOOKUP(2,1/($E$51:E54&lt;&gt;""),$E$51:E54),$E54),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",""))=_xlpm.matKey)*(_xlpm.summaryThick=$K54)*(_xlpm.summaryCosts&gt;0))),INDEX(_xlfn._xlws.FILTER(_xlpm.summaryCosts,(UPPER(SUBSTITUTE(_xlpm.summaryNames," ",""))=_xlpm.matKey)*(_xlpm.summaryThick=$K54)*(_xlpm.summaryCosts&gt;0)),1)),""),""),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4.8500000000000005</v>
      </c>
      <c r="O54" s="891"/>
      <c r="P54" s="95">
        <f>IF(C54="","",IFERROR(IF(O$51="Europe to Canada",IF(A$51&lt;1000,VLOOKUP(1000,HELPER!$AG$4:$AH$8,2,FALSE)/A$51,VLOOKUP(A$51,HELPER!$AG$4:$AH$8,2,TRUE)/A$51),IF(O$51="Europe to US",HELPER!$AH$2,IF(O$51="Europe to Europe",HELPER!$AH$3,0))),0))</f>
        <v>0.2</v>
      </c>
      <c r="Q54" s="891"/>
      <c r="R54" s="901"/>
      <c r="S54" s="888"/>
      <c r="T54" s="889"/>
      <c r="U54" s="896"/>
      <c r="V54" s="897"/>
      <c r="W54" s="885"/>
      <c r="X54" s="237">
        <f t="shared" si="7"/>
        <v>2.2725000000000006E-2</v>
      </c>
      <c r="Y54" s="886"/>
      <c r="Z54" s="280">
        <f>IF($M54="","",IFERROR(($N54+$P54)*$M54/$M$56,""))</f>
        <v>0.26964492302215898</v>
      </c>
      <c r="AG54" s="556" t="s">
        <v>597</v>
      </c>
      <c r="AH54" s="196"/>
      <c r="AI54" s="557" t="s">
        <v>225</v>
      </c>
      <c r="AK54" s="556" t="s">
        <v>597</v>
      </c>
      <c r="AL54" s="196"/>
      <c r="AM54" s="557" t="s">
        <v>225</v>
      </c>
      <c r="AO54" s="556" t="s">
        <v>597</v>
      </c>
      <c r="AP54" s="196"/>
      <c r="AQ54" s="557" t="s">
        <v>225</v>
      </c>
    </row>
    <row r="55" spans="1:43" ht="15.75">
      <c r="A55" s="893"/>
      <c r="B55" s="891"/>
      <c r="C55" s="95"/>
      <c r="D55" s="891"/>
      <c r="E55" s="891"/>
      <c r="F55" s="891"/>
      <c r="G55" s="892"/>
      <c r="H55" s="891"/>
      <c r="I55" s="891"/>
      <c r="J55" s="537" t="str">
        <f t="shared" si="6"/>
        <v/>
      </c>
      <c r="K55" t="str" cm="1">
        <f t="array" ref="K55">_xlfn.LET(_xlpm.baseThick,IFERROR(INDEX(HELPER!$BX$2:$BX$250,MATCH(1,(TEXT(HELPER!$BZ$2:$BZ$250,"0")=TEXT($B$51,"0"))*(HELPER!$CC$2:$CC$250=$AH$52)*(HELPER!$BW$2:$BW$250=C55),0)),""),IF(_xlpm.baseThick="","",_xlpm.baseThick))</f>
        <v/>
      </c>
      <c r="L55" t="str">
        <f>IFERROR(VLOOKUP(C55,HELPER!$AP$1:$AQ$20,2,FALSE),"")</f>
        <v/>
      </c>
      <c r="M55" s="283" t="str">
        <f>IF(C55="","",IF(ISNUMBER(SEARCH("paper",C55)),42/1000*(J55/1000),IF(OR(L55="",L55=0),"",L55*1000*(K55/1000000)*(J55/1000))))</f>
        <v/>
      </c>
      <c r="N55" s="235" t="str" cm="1">
        <f t="array" ref="N55">IF($C55="","",_xlfn.LET(
    _xlpm.mat,TRIM($C55),
    _xlpm.matKey,UPPER(SUBSTITUTE(_xlpm.mat," ","")),
    _xlpm.pr,IFERROR(LOOKUP(2,1/($H$51:H55&lt;&gt;""),$H$51:H55),""),
    _xlpm.widthActual,IFERROR(LOOKUP(2,1/($E$51:E55&lt;&gt;""),$E$51:E55),$E55),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",""))=_xlpm.matKey)*(_xlpm.summaryThick=$K55)*(_xlpm.summaryCosts&gt;0))),INDEX(_xlfn._xlws.FILTER(_xlpm.summaryCosts,(UPPER(SUBSTITUTE(_xlpm.summaryNames," ",""))=_xlpm.matKey)*(_xlpm.summaryThick=$K55)*(_xlpm.summaryCosts&gt;0)),1)),""),""),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
      </c>
      <c r="O55" s="891"/>
      <c r="P55" s="65" t="str">
        <f>IF(C55="","",IFERROR(IF(O$51="Europe to Canada",IF(A$51&lt;1000,VLOOKUP(1000,HELPER!$AG$4:$AH$8,2,FALSE)/A$51,VLOOKUP(A$51,HELPER!$AG$4:$AH$8,2,TRUE)/A$51),IF(O$51="Europe to US",HELPER!$AH$2,IF(O$51="Europe to Europe",HELPER!$AH$3,0))),0))</f>
        <v/>
      </c>
      <c r="Q55" s="891"/>
      <c r="R55" s="901"/>
      <c r="S55" s="888"/>
      <c r="T55" s="889"/>
      <c r="U55" s="896"/>
      <c r="V55" s="897"/>
      <c r="W55" s="885"/>
      <c r="X55" s="289" t="str">
        <f t="shared" si="7"/>
        <v/>
      </c>
      <c r="Y55" s="886"/>
      <c r="Z55" s="233" t="str">
        <f>IF($M55="","",IFERROR(($N55+$P55)*$M55/$M$56,""))</f>
        <v/>
      </c>
      <c r="AG55" s="556" t="s">
        <v>598</v>
      </c>
      <c r="AH55" s="196" t="s">
        <v>139</v>
      </c>
      <c r="AI55" s="557"/>
      <c r="AK55" s="556" t="s">
        <v>598</v>
      </c>
      <c r="AL55" s="196" t="s">
        <v>139</v>
      </c>
      <c r="AM55" s="557"/>
      <c r="AO55" s="556" t="s">
        <v>598</v>
      </c>
      <c r="AP55" s="196" t="s">
        <v>138</v>
      </c>
      <c r="AQ55" s="557"/>
    </row>
    <row r="56" spans="1:43" ht="15.75">
      <c r="A56" s="893"/>
      <c r="B56" s="891"/>
      <c r="C56" s="38"/>
      <c r="D56" s="891"/>
      <c r="E56" s="891"/>
      <c r="F56" s="891"/>
      <c r="G56" s="892"/>
      <c r="H56" s="891"/>
      <c r="I56" s="891"/>
      <c r="J56" s="537" t="str">
        <f t="shared" si="6"/>
        <v/>
      </c>
      <c r="K56" s="192">
        <f>AH52</f>
        <v>121</v>
      </c>
      <c r="L56" t="str">
        <f>IFERROR(VLOOKUP(C56,HELPER!$AP$1:$AQ$20,2,FALSE),"")</f>
        <v/>
      </c>
      <c r="M56" s="284">
        <f>SUM(M51:M55)</f>
        <v>8.4277500000000005E-2</v>
      </c>
      <c r="N56" s="235" t="str" cm="1">
        <f t="array" ref="N56">IF($C56="","",_xlfn.LET(
    _xlpm.mat,TRIM($C56),
    _xlpm.matKey,UPPER(SUBSTITUTE(_xlpm.mat," ","")),
    _xlpm.pr,IFERROR(LOOKUP(2,1/($H$51:H56&lt;&gt;""),$H$51:H56),""),
    _xlpm.widthActual,IFERROR(LOOKUP(2,1/($E$51:E56&lt;&gt;""),$E$51:E56),$E56),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",""))=_xlpm.matKey)*(_xlpm.summaryThick=$K56)*(_xlpm.summaryCosts&gt;0))),INDEX(_xlfn._xlws.FILTER(_xlpm.summaryCosts,(UPPER(SUBSTITUTE(_xlpm.summaryNames," ",""))=_xlpm.matKey)*(_xlpm.summaryThick=$K56)*(_xlpm.summaryCosts&gt;0)),1)),""),""),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
      </c>
      <c r="O56" s="891"/>
      <c r="P56" s="95" t="str">
        <f>IF(C56="","",IFERROR(IF(O$51="Europe to Canada",IF(A$51&lt;1000,VLOOKUP(1000,HELPER!$AG$4:$AH$8,2,FALSE)/A$51,VLOOKUP(A$51,HELPER!$AG$4:$AH$8,2,TRUE)/A$51),IF(O$51="Europe to US",HELPER!$AH$2,IF(O$51="Europe to Europe",HELPER!$AH$3,0))),0))</f>
        <v/>
      </c>
      <c r="Q56" s="891"/>
      <c r="R56" s="901"/>
      <c r="S56" s="888"/>
      <c r="T56" s="889"/>
      <c r="U56" s="896"/>
      <c r="V56" s="897"/>
      <c r="W56" s="885"/>
      <c r="X56" s="234" t="str">
        <f t="shared" si="7"/>
        <v/>
      </c>
      <c r="Y56" s="886"/>
      <c r="Z56" s="233"/>
      <c r="AG56" s="556" t="s">
        <v>825</v>
      </c>
      <c r="AH56" s="197" t="s">
        <v>243</v>
      </c>
      <c r="AI56" s="557"/>
      <c r="AK56" s="556" t="s">
        <v>825</v>
      </c>
      <c r="AL56" s="197" t="s">
        <v>243</v>
      </c>
      <c r="AM56" s="557"/>
      <c r="AO56" s="556" t="s">
        <v>825</v>
      </c>
      <c r="AP56" s="197" t="s">
        <v>137</v>
      </c>
      <c r="AQ56" s="557"/>
    </row>
    <row r="57" spans="1:43" ht="15.75">
      <c r="A57" s="893">
        <f>IF(AL60="By Length",IF(AL61&lt;&gt;"",IFERROR(AL61*$M$62*($D57/$J57),""),""),IF(OR(AL60="By Imp",AL60="IMP"),IFERROR(AL88*$M$62*($D57/$J57),""),IF(AL54="","",AL54)))</f>
        <v>52.464999999999996</v>
      </c>
      <c r="B57" s="891" t="str">
        <f>AL51</f>
        <v>821M</v>
      </c>
      <c r="C57" t="str" cm="1">
        <f t="array" ref="C57:C60">IFERROR(_xlfn.LET(_xlpm.lam,TEXT(B57,"0"),_xlpm.thick,AL52,_xlfn.TAKE(_xlfn._xlws.FILTER(HELPER!$BW$2:$BW$250,(TEXT(HELPER!$BZ$2:$BZ$250,"0")=_xlpm.lam)*(HELPER!$CC$2:$CC$250=_xlpm.thick)*(HELPER!$BW$2:$BW$250&lt;&gt;""),"No match"),6)),"")</f>
        <v>TIPA 302FG</v>
      </c>
      <c r="D57" s="891">
        <f>AL53</f>
        <v>250</v>
      </c>
      <c r="E57" s="895">
        <f>IF(D57="","",IF(D57&lt;300,D57*4,IF(D57&lt;400,D57*3,IF(D57&lt;600,D57*2,D57))))</f>
        <v>1000</v>
      </c>
      <c r="F57" s="891"/>
      <c r="G57" s="892">
        <f>IF(OR(AL60="IMP",AL60="By Imp",AL60="By Length"),IFERROR(AL63,""),IFERROR(IF(OR(A57="",A57=0,$D57="",$D57=0,$J57="",$M$62="",$M$62=0,A57&lt;=5),"",(A57-5)/$M$62*($J57/$D57)),""))</f>
        <v>2000</v>
      </c>
      <c r="H57" s="891" t="str">
        <f>AL55</f>
        <v>Not Printed</v>
      </c>
      <c r="I57" s="894">
        <f>IF(H57="Not Printed",0,AL56)</f>
        <v>0</v>
      </c>
      <c r="J57" s="537">
        <f t="shared" ref="J57:J62" si="8">IF($C57="","",IF($E$57="","",$E$57+50))</f>
        <v>1050</v>
      </c>
      <c r="K57" cm="1">
        <f t="array" ref="K57">_xlfn.LET(_xlpm.baseThick,IFERROR(INDEX(HELPER!$BX$2:$BX$250,MATCH(1,(TEXT(HELPER!$BZ$2:$BZ$250,"0")=TEXT($B$57,"0"))*(HELPER!$CC$2:$CC$250=$AL$52)*(HELPER!$BW$2:$BW$250=C57),0)),""),IF(_xlpm.baseThick="","",_xlpm.baseThick))</f>
        <v>25</v>
      </c>
      <c r="L57">
        <f>IFERROR(VLOOKUP(C57,HELPER!$AP$1:$AQ$20,2,FALSE),"")</f>
        <v>1.25</v>
      </c>
      <c r="M57" s="283">
        <f>IF(C57="","",IF(ISNUMBER(SEARCH("paper",C57)),42/1000*(J57/1000),IF(OR(L57="",L57=0),"",L57*1000*(K57/1000000)*(J57/1000))))</f>
        <v>3.2812500000000001E-2</v>
      </c>
      <c r="N57" s="235" cm="1">
        <f t="array" ref="N57">IF($C57="","",_xlfn.LET(
    _xlpm.mat,TRIM($C57),
    _xlpm.matKey,UPPER(SUBSTITUTE(_xlpm.mat," ","")),
    _xlpm.pr,IFERROR(LOOKUP(2,1/($H$57:H57&lt;&gt;""),$H$57:H57),""),
    _xlpm.widthActual,IFERROR(LOOKUP(2,1/($E$57:E57&lt;&gt;""),$E$57:E57),$E57),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",""))=_xlpm.matKey)*(_xlpm.summaryThick=$K57)*(_xlpm.summaryCosts&gt;0))),INDEX(_xlfn._xlws.FILTER(_xlpm.summaryCosts,(UPPER(SUBSTITUTE(_xlpm.summaryNames," ",""))=_xlpm.matKey)*(_xlpm.summaryThick=$K57)*(_xlpm.summaryCosts&gt;0)),1)),""),""),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6.6535064000000004</v>
      </c>
      <c r="O57" s="891" t="str">
        <f>AL58</f>
        <v>Europe to Europe</v>
      </c>
      <c r="P57" s="95">
        <f>IF(C57="","",IFERROR(IF(O$57="Europe to Canada",IF(A$57&lt;1000,VLOOKUP(1000,HELPER!$AG$4:$AH$8,2,FALSE)/A$57,VLOOKUP(A$57,HELPER!$AG$4:$AH$8,2,TRUE)/A$57),IF(O$57="Europe to US",HELPER!$AH$2,IF(O$57="Europe to Europe",HELPER!$AH$3,0))),0))</f>
        <v>0.2</v>
      </c>
      <c r="Q57" s="891" t="str">
        <f>AL59</f>
        <v>Marma</v>
      </c>
      <c r="R57" s="888" cm="1">
        <f t="array" ref="R57">IF(OR($Q57="",$G57=""),"",IF($J57&gt;1220,"Error! please choose lamination width not higher than 1220",_xlfn.LET(_xlpm.struct,$C$57:$C$62,_xlpm.realLayers,SUMPRODUCT(--(_xlpm.struct&lt;&gt;""),--ISERROR(SEARCH("EPOTAL",_xlpm.struct&amp;"")),--ISERROR(SEARCH("BASONAT",_xlpm.struct&amp;"")),--ISERROR(SEARCH("ADHESIVE",_xlpm.struct&amp;"")),--ISERROR(SEARCH("HARDENER",_xlpm.struct&amp;""))),_xlpm.lamSteps,MAX(0,_xlpm.realLayers-1),_xlpm.len,$AL$69,_xlpm.colNum,IF(_xlpm.len&lt;3000,1,IF(_xlpm.len&lt;10000,2,IF(_xlpm.len&lt;25000,3,IF(_xlpm.len&lt;50000,4,IF(_xlpm.len&lt;100000,5,IF(_xlpm.len&lt;250000,6,IF(_xlpm.len&lt;500000,7,8))))))),_xlpm.widthRow,IF($J57&lt;=990,0,5),_xlpm.supplierRow,IF($Q57="Marma",3,IF($Q57="Bastin",13,0)),_xlpm.baseRate,IF(_xlpm.supplierRow=0,"",INDEX('Lmntn &amp; Prntng- Marma &amp; Bastin '!$D$1:$K$22,_xlpm.supplierRow+_xlpm.widthRow,_xlpm.colNum)),IF(_xlpm.realLayers=0,"",_xlpm.baseRate*_xlpm.lamSteps))))</f>
        <v>0.23346</v>
      </c>
      <c r="S57" s="888" t="str" cm="1">
        <f t="array" ref="S57">IF(OR($Q57="",$I57=0,$I57="0"),"",IF($J57&gt;1220,"Error! please choose lamination width not higher than 1220",_xlfn.LET(_xlpm.len,$AL$69,_xlpm.colors,$I57,_xlpm.colNum,IF(_xlpm.len&lt;3000,1,IF(_xlpm.len&lt;10000,2,IF(_xlpm.len&lt;25000,3,IF(_xlpm.len&lt;50000,4,IF(_xlpm.len&lt;100000,5,IF(_xlpm.len&lt;250000,6,IF(_xlpm.len&lt;500000,7,8))))))),_xlpm.widthRow,IF($J57&lt;=990,0,5),_xlpm.colorOffset,IF(OR(_xlpm.colors=1,_xlpm.colors=2,_xlpm.colors="1-2"),1,IF(OR(_xlpm.colors=3,_xlpm.colors=4,_xlpm.colors="3-4"),2,IF(OR(_xlpm.colors&gt;=5,_xlpm.colors="5-6",_xlpm.colors="5-8"),3,0))),_xlpm.supplierRow,IF($Q57="Marma",3,IF($Q57="Bastin",13,0)),IF(OR(_xlpm.supplierRow=0,_xlpm.colorOffset=0),"",INDEX('Lmntn &amp; Prntng- Marma &amp; Bastin '!$D$1:$K$22,_xlpm.supplierRow+_xlpm.widthRow+_xlpm.colorOffset,_xlpm.colNum)))))</f>
        <v/>
      </c>
      <c r="T57" s="889" t="str">
        <f>IF(OR($S57="",$K57=""),"",IFERROR($S57*(1/$M$62)*($J57/($D57*MAX(1,ROUNDDOWN(760/$D57,0)))),""))</f>
        <v/>
      </c>
      <c r="U57" s="888" cm="1">
        <f t="array" ref="U57">IF($Q57="","",IF($J57&gt;1220,"Error! please choose lamination width not higher than 1220",_xlfn.LET(_xlpm.len,$AL$69,_xlpm.colNum,IF(_xlpm.len&lt;3000,1,IF(_xlpm.len&lt;10000,2,IF(_xlpm.len&lt;25000,3,IF(_xlpm.len&lt;50000,4,IF(_xlpm.len&lt;100000,5,IF(_xlpm.len&lt;250000,6,IF(_xlpm.len&lt;500000,7,8))))))),_xlpm.widthRow,IF($J57&lt;=990,0,5),_xlpm.supplierRow,IF($Q57="Marma",7,IF($Q57="Bastin",17,0)),IF(_xlpm.supplierRow=0,"",INDEX('Lmntn &amp; Prntng- Marma &amp; Bastin '!$D$1:$K$22,_xlpm.supplierRow+_xlpm.widthRow,_xlpm.colNum)))))</f>
        <v>3.4916666666666672E-2</v>
      </c>
      <c r="V57" s="890">
        <f>IFERROR(IF(AL70="","",VLOOKUP($K$62,HELPER!$BH$3:$BI$5,2,TRUE)*AL70),"")</f>
        <v>0</v>
      </c>
      <c r="W57" s="885">
        <f>IF(OR($H57&lt;&gt;"Printed",$I57=0,$I57="0"),0,IFERROR(AL70*0.028,0)+IFERROR(AL91,0))</f>
        <v>0</v>
      </c>
      <c r="X57" s="234">
        <f t="shared" si="7"/>
        <v>0.22488067875000003</v>
      </c>
      <c r="Y57" s="886">
        <f>IFERROR((SUM(X57:X62)+SUM(R57:S57,U57))*(1/M62)*(J57/E57)+V57+W57,"")</f>
        <v>11.362119750468565</v>
      </c>
      <c r="Z57" s="233">
        <f>IF($M57="","",IFERROR(($N57+$P57)*$M57/$M$62,""))</f>
        <v>2.0410947774706947</v>
      </c>
      <c r="AA57" s="727">
        <f>AL57</f>
        <v>1</v>
      </c>
      <c r="AB57" s="117" t="str">
        <f>IF(OR(AL60="IMP",AL60="By Imp"),IFERROR(AL61/AA57,""),"")</f>
        <v/>
      </c>
      <c r="AC57" s="838">
        <f>AL90</f>
        <v>0</v>
      </c>
      <c r="AG57" s="556" t="s">
        <v>1253</v>
      </c>
      <c r="AH57" s="197" t="s">
        <v>1320</v>
      </c>
      <c r="AI57" s="557" t="s">
        <v>1254</v>
      </c>
      <c r="AJ57" s="38"/>
      <c r="AK57" s="556" t="s">
        <v>1253</v>
      </c>
      <c r="AL57" s="197">
        <v>1</v>
      </c>
      <c r="AM57" s="557" t="s">
        <v>1254</v>
      </c>
      <c r="AN57" s="38"/>
      <c r="AO57" s="556" t="s">
        <v>1253</v>
      </c>
      <c r="AP57" s="197">
        <v>1</v>
      </c>
      <c r="AQ57" s="557" t="s">
        <v>1254</v>
      </c>
    </row>
    <row r="58" spans="1:43" ht="15.75">
      <c r="A58" s="893"/>
      <c r="B58" s="891"/>
      <c r="C58" t="str">
        <v>NK White</v>
      </c>
      <c r="D58" s="891"/>
      <c r="E58" s="891"/>
      <c r="F58" s="891"/>
      <c r="G58" s="893"/>
      <c r="H58" s="891"/>
      <c r="I58" s="891"/>
      <c r="J58" s="537">
        <f t="shared" si="8"/>
        <v>1050</v>
      </c>
      <c r="K58" cm="1">
        <f t="array" ref="K58">_xlfn.LET(_xlpm.baseThick,IFERROR(INDEX(HELPER!$BX$2:$BX$250,MATCH(1,(TEXT(HELPER!$BZ$2:$BZ$250,"0")=TEXT($B$57,"0"))*(HELPER!$CC$2:$CC$250=$AL$52)*(HELPER!$BW$2:$BW$250=C58),0)),""),IF(_xlpm.baseThick="","",_xlpm.baseThick))</f>
        <v>22</v>
      </c>
      <c r="L58">
        <f>IFERROR(VLOOKUP(C58,HELPER!$AP$1:$AQ$20,2,FALSE),"")</f>
        <v>1.44</v>
      </c>
      <c r="M58" s="283">
        <f>IF(C58="","",IF(ISNUMBER(SEARCH("paper",C58)),42/1000*(J58/1000),IF(OR(L58="",L58=0),"",L58*1000*(K58/1000000)*(J58/1000))))</f>
        <v>3.3264000000000002E-2</v>
      </c>
      <c r="N58" s="236" cm="1">
        <f t="array" ref="N58">IF($C58="","",_xlfn.LET(
    _xlpm.mat,TRIM($C58),
    _xlpm.matKey,UPPER(SUBSTITUTE(_xlpm.mat," ","")),
    _xlpm.pr,IFERROR(LOOKUP(2,1/($H$57:H58&lt;&gt;""),$H$57:H58),""),
    _xlpm.widthActual,IFERROR(LOOKUP(2,1/($E$57:E58&lt;&gt;""),$E$57:E58),$E58),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",""))=_xlpm.matKey)*(_xlpm.summaryThick=$K58)*(_xlpm.summaryCosts&gt;0))),INDEX(_xlfn._xlws.FILTER(_xlpm.summaryCosts,(UPPER(SUBSTITUTE(_xlpm.summaryNames," ",""))=_xlpm.matKey)*(_xlpm.summaryThick=$K58)*(_xlpm.summaryCosts&gt;0)),1)),""),""),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9.7199999999999989</v>
      </c>
      <c r="O58" s="891"/>
      <c r="P58" s="95">
        <f>IF(C58="","",IFERROR(IF(O$57="Europe to Canada",IF(A$57&lt;1000,VLOOKUP(1000,HELPER!$AG$4:$AH$8,2,FALSE)/A$57,VLOOKUP(A$57,HELPER!$AG$4:$AH$8,2,TRUE)/A$57),IF(O$57="Europe to US",HELPER!$AH$2,IF(O$57="Europe to Europe",HELPER!$AH$3,0))),0))</f>
        <v>0.2</v>
      </c>
      <c r="Q58" s="891"/>
      <c r="R58" s="888"/>
      <c r="S58" s="888"/>
      <c r="T58" s="889"/>
      <c r="U58" s="888"/>
      <c r="V58" s="891"/>
      <c r="W58" s="885"/>
      <c r="X58" s="234">
        <f t="shared" si="7"/>
        <v>0.32997887999999997</v>
      </c>
      <c r="Y58" s="886"/>
      <c r="Z58" s="233">
        <f>IF($M58="","",IFERROR(($N58+$P58)*$M58/$M$62,""))</f>
        <v>2.9950023825407408</v>
      </c>
      <c r="AG58" s="556" t="s">
        <v>599</v>
      </c>
      <c r="AH58" s="196" t="s">
        <v>572</v>
      </c>
      <c r="AI58" s="557"/>
      <c r="AK58" s="556" t="s">
        <v>599</v>
      </c>
      <c r="AL58" s="196" t="s">
        <v>572</v>
      </c>
      <c r="AM58" s="557"/>
      <c r="AO58" s="556" t="s">
        <v>599</v>
      </c>
      <c r="AP58" s="196" t="s">
        <v>572</v>
      </c>
      <c r="AQ58" s="557"/>
    </row>
    <row r="59" spans="1:43" ht="15.75">
      <c r="A59" s="893"/>
      <c r="B59" s="891"/>
      <c r="C59" t="str">
        <v> NK MATT</v>
      </c>
      <c r="D59" s="891"/>
      <c r="E59" s="891"/>
      <c r="F59" s="891"/>
      <c r="G59" s="893"/>
      <c r="H59" s="891"/>
      <c r="I59" s="891"/>
      <c r="J59" s="537">
        <f t="shared" si="8"/>
        <v>1050</v>
      </c>
      <c r="K59" cm="1">
        <f t="array" ref="K59">_xlfn.LET(_xlpm.baseThick,IFERROR(INDEX(HELPER!$BX$2:$BX$250,MATCH(1,(TEXT(HELPER!$BZ$2:$BZ$250,"0")=TEXT($B$57,"0"))*(HELPER!$CC$2:$CC$250=$AL$52)*(HELPER!$BW$2:$BW$250=C59),0)),""),IF(_xlpm.baseThick="","",_xlpm.baseThick))</f>
        <v>25</v>
      </c>
      <c r="L59">
        <f>IFERROR(VLOOKUP(C59,HELPER!$AP$1:$AQ$20,2,FALSE),"")</f>
        <v>1.44</v>
      </c>
      <c r="M59" s="283">
        <f>IF(C59="","",IF(ISNUMBER(SEARCH("paper",C59)),42/1000*(J59/1000),IF(OR(L59="",L59=0),"",L59*1000*(K59/1000000)*(J59/1000))))</f>
        <v>3.7800000000000007E-2</v>
      </c>
      <c r="N59" s="235" cm="1">
        <f t="array" ref="N59">IF($C59="","",_xlfn.LET(
    _xlpm.mat,TRIM($C59),
    _xlpm.matKey,UPPER(SUBSTITUTE(_xlpm.mat," ","")),
    _xlpm.pr,IFERROR(LOOKUP(2,1/($H$57:H59&lt;&gt;""),$H$57:H59),""),
    _xlpm.widthActual,IFERROR(LOOKUP(2,1/($E$57:E59&lt;&gt;""),$E$57:E59),$E59),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",""))=_xlpm.matKey)*(_xlpm.summaryThick=$K59)*(_xlpm.summaryCosts&gt;0))),INDEX(_xlfn._xlws.FILTER(_xlpm.summaryCosts,(UPPER(SUBSTITUTE(_xlpm.summaryNames," ",""))=_xlpm.matKey)*(_xlpm.summaryThick=$K59)*(_xlpm.summaryCosts&gt;0)),1)),""),""),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8.7199999999999989</v>
      </c>
      <c r="O59" s="891"/>
      <c r="P59" s="95">
        <f>IF(C59="","",IFERROR(IF(O$57="Europe to Canada",IF(A$57&lt;1000,VLOOKUP(1000,HELPER!$AG$4:$AH$8,2,FALSE)/A$57,VLOOKUP(A$57,HELPER!$AG$4:$AH$8,2,TRUE)/A$57),IF(O$57="Europe to US",HELPER!$AH$2,IF(O$57="Europe to Europe",HELPER!$AH$3,0))),0))</f>
        <v>0.2</v>
      </c>
      <c r="Q59" s="891"/>
      <c r="R59" s="888"/>
      <c r="S59" s="888"/>
      <c r="T59" s="889"/>
      <c r="U59" s="888"/>
      <c r="V59" s="891"/>
      <c r="W59" s="885"/>
      <c r="X59" s="234">
        <f t="shared" si="7"/>
        <v>0.33717599999999998</v>
      </c>
      <c r="Y59" s="886"/>
      <c r="Z59" s="233">
        <f>IF($M59="","",IFERROR(($N59+$P59)*$M59/$M$62,""))</f>
        <v>3.0603259315734292</v>
      </c>
      <c r="AG59" s="556" t="s">
        <v>600</v>
      </c>
      <c r="AH59" s="196" t="s">
        <v>272</v>
      </c>
      <c r="AI59" s="557"/>
      <c r="AK59" s="556" t="s">
        <v>600</v>
      </c>
      <c r="AL59" s="196" t="s">
        <v>272</v>
      </c>
      <c r="AM59" s="557"/>
      <c r="AO59" s="556" t="s">
        <v>600</v>
      </c>
      <c r="AP59" s="196" t="s">
        <v>272</v>
      </c>
      <c r="AQ59" s="557"/>
    </row>
    <row r="60" spans="1:43" ht="15.75">
      <c r="A60" s="893"/>
      <c r="B60" s="891"/>
      <c r="C60" t="str">
        <v>RM G Epotal ECO 3675</v>
      </c>
      <c r="D60" s="891"/>
      <c r="E60" s="891"/>
      <c r="F60" s="891"/>
      <c r="G60" s="893"/>
      <c r="H60" s="891"/>
      <c r="I60" s="891"/>
      <c r="J60" s="537">
        <f t="shared" si="8"/>
        <v>1050</v>
      </c>
      <c r="K60" cm="1">
        <f t="array" ref="K60">_xlfn.LET(_xlpm.baseThick,IFERROR(INDEX(HELPER!$BX$2:$BX$250,MATCH(1,(TEXT(HELPER!$BZ$2:$BZ$250,"0")=TEXT($B$57,"0"))*(HELPER!$CC$2:$CC$250=$AL$52)*(HELPER!$BW$2:$BW$250=C60),0)),""),IF(_xlpm.baseThick="","",_xlpm.baseThick))</f>
        <v>6</v>
      </c>
      <c r="L60">
        <f>IFERROR(VLOOKUP(C60,HELPER!$AP$1:$AQ$20,2,FALSE),"")</f>
        <v>1</v>
      </c>
      <c r="M60" s="283">
        <f>IF(C60="","",IF(ISNUMBER(SEARCH("paper",C60)),42/1000*(J60/1000),IF(OR(L60="",L60=0),"",L60*1000*(K60/1000000)*(J60/1000))))</f>
        <v>6.3E-3</v>
      </c>
      <c r="N60" s="235" cm="1">
        <f t="array" ref="N60">IF($C60="","",_xlfn.LET(
    _xlpm.mat,TRIM($C60),
    _xlpm.matKey,UPPER(SUBSTITUTE(_xlpm.mat," ","")),
    _xlpm.pr,IFERROR(LOOKUP(2,1/($H$57:H60&lt;&gt;""),$H$57:H60),""),
    _xlpm.widthActual,IFERROR(LOOKUP(2,1/($E$57:E60&lt;&gt;""),$E$57:E60),$E60),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",""))=_xlpm.matKey)*(_xlpm.summaryThick=$K60)*(_xlpm.summaryCosts&gt;0))),INDEX(_xlfn._xlws.FILTER(_xlpm.summaryCosts,(UPPER(SUBSTITUTE(_xlpm.summaryNames," ",""))=_xlpm.matKey)*(_xlpm.summaryThick=$K60)*(_xlpm.summaryCosts&gt;0)),1)),""),""),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4.8500000000000005</v>
      </c>
      <c r="O60" s="891"/>
      <c r="P60" s="95">
        <f>IF(C60="","",IFERROR(IF(O$57="Europe to Canada",IF(A$57&lt;1000,VLOOKUP(1000,HELPER!$AG$4:$AH$8,2,FALSE)/A$57,VLOOKUP(A$57,HELPER!$AG$4:$AH$8,2,TRUE)/A$57),IF(O$57="Europe to US",HELPER!$AH$2,IF(O$57="Europe to Europe",HELPER!$AH$3,0))),0))</f>
        <v>0.2</v>
      </c>
      <c r="Q60" s="891"/>
      <c r="R60" s="888"/>
      <c r="S60" s="888"/>
      <c r="T60" s="889"/>
      <c r="U60" s="888"/>
      <c r="V60" s="891"/>
      <c r="W60" s="885"/>
      <c r="X60" s="234">
        <f t="shared" si="7"/>
        <v>3.1815000000000003E-2</v>
      </c>
      <c r="Y60" s="886"/>
      <c r="Z60" s="233">
        <f>IF($M60="","",IFERROR(($N60+$P60)*$M60/$M$62,""))</f>
        <v>0.28876393786333748</v>
      </c>
      <c r="AG60" s="599" t="s">
        <v>589</v>
      </c>
      <c r="AH60" s="848" t="s">
        <v>585</v>
      </c>
      <c r="AI60" s="559"/>
      <c r="AJ60" s="270"/>
      <c r="AK60" s="599" t="s">
        <v>589</v>
      </c>
      <c r="AL60" s="848" t="s">
        <v>585</v>
      </c>
      <c r="AM60" s="559"/>
      <c r="AO60" s="599" t="s">
        <v>589</v>
      </c>
      <c r="AP60" s="848" t="s">
        <v>1070</v>
      </c>
      <c r="AQ60" s="559"/>
    </row>
    <row r="61" spans="1:43" ht="15.75">
      <c r="A61" s="893"/>
      <c r="B61" s="891"/>
      <c r="D61" s="891"/>
      <c r="E61" s="891"/>
      <c r="F61" s="891"/>
      <c r="G61" s="893"/>
      <c r="H61" s="891"/>
      <c r="I61" s="891"/>
      <c r="J61" s="537" t="str">
        <f t="shared" si="8"/>
        <v/>
      </c>
      <c r="K61" t="str" cm="1">
        <f t="array" ref="K61">_xlfn.LET(_xlpm.baseThick,IFERROR(INDEX(HELPER!$BX$2:$BX$250,MATCH(1,(TEXT(HELPER!$BZ$2:$BZ$250,"0")=TEXT($B$57,"0"))*(HELPER!$CC$2:$CC$250=$AL$52)*(HELPER!$BW$2:$BW$250=C61),0)),""),IF(_xlpm.baseThick="","",_xlpm.baseThick))</f>
        <v/>
      </c>
      <c r="L61" t="str">
        <f>IFERROR(VLOOKUP(C61,HELPER!$AP$1:$AQ$20,2,FALSE),"")</f>
        <v/>
      </c>
      <c r="M61" s="283" t="str">
        <f>IF(C61="","",IF(ISNUMBER(SEARCH("paper",C61)),42/1000*(J61/1000),IF(OR(L61="",L61=0),"",L61*1000*(K61/1000000)*(J61/1000))))</f>
        <v/>
      </c>
      <c r="N61" s="235" t="str" cm="1">
        <f t="array" ref="N61">IF($C61="","",_xlfn.LET(
    _xlpm.mat,TRIM($C61),
    _xlpm.matKey,UPPER(SUBSTITUTE(_xlpm.mat," ","")),
    _xlpm.pr,IFERROR(LOOKUP(2,1/($H$57:H61&lt;&gt;""),$H$57:H61),""),
    _xlpm.widthActual,IFERROR(LOOKUP(2,1/($E$57:E61&lt;&gt;""),$E$57:E61),$E61),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",""))=_xlpm.matKey)*(_xlpm.summaryThick=$K61)*(_xlpm.summaryCosts&gt;0))),INDEX(_xlfn._xlws.FILTER(_xlpm.summaryCosts,(UPPER(SUBSTITUTE(_xlpm.summaryNames," ",""))=_xlpm.matKey)*(_xlpm.summaryThick=$K61)*(_xlpm.summaryCosts&gt;0)),1)),""),""),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
      </c>
      <c r="O61" s="891"/>
      <c r="P61" s="95" t="str">
        <f>IF(C61="","",IFERROR(IF(O$57="Europe to Canada",IF(A$57&lt;1000,VLOOKUP(1000,HELPER!$AG$4:$AH$8,2,FALSE)/A$57,VLOOKUP(A$57,HELPER!$AG$4:$AH$8,2,TRUE)/A$57),IF(O$57="Europe to US",HELPER!$AH$2,IF(O$57="Europe to Europe",HELPER!$AH$3,0))),0))</f>
        <v/>
      </c>
      <c r="Q61" s="891"/>
      <c r="R61" s="888"/>
      <c r="S61" s="888"/>
      <c r="T61" s="889"/>
      <c r="U61" s="888"/>
      <c r="V61" s="891"/>
      <c r="W61" s="885"/>
      <c r="X61" s="234" t="str">
        <f t="shared" si="7"/>
        <v/>
      </c>
      <c r="Y61" s="886"/>
      <c r="Z61" s="233"/>
      <c r="AG61" s="599" t="s">
        <v>1064</v>
      </c>
      <c r="AH61" s="549">
        <v>18150</v>
      </c>
      <c r="AI61" s="575" t="str">
        <f>IF(AH60="IMP","IMP",IF(AH60="By Length","m",""))</f>
        <v>m</v>
      </c>
      <c r="AJ61" s="555"/>
      <c r="AK61" s="599" t="s">
        <v>1064</v>
      </c>
      <c r="AL61" s="549">
        <v>2000</v>
      </c>
      <c r="AM61" s="575" t="str">
        <f>IF(AL60="IMP","IMP",IF(AL60="By Length","m",""))</f>
        <v>m</v>
      </c>
      <c r="AN61" s="555"/>
      <c r="AO61" s="599" t="s">
        <v>1064</v>
      </c>
      <c r="AP61" s="549">
        <v>475000</v>
      </c>
      <c r="AQ61" s="575" t="str">
        <f>IF(AP60="IMP","IMP",IF(AP60="By Length","m",""))</f>
        <v/>
      </c>
    </row>
    <row r="62" spans="1:43" ht="15.75">
      <c r="A62" s="893"/>
      <c r="B62" s="891"/>
      <c r="C62" s="38"/>
      <c r="D62" s="891"/>
      <c r="E62" s="891"/>
      <c r="F62" s="891"/>
      <c r="G62" s="893"/>
      <c r="H62" s="891"/>
      <c r="I62" s="891"/>
      <c r="J62" s="537" t="str">
        <f t="shared" si="8"/>
        <v/>
      </c>
      <c r="K62" s="192">
        <f>AL52</f>
        <v>79</v>
      </c>
      <c r="L62" t="str">
        <f>IFERROR(VLOOKUP(C62,HELPER!$AP$1:$AQ$20,2,FALSE),"")</f>
        <v/>
      </c>
      <c r="M62" s="284">
        <f>SUM(M57:M61)</f>
        <v>0.11017650000000001</v>
      </c>
      <c r="N62" s="235" t="str" cm="1">
        <f t="array" ref="N62">IF($C62="","",_xlfn.LET(
    _xlpm.mat,TRIM($C62),
    _xlpm.matKey,UPPER(SUBSTITUTE(_xlpm.mat," ","")),
    _xlpm.pr,IFERROR(LOOKUP(2,1/($H$57:H62&lt;&gt;""),$H$57:H62),""),
    _xlpm.widthActual,IFERROR(LOOKUP(2,1/($E$57:E62&lt;&gt;""),$E$57:E62),$E62),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",""))=_xlpm.matKey)*(_xlpm.summaryThick=$K62)*(_xlpm.summaryCosts&gt;0))),INDEX(_xlfn._xlws.FILTER(_xlpm.summaryCosts,(UPPER(SUBSTITUTE(_xlpm.summaryNames," ",""))=_xlpm.matKey)*(_xlpm.summaryThick=$K62)*(_xlpm.summaryCosts&gt;0)),1)),""),""),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
      </c>
      <c r="O62" s="891"/>
      <c r="P62" s="95" t="str">
        <f>IF(C62="","",IFERROR(IF(O$57="Europe to Canada",IF(A$57&lt;1000,VLOOKUP(1000,HELPER!$AG$4:$AH$8,2,FALSE)/A$57,VLOOKUP(A$57,HELPER!$AG$4:$AH$8,2,TRUE)/A$57),IF(O$57="Europe to US",HELPER!$AH$2,IF(O$57="Europe to Europe",HELPER!$AH$3,0))),0))</f>
        <v/>
      </c>
      <c r="Q62" s="891"/>
      <c r="R62" s="888"/>
      <c r="S62" s="888"/>
      <c r="T62" s="889"/>
      <c r="U62" s="888"/>
      <c r="V62" s="891"/>
      <c r="W62" s="885"/>
      <c r="X62" s="234" t="str">
        <f t="shared" si="7"/>
        <v/>
      </c>
      <c r="Y62" s="886"/>
      <c r="Z62" s="233"/>
      <c r="AG62" s="560" t="s">
        <v>1319</v>
      </c>
      <c r="AH62" s="872"/>
      <c r="AI62" s="625"/>
      <c r="AK62" s="560" t="s">
        <v>1319</v>
      </c>
      <c r="AL62" s="872"/>
      <c r="AM62" s="625"/>
      <c r="AO62" s="560" t="s">
        <v>1319</v>
      </c>
      <c r="AP62" s="872">
        <v>70</v>
      </c>
      <c r="AQ62" s="625">
        <v>105</v>
      </c>
    </row>
    <row r="63" spans="1:43" ht="15.75">
      <c r="A63" s="893">
        <f>IF(AP60="By Length",IF(AP61&lt;&gt;"",IFERROR(AP61*$M$68*($D63/$J63),""),""),IF(OR(AP60="By Imp",AP60="IMP"),IFERROR(AP88*$M$68*($D63/$J63),""),IF(AP54="","",AP54)))</f>
        <v>392.31176250000004</v>
      </c>
      <c r="B63" s="891">
        <f>AP51</f>
        <v>819</v>
      </c>
      <c r="C63" t="str" cm="1">
        <f t="array" ref="C63:C66">IFERROR(_xlfn.LET(_xlpm.lam,TEXT(B63,"0"),_xlpm.thick,AP52,_xlfn.TAKE(_xlfn._xlws.FILTER(HELPER!$BW$2:$BW$250,(TEXT(HELPER!$BZ$2:$BZ$250,"0")=_xlpm.lam)*(HELPER!$CC$2:$CC$250=_xlpm.thick)*(HELPER!$BW$2:$BW$250&lt;&gt;""),"No match"),6)),"")</f>
        <v>NK</v>
      </c>
      <c r="D63" s="891">
        <f>AP53</f>
        <v>750</v>
      </c>
      <c r="E63" s="895">
        <f>IF(D63="","",IF(D63&lt;300,D63*4,IF(D63&lt;400,D63*3,IF(D63&lt;600,D63*2,D63))))</f>
        <v>750</v>
      </c>
      <c r="F63" s="891"/>
      <c r="G63" s="892">
        <f>IF(OR(AP60="IMP",AP60="By Imp",AP60="By Length"),IFERROR(AP63,""),IFERROR(IF(OR(A63="",A63=0,$D63="",$D63=0,$J63="",$M$68="",$M$68=0,A63&lt;=5),"",(A63-5)/$M$68*($J63/$D63)),""))</f>
        <v>4987.5</v>
      </c>
      <c r="H63" s="891" t="str">
        <f>AP55</f>
        <v>Printed</v>
      </c>
      <c r="I63" s="894" t="str">
        <f>IF(H63="Not Printed",0,AP56)</f>
        <v>3-4</v>
      </c>
      <c r="J63" s="537">
        <f t="shared" ref="J63:J68" si="9">IF($C63="","",IF($E$63="","",$E$63+50))</f>
        <v>800</v>
      </c>
      <c r="K63" cm="1">
        <f t="array" ref="K63">_xlfn.LET(_xlpm.baseThick,IFERROR(INDEX(HELPER!$BX$2:$BX$250,MATCH(1,(TEXT(HELPER!$BZ$2:$BZ$250,"0")=TEXT($B$63,"0"))*(HELPER!$CC$2:$CC$250=$AP$52)*(HELPER!$BW$2:$BW$250=C63),0)),""),IF(_xlpm.baseThick="","",_xlpm.baseThick))</f>
        <v>23</v>
      </c>
      <c r="L63">
        <f>IFERROR(VLOOKUP(C63,HELPER!$AP$1:$AQ$20,2,FALSE),"")</f>
        <v>1.44</v>
      </c>
      <c r="M63" s="285">
        <f>IF(C63="","",IF(ISNUMBER(SEARCH("paper",C63)),42/1000*(J63/1000),IF(OR(L63="",L63=0),"",L63*1000*(K63/1000000)*(J63/1000))))</f>
        <v>2.6495999999999999E-2</v>
      </c>
      <c r="N63" s="235" cm="1">
        <f t="array" ref="N63">IF($C63="","",_xlfn.LET(
    _xlpm.mat,TRIM($C63),
    _xlpm.matKey,UPPER(SUBSTITUTE(_xlpm.mat," ","")),
    _xlpm.pr,IFERROR(LOOKUP(2,1/($H$63:H63&lt;&gt;""),$H$63:H63),""),
    _xlpm.widthActual,IFERROR(LOOKUP(2,1/($E$63:E63&lt;&gt;""),$E$63:E63),$E63),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",""))=_xlpm.matKey)*(_xlpm.summaryThick=$K63)*(_xlpm.summaryCosts&gt;0))),INDEX(_xlfn._xlws.FILTER(_xlpm.summaryCosts,(UPPER(SUBSTITUTE(_xlpm.summaryNames," ",""))=_xlpm.matKey)*(_xlpm.summaryThick=$K63)*(_xlpm.summaryCosts&gt;0)),1)),""),""),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7.95</v>
      </c>
      <c r="O63" s="891" t="str">
        <f>AP58</f>
        <v>Europe to Europe</v>
      </c>
      <c r="P63" s="95">
        <f>IF(C63="","",IFERROR(IF(O$63="Europe to Canada",IF(A$63&lt;1000,VLOOKUP(1000,HELPER!$AG$4:$AH$8,2,FALSE)/A$63,VLOOKUP(A$63,HELPER!$AG$4:$AH$8,2,TRUE)/A$63),IF(O$63="Europe to US",HELPER!$AH$2,IF(O$63="Europe to Europe",HELPER!$AH$3,0))),0))</f>
        <v>0.2</v>
      </c>
      <c r="Q63" s="891" t="str">
        <f>AP59</f>
        <v>Marma</v>
      </c>
      <c r="R63" s="888" cm="1">
        <f t="array" ref="R63">IF(OR($Q63="",$G63=""),"",IF($J63&gt;1220,"Error! please choose lamination width not higher than 1220",_xlfn.LET(_xlpm.struct,$C$63:$C$68,_xlpm.realLayers,SUMPRODUCT(--(_xlpm.struct&lt;&gt;""),--ISERROR(SEARCH("EPOTAL",_xlpm.struct&amp;"")),--ISERROR(SEARCH("BASONAT",_xlpm.struct&amp;"")),--ISERROR(SEARCH("ADHESIVE",_xlpm.struct&amp;"")),--ISERROR(SEARCH("HARDENER",_xlpm.struct&amp;""))),_xlpm.lamSteps,MAX(0,_xlpm.realLayers-1),_xlpm.len,$G63,_xlpm.colNum,IF(_xlpm.len&lt;3000,1,IF(_xlpm.len&lt;10000,2,IF(_xlpm.len&lt;25000,3,IF(_xlpm.len&lt;50000,4,IF(_xlpm.len&lt;100000,5,IF(_xlpm.len&lt;250000,6,IF(_xlpm.len&lt;500000,7,8))))))),_xlpm.widthRow,IF($J63&lt;=990,0,5),_xlpm.supplierRow,IF($Q63="Marma",3,IF($Q63="Bastin",13,0)),_xlpm.baseRate,IF(_xlpm.supplierRow=0,"",INDEX('Lmntn &amp; Prntng- Marma &amp; Bastin '!$D$1:$K$22,_xlpm.supplierRow+_xlpm.widthRow,_xlpm.colNum)),IF(_xlpm.realLayers=0,"",_xlpm.baseRate*_xlpm.lamSteps))))</f>
        <v>0.20826</v>
      </c>
      <c r="S63" s="888" cm="1">
        <f t="array" ref="S63">IF(OR($Q63="",$I63=0,$I63="0"),"",IF($J63&gt;1220,"Error! please choose lamination width not higher than 1220",_xlfn.LET(_xlpm.len,$G63,_xlpm.colors,$I63,_xlpm.colNum,IF(_xlpm.len&lt;3000,1,IF(_xlpm.len&lt;10000,2,IF(_xlpm.len&lt;25000,3,IF(_xlpm.len&lt;50000,4,IF(_xlpm.len&lt;100000,5,IF(_xlpm.len&lt;250000,6,IF(_xlpm.len&lt;500000,7,8))))))),_xlpm.widthRow,IF($J63&lt;=990,0,5),_xlpm.colorOffset,IF(OR(_xlpm.colors=1,_xlpm.colors=2,_xlpm.colors="1-2"),1,IF(OR(_xlpm.colors=3,_xlpm.colors=4,_xlpm.colors="3-4"),2,IF(OR(_xlpm.colors&gt;=5,_xlpm.colors="5-6",_xlpm.colors="5-8"),3,0))),_xlpm.supplierRow,IF($Q63="Marma",3,IF($Q63="Bastin",13,0)),IF(OR(_xlpm.supplierRow=0,_xlpm.colorOffset=0),"",INDEX('Lmntn &amp; Prntng- Marma &amp; Bastin '!$D$1:$K$22,_xlpm.supplierRow+_xlpm.widthRow+_xlpm.colorOffset,_xlpm.colNum)))))</f>
        <v>0.17702000000000001</v>
      </c>
      <c r="T63" s="889">
        <f>IF(OR($S63="",$K63=""),"",IFERROR($S63*(1/$M$68)*($J63/($D63*MAX(1,ROUNDDOWN(760/$D63,0)))),""))</f>
        <v>2.1004419922280562</v>
      </c>
      <c r="U63" s="888" cm="1">
        <f t="array" ref="U63">IF(OR($Q63="",$G63=""),"",IF($J63&gt;1220,"Error! please choose lamination width not higher than 1220",_xlfn.LET(_xlpm.len,$G63,_xlpm.colNum,IF(_xlpm.len&lt;3000,1,IF(_xlpm.len&lt;10000,2,IF(_xlpm.len&lt;25000,3,IF(_xlpm.len&lt;50000,4,IF(_xlpm.len&lt;100000,5,IF(_xlpm.len&lt;250000,6,IF(_xlpm.len&lt;500000,7,8))))))),_xlpm.widthRow,IF($J63&lt;=990,0,5),_xlpm.supplierRow,IF($Q63="Marma",7,IF($Q63="Bastin",17,0)),IF(_xlpm.supplierRow=0,"",INDEX('Lmntn &amp; Prntng- Marma &amp; Bastin '!$D$1:$K$22,_xlpm.supplierRow+_xlpm.widthRow,_xlpm.colNum)))))</f>
        <v>3.0420000000000003E-2</v>
      </c>
      <c r="V63" s="890">
        <f>IFERROR(IF(AP70="","",VLOOKUP($K$68,HELPER!$BH$3:$BI$5,2,TRUE)*AP70),"")</f>
        <v>0</v>
      </c>
      <c r="W63" s="885">
        <f>IF(OR($H63&lt;&gt;"Printed",$I63=0,$I63="0"),0,IFERROR(AP70*0.028,0)+IFERROR(AP91,0))</f>
        <v>1.1372964832364505</v>
      </c>
      <c r="X63" s="234">
        <f t="shared" si="7"/>
        <v>0.21594240000000001</v>
      </c>
      <c r="Y63" s="886">
        <f>IFERROR((SUM(X63:X68)+SUM(R63:S63,U63))*(1/M68)*(J63/E63)+V63+W63,"")</f>
        <v>11.634476157526743</v>
      </c>
      <c r="Z63" s="233">
        <f>IF(OR($M63="",$M$68=""),"",IFERROR(($N63+$P63)*$M63/$M$68,""))</f>
        <v>2.4021358013704726</v>
      </c>
      <c r="AA63" s="727">
        <f>AP57</f>
        <v>1</v>
      </c>
      <c r="AB63" s="117">
        <f>IF(OR(AP60="IMP",AP60="By Imp"),IFERROR(AP61/AA63,""),"")</f>
        <v>475000</v>
      </c>
      <c r="AC63" s="838">
        <f>AP90</f>
        <v>0.33333333333333331</v>
      </c>
      <c r="AG63" s="562" t="s">
        <v>602</v>
      </c>
      <c r="AH63" s="868" cm="1">
        <f t="array" ref="AH63">IF(OR(AH60="IMP",AH60="By Imp"),IFERROR(AH61/(ROUNDDOWN(AH53/AH62,0))*(AI62/1000),""),IF(AH60="By Length",IFERROR(AH61,""),IF(AH60="By Weight",IFERROR(ROUND(INDEX($G$51:$G$56,MATCH(1,($B$51:$B$56=AH51)*($D$51:$D$56=AH53)*($A$51:$A$56=IF(AH54&lt;&gt;"",AH54,A51))*($O$51:$O$56=AH58),0)),0),""),"")))</f>
        <v>18150</v>
      </c>
      <c r="AI63" s="563" t="s">
        <v>607</v>
      </c>
      <c r="AK63" s="562" t="s">
        <v>602</v>
      </c>
      <c r="AL63" s="868" cm="1">
        <f t="array" ref="AL63">IF(OR(AL60="IMP",AL60="By Imp"),IFERROR(AL61/(ROUNDDOWN(AL53/AL62,0))*(AM62/1000),""),IF(AL60="By Length",IFERROR(AL61,""),IF(AL60="By Weight",IFERROR(ROUND(INDEX($G$57:$G$62,MATCH(1,($B$57:$B$62=AL51)*($D$57:$D$62=AL53)*($A$57:$A$62=IF(AL54&lt;&gt;"",AL54,A57))*($O$57:$O$62=AL58),0)),0),""),"")))</f>
        <v>2000</v>
      </c>
      <c r="AM63" s="563" t="s">
        <v>607</v>
      </c>
      <c r="AO63" s="562" t="s">
        <v>602</v>
      </c>
      <c r="AP63" s="868" cm="1">
        <f t="array" ref="AP63">IF(OR(AP60="IMP",AP60="By Imp"),IFERROR(AP61/(ROUNDDOWN(AP53/AP62,0))*(AQ62/1000),""),IF(AP60="By Length",IFERROR(AP61,""),IF(AP60="By Weight",IFERROR(ROUND(INDEX($G$63:$G$68,MATCH(1,($B$63:$B$68=AP51)*($D$63:$D$68=AP53)*($A$63:$A$68=IF(AP54&lt;&gt;"",AP54,A63))*($O$63:$O$68=AP58),0)),0),""),"")))</f>
        <v>4987.5</v>
      </c>
      <c r="AQ63" s="563" t="s">
        <v>607</v>
      </c>
    </row>
    <row r="64" spans="1:43" ht="15.75">
      <c r="A64" s="893"/>
      <c r="B64" s="891"/>
      <c r="C64" t="str">
        <v>TIPA 302FG</v>
      </c>
      <c r="D64" s="891"/>
      <c r="E64" s="891"/>
      <c r="F64" s="891"/>
      <c r="G64" s="893"/>
      <c r="H64" s="891"/>
      <c r="I64" s="891"/>
      <c r="J64" s="537">
        <f t="shared" si="9"/>
        <v>800</v>
      </c>
      <c r="K64" cm="1">
        <f t="array" ref="K64">_xlfn.LET(_xlpm.baseThick,IFERROR(INDEX(HELPER!$BX$2:$BX$250,MATCH(1,(TEXT(HELPER!$BZ$2:$BZ$250,"0")=TEXT($B$63,"0"))*(HELPER!$CC$2:$CC$250=$AP$52)*(HELPER!$BW$2:$BW$250=C64),0)),""),IF(_xlpm.baseThick="","",_xlpm.baseThick))</f>
        <v>25</v>
      </c>
      <c r="L64">
        <f>IFERROR(VLOOKUP(C64,HELPER!$AP$1:$AQ$20,2,FALSE),"")</f>
        <v>1.25</v>
      </c>
      <c r="M64" s="285">
        <f>IF(C64="","",IF(ISNUMBER(SEARCH("paper",C64)),42/1000*(J64/1000),IF(OR(L64="",L64=0),"",L64*1000*(K64/1000000)*(J64/1000))))</f>
        <v>2.5000000000000001E-2</v>
      </c>
      <c r="N64" s="236" cm="1">
        <f t="array" ref="N64">IF($C64="","",_xlfn.LET(
    _xlpm.mat,TRIM($C64),
    _xlpm.matKey,UPPER(SUBSTITUTE(_xlpm.mat," ","")),
    _xlpm.pr,IFERROR(LOOKUP(2,1/($H$63:H64&lt;&gt;""),$H$63:H64),""),
    _xlpm.widthActual,IFERROR(LOOKUP(2,1/($E$63:E64&lt;&gt;""),$E$63:E64),$E64),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",""))=_xlpm.matKey)*(_xlpm.summaryThick=$K64)*(_xlpm.summaryCosts&gt;0))),INDEX(_xlfn._xlws.FILTER(_xlpm.summaryCosts,(UPPER(SUBSTITUTE(_xlpm.summaryNames," ",""))=_xlpm.matKey)*(_xlpm.summaryThick=$K64)*(_xlpm.summaryCosts&gt;0)),1)),""),""),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6.6535064000000004</v>
      </c>
      <c r="O64" s="891"/>
      <c r="P64" s="95">
        <f>IF(C64="","",IFERROR(IF(O$63="Europe to Canada",IF(A$63&lt;1000,VLOOKUP(1000,HELPER!$AG$4:$AH$8,2,FALSE)/A$63,VLOOKUP(A$63,HELPER!$AG$4:$AH$8,2,TRUE)/A$63),IF(O$63="Europe to US",HELPER!$AH$2,IF(O$63="Europe to Europe",HELPER!$AH$3,0))),0))</f>
        <v>0.2</v>
      </c>
      <c r="Q64" s="891"/>
      <c r="R64" s="888"/>
      <c r="S64" s="888"/>
      <c r="T64" s="889"/>
      <c r="U64" s="888"/>
      <c r="V64" s="891"/>
      <c r="W64" s="885"/>
      <c r="X64" s="234">
        <f t="shared" si="7"/>
        <v>0.17133766000000003</v>
      </c>
      <c r="Y64" s="886"/>
      <c r="Z64" s="233">
        <f>IF(OR($M64="",$M$68=""),"",IFERROR(($N64+$P64)*$M64/$M$68,""))</f>
        <v>1.9059542137581207</v>
      </c>
      <c r="AG64" s="564" t="s">
        <v>603</v>
      </c>
      <c r="AH64" s="221">
        <f>IF(AH86&lt;&gt;"",IFERROR(AH86*AH66,""),"")</f>
        <v>13337.236991794736</v>
      </c>
      <c r="AI64" s="565" t="s">
        <v>518</v>
      </c>
      <c r="AK64" s="564" t="s">
        <v>603</v>
      </c>
      <c r="AL64" s="221">
        <f>IF(AL86&lt;&gt;"",IFERROR(AL86*AL66,""),"")</f>
        <v>652.92421146067613</v>
      </c>
      <c r="AM64" s="565" t="s">
        <v>518</v>
      </c>
      <c r="AO64" s="564" t="s">
        <v>603</v>
      </c>
      <c r="AP64" s="221">
        <f>IF(AP86&lt;&gt;"",IFERROR(AP86*AP66,""),"")</f>
        <v>4948.5386455628586</v>
      </c>
      <c r="AQ64" s="565" t="s">
        <v>518</v>
      </c>
    </row>
    <row r="65" spans="1:43" ht="15.75">
      <c r="A65" s="893"/>
      <c r="B65" s="891"/>
      <c r="C65" t="str">
        <v>Billerud Kraft White Paper</v>
      </c>
      <c r="D65" s="891"/>
      <c r="E65" s="891"/>
      <c r="F65" s="891"/>
      <c r="G65" s="893"/>
      <c r="H65" s="891"/>
      <c r="I65" s="891"/>
      <c r="J65" s="537">
        <f t="shared" si="9"/>
        <v>800</v>
      </c>
      <c r="K65" cm="1">
        <f t="array" ref="K65">_xlfn.LET(_xlpm.baseThick,IFERROR(INDEX(HELPER!$BX$2:$BX$250,MATCH(1,(TEXT(HELPER!$BZ$2:$BZ$250,"0")=TEXT($B$63,"0"))*(HELPER!$CC$2:$CC$250=$AP$52)*(HELPER!$BW$2:$BW$250=C65),0)),""),IF(_xlpm.baseThick="","",_xlpm.baseThick))</f>
        <v>67</v>
      </c>
      <c r="L65">
        <f>IFERROR(VLOOKUP(C65,HELPER!$AP$1:$AQ$20,2,FALSE),"")</f>
        <v>1</v>
      </c>
      <c r="M65" s="285">
        <f>IF(C65="","",IF(ISNUMBER(SEARCH("paper",C65)),42/1000*(J65/1000),IF(OR(L65="",L65=0),"",L65*1000*(K65/1000000)*(J65/1000))))</f>
        <v>3.3600000000000005E-2</v>
      </c>
      <c r="N65" s="235" cm="1">
        <f t="array" ref="N65">IF($C65="","",_xlfn.LET(
    _xlpm.mat,TRIM($C65),
    _xlpm.matKey,UPPER(SUBSTITUTE(_xlpm.mat," ","")),
    _xlpm.pr,IFERROR(LOOKUP(2,1/($H$63:H65&lt;&gt;""),$H$63:H65),""),
    _xlpm.widthActual,IFERROR(LOOKUP(2,1/($E$63:E65&lt;&gt;""),$E$63:E65),$E65),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",""))=_xlpm.matKey)*(_xlpm.summaryThick=$K65)*(_xlpm.summaryCosts&gt;0))),INDEX(_xlfn._xlws.FILTER(_xlpm.summaryCosts,(UPPER(SUBSTITUTE(_xlpm.summaryNames," ",""))=_xlpm.matKey)*(_xlpm.summaryThick=$K65)*(_xlpm.summaryCosts&gt;0)),1)),""),""),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1.51</v>
      </c>
      <c r="O65" s="891"/>
      <c r="P65" s="95">
        <f>IF(C65="","",IFERROR(IF(O$63="Europe to Canada",IF(A$63&lt;1000,VLOOKUP(1000,HELPER!$AG$4:$AH$8,2,FALSE)/A$63,VLOOKUP(A$63,HELPER!$AG$4:$AH$8,2,TRUE)/A$63),IF(O$63="Europe to US",HELPER!$AH$2,IF(O$63="Europe to Europe",HELPER!$AH$3,0))),0))</f>
        <v>0.2</v>
      </c>
      <c r="Q65" s="891"/>
      <c r="R65" s="888"/>
      <c r="S65" s="888"/>
      <c r="T65" s="889"/>
      <c r="U65" s="888"/>
      <c r="V65" s="891"/>
      <c r="W65" s="885"/>
      <c r="X65" s="234">
        <f t="shared" si="7"/>
        <v>5.7456000000000007E-2</v>
      </c>
      <c r="Y65" s="886"/>
      <c r="Z65" s="233">
        <f>IF(OR($M65="",$M$68=""),"",IFERROR(($N65+$P65)*$M65/$M$68,""))</f>
        <v>0.63913856011390946</v>
      </c>
      <c r="AG65" s="564" t="s">
        <v>604</v>
      </c>
      <c r="AH65" s="222">
        <f>IF(AH64&lt;&gt;"",IFERROR(AH64*1.16,""),"")</f>
        <v>15471.194910481892</v>
      </c>
      <c r="AI65" s="565" t="s">
        <v>292</v>
      </c>
      <c r="AK65" s="564" t="s">
        <v>604</v>
      </c>
      <c r="AL65" s="222">
        <f>IF(AL64&lt;&gt;"",IFERROR(AL64*1.16,""),"")</f>
        <v>757.39208529438429</v>
      </c>
      <c r="AM65" s="565" t="s">
        <v>292</v>
      </c>
      <c r="AO65" s="564" t="s">
        <v>604</v>
      </c>
      <c r="AP65" s="222">
        <f>IF(AP64&lt;&gt;"",IFERROR(AP64*1.16,""),"")</f>
        <v>5740.3048288529153</v>
      </c>
      <c r="AQ65" s="565" t="s">
        <v>292</v>
      </c>
    </row>
    <row r="66" spans="1:43" ht="15.75">
      <c r="A66" s="893"/>
      <c r="B66" s="891"/>
      <c r="C66" t="str">
        <v>RM G Epotal ECO 3675</v>
      </c>
      <c r="D66" s="891"/>
      <c r="E66" s="891"/>
      <c r="F66" s="891"/>
      <c r="G66" s="893"/>
      <c r="H66" s="891"/>
      <c r="I66" s="891"/>
      <c r="J66" s="537">
        <f t="shared" si="9"/>
        <v>800</v>
      </c>
      <c r="K66" cm="1">
        <f t="array" ref="K66">_xlfn.LET(_xlpm.baseThick,IFERROR(INDEX(HELPER!$BX$2:$BX$250,MATCH(1,(TEXT(HELPER!$BZ$2:$BZ$250,"0")=TEXT($B$63,"0"))*(HELPER!$CC$2:$CC$250=$AP$52)*(HELPER!$BW$2:$BW$250=C66),0)),""),IF(_xlpm.baseThick="","",_xlpm.baseThick))</f>
        <v>6</v>
      </c>
      <c r="L66">
        <f>IFERROR(VLOOKUP(C66,HELPER!$AP$1:$AQ$20,2,FALSE),"")</f>
        <v>1</v>
      </c>
      <c r="M66" s="285">
        <f>IF(C66="","",IF(ISNUMBER(SEARCH("paper",C66)),42/1000*(J66/1000),IF(OR(L66="",L66=0),"",L66*1000*(K66/1000000)*(J66/1000))))</f>
        <v>4.8000000000000004E-3</v>
      </c>
      <c r="N66" s="235" cm="1">
        <f t="array" ref="N66">IF($C66="","",_xlfn.LET(
    _xlpm.mat,TRIM($C66),
    _xlpm.matKey,UPPER(SUBSTITUTE(_xlpm.mat," ","")),
    _xlpm.pr,IFERROR(LOOKUP(2,1/($H$63:H66&lt;&gt;""),$H$63:H66),""),
    _xlpm.widthActual,IFERROR(LOOKUP(2,1/($E$63:E66&lt;&gt;""),$E$63:E66),$E66),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",""))=_xlpm.matKey)*(_xlpm.summaryThick=$K66)*(_xlpm.summaryCosts&gt;0))),INDEX(_xlfn._xlws.FILTER(_xlpm.summaryCosts,(UPPER(SUBSTITUTE(_xlpm.summaryNames," ",""))=_xlpm.matKey)*(_xlpm.summaryThick=$K66)*(_xlpm.summaryCosts&gt;0)),1)),""),""),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4.8500000000000005</v>
      </c>
      <c r="O66" s="891"/>
      <c r="P66" s="95">
        <f>IF(C66="","",IFERROR(IF(O$63="Europe to Canada",IF(A$63&lt;1000,VLOOKUP(1000,HELPER!$AG$4:$AH$8,2,FALSE)/A$63,VLOOKUP(A$63,HELPER!$AG$4:$AH$8,2,TRUE)/A$63),IF(O$63="Europe to US",HELPER!$AH$2,IF(O$63="Europe to Europe",HELPER!$AH$3,0))),0))</f>
        <v>0.2</v>
      </c>
      <c r="Q66" s="891"/>
      <c r="R66" s="888"/>
      <c r="S66" s="888"/>
      <c r="T66" s="889"/>
      <c r="U66" s="888"/>
      <c r="V66" s="891"/>
      <c r="W66" s="885"/>
      <c r="X66" s="234">
        <f t="shared" si="7"/>
        <v>2.4240000000000005E-2</v>
      </c>
      <c r="Y66" s="886"/>
      <c r="Z66" s="233">
        <f>IF(OR($M66="",$M$68=""),"",IFERROR(($N66+$P66)*$M66/$M$68,""))</f>
        <v>0.26964492302215898</v>
      </c>
      <c r="AG66" s="566" t="s">
        <v>605</v>
      </c>
      <c r="AH66" s="230" cm="1">
        <f t="array" ref="AH66">IF(OR(AND(AH60="By Weight",AH54&lt;&gt;""),AND(AH60="By Length",AH61&lt;&gt;""),AND(OR(AH60="IMP",AH60="By Imp"),AH61&lt;&gt;"",AH62&lt;&gt;"")),IFERROR(_xlfn.LET(_xlpm.r,MATCH(1,($B$51:$B$56=AH51)*($D$51:$D$56=AH53)*($A$51:$A$56=IF(AH54&lt;&gt;"",AH54,A51))*($O$51:$O$56=AH58),0)+2,SUM(AH70:AH71,AH73)+INDEX($V$51:$V$56,_xlpm.r-2)),""),"")</f>
        <v>9.3094168042595253</v>
      </c>
      <c r="AI66" s="567" t="s">
        <v>518</v>
      </c>
      <c r="AK66" s="566" t="s">
        <v>605</v>
      </c>
      <c r="AL66" s="230" cm="1">
        <f t="array" ref="AL66">IF(OR(AND(AL60="By Weight",AL54&lt;&gt;""),AND(AL60="By Length",AL61&lt;&gt;""),AND(OR(AL60="IMP",AL60="By Imp"),AL61&lt;&gt;"",AL62&lt;&gt;"")),IFERROR(_xlfn.LET(_xlpm.r,MATCH(1,($B$57:$B$62=AL51)*($D$57:$D$62=AL53)*($A$57:$A$62=IF(AL54&lt;&gt;"",AL54,A57))*($O$57:$O$62=AL58),0)+2,SUM(AL70:AL71,AL73)+INDEX($V$57:$V$62,_xlpm.r-2)),""),"")</f>
        <v>11.362119750468567</v>
      </c>
      <c r="AM66" s="567" t="s">
        <v>518</v>
      </c>
      <c r="AO66" s="566" t="s">
        <v>605</v>
      </c>
      <c r="AP66" s="230" cm="1">
        <f t="array" ref="AP66">IF(OR(AND(AP60="By Weight",AP54&lt;&gt;""),AND(AP60="By Length",AP61&lt;&gt;""),AND(OR(AP60="IMP",AP60="By Imp"),AP61&lt;&gt;"",AP62&lt;&gt;"")),IFERROR(_xlfn.LET(_xlpm.r,MATCH(1,($B$63:$B$68=AP51)*($D$63:$D$68=AP53)*($A$63:$A$68=IF(AP54&lt;&gt;"",AP54,A63))*($O$63:$O$68=AP58),0)+2,SUM(AP70:AP71,AP73)+INDEX($V$63:$V$68,_xlpm.r-2)),""),"")</f>
        <v>11.634476157526741</v>
      </c>
      <c r="AQ66" s="567" t="s">
        <v>518</v>
      </c>
    </row>
    <row r="67" spans="1:43" ht="15.75">
      <c r="A67" s="893"/>
      <c r="B67" s="891"/>
      <c r="D67" s="891"/>
      <c r="E67" s="891"/>
      <c r="F67" s="891"/>
      <c r="G67" s="893"/>
      <c r="H67" s="891"/>
      <c r="I67" s="891"/>
      <c r="J67" s="537" t="str">
        <f t="shared" si="9"/>
        <v/>
      </c>
      <c r="K67" t="str" cm="1">
        <f t="array" ref="K67">_xlfn.LET(_xlpm.baseThick,IFERROR(INDEX(HELPER!$BX$2:$BX$250,MATCH(1,(TEXT(HELPER!$BZ$2:$BZ$250,"0")=TEXT($B$63,"0"))*(HELPER!$CC$2:$CC$250=$AP$52)*(HELPER!$BW$2:$BW$250=C67),0)),""),IF(_xlpm.baseThick="","",_xlpm.baseThick))</f>
        <v/>
      </c>
      <c r="L67" t="str">
        <f>IFERROR(VLOOKUP(C67,HELPER!$AP$1:$AQ$20,2,FALSE),"")</f>
        <v/>
      </c>
      <c r="M67" s="285" t="str">
        <f>IF(C67="","",IF(ISNUMBER(SEARCH("paper",C67)),42/1000*(J67/1000),IF(OR(L67="",L67=0),"",L67*1000*(K67/1000000)*(J67/1000))))</f>
        <v/>
      </c>
      <c r="N67" s="235" t="str" cm="1">
        <f t="array" ref="N67">IF($C67="","",_xlfn.LET(
    _xlpm.mat,TRIM($C67),
    _xlpm.matKey,UPPER(SUBSTITUTE(_xlpm.mat," ","")),
    _xlpm.pr,IFERROR(LOOKUP(2,1/($H$63:H67&lt;&gt;""),$H$63:H67),""),
    _xlpm.widthActual,IFERROR(LOOKUP(2,1/($E$63:E67&lt;&gt;""),$E$63:E67),$E67),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",""))=_xlpm.matKey)*(_xlpm.summaryThick=$K67)*(_xlpm.summaryCosts&gt;0))),INDEX(_xlfn._xlws.FILTER(_xlpm.summaryCosts,(UPPER(SUBSTITUTE(_xlpm.summaryNames," ",""))=_xlpm.matKey)*(_xlpm.summaryThick=$K67)*(_xlpm.summaryCosts&gt;0)),1)),""),""),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
      </c>
      <c r="O67" s="891"/>
      <c r="P67" s="95" t="str">
        <f>IF(C67="","",IFERROR(IF(O$63="Europe to Canada",IF(A$63&lt;1000,VLOOKUP(1000,HELPER!$AG$4:$AH$8,2,FALSE)/A$63,VLOOKUP(A$63,HELPER!$AG$4:$AH$8,2,TRUE)/A$63),IF(O$63="Europe to US",HELPER!$AH$2,IF(O$63="Europe to Europe",HELPER!$AH$3,0))),0))</f>
        <v/>
      </c>
      <c r="Q67" s="891"/>
      <c r="R67" s="888"/>
      <c r="S67" s="888"/>
      <c r="T67" s="889"/>
      <c r="U67" s="888"/>
      <c r="V67" s="891"/>
      <c r="W67" s="885"/>
      <c r="X67" s="234" t="str">
        <f t="shared" si="7"/>
        <v/>
      </c>
      <c r="Y67" s="886"/>
      <c r="Z67" s="233"/>
      <c r="AG67" s="564" t="s">
        <v>606</v>
      </c>
      <c r="AH67" s="222">
        <f>IF(AH66&lt;&gt;"",IFERROR(AH66*1.16,""),"")</f>
        <v>10.798923492941048</v>
      </c>
      <c r="AI67" s="565" t="s">
        <v>292</v>
      </c>
      <c r="AJ67" s="271"/>
      <c r="AK67" s="564" t="s">
        <v>606</v>
      </c>
      <c r="AL67" s="222">
        <f>IF(AL66&lt;&gt;"",IFERROR(AL66*1.16,""),"")</f>
        <v>13.180058910543536</v>
      </c>
      <c r="AM67" s="565" t="s">
        <v>292</v>
      </c>
      <c r="AO67" s="564" t="s">
        <v>606</v>
      </c>
      <c r="AP67" s="222">
        <f>IF(AP66&lt;&gt;"",IFERROR(AP66*1.16,""),"")</f>
        <v>13.49599234273102</v>
      </c>
      <c r="AQ67" s="565" t="s">
        <v>292</v>
      </c>
    </row>
    <row r="68" spans="1:43" ht="16.5" thickBot="1">
      <c r="A68" s="893"/>
      <c r="B68" s="891"/>
      <c r="D68" s="891"/>
      <c r="E68" s="891"/>
      <c r="F68" s="891"/>
      <c r="G68" s="893"/>
      <c r="H68" s="891"/>
      <c r="I68" s="891"/>
      <c r="J68" s="537" t="str">
        <f t="shared" si="9"/>
        <v/>
      </c>
      <c r="K68" s="192">
        <f>AP52</f>
        <v>121</v>
      </c>
      <c r="L68" t="str">
        <f>IFERROR(VLOOKUP(C68,HELPER!$AP$1:$AQ$20,2,FALSE),"")</f>
        <v/>
      </c>
      <c r="M68" s="286">
        <f>SUM(M63:M67)</f>
        <v>8.9896000000000004E-2</v>
      </c>
      <c r="N68" s="235" t="str" cm="1">
        <f t="array" ref="N68">IF($C68="","",_xlfn.LET(
    _xlpm.mat,TRIM($C68),
    _xlpm.matKey,UPPER(SUBSTITUTE(_xlpm.mat," ","")),
    _xlpm.pr,IFERROR(LOOKUP(2,1/($H$63:H68&lt;&gt;""),$H$63:H68),""),
    _xlpm.widthActual,IFERROR(LOOKUP(2,1/($E$63:E68&lt;&gt;""),$E$63:E68),$E68),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",""))=_xlpm.matKey)*(_xlpm.summaryThick=$K68)*(_xlpm.summaryCosts&gt;0))),INDEX(_xlfn._xlws.FILTER(_xlpm.summaryCosts,(UPPER(SUBSTITUTE(_xlpm.summaryNames," ",""))=_xlpm.matKey)*(_xlpm.summaryThick=$K68)*(_xlpm.summaryCosts&gt;0)),1)),""),""),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
      </c>
      <c r="O68" s="891"/>
      <c r="P68" s="95" t="str">
        <f>IF(C68="","",IFERROR(IF(O$63="Europe to Canada",IF(A$63&lt;1000,VLOOKUP(1000,HELPER!$AG$4:$AH$8,2,FALSE)/A$63,VLOOKUP(A$63,HELPER!$AG$4:$AH$8,2,TRUE)/A$63),IF(O$63="Europe to US",HELPER!$AH$2,IF(O$63="Europe to Europe",HELPER!$AH$3,0))),0))</f>
        <v/>
      </c>
      <c r="Q68" s="891"/>
      <c r="R68" s="888"/>
      <c r="S68" s="888"/>
      <c r="T68" s="889"/>
      <c r="U68" s="888"/>
      <c r="V68" s="891"/>
      <c r="W68" s="885"/>
      <c r="X68" s="234"/>
      <c r="Y68" s="886"/>
      <c r="AG68" s="568" t="s">
        <v>863</v>
      </c>
      <c r="AH68" s="569">
        <f>IF(AH86&lt;&gt;"",IFERROR(AH64/AH86,""),"")</f>
        <v>9.3094168042595253</v>
      </c>
      <c r="AI68" s="570" t="s">
        <v>864</v>
      </c>
      <c r="AK68" s="568" t="s">
        <v>863</v>
      </c>
      <c r="AL68" s="569">
        <f>IF(AL86&lt;&gt;"",IFERROR(AL64/AL86,""),"")</f>
        <v>11.362119750468567</v>
      </c>
      <c r="AM68" s="570" t="s">
        <v>864</v>
      </c>
      <c r="AO68" s="568" t="s">
        <v>863</v>
      </c>
      <c r="AP68" s="569">
        <f>IF(AP86&lt;&gt;"",IFERROR(AP64/AP86,""),"")</f>
        <v>11.634476157526741</v>
      </c>
      <c r="AQ68" s="570" t="s">
        <v>864</v>
      </c>
    </row>
    <row r="69" spans="1:43">
      <c r="A69"/>
      <c r="C69" s="38"/>
      <c r="G69">
        <f>85772/(ROUNDDOWN(J51/D51,0))</f>
        <v>85772</v>
      </c>
      <c r="J69" s="537" t="str">
        <f t="shared" ref="J69:J74" si="10">IF($C69="","",IF($E$63="","",IF($E$63+50&gt;1220,"ERROR: Lamination Width &gt; 1220",$E$63+50)))</f>
        <v/>
      </c>
      <c r="K69" s="191">
        <v>202</v>
      </c>
      <c r="M69" s="285"/>
      <c r="N69" s="235" t="str" cm="1">
        <f t="array" ref="N69">IF($C69="","",_xlfn.LET(
    _xlpm.mat,TRIM($C69),
    _xlpm.matKey,UPPER(SUBSTITUTE(_xlpm.mat," ","")),
    _xlpm.pr,IFERROR(LOOKUP(2,1/($H$51:H69&lt;&gt;""),$H$51:H69),""),
    _xlpm.widthActual,IFERROR(LOOKUP(2,1/($E$51:E69&lt;&gt;""),$E$51:E69),$E69),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",""))=_xlpm.matKey)*(_xlpm.summaryThick=$K69)*(_xlpm.summaryCosts&gt;0))),INDEX(_xlfn._xlws.FILTER(_xlpm.summaryCosts,(UPPER(SUBSTITUTE(_xlpm.summaryNames," ",""))=_xlpm.matKey)*(_xlpm.summaryThick=$K69)*(_xlpm.summaryCosts&gt;0)),1)),""),""),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69"/>
      <c r="S69"/>
      <c r="T69" s="887" t="str">
        <f>IF(OR($S69="",$K69=""),"",IFERROR($S69*(1/$M$74)*($J69/($D69*MAX(1,ROUNDDOWN(760/$D69,0)))),""))</f>
        <v/>
      </c>
      <c r="U69"/>
      <c r="X69" s="234"/>
      <c r="Y69" s="234"/>
      <c r="Z69" s="233"/>
      <c r="AG69" t="s">
        <v>1318</v>
      </c>
      <c r="AH69" s="96">
        <f>IFERROR(AH88*AH90,"")</f>
        <v>6050</v>
      </c>
      <c r="AI69" t="s">
        <v>607</v>
      </c>
      <c r="AK69" t="s">
        <v>1318</v>
      </c>
      <c r="AL69" s="96">
        <f>IFERROR(AL88*AL90,"")</f>
        <v>0</v>
      </c>
      <c r="AM69" t="s">
        <v>607</v>
      </c>
      <c r="AO69" t="s">
        <v>1318</v>
      </c>
      <c r="AP69" s="96">
        <f>IFERROR(AP88*AP90,"")</f>
        <v>1551.6666666666665</v>
      </c>
      <c r="AQ69" t="s">
        <v>607</v>
      </c>
    </row>
    <row r="70" spans="1:43">
      <c r="A70"/>
      <c r="J70" s="537" t="str">
        <f t="shared" si="10"/>
        <v/>
      </c>
      <c r="M70" s="285"/>
      <c r="N70" s="235" t="str" cm="1">
        <f t="array" ref="N70">IF($C70="","",_xlfn.LET(
    _xlpm.mat,TRIM($C70),
    _xlpm.matKey,UPPER(SUBSTITUTE(_xlpm.mat," ","")),
    _xlpm.pr,IFERROR(LOOKUP(2,1/($H$51:H70&lt;&gt;""),$H$51:H70),""),
    _xlpm.widthActual,IFERROR(LOOKUP(2,1/($E$51:E70&lt;&gt;""),$E$51:E70),$E70),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",""))=_xlpm.matKey)*(_xlpm.summaryThick=$K70)*(_xlpm.summaryCosts&gt;0))),INDEX(_xlfn._xlws.FILTER(_xlpm.summaryCosts,(UPPER(SUBSTITUTE(_xlpm.summaryNames," ",""))=_xlpm.matKey)*(_xlpm.summaryThick=$K70)*(_xlpm.summaryCosts&gt;0)),1)),""),""),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70"/>
      <c r="S70"/>
      <c r="T70" s="887"/>
      <c r="U70"/>
      <c r="X70" s="66"/>
      <c r="Y70" s="66" t="s">
        <v>531</v>
      </c>
      <c r="AG70" t="s">
        <v>608</v>
      </c>
      <c r="AH70" s="288" cm="1">
        <f t="array" ref="AH70">IF(OR(AND(AH60="By Weight",AH54&lt;&gt;""),AND(AH60="By Length",AH61&lt;&gt;""),AND(OR(AH60="IMP",AH60="By Imp"),AH61&lt;&gt;"",AH62&lt;&gt;"")),IFERROR(_xlfn.LET(_xlpm.r,MATCH(1,($B$51:$B$56=AH51)*($D$51:$D$56=AH53)*($A$51:$A$56=IF(AH54&lt;&gt;"",AH54,A51))*($O$51:$O$56=AH58),0)+2,SUMPRODUCT(INDEX($N$51:$N$56,_xlpm.r-2):INDEX($N$51:$N$56,_xlpm.r+3),INDEX($M$51:$M$56,_xlpm.r-2):INDEX($M$51:$M$56,_xlpm.r+3))*(1/INDEX($M$51:$M$56,MATCH(1,($B$51:$B$56=AH51)*($D$51:$D$56=AH53)*($A$51:$A$56=IF(AH54&lt;&gt;"",AH54,A51))*($O$51:$O$56=AH58),0)+5))*(INDEX($J$51:$J$56,_xlpm.r-2)/INDEX($E$51:$E$56,_xlpm.r-2))),""),"")</f>
        <v>6.0607675714953153</v>
      </c>
      <c r="AK70" t="s">
        <v>614</v>
      </c>
      <c r="AL70" s="288" cm="1">
        <f t="array" ref="AL70">IF(OR(AND(AL60="By Weight",AL54&lt;&gt;""),AND(AL60="By Length",AL61&lt;&gt;""),AND(OR(AL60="IMP",AL60="By Imp"),AL61&lt;&gt;"",AL62&lt;&gt;"")),IFERROR(_xlfn.LET(_xlpm.r,MATCH(1,($B$57:$B$62=AL51)*($D$57:$D$62=AL53)*($A$57:$A$62=IF(AL54&lt;&gt;"",AL54,A57))*($O$57:$O$62=AL58),0)+2,SUMPRODUCT(INDEX($N$57:$N$62,_xlpm.r-2):INDEX($N$57:$N$62,_xlpm.r+3),INDEX($M$57:$M$62,_xlpm.r-2):INDEX($M$57:$M$62,_xlpm.r+3))*(1/INDEX($M$57:$M$62,MATCH(1,($B$57:$B$62=AL51)*($D$57:$D$62=AL53)*($A$57:$A$62=IF(AL54&lt;&gt;"",AL54,A57))*($O$57:$O$62=AL58),0)+5))*(INDEX($J$57:$J$62,_xlpm.r-2)/INDEX($E$57:$E$62,_xlpm.r-2))),""),"")</f>
        <v>8.5944463809206137</v>
      </c>
      <c r="AO70" t="s">
        <v>614</v>
      </c>
      <c r="AP70" s="288" cm="1">
        <f t="array" ref="AP70">IF(OR(AND(AP60="By Weight",AP54&lt;&gt;""),AND(AP60="By Length",AP61&lt;&gt;""),AND(OR(AP60="IMP",AP60="By Imp"),AP61&lt;&gt;"",AP62&lt;&gt;"")),IFERROR(_xlfn.LET(_xlpm.r,MATCH(1,($B$63:$B$68=AP51)*($D$63:$D$68=AP53)*($A$63:$A$68=IF(AP54&lt;&gt;"",AP54,A63))*($O$63:$O$68=AP58),0)+2,SUMPRODUCT(INDEX($N$63:$N$68,_xlpm.r-2):INDEX($N$63:$N$68,_xlpm.r+3),INDEX($M$63:$M$68,_xlpm.r-2):INDEX($M$63:$M$68,_xlpm.r+3))*(1/INDEX($M$63:$M$68,MATCH(1,($B$63:$B$68=AP51)*($D$63:$D$68=AP53)*($A$63:$A$68=IF(AP54&lt;&gt;"",AP54,A63))*($O$63:$O$68=AP58),0)+5))*(INDEX($J$63:$J$68,_xlpm.r-2)/INDEX($E$63:$E$68,_xlpm.r-2))),""),"")</f>
        <v>5.3513317314823059</v>
      </c>
    </row>
    <row r="71" spans="1:43">
      <c r="A71"/>
      <c r="J71" s="537" t="str">
        <f t="shared" si="10"/>
        <v/>
      </c>
      <c r="M71" s="285"/>
      <c r="N71" s="235" t="str" cm="1">
        <f t="array" ref="N71">IF($C71="","",_xlfn.LET(
    _xlpm.mat,TRIM($C71),
    _xlpm.matKey,UPPER(SUBSTITUTE(_xlpm.mat," ","")),
    _xlpm.pr,IFERROR(LOOKUP(2,1/($H$51:H71&lt;&gt;""),$H$51:H71),""),
    _xlpm.widthActual,IFERROR(LOOKUP(2,1/($E$51:E71&lt;&gt;""),$E$51:E71),$E71),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",""))=_xlpm.matKey)*(_xlpm.summaryThick=$K71)*(_xlpm.summaryCosts&gt;0))),INDEX(_xlfn._xlws.FILTER(_xlpm.summaryCosts,(UPPER(SUBSTITUTE(_xlpm.summaryNames," ",""))=_xlpm.matKey)*(_xlpm.summaryThick=$K71)*(_xlpm.summaryCosts&gt;0)),1)),""),""),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71"/>
      <c r="S71"/>
      <c r="T71" s="887"/>
      <c r="U71"/>
      <c r="Z71" s="480"/>
      <c r="AG71" t="s">
        <v>609</v>
      </c>
      <c r="AH71" s="288" cm="1">
        <f t="array" ref="AH71">IF(OR(AND(AH60="By Weight",AH54&lt;&gt;""),AND(AH60="By Length",AH61&lt;&gt;""),AND(OR(AH60="IMP",AH60="By Imp"),AH61&lt;&gt;"",AH62&lt;&gt;"")),IFERROR(_xlfn.LET(_xlpm.r,MATCH(1,($B$51:$B$56=AH51)*($D$51:$D$56=AH53)*($A$51:$A$56=IF(AH54&lt;&gt;"",AH54,A51))*($O$51:$O$56=AH58),0)+2,SUMPRODUCT(INDEX($P$51:$P$56,_xlpm.r-2):INDEX($P$51:$P$56,_xlpm.r+3),INDEX($M$51:$M$56,_xlpm.r-2):INDEX($M$51:$M$56,_xlpm.r+3))*(1/INDEX($M$51:$M$56,MATCH(1,($B$51:$B$56=AH51)*($D$51:$D$56=AH53)*($A$51:$A$56=IF(AH54&lt;&gt;"",AH54,A51))*($O$51:$O$56=AH58),0)+5))*(INDEX($J$51:$J$56,_xlpm.r-2)/INDEX($E$51:$E$56,_xlpm.r-2))),""),"")</f>
        <v>0.21428571428571433</v>
      </c>
      <c r="AK71" t="s">
        <v>615</v>
      </c>
      <c r="AL71" s="288" cm="1">
        <f t="array" ref="AL71">IF(OR(AND(AL60="By Weight",AL54&lt;&gt;""),AND(AL60="By Length",AL61&lt;&gt;""),AND(OR(AL60="IMP",AL60="By Imp"),AL61&lt;&gt;"",AL62&lt;&gt;"")),IFERROR(_xlfn.LET(_xlpm.r,MATCH(1,($B$57:$B$62=AL51)*($D$57:$D$62=AL53)*($A$57:$A$62=IF(AL54&lt;&gt;"",AL54,A57))*($O$57:$O$62=AL58),0)+2,SUMPRODUCT(INDEX($P$57:$P$62,_xlpm.r-2):INDEX($P$57:$P$62,_xlpm.r+3),INDEX($M$57:$M$62,_xlpm.r-2):INDEX($M$57:$M$62,_xlpm.r+3))*(1/INDEX($M$57:$M$62,MATCH(1,($B$57:$B$62=AL51)*($D$57:$D$62=AL53)*($A$57:$A$62=IF(AL54&lt;&gt;"",AL54,A57))*($O$57:$O$62=AL58),0)+5))*(INDEX($J$57:$J$62,_xlpm.r-2)/INDEX($E$57:$E$62,_xlpm.r-2))),""),"")</f>
        <v>0.21000000000000002</v>
      </c>
      <c r="AO71" t="s">
        <v>615</v>
      </c>
      <c r="AP71" s="288" cm="1">
        <f t="array" ref="AP71">IF(OR(AND(AP60="By Weight",AP54&lt;&gt;""),AND(AP60="By Length",AP61&lt;&gt;""),AND(OR(AP60="IMP",AP60="By Imp"),AP61&lt;&gt;"",AP62&lt;&gt;"")),IFERROR(_xlfn.LET(_xlpm.r,MATCH(1,($B$63:$B$68=AP51)*($D$63:$D$68=AP53)*($A$63:$A$68=IF(AP54&lt;&gt;"",AP54,A63))*($O$63:$O$68=AP58),0)+2,SUMPRODUCT(INDEX($P$63:$P$68,_xlpm.r-2):INDEX($P$63:$P$68,_xlpm.r+3),INDEX($M$63:$M$68,_xlpm.r-2):INDEX($M$63:$M$68,_xlpm.r+3))*(1/INDEX($M$63:$M$68,MATCH(1,($B$63:$B$68=AP51)*($D$63:$D$68=AP53)*($A$63:$A$68=IF(AP54&lt;&gt;"",AP54,A63))*($O$63:$O$68=AP58),0)+5))*(INDEX($J$63:$J$68,_xlpm.r-2)/INDEX($E$63:$E$68,_xlpm.r-2))),""),"")</f>
        <v>0.21333333333333335</v>
      </c>
    </row>
    <row r="72" spans="1:43">
      <c r="A72"/>
      <c r="J72" s="537" t="str">
        <f t="shared" si="10"/>
        <v/>
      </c>
      <c r="M72" s="285"/>
      <c r="N72" s="235" t="str" cm="1">
        <f t="array" ref="N72">IF($C72="","",_xlfn.LET(
    _xlpm.mat,TRIM($C72),
    _xlpm.matKey,UPPER(SUBSTITUTE(_xlpm.mat," ","")),
    _xlpm.pr,IFERROR(LOOKUP(2,1/($H$51:H72&lt;&gt;""),$H$51:H72),""),
    _xlpm.widthActual,IFERROR(LOOKUP(2,1/($E$51:E72&lt;&gt;""),$E$51:E72),$E72),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",""))=_xlpm.matKey)*(_xlpm.summaryThick=$K72)*(_xlpm.summaryCosts&gt;0))),INDEX(_xlfn._xlws.FILTER(_xlpm.summaryCosts,(UPPER(SUBSTITUTE(_xlpm.summaryNames," ",""))=_xlpm.matKey)*(_xlpm.summaryThick=$K72)*(_xlpm.summaryCosts&gt;0)),1)),""),""),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72"/>
      <c r="S72"/>
      <c r="T72" s="887"/>
      <c r="U72"/>
      <c r="AG72" t="s">
        <v>610</v>
      </c>
      <c r="AH72" s="288" cm="1">
        <f t="array" ref="AH72">IF(OR(AND(AH60="By Weight",AH54&lt;&gt;""),AND(AH60="By Length",AH61&lt;&gt;""),AND(OR(AH60="IMP",AH60="By Imp"),AH61&lt;&gt;"",AH62&lt;&gt;"")),IFERROR(_xlfn.LET(_xlpm.r,MATCH(1,($B$51:$B$56=AH51)*($D$51:$D$56=AH53)*($A$51:$A$56=IF(AH54&lt;&gt;"",AH54,A51))*($O$51:$O$56=AH58),0)+2,INDEX($R$51:$R$56,_xlpm.r-2)*(1/INDEX($M$51:$M$56,MATCH(1,($B$51:$B$56=AH51)*($D$51:$D$56=AH53)*($A$51:$A$56=IF(AH54&lt;&gt;"",AH54,A51))*($O$51:$O$56=AH58),0)+5))*(INDEX($J$51:$J$56,_xlpm.r-2)/INDEX($E$51:$E$56,_xlpm.r-2))),""),"")</f>
        <v>2.6476309131822164</v>
      </c>
      <c r="AK72" t="s">
        <v>616</v>
      </c>
      <c r="AL72" s="288" cm="1">
        <f t="array" ref="AL72">IF(OR(AND(AL60="By Weight",AL54&lt;&gt;""),AND(AL60="By Length",AL61&lt;&gt;""),AND(OR(AL60="IMP",AL60="By Imp"),AL61&lt;&gt;"",AL62&lt;&gt;"")),IFERROR(_xlfn.LET(_xlpm.r,MATCH(1,($B$57:$B$62=AL51)*($D$57:$D$62=AL53)*($A$57:$A$62=IF(AL54&lt;&gt;"",AL54,A57))*($O$57:$O$62=AL58),0)+2,INDEX($R$57:$R$62,_xlpm.r-2)*(1/INDEX($M$57:$M$62,MATCH(1,($B$57:$B$62=AL51)*($D$57:$D$62=AL53)*($A$57:$A$62=IF(AL54&lt;&gt;"",AL54,A57))*($O$57:$O$62=AL58),0)+5))*(INDEX($J$57:$J$62,_xlpm.r-2)/INDEX($E$57:$E$62,_xlpm.r-2))),""),"")</f>
        <v>2.2249118459925663</v>
      </c>
      <c r="AO72" t="s">
        <v>616</v>
      </c>
      <c r="AP72" s="288" cm="1">
        <f t="array" ref="AP72">IF(OR(AND(AP60="By Weight",AP54&lt;&gt;""),AND(AP60="By Length",AP61&lt;&gt;""),AND(OR(AP60="IMP",AP60="By Imp"),AP61&lt;&gt;"",AP62&lt;&gt;"")),IFERROR(_xlfn.LET(_xlpm.r,MATCH(1,($B$63:$B$68=AP51)*($D$63:$D$68=AP53)*($A$63:$A$68=IF(AP54&lt;&gt;"",AP54,A63))*($O$63:$O$68=AP58),0)+2,INDEX($R$63:$R$68,_xlpm.r-2)*(1/INDEX($M$63:$M$68,MATCH(1,($B$63:$B$68=AP51)*($D$63:$D$68=AP53)*($A$63:$A$68=IF(AP54&lt;&gt;"",AP54,A63))*($O$63:$O$68=AP58),0)+5))*(INDEX($J$63:$J$68,_xlpm.r-2)/INDEX($E$63:$E$68,_xlpm.r-2))),""),"")</f>
        <v>2.4711221856367356</v>
      </c>
    </row>
    <row r="73" spans="1:43" ht="15.75" thickBot="1">
      <c r="A73"/>
      <c r="J73" s="537" t="str">
        <f t="shared" si="10"/>
        <v/>
      </c>
      <c r="M73" s="285"/>
      <c r="N73" s="235" t="str" cm="1">
        <f t="array" ref="N73">IF($C73="","",_xlfn.LET(
    _xlpm.mat,TRIM($C73),
    _xlpm.matKey,UPPER(SUBSTITUTE(_xlpm.mat," ","")),
    _xlpm.pr,IFERROR(LOOKUP(2,1/($H$51:H73&lt;&gt;""),$H$51:H73),""),
    _xlpm.widthActual,IFERROR(LOOKUP(2,1/($E$51:E73&lt;&gt;""),$E$51:E73),$E73),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",""))=_xlpm.matKey)*(_xlpm.summaryThick=$K73)*(_xlpm.summaryCosts&gt;0))),INDEX(_xlfn._xlws.FILTER(_xlpm.summaryCosts,(UPPER(SUBSTITUTE(_xlpm.summaryNames," ",""))=_xlpm.matKey)*(_xlpm.summaryThick=$K73)*(_xlpm.summaryCosts&gt;0)),1)),""),""),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73"/>
      <c r="S73"/>
      <c r="T73" s="887"/>
      <c r="U73"/>
      <c r="AG73" t="s">
        <v>867</v>
      </c>
      <c r="AH73" s="288" cm="1">
        <f t="array" ref="AH73">IF(OR(AND(AH60="By Weight",AH54&lt;&gt;""),AND(AH60="By Length",AH61&lt;&gt;""),AND(OR(AH60="IMP",AH60="By Imp"),AH61&lt;&gt;"",AH62&lt;&gt;"")),IFERROR(_xlfn.LET(_xlpm.r,MATCH(1,($B$51:$B$56=AH51)*($D$51:$D$56=AH53)*($A$51:$A$56=IF(AH54&lt;&gt;"",AH54,A51))*($O$51:$O$56=AH58),0)+2,(SUM(INDEX($R$51:$S$56,_xlpm.r-2,1):INDEX($R$51:$S$56,_xlpm.r-2,2))+INDEX($U$51:$U$56,_xlpm.r-2))*(1/INDEX($M$51:$M$56,MATCH(1,($B$51:$B$56=AH51)*($D$51:$D$56=AH53)*($A$51:$A$56=IF(AH54&lt;&gt;"",AH54,A51))*($O$51:$O$56=AH58),0)+5))*(INDEX($J$51:$J$56,_xlpm.r-2)/INDEX($E$51:$E$56,_xlpm.r-2))+INDEX($W$51:$W$56,_xlpm.r-2)),""),"")</f>
        <v>3.0343635184784961</v>
      </c>
      <c r="AK73" t="s">
        <v>868</v>
      </c>
      <c r="AL73" s="288" cm="1">
        <f t="array" ref="AL73">IF(OR(AND(AL60="By Weight",AL54&lt;&gt;""),AND(AL60="By Length",AL61&lt;&gt;""),AND(OR(AL60="IMP",AL60="By Imp"),AL61&lt;&gt;"",AL62&lt;&gt;"")),IFERROR(_xlfn.LET(_xlpm.r,MATCH(1,($B$57:$B$62=AL51)*($D$57:$D$62=AL53)*($A$57:$A$62=IF(AL54&lt;&gt;"",AL54,A57))*($O$57:$O$62=AL58),0)+2,(SUM(INDEX($R$57:$S$62,_xlpm.r-2,1):INDEX($R$57:$S$62,_xlpm.r-2,2))+INDEX($U$57:$U$62,_xlpm.r-2))*(1/INDEX($M$57:$M$62,MATCH(1,($B$57:$B$62=AL51)*($D$57:$D$62=AL53)*($A$57:$A$62=IF(AL54&lt;&gt;"",AL54,A57))*($O$57:$O$62=AL58),0)+5))*(INDEX($J$57:$J$62,_xlpm.r-2)/INDEX($E$57:$E$62,_xlpm.r-2))+INDEX($W$57:$W$62,_xlpm.r-2)),""),"")</f>
        <v>2.5576733695479521</v>
      </c>
      <c r="AO73" t="s">
        <v>868</v>
      </c>
      <c r="AP73" s="288" cm="1">
        <f t="array" ref="AP73">IF(OR(AND(AP60="By Weight",AP54&lt;&gt;""),AND(AP60="By Length",AP61&lt;&gt;""),AND(OR(AP60="IMP",AP60="By Imp"),AP61&lt;&gt;"",AP62&lt;&gt;"")),IFERROR(_xlfn.LET(_xlpm.r,MATCH(1,($B$63:$B$68=AP51)*($D$63:$D$68=AP53)*($A$63:$A$68=IF(AP54&lt;&gt;"",AP54,A63))*($O$63:$O$68=AP58),0)+2,(SUM(INDEX($R$63:$S$68,_xlpm.r-2,1):INDEX($R$63:$S$68,_xlpm.r-2,2))+INDEX($U$63:$U$68,_xlpm.r-2))*(1/INDEX($M$63:$M$68,MATCH(1,($B$63:$B$68=AP51)*($D$63:$D$68=AP53)*($A$63:$A$68=IF(AP54&lt;&gt;"",AP54,A63))*($O$63:$O$68=AP58),0)+5))*(INDEX($J$63:$J$68,_xlpm.r-2)/INDEX($E$63:$E$68,_xlpm.r-2))+INDEX($W$63:$W$68,_xlpm.r-2)),""),"")</f>
        <v>6.0698110927111024</v>
      </c>
    </row>
    <row r="74" spans="1:43" ht="15.75">
      <c r="A74"/>
      <c r="J74" s="537" t="str">
        <f t="shared" si="10"/>
        <v/>
      </c>
      <c r="M74" s="285"/>
      <c r="N74" s="235" t="str" cm="1">
        <f t="array" ref="N74">IF($C74="","",_xlfn.LET(
    _xlpm.mat,TRIM($C74),
    _xlpm.matKey,UPPER(SUBSTITUTE(_xlpm.mat," ","")),
    _xlpm.pr,IFERROR(LOOKUP(2,1/($H$51:H74&lt;&gt;""),$H$51:H74),""),
    _xlpm.widthActual,IFERROR(LOOKUP(2,1/($E$51:E74&lt;&gt;""),$E$51:E74),$E74),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",""))=_xlpm.matKey)*(_xlpm.summaryThick=$K74)*(_xlpm.summaryCosts&gt;0))),INDEX(_xlfn._xlws.FILTER(_xlpm.summaryCosts,(UPPER(SUBSTITUTE(_xlpm.summaryNames," ",""))=_xlpm.matKey)*(_xlpm.summaryThick=$K74)*(_xlpm.summaryCosts&gt;0)),1)),""),""),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74"/>
      <c r="S74"/>
      <c r="T74" s="887"/>
      <c r="U74"/>
      <c r="AG74" s="876" t="s">
        <v>1025</v>
      </c>
      <c r="AH74" s="877"/>
      <c r="AI74" s="878"/>
      <c r="AK74" s="876" t="s">
        <v>1025</v>
      </c>
      <c r="AL74" s="877"/>
      <c r="AM74" s="878"/>
      <c r="AO74" s="876" t="s">
        <v>1025</v>
      </c>
      <c r="AP74" s="877"/>
      <c r="AQ74" s="878"/>
    </row>
    <row r="75" spans="1:43" ht="21">
      <c r="A75"/>
      <c r="J75" s="537"/>
      <c r="M75" s="285"/>
      <c r="N75" s="235"/>
      <c r="R75"/>
      <c r="S75"/>
      <c r="T75" s="544"/>
      <c r="U75"/>
      <c r="AG75" s="879">
        <f>IF(AH86&lt;&gt;"",IFERROR(AH66/(1-AH49),""),"")</f>
        <v>10.952255063834736</v>
      </c>
      <c r="AH75" s="880"/>
      <c r="AI75" s="881"/>
      <c r="AK75" s="879">
        <f>IF(AL86&lt;&gt;"",IFERROR(AL66/(1-AL49),""),"")</f>
        <v>13.367199706433608</v>
      </c>
      <c r="AL75" s="880"/>
      <c r="AM75" s="881"/>
      <c r="AO75" s="879">
        <f>IF(AP86&lt;&gt;"",IFERROR(AP66/(1-AP49),""),"")</f>
        <v>13.687619008854989</v>
      </c>
      <c r="AP75" s="880"/>
      <c r="AQ75" s="881"/>
    </row>
    <row r="76" spans="1:43">
      <c r="A76"/>
      <c r="J76" s="537"/>
      <c r="M76" s="285"/>
      <c r="N76" s="235"/>
      <c r="R76"/>
      <c r="S76"/>
      <c r="T76" s="544"/>
      <c r="U76"/>
      <c r="AG76" s="604" t="s">
        <v>1071</v>
      </c>
      <c r="AH76" s="480">
        <f>IF(OR(AH63="",AH86=""),"",IFERROR(AG75*AH86/AH63,""))</f>
        <v>0.86451058122150304</v>
      </c>
      <c r="AI76" s="605" t="s">
        <v>1026</v>
      </c>
      <c r="AK76" s="604" t="s">
        <v>1071</v>
      </c>
      <c r="AL76" s="480">
        <f>IF(OR(AL63="",AL86=""),"",IFERROR(AK75*AL86/AL63,""))</f>
        <v>0.38407306556510362</v>
      </c>
      <c r="AM76" s="605" t="s">
        <v>1026</v>
      </c>
      <c r="AO76" s="604" t="s">
        <v>1071</v>
      </c>
      <c r="AP76" s="480">
        <f>IF(OR(AP63="",AP86=""),"",IFERROR(AO75*AP86/AP63,""))</f>
        <v>1.1672802348371774</v>
      </c>
      <c r="AQ76" s="605" t="s">
        <v>1026</v>
      </c>
    </row>
    <row r="77" spans="1:43">
      <c r="A77"/>
      <c r="J77" s="537" t="str">
        <f>IF($C77="","",IF($E$63="","",IF($E$63+50&gt;1220,"ERROR: Lamination Width &gt; 1220",$E$63+50)))</f>
        <v/>
      </c>
      <c r="M77" s="285"/>
      <c r="N77" s="235" t="str" cm="1">
        <f t="array" ref="N77">IF($C77="","",_xlfn.LET(
    _xlpm.mat,TRIM($C77),
    _xlpm.matKey,UPPER(SUBSTITUTE(_xlpm.mat," ","")),
    _xlpm.pr,IFERROR(LOOKUP(2,1/($H$51:H77&lt;&gt;""),$H$51:H77),""),
    _xlpm.widthActual,IFERROR(LOOKUP(2,1/($E$51:E77&lt;&gt;""),$E$51:E77),$E77),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",""))=_xlpm.matKey)*(_xlpm.summaryThick=$K77)*(_xlpm.summaryCosts&gt;0))),INDEX(_xlfn._xlws.FILTER(_xlpm.summaryCosts,(UPPER(SUBSTITUTE(_xlpm.summaryNames," ",""))=_xlpm.matKey)*(_xlpm.summaryThick=$K77)*(_xlpm.summaryCosts&gt;0)),1)),""),""),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77"/>
      <c r="S77"/>
      <c r="T77" t="str">
        <f>IF(OR($S77="",$K77=""),"",IFERROR($S77*(1/$M$85)*($J77/($D77*MAX(1,ROUNDDOWN(760/$D77,0)))),""))</f>
        <v/>
      </c>
      <c r="U77"/>
      <c r="AG77" s="604" t="s">
        <v>1072</v>
      </c>
      <c r="AH77" s="288">
        <f>IFERROR(AG75,"")</f>
        <v>10.952255063834736</v>
      </c>
      <c r="AI77" s="605" t="s">
        <v>864</v>
      </c>
      <c r="AK77" s="604" t="s">
        <v>1072</v>
      </c>
      <c r="AL77" s="288">
        <f>IFERROR(AK75,"")</f>
        <v>13.367199706433608</v>
      </c>
      <c r="AM77" s="605" t="s">
        <v>864</v>
      </c>
      <c r="AO77" s="604" t="s">
        <v>1072</v>
      </c>
      <c r="AP77" s="288">
        <f>IFERROR(AO75,"")</f>
        <v>13.687619008854989</v>
      </c>
      <c r="AQ77" s="605" t="s">
        <v>864</v>
      </c>
    </row>
    <row r="78" spans="1:43">
      <c r="A78"/>
      <c r="J78" s="537"/>
      <c r="M78" s="285"/>
      <c r="N78" s="235"/>
      <c r="R78"/>
      <c r="S78"/>
      <c r="T78"/>
      <c r="U78"/>
      <c r="AG78" s="604" t="s">
        <v>1073</v>
      </c>
      <c r="AH78" s="480" t="str">
        <f>IF(OR(AH76="",AH53="",AH62="",AI62=""),"",IFERROR(AH76*(AI62/1000)/ROUNDDOWN(AH53/AH62,0),""))</f>
        <v/>
      </c>
      <c r="AI78" s="605" t="s">
        <v>1074</v>
      </c>
      <c r="AK78" s="604" t="s">
        <v>1073</v>
      </c>
      <c r="AL78" s="480" t="str">
        <f>IF(OR(AL76="",AL53="",AL62="",AM62=""),"",IFERROR(AL76*(AM62/1000)/ROUNDDOWN(AL53/AL62,0),""))</f>
        <v/>
      </c>
      <c r="AM78" s="605" t="s">
        <v>1074</v>
      </c>
      <c r="AO78" s="604" t="s">
        <v>1073</v>
      </c>
      <c r="AP78" s="480">
        <f>IF(OR(AP76="",AP53="",AP62="",AQ62=""),"",IFERROR(AP76*(AQ62/1000)/ROUNDDOWN(AP53/AP62,0),""))</f>
        <v>1.225644246579036E-2</v>
      </c>
      <c r="AQ78" s="605" t="s">
        <v>1074</v>
      </c>
    </row>
    <row r="79" spans="1:43">
      <c r="A79"/>
      <c r="J79" s="537"/>
      <c r="M79" s="285"/>
      <c r="N79" s="235"/>
      <c r="R79"/>
      <c r="S79"/>
      <c r="T79"/>
      <c r="U79"/>
      <c r="AG79" s="606" t="s">
        <v>1075</v>
      </c>
      <c r="AH79" s="602">
        <f>IFERROR(AH76*1.16,"")</f>
        <v>1.0028322742169435</v>
      </c>
      <c r="AI79" s="607" t="s">
        <v>1076</v>
      </c>
      <c r="AK79" s="606" t="s">
        <v>1075</v>
      </c>
      <c r="AL79" s="602">
        <f>IFERROR(AL76*1.16,"")</f>
        <v>0.44552475605552017</v>
      </c>
      <c r="AM79" s="607" t="s">
        <v>1076</v>
      </c>
      <c r="AO79" s="606" t="s">
        <v>1075</v>
      </c>
      <c r="AP79" s="602">
        <f>IFERROR(AP76*1.16,"")</f>
        <v>1.3540450724111257</v>
      </c>
      <c r="AQ79" s="607" t="s">
        <v>1076</v>
      </c>
    </row>
    <row r="80" spans="1:43">
      <c r="A80"/>
      <c r="J80" s="537" t="str">
        <f>IF($C80="","",IF($E$63="","",IF($E$63+50&gt;1220,"ERROR: Lamination Width &gt; 1220",$E$63+50)))</f>
        <v/>
      </c>
      <c r="M80" s="285"/>
      <c r="N80" s="235" t="str" cm="1">
        <f t="array" ref="N80">IF($C80="","",_xlfn.LET(
    _xlpm.mat,TRIM($C80),
    _xlpm.matKey,UPPER(SUBSTITUTE(_xlpm.mat," ","")),
    _xlpm.pr,IFERROR(LOOKUP(2,1/($H$51:H80&lt;&gt;""),$H$51:H80),""),
    _xlpm.widthActual,IFERROR(LOOKUP(2,1/($E$51:E80&lt;&gt;""),$E$51:E80),$E80),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",""))=_xlpm.matKey)*(_xlpm.summaryThick=$K80)*(_xlpm.summaryCosts&gt;0))),INDEX(_xlfn._xlws.FILTER(_xlpm.summaryCosts,(UPPER(SUBSTITUTE(_xlpm.summaryNames," ",""))=_xlpm.matKey)*(_xlpm.summaryThick=$K80)*(_xlpm.summaryCosts&gt;0)),1)),""),""),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80"/>
      <c r="S80"/>
      <c r="T80"/>
      <c r="U80"/>
      <c r="AG80" s="606" t="s">
        <v>1077</v>
      </c>
      <c r="AH80" s="548">
        <f>IFERROR(AH77*1.16,"")</f>
        <v>12.704615874048292</v>
      </c>
      <c r="AI80" s="607" t="s">
        <v>1067</v>
      </c>
      <c r="AK80" s="606" t="s">
        <v>1077</v>
      </c>
      <c r="AL80" s="548">
        <f>IFERROR(AL77*1.16,"")</f>
        <v>15.505951659462983</v>
      </c>
      <c r="AM80" s="607" t="s">
        <v>1067</v>
      </c>
      <c r="AO80" s="606" t="s">
        <v>1077</v>
      </c>
      <c r="AP80" s="548">
        <f>IFERROR(AP77*1.16,"")</f>
        <v>15.877638050271786</v>
      </c>
      <c r="AQ80" s="607" t="s">
        <v>1067</v>
      </c>
    </row>
    <row r="81" spans="1:43">
      <c r="A81"/>
      <c r="J81" s="537"/>
      <c r="M81" s="285"/>
      <c r="N81" s="235"/>
      <c r="R81"/>
      <c r="S81"/>
      <c r="T81"/>
      <c r="U81"/>
      <c r="AG81" s="606" t="s">
        <v>1078</v>
      </c>
      <c r="AH81" s="602" t="str">
        <f>IF(OR(AH79="",AH53="",AH62="",AI62=""),"",IFERROR(AH79*(AI62/1000)/(AH53/AH62),""))</f>
        <v/>
      </c>
      <c r="AI81" s="607" t="s">
        <v>1066</v>
      </c>
      <c r="AK81" s="606" t="s">
        <v>1078</v>
      </c>
      <c r="AL81" s="602" t="str">
        <f>IF(OR(AL79="",AL53="",AL62="",AM62=""),"",IFERROR(AL79*(AM62/1000)/(AL53/AL62),""))</f>
        <v/>
      </c>
      <c r="AM81" s="607" t="s">
        <v>1066</v>
      </c>
      <c r="AO81" s="606" t="s">
        <v>1078</v>
      </c>
      <c r="AP81" s="602">
        <f>IF(OR(AP79="",AP53="",AP62="",AQ62=""),"",IFERROR(AP79*(AQ62/1000)/(AP53/AP62),""))</f>
        <v>1.3269641709629031E-2</v>
      </c>
      <c r="AQ81" s="607" t="s">
        <v>1066</v>
      </c>
    </row>
    <row r="82" spans="1:43">
      <c r="A82"/>
      <c r="J82" s="537" t="str">
        <f t="shared" ref="J82:J93" si="11">IF($C82="","",IF($E$63="","",IF($E$63+50&gt;1220,"ERROR: Lamination Width &gt; 1220",$E$63+50)))</f>
        <v/>
      </c>
      <c r="M82" s="285"/>
      <c r="N82" s="235" t="str" cm="1">
        <f t="array" ref="N82">IF($C82="","",_xlfn.LET(
    _xlpm.mat,TRIM($C82),
    _xlpm.matKey,UPPER(SUBSTITUTE(_xlpm.mat," ","")),
    _xlpm.pr,IFERROR(LOOKUP(2,1/($H$51:H82&lt;&gt;""),$H$51:H82),""),
    _xlpm.widthActual,IFERROR(LOOKUP(2,1/($E$51:E82&lt;&gt;""),$E$51:E82),$E82),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",""))=_xlpm.matKey)*(_xlpm.summaryThick=$K82)*(_xlpm.summaryCosts&gt;0))),INDEX(_xlfn._xlws.FILTER(_xlpm.summaryCosts,(UPPER(SUBSTITUTE(_xlpm.summaryNames," ",""))=_xlpm.matKey)*(_xlpm.summaryThick=$K82)*(_xlpm.summaryCosts&gt;0)),1)),""),""),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82"/>
      <c r="S82"/>
      <c r="T82"/>
      <c r="U82"/>
      <c r="AG82" s="608" t="s">
        <v>1079</v>
      </c>
      <c r="AH82" s="603" cm="1">
        <f t="array" ref="AH82">IFERROR(_xlfn.SWITCH(AH60,"By Imp",AH61*AH78,"IMP",AH61*AH78,"By Length",AH61*AH76,"By Weight",AH61*AH77,AG75*AH86),"")</f>
        <v>15690.86704917028</v>
      </c>
      <c r="AI82" s="607" t="s">
        <v>1080</v>
      </c>
      <c r="AK82" s="608" t="s">
        <v>1079</v>
      </c>
      <c r="AL82" s="603" cm="1">
        <f t="array" ref="AL82">IFERROR(_xlfn.SWITCH(AL60,"By Imp",AL61*AL78,"IMP",AL61*AL78,"By Length",AL61*AL76,"By Weight",AL61*AL77,AK75*AL86),"")</f>
        <v>768.14613113020721</v>
      </c>
      <c r="AM82" s="607" t="s">
        <v>1080</v>
      </c>
      <c r="AO82" s="608" t="s">
        <v>1079</v>
      </c>
      <c r="AP82" s="603" cm="1">
        <f t="array" ref="AP82">IFERROR(_xlfn.SWITCH(AP60,"By Imp",AP61*AP78,"IMP",AP61*AP78,"By Length",AP61*AP76,"By Weight",AP61*AP77,AO75*AP86),"")</f>
        <v>5821.8101712504213</v>
      </c>
      <c r="AQ82" s="607" t="s">
        <v>1080</v>
      </c>
    </row>
    <row r="83" spans="1:43">
      <c r="A83"/>
      <c r="J83" s="537" t="str">
        <f t="shared" si="11"/>
        <v/>
      </c>
      <c r="M83" s="285"/>
      <c r="N83" s="235" t="str" cm="1">
        <f t="array" ref="N83">IF($C83="","",_xlfn.LET(
    _xlpm.mat,TRIM($C83),
    _xlpm.matKey,UPPER(SUBSTITUTE(_xlpm.mat," ","")),
    _xlpm.pr,IFERROR(LOOKUP(2,1/($H$51:H83&lt;&gt;""),$H$51:H83),""),
    _xlpm.widthActual,IFERROR(LOOKUP(2,1/($E$51:E83&lt;&gt;""),$E$51:E83),$E83),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",""))=_xlpm.matKey)*(_xlpm.summaryThick=$K83)*(_xlpm.summaryCosts&gt;0))),INDEX(_xlfn._xlws.FILTER(_xlpm.summaryCosts,(UPPER(SUBSTITUTE(_xlpm.summaryNames," ",""))=_xlpm.matKey)*(_xlpm.summaryThick=$K83)*(_xlpm.summaryCosts&gt;0)),1)),""),""),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83"/>
      <c r="S83"/>
      <c r="T83"/>
      <c r="U83"/>
      <c r="AG83" s="608" t="s">
        <v>1081</v>
      </c>
      <c r="AH83" s="548" cm="1">
        <f t="array" ref="AH83">IFERROR(_xlfn.SWITCH(AH60,"By Imp",AH61*AH81,"IMP",AH61*AH81,"By Length",AH61*AH79,"By Weight",AH61*AH80,AG75*AH86*1.16),"")</f>
        <v>18201.405777037526</v>
      </c>
      <c r="AI83" s="607" t="s">
        <v>1082</v>
      </c>
      <c r="AK83" s="608" t="s">
        <v>1081</v>
      </c>
      <c r="AL83" s="548" cm="1">
        <f t="array" ref="AL83">IFERROR(_xlfn.SWITCH(AL60,"By Imp",AL61*AL81,"IMP",AL61*AL81,"By Length",AL61*AL79,"By Weight",AL61*AL80,AK75*AL86*1.16),"")</f>
        <v>891.04951211104037</v>
      </c>
      <c r="AM83" s="607" t="s">
        <v>1082</v>
      </c>
      <c r="AO83" s="608" t="s">
        <v>1081</v>
      </c>
      <c r="AP83" s="548" cm="1">
        <f t="array" ref="AP83">IFERROR(_xlfn.SWITCH(AP60,"By Imp",AP61*AP81,"IMP",AP61*AP81,"By Length",AP61*AP79,"By Weight",AP61*AP80,AO75*AP86*1.16),"")</f>
        <v>6303.07981207379</v>
      </c>
      <c r="AQ83" s="607" t="s">
        <v>1082</v>
      </c>
    </row>
    <row r="84" spans="1:43">
      <c r="A84"/>
      <c r="J84" s="537" t="str">
        <f t="shared" si="11"/>
        <v/>
      </c>
      <c r="M84" s="285"/>
      <c r="N84" s="235" t="str" cm="1">
        <f t="array" ref="N84">IF($C84="","",_xlfn.LET(
    _xlpm.mat,TRIM($C84),
    _xlpm.matKey,UPPER(SUBSTITUTE(_xlpm.mat," ","")),
    _xlpm.pr,IFERROR(LOOKUP(2,1/($H$51:H84&lt;&gt;""),$H$51:H84),""),
    _xlpm.widthActual,IFERROR(LOOKUP(2,1/($E$51:E84&lt;&gt;""),$E$51:E84),$E84),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",""))=_xlpm.matKey)*(_xlpm.summaryThick=$K84)*(_xlpm.summaryCosts&gt;0))),INDEX(_xlfn._xlws.FILTER(_xlpm.summaryCosts,(UPPER(SUBSTITUTE(_xlpm.summaryNames," ",""))=_xlpm.matKey)*(_xlpm.summaryThick=$K84)*(_xlpm.summaryCosts&gt;0)),1)),""),""),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84"/>
      <c r="S84"/>
      <c r="T84"/>
      <c r="U84"/>
      <c r="AG84" s="609" t="s">
        <v>871</v>
      </c>
      <c r="AH84" s="610">
        <f>IFERROR(AH85/($M$56*($D$51/$J$51))+5,"")</f>
        <v>6361.5516978349578</v>
      </c>
      <c r="AI84" s="611" t="s">
        <v>607</v>
      </c>
      <c r="AK84" s="609" t="s">
        <v>871</v>
      </c>
      <c r="AL84" s="610">
        <f>IFERROR(AL85/($M$62*($D$57/$J$57))+5,"")</f>
        <v>19065.325931573429</v>
      </c>
      <c r="AM84" s="611" t="s">
        <v>607</v>
      </c>
      <c r="AO84" s="609" t="s">
        <v>871</v>
      </c>
      <c r="AP84" s="610">
        <f>IFERROR(AP85/($M$68*($D$63/$J$63))+5,"")</f>
        <v>5937.7815846459607</v>
      </c>
      <c r="AQ84" s="611" t="s">
        <v>607</v>
      </c>
    </row>
    <row r="85" spans="1:43">
      <c r="A85"/>
      <c r="J85" s="537" t="str">
        <f t="shared" si="11"/>
        <v/>
      </c>
      <c r="M85" s="285"/>
      <c r="N85" s="235" t="str" cm="1">
        <f t="array" ref="N85">IF($C85="","",_xlfn.LET(
    _xlpm.mat,TRIM($C85),
    _xlpm.matKey,UPPER(SUBSTITUTE(_xlpm.mat," ","")),
    _xlpm.pr,IFERROR(LOOKUP(2,1/($H$51:H85&lt;&gt;""),$H$51:H85),""),
    _xlpm.widthActual,IFERROR(LOOKUP(2,1/($E$51:E85&lt;&gt;""),$E$51:E85),$E85),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",""))=_xlpm.matKey)*(_xlpm.summaryThick=$K85)*(_xlpm.summaryCosts&gt;0))),INDEX(_xlfn._xlws.FILTER(_xlpm.summaryCosts,(UPPER(SUBSTITUTE(_xlpm.summaryNames," ",""))=_xlpm.matKey)*(_xlpm.summaryThick=$K85)*(_xlpm.summaryCosts&gt;0)),1)),""),""),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85"/>
      <c r="S85"/>
      <c r="T85"/>
      <c r="U85"/>
      <c r="AG85" s="609" t="s">
        <v>872</v>
      </c>
      <c r="AH85" s="610">
        <f>_xlfn.LET(_xlpm.lam,UPPER(SUBSTITUTE(AH51&amp;"","LAMINATE","")),IF(_xlpm.lam="608W",2000,IF(_xlpm.lam="608",750,500)))</f>
        <v>500</v>
      </c>
      <c r="AI85" s="611" t="s">
        <v>225</v>
      </c>
      <c r="AK85" s="609" t="s">
        <v>872</v>
      </c>
      <c r="AL85" s="610">
        <f>_xlfn.LET(_xlpm.lam,UPPER(SUBSTITUTE(AL51&amp;"","LAMINATE","")),IF(_xlpm.lam="608W",2000,IF(_xlpm.lam="608",750,500)))</f>
        <v>500</v>
      </c>
      <c r="AM85" s="611" t="s">
        <v>225</v>
      </c>
      <c r="AO85" s="609" t="s">
        <v>872</v>
      </c>
      <c r="AP85" s="610">
        <f>_xlfn.LET(_xlpm.lam,UPPER(SUBSTITUTE(AP51&amp;"","LAMINATE","")),IF(_xlpm.lam="608W",2000,IF(_xlpm.lam="608",750,500)))</f>
        <v>500</v>
      </c>
      <c r="AQ85" s="611" t="s">
        <v>225</v>
      </c>
    </row>
    <row r="86" spans="1:43" ht="15.75" thickBot="1">
      <c r="J86" s="537" t="str">
        <f t="shared" si="11"/>
        <v/>
      </c>
      <c r="M86" s="285"/>
      <c r="N86" s="235" t="str" cm="1">
        <f t="array" ref="N86">IF($C86="","",_xlfn.LET(
    _xlpm.mat,TRIM($C86),
    _xlpm.matKey,UPPER(SUBSTITUTE(_xlpm.mat," ","")),
    _xlpm.pr,IFERROR(LOOKUP(2,1/($H$51:H86&lt;&gt;""),$H$51:H86),""),
    _xlpm.widthActual,IFERROR(LOOKUP(2,1/($E$51:E86&lt;&gt;""),$E$51:E86),$E86),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",""))=_xlpm.matKey)*(_xlpm.summaryThick=$K86)*(_xlpm.summaryCosts&gt;0))),INDEX(_xlfn._xlws.FILTER(_xlpm.summaryCosts,(UPPER(SUBSTITUTE(_xlpm.summaryNames," ",""))=_xlpm.matKey)*(_xlpm.summaryThick=$K86)*(_xlpm.summaryCosts&gt;0)),1)),""),""),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86"/>
      <c r="T86" t="str">
        <f>IF(OR($S86="",$K86=""),"",IFERROR($S86*(1/$M$89)*($J86/($D86*MAX(1,ROUNDDOWN(760/$D86,0)))),""))</f>
        <v/>
      </c>
      <c r="U86"/>
      <c r="AG86" s="612" t="s">
        <v>873</v>
      </c>
      <c r="AH86" s="613">
        <f>IF(OR(AH60="IMP",AH60="By Imp"),IFERROR(AH63*$M$56*($D$51/$J$51)+5,""),IF(AH60="By Length",IFERROR(AH61*$M$56*($D$51/$J$51)+5,""),IF(AH60="By Weight",IFERROR(IF(AH54&lt;&gt;"",AH54,A51),""),"")))</f>
        <v>1432.6608500000002</v>
      </c>
      <c r="AI86" s="614" t="s">
        <v>225</v>
      </c>
      <c r="AJ86" s="272"/>
      <c r="AK86" s="612" t="s">
        <v>873</v>
      </c>
      <c r="AL86" s="613">
        <f>IF(OR(AL60="IMP",AL60="By Imp"),IFERROR(AL63*$M$62*($D$57/$J$57)+5,""),IF(AL60="By Length",IFERROR(AL61*$M$62*($D$57/$J$57)+5,""),IF(AL60="By Weight",IFERROR(IF(AL54&lt;&gt;"",AL54,A57),""),"")))</f>
        <v>57.464999999999996</v>
      </c>
      <c r="AM86" s="614" t="s">
        <v>225</v>
      </c>
      <c r="AN86" s="272"/>
      <c r="AO86" s="612" t="s">
        <v>873</v>
      </c>
      <c r="AP86" s="613">
        <f>IF(OR(AP60="IMP",AP60="By Imp"),IFERROR(AP63*$M$68*($D$63/$J$63)+5,""),IF(AP60="By Length",IFERROR(AP61*$M$68*($D$63/$J$63)+5,""),IF(AP60="By Weight",IFERROR(IF(AP54&lt;&gt;"",AP54,A63),""),"")))</f>
        <v>425.33403125000001</v>
      </c>
      <c r="AQ86" s="614" t="s">
        <v>225</v>
      </c>
    </row>
    <row r="87" spans="1:43" ht="15.75" thickBot="1">
      <c r="J87" s="537" t="str">
        <f t="shared" si="11"/>
        <v/>
      </c>
      <c r="M87" s="285"/>
      <c r="N87" s="235" t="str" cm="1">
        <f t="array" ref="N87">IF($C87="","",_xlfn.LET(
    _xlpm.mat,TRIM($C87),
    _xlpm.matKey,UPPER(SUBSTITUTE(_xlpm.mat," ","")),
    _xlpm.pr,IFERROR(LOOKUP(2,1/($H$51:H87&lt;&gt;""),$H$51:H87),""),
    _xlpm.widthActual,IFERROR(LOOKUP(2,1/($E$51:E87&lt;&gt;""),$E$51:E87),$E87),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",""))=_xlpm.matKey)*(_xlpm.summaryThick=$K87)*(_xlpm.summaryCosts&gt;0))),INDEX(_xlfn._xlws.FILTER(_xlpm.summaryCosts,(UPPER(SUBSTITUTE(_xlpm.summaryNames," ",""))=_xlpm.matKey)*(_xlpm.summaryThick=$K87)*(_xlpm.summaryCosts&gt;0)),1)),""),""),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87"/>
      <c r="T87"/>
      <c r="U87"/>
      <c r="AG87" s="882" t="s">
        <v>1068</v>
      </c>
      <c r="AH87" s="883"/>
      <c r="AI87" s="884"/>
      <c r="AK87" s="882" t="s">
        <v>1068</v>
      </c>
      <c r="AL87" s="883"/>
      <c r="AM87" s="884"/>
      <c r="AO87" s="882" t="s">
        <v>1068</v>
      </c>
      <c r="AP87" s="883"/>
      <c r="AQ87" s="884"/>
    </row>
    <row r="88" spans="1:43">
      <c r="J88" s="537" t="str">
        <f t="shared" si="11"/>
        <v/>
      </c>
      <c r="M88" s="285"/>
      <c r="N88" s="235" t="str" cm="1">
        <f t="array" ref="N88">IF($C88="","",_xlfn.LET(
    _xlpm.mat,TRIM($C88),
    _xlpm.matKey,UPPER(SUBSTITUTE(_xlpm.mat," ","")),
    _xlpm.pr,IFERROR(LOOKUP(2,1/($H$51:H88&lt;&gt;""),$H$51:H88),""),
    _xlpm.widthActual,IFERROR(LOOKUP(2,1/($E$51:E88&lt;&gt;""),$E$51:E88),$E88),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",""))=_xlpm.matKey)*(_xlpm.summaryThick=$K88)*(_xlpm.summaryCosts&gt;0))),INDEX(_xlfn._xlws.FILTER(_xlpm.summaryCosts,(UPPER(SUBSTITUTE(_xlpm.summaryNames," ",""))=_xlpm.matKey)*(_xlpm.summaryThick=$K88)*(_xlpm.summaryCosts&gt;0)),1)),""),""),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88"/>
      <c r="T88"/>
      <c r="U88"/>
      <c r="AG88" s="839" t="s">
        <v>1065</v>
      </c>
      <c r="AH88" s="117">
        <f>IF(OR(AH60="IMP",AH60="By Imp"),IFERROR(AH61/(AH53/AH62)*(AI62/1000),""),IFERROR(AH61,""))</f>
        <v>18150</v>
      </c>
      <c r="AI88" s="272" t="s">
        <v>607</v>
      </c>
      <c r="AK88" s="839" t="s">
        <v>1065</v>
      </c>
      <c r="AL88" s="117">
        <f>IF(OR(AL60="IMP",AL60="By Imp"),IFERROR(AL61/(AL53/AL62)*(AM62/1000),""),IFERROR(AL61,""))</f>
        <v>2000</v>
      </c>
      <c r="AM88" s="272" t="s">
        <v>607</v>
      </c>
      <c r="AO88" s="839" t="s">
        <v>1065</v>
      </c>
      <c r="AP88" s="117">
        <f>IF(OR(AP60="IMP",AP60="By Imp"),IFERROR(AP61/(AP53/AP62)*(AQ62/1000),""),IFERROR(AP61,""))</f>
        <v>4655</v>
      </c>
      <c r="AQ88" s="272" t="s">
        <v>607</v>
      </c>
    </row>
    <row r="89" spans="1:43">
      <c r="J89" s="537" t="str">
        <f t="shared" si="11"/>
        <v/>
      </c>
      <c r="M89" s="285"/>
      <c r="N89" s="235" t="str" cm="1">
        <f t="array" ref="N89">IF($C89="","",_xlfn.LET(
    _xlpm.mat,TRIM($C89),
    _xlpm.matKey,UPPER(SUBSTITUTE(_xlpm.mat," ","")),
    _xlpm.pr,IFERROR(LOOKUP(2,1/($H$51:H89&lt;&gt;""),$H$51:H89),""),
    _xlpm.widthActual,IFERROR(LOOKUP(2,1/($E$51:E89&lt;&gt;""),$E$51:E89),$E89),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",""))=_xlpm.matKey)*(_xlpm.summaryThick=$K89)*(_xlpm.summaryCosts&gt;0))),INDEX(_xlfn._xlws.FILTER(_xlpm.summaryCosts,(UPPER(SUBSTITUTE(_xlpm.summaryNames," ",""))=_xlpm.matKey)*(_xlpm.summaryThick=$K89)*(_xlpm.summaryCosts&gt;0)),1)),""),""),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89"/>
      <c r="T89"/>
      <c r="U89"/>
      <c r="AG89" s="839" t="s">
        <v>1255</v>
      </c>
      <c r="AH89" s="843" t="str">
        <f>IF(OR(AH60="IMP",AH60="By Imp"),IFERROR(AH61/AH57,""),"")</f>
        <v/>
      </c>
      <c r="AI89" s="839" t="s">
        <v>1059</v>
      </c>
      <c r="AK89" s="839" t="s">
        <v>1255</v>
      </c>
      <c r="AL89" s="843" t="str">
        <f>IF(OR(AL60="IMP",AL60="By Imp"),IFERROR(AL61/AL57,""),"")</f>
        <v/>
      </c>
      <c r="AM89" s="839" t="s">
        <v>1059</v>
      </c>
      <c r="AO89" s="839" t="s">
        <v>1255</v>
      </c>
      <c r="AP89" s="843">
        <f>IF(OR(AP60="IMP",AP60="By Imp"),IFERROR(AP61/AP57,""),"")</f>
        <v>475000</v>
      </c>
      <c r="AQ89" s="839" t="s">
        <v>1059</v>
      </c>
    </row>
    <row r="90" spans="1:43">
      <c r="J90" s="537" t="str">
        <f t="shared" si="11"/>
        <v/>
      </c>
      <c r="M90" s="285"/>
      <c r="N90" s="235" t="str" cm="1">
        <f t="array" ref="N90">IF($C90="","",_xlfn.LET(
    _xlpm.mat,TRIM($C90),
    _xlpm.matKey,UPPER(SUBSTITUTE(_xlpm.mat," ","")),
    _xlpm.pr,IFERROR(LOOKUP(2,1/($H$51:H90&lt;&gt;""),$H$51:H90),""),
    _xlpm.widthActual,IFERROR(LOOKUP(2,1/($E$51:E90&lt;&gt;""),$E$51:E90),$E90),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",""))=_xlpm.matKey)*(_xlpm.summaryThick=$K90)*(_xlpm.summaryCosts&gt;0))),INDEX(_xlfn._xlws.FILTER(_xlpm.summaryCosts,(UPPER(SUBSTITUTE(_xlpm.summaryNames," ",""))=_xlpm.matKey)*(_xlpm.summaryThick=$K90)*(_xlpm.summaryCosts&gt;0)),1)),""),""),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90"/>
      <c r="T90" t="str">
        <f>IF(OR($S90="",$K90=""),"",IFERROR($S90*(1/$M$95)*($J90/($D90*MAX(1,ROUNDDOWN(760/$D90,0)))),""))</f>
        <v/>
      </c>
      <c r="U90"/>
      <c r="Y90" t="str">
        <f>IFERROR((SUM(X90:X95)+SUM(R90:S90,U90))*(1/M95)*(J90/(D90*MAX(1,ROUNDDOWN(760/D90,0))))+W90,"")</f>
        <v/>
      </c>
      <c r="AG90" s="839" t="s">
        <v>1256</v>
      </c>
      <c r="AH90" s="844" cm="1">
        <f t="array" ref="AH90">_xlfn.LET(_xlpm.lam,TEXT(AH51,"0"),_xlpm.thick,AH52,_xlpm.mats,_xlfn._xlws.FILTER(HELPER!$BW$2:$BW$250,(TEXT(HELPER!$BZ$2:$BZ$250,"0")=_xlpm.lam)*(HELPER!$CC$2:$CC$250=_xlpm.thick)*(HELPER!$BW$2:$BW$250&lt;&gt;""),""),_xlpm.real,_xlfn._xlws.FILTER(_xlpm.mats,(ISERROR(SEARCH("EPOTAL",_xlpm.mats&amp;"")))*(ISERROR(SEARCH("BASONAT",_xlpm.mats&amp;"")))*(ISERROR(SEARCH("ADHESIVE",_xlpm.mats&amp;"")))*(ISERROR(SEARCH("HARDENER",_xlpm.mats&amp;""))),""),IFERROR(SUM(--(UPPER(TRIM(_xlpm.real))="NK"))/ROWS(_xlpm.real),0))</f>
        <v>0.33333333333333331</v>
      </c>
      <c r="AI90" s="839" t="s">
        <v>1257</v>
      </c>
      <c r="AK90" s="839" t="s">
        <v>1256</v>
      </c>
      <c r="AL90" s="840" cm="1">
        <f t="array" ref="AL90">_xlfn.LET(_xlpm.lam,TEXT(AL51,"0"),_xlpm.thick,AL52,_xlpm.mats,_xlfn._xlws.FILTER(HELPER!$BW$2:$BW$250,(TEXT(HELPER!$BZ$2:$BZ$250,"0")=_xlpm.lam)*(HELPER!$CC$2:$CC$250=_xlpm.thick)*(HELPER!$BW$2:$BW$250&lt;&gt;""),""),_xlpm.real,_xlfn._xlws.FILTER(_xlpm.mats,(ISERROR(SEARCH("EPOTAL",_xlpm.mats&amp;"")))*(ISERROR(SEARCH("BASONAT",_xlpm.mats&amp;"")))*(ISERROR(SEARCH("ADHESIVE",_xlpm.mats&amp;"")))*(ISERROR(SEARCH("HARDENER",_xlpm.mats&amp;""))),""),IFERROR(SUM(--(UPPER(TRIM(_xlpm.real))="NK"))/ROWS(_xlpm.real),0))</f>
        <v>0</v>
      </c>
      <c r="AM90" s="839" t="s">
        <v>1257</v>
      </c>
      <c r="AO90" s="839" t="s">
        <v>1256</v>
      </c>
      <c r="AP90" s="840" cm="1">
        <f t="array" ref="AP90">_xlfn.LET(_xlpm.lam,TEXT(AP51,"0"),_xlpm.thick,AP52,_xlpm.mats,_xlfn._xlws.FILTER(HELPER!$BW$2:$BW$250,(TEXT(HELPER!$BZ$2:$BZ$250,"0")=_xlpm.lam)*(HELPER!$CC$2:$CC$250=_xlpm.thick)*(HELPER!$BW$2:$BW$250&lt;&gt;""),""),_xlpm.real,_xlfn._xlws.FILTER(_xlpm.mats,(ISERROR(SEARCH("EPOTAL",_xlpm.mats&amp;"")))*(ISERROR(SEARCH("BASONAT",_xlpm.mats&amp;"")))*(ISERROR(SEARCH("ADHESIVE",_xlpm.mats&amp;"")))*(ISERROR(SEARCH("HARDENER",_xlpm.mats&amp;""))),""),IFERROR(SUM(--(UPPER(TRIM(_xlpm.real))="NK"))/ROWS(_xlpm.real),0))</f>
        <v>0.33333333333333331</v>
      </c>
      <c r="AQ90" s="839" t="s">
        <v>1257</v>
      </c>
    </row>
    <row r="91" spans="1:43">
      <c r="J91" s="537" t="str">
        <f t="shared" si="11"/>
        <v/>
      </c>
      <c r="M91" s="285"/>
      <c r="N91" s="235" t="str" cm="1">
        <f t="array" ref="N91">IF($C91="","",_xlfn.LET(
    _xlpm.mat,TRIM($C91),
    _xlpm.matKey,UPPER(SUBSTITUTE(_xlpm.mat," ","")),
    _xlpm.pr,IFERROR(LOOKUP(2,1/($H$51:H91&lt;&gt;""),$H$51:H91),""),
    _xlpm.widthActual,IFERROR(LOOKUP(2,1/($E$51:E91&lt;&gt;""),$E$51:E91),$E91),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",""))=_xlpm.matKey)*(_xlpm.summaryThick=$K91)*(_xlpm.summaryCosts&gt;0))),INDEX(_xlfn._xlws.FILTER(_xlpm.summaryCosts,(UPPER(SUBSTITUTE(_xlpm.summaryNames," ",""))=_xlpm.matKey)*(_xlpm.summaryThick=$K91)*(_xlpm.summaryCosts&gt;0)),1)),""),""),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91"/>
      <c r="T91"/>
      <c r="U91"/>
      <c r="AG91" s="839" t="s">
        <v>1258</v>
      </c>
      <c r="AH91" s="842">
        <f>IF(OR(AH55&lt;&gt;"Printed",AH56=0,AH56="0",AH56=""),0,IFERROR(_xlfn.LET(_xlpm.colors,AH56,_xlpm.numColors,IF(ISNUMBER(_xlpm.colors),_xlpm.colors,IFERROR(--RIGHT(_xlpm.colors,LEN(_xlpm.colors)-FIND("-",_xlpm.colors)),IFERROR(--_xlpm.colors,0))),HELPER!$DB$1*_xlpm.numColors*AH57*1.05*AH90/AH86),0))</f>
        <v>0</v>
      </c>
      <c r="AI91" s="839" t="s">
        <v>864</v>
      </c>
      <c r="AK91" s="839" t="s">
        <v>1258</v>
      </c>
      <c r="AL91" s="842">
        <f>IF(OR(AL55&lt;&gt;"Printed",AL56=0,AL56="0",AL56=""),0,IFERROR(_xlfn.LET(_xlpm.colors,AL56,_xlpm.numColors,IF(ISNUMBER(_xlpm.colors),_xlpm.colors,IFERROR(--RIGHT(_xlpm.colors,LEN(_xlpm.colors)-FIND("-",_xlpm.colors)),IFERROR(--_xlpm.colors,0))),HELPER!$DB$1*_xlpm.numColors*AL57*1.05*AL90/AL86),0))</f>
        <v>0</v>
      </c>
      <c r="AM91" s="839" t="s">
        <v>864</v>
      </c>
      <c r="AO91" s="839" t="s">
        <v>1258</v>
      </c>
      <c r="AP91" s="842">
        <f>IF(OR(AP55&lt;&gt;"Printed",AP56=0,AP56="0",AP56=""),0,IFERROR(_xlfn.LET(_xlpm.colors,AP56,_xlpm.numColors,IF(ISNUMBER(_xlpm.colors),_xlpm.colors,IFERROR(--RIGHT(_xlpm.colors,LEN(_xlpm.colors)-FIND("-",_xlpm.colors)),IFERROR(--_xlpm.colors,0))),HELPER!$DB$1*_xlpm.numColors*AP57*1.05*AP90/AP86),0))</f>
        <v>0.98745919475494592</v>
      </c>
      <c r="AQ91" s="839" t="s">
        <v>864</v>
      </c>
    </row>
    <row r="92" spans="1:43">
      <c r="J92" s="537" t="str">
        <f t="shared" si="11"/>
        <v/>
      </c>
      <c r="N92" s="235" t="str" cm="1">
        <f t="array" ref="N92">IF($C92="","",_xlfn.LET(
    _xlpm.mat,TRIM($C92),
    _xlpm.matKey,UPPER(SUBSTITUTE(_xlpm.mat," ","")),
    _xlpm.pr,IFERROR(LOOKUP(2,1/($H$51:H92&lt;&gt;""),$H$51:H92),""),
    _xlpm.widthActual,IFERROR(LOOKUP(2,1/($E$51:E92&lt;&gt;""),$E$51:E92),$E92),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",""))=_xlpm.matKey)*(_xlpm.summaryThick=$K92)*(_xlpm.summaryCosts&gt;0))),INDEX(_xlfn._xlws.FILTER(_xlpm.summaryCosts,(UPPER(SUBSTITUTE(_xlpm.summaryNames," ",""))=_xlpm.matKey)*(_xlpm.summaryThick=$K92)*(_xlpm.summaryCosts&gt;0)),1)),""),""),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92"/>
      <c r="T92"/>
      <c r="U92"/>
      <c r="AG92" s="841" t="s">
        <v>1259</v>
      </c>
      <c r="AH92" s="843">
        <f>IFERROR(IF(OR(AH60="IMP",AH60="By Imp"),AH61/(AH53/AH62)*(AI62/1000),AH61)*AH90,"")</f>
        <v>6050</v>
      </c>
      <c r="AI92" s="839" t="s">
        <v>607</v>
      </c>
      <c r="AK92" s="839" t="s">
        <v>1259</v>
      </c>
      <c r="AL92" s="843">
        <f>IFERROR(IF(OR(AL60="IMP",AL60="By Imp"),AL61/(AL53/AL62)*(AM62/1000),AL61)*AL90,"")</f>
        <v>0</v>
      </c>
      <c r="AM92" s="839" t="s">
        <v>607</v>
      </c>
      <c r="AO92" s="839" t="s">
        <v>1259</v>
      </c>
      <c r="AP92" s="843">
        <f>IFERROR(IF(OR(AP60="IMP",AP60="By Imp"),AP61/(AP53/AP62)*(AQ62/1000),AP61)*AP90,"")</f>
        <v>1551.6666666666665</v>
      </c>
      <c r="AQ92" s="839" t="s">
        <v>607</v>
      </c>
    </row>
    <row r="93" spans="1:43">
      <c r="J93" s="537" t="str">
        <f t="shared" si="11"/>
        <v/>
      </c>
      <c r="N93" s="235" t="str" cm="1">
        <f t="array" ref="N93">IF($C93="","",_xlfn.LET(
    _xlpm.mat,TRIM($C93),
    _xlpm.matKey,UPPER(SUBSTITUTE(_xlpm.mat," ","")),
    _xlpm.pr,IFERROR(LOOKUP(2,1/($H$51:H93&lt;&gt;""),$H$51:H93),""),
    _xlpm.widthActual,IFERROR(LOOKUP(2,1/($E$51:E93&lt;&gt;""),$E$51:E93),$E93),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",""))=_xlpm.matKey)*(_xlpm.summaryThick=$K93)*(_xlpm.summaryCosts&gt;0))),INDEX(_xlfn._xlws.FILTER(_xlpm.summaryCosts,(UPPER(SUBSTITUTE(_xlpm.summaryNames," ",""))=_xlpm.matKey)*(_xlpm.summaryThick=$K93)*(_xlpm.summaryCosts&gt;0)),1)),""),""),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93"/>
      <c r="T93"/>
      <c r="U93"/>
      <c r="AG93" s="839" t="s">
        <v>1259</v>
      </c>
      <c r="AH93" s="843">
        <f>IFERROR(IF(OR(AH60="IMP",AH60="By Imp"),AH61/(AH53/AH62)*(AI62/1000),AH63)*AH90,"")</f>
        <v>6050</v>
      </c>
      <c r="AI93" s="839" t="s">
        <v>607</v>
      </c>
      <c r="AK93" s="839" t="s">
        <v>1259</v>
      </c>
      <c r="AL93" s="843">
        <f>IFERROR(IF(OR(AL60="IMP",AL60="By Imp"),AL61/(AL53/AL62)*(AM62/1000),AL63)*AL90,"")</f>
        <v>0</v>
      </c>
      <c r="AM93" s="839" t="s">
        <v>607</v>
      </c>
      <c r="AO93" s="839" t="s">
        <v>1259</v>
      </c>
      <c r="AP93" s="843">
        <f>IFERROR(IF(OR(AP60="IMP",AP60="By Imp"),AP61/(AP53/AP62)*(AQ62/1000),AP63)*AP90,"")</f>
        <v>1551.6666666666665</v>
      </c>
      <c r="AQ93" s="839" t="s">
        <v>607</v>
      </c>
    </row>
    <row r="94" spans="1:43">
      <c r="S94"/>
      <c r="T94"/>
      <c r="U94"/>
      <c r="AG94" s="875"/>
      <c r="AH94" s="875"/>
      <c r="AI94" s="875"/>
      <c r="AJ94" s="861"/>
      <c r="AK94" s="875"/>
      <c r="AL94" s="875"/>
      <c r="AM94" s="875"/>
      <c r="AN94" s="861"/>
      <c r="AO94" s="861"/>
      <c r="AP94" s="861"/>
      <c r="AQ94" s="861"/>
    </row>
    <row r="95" spans="1:43" ht="27">
      <c r="S95"/>
      <c r="T95"/>
      <c r="U95"/>
      <c r="AG95" s="851" t="s">
        <v>1301</v>
      </c>
      <c r="AH95" s="852">
        <f>IF(AH76="","",AH76*1000)</f>
        <v>864.510581221503</v>
      </c>
      <c r="AI95" s="853" t="s">
        <v>1302</v>
      </c>
      <c r="AJ95" s="854"/>
      <c r="AK95" s="851" t="s">
        <v>1301</v>
      </c>
      <c r="AL95" s="852">
        <f>IF(AL76="","",AL76*1000)</f>
        <v>384.0730655651036</v>
      </c>
      <c r="AM95" s="853" t="s">
        <v>1302</v>
      </c>
      <c r="AN95" s="854"/>
      <c r="AO95" s="851" t="s">
        <v>1301</v>
      </c>
      <c r="AP95" s="852">
        <f>IF(AP76="","",AP76*1000)</f>
        <v>1167.2802348371774</v>
      </c>
      <c r="AQ95" s="853" t="s">
        <v>1302</v>
      </c>
    </row>
    <row r="96" spans="1:43">
      <c r="S96"/>
      <c r="T96"/>
      <c r="U96"/>
    </row>
    <row r="97" spans="19:21">
      <c r="S97"/>
      <c r="T97"/>
      <c r="U97"/>
    </row>
    <row r="98" spans="19:21">
      <c r="S98"/>
      <c r="T98"/>
      <c r="U98"/>
    </row>
    <row r="99" spans="19:21">
      <c r="S99"/>
      <c r="T99"/>
      <c r="U99"/>
    </row>
    <row r="100" spans="19:21">
      <c r="S100"/>
      <c r="T100"/>
      <c r="U100"/>
    </row>
    <row r="101" spans="19:21">
      <c r="S101"/>
      <c r="T101"/>
      <c r="U101"/>
    </row>
    <row r="102" spans="19:21">
      <c r="S102"/>
      <c r="T102"/>
      <c r="U102"/>
    </row>
    <row r="103" spans="19:21">
      <c r="S103"/>
      <c r="T103"/>
      <c r="U103"/>
    </row>
    <row r="104" spans="19:21">
      <c r="S104"/>
      <c r="T104"/>
      <c r="U104"/>
    </row>
    <row r="105" spans="19:21">
      <c r="S105"/>
      <c r="T105"/>
      <c r="U105"/>
    </row>
    <row r="106" spans="19:21">
      <c r="S106"/>
      <c r="T106"/>
      <c r="U106"/>
    </row>
    <row r="107" spans="19:21">
      <c r="S107"/>
      <c r="T107"/>
      <c r="U107"/>
    </row>
    <row r="108" spans="19:21">
      <c r="S108"/>
      <c r="T108"/>
      <c r="U108"/>
    </row>
    <row r="109" spans="19:21">
      <c r="S109"/>
      <c r="T109"/>
      <c r="U109"/>
    </row>
    <row r="110" spans="19:21">
      <c r="S110"/>
      <c r="T110"/>
      <c r="U110"/>
    </row>
    <row r="111" spans="19:21">
      <c r="S111"/>
      <c r="T111"/>
      <c r="U111"/>
    </row>
    <row r="112" spans="19:21">
      <c r="S112"/>
      <c r="T112"/>
      <c r="U112"/>
    </row>
    <row r="113" spans="19:21">
      <c r="S113"/>
      <c r="T113"/>
      <c r="U113"/>
    </row>
    <row r="114" spans="19:21">
      <c r="S114"/>
      <c r="T114"/>
      <c r="U114"/>
    </row>
    <row r="115" spans="19:21">
      <c r="S115"/>
      <c r="T115"/>
      <c r="U115"/>
    </row>
    <row r="116" spans="19:21">
      <c r="S116"/>
      <c r="T116"/>
      <c r="U116"/>
    </row>
    <row r="117" spans="19:21">
      <c r="S117"/>
      <c r="T117"/>
      <c r="U117"/>
    </row>
    <row r="118" spans="19:21">
      <c r="S118"/>
      <c r="T118"/>
      <c r="U118"/>
    </row>
    <row r="119" spans="19:21">
      <c r="S119"/>
      <c r="T119"/>
      <c r="U119"/>
    </row>
    <row r="120" spans="19:21">
      <c r="S120"/>
      <c r="T120"/>
      <c r="U120"/>
    </row>
    <row r="121" spans="19:21">
      <c r="S121"/>
      <c r="T121"/>
      <c r="U121"/>
    </row>
    <row r="122" spans="19:21">
      <c r="S122"/>
      <c r="T122"/>
      <c r="U122"/>
    </row>
    <row r="123" spans="19:21">
      <c r="S123"/>
      <c r="T123"/>
      <c r="U123"/>
    </row>
    <row r="124" spans="19:21">
      <c r="S124"/>
      <c r="T124"/>
      <c r="U124"/>
    </row>
    <row r="125" spans="19:21">
      <c r="S125"/>
      <c r="T125"/>
      <c r="U125"/>
    </row>
    <row r="126" spans="19:21">
      <c r="S126"/>
      <c r="T126"/>
      <c r="U126"/>
    </row>
    <row r="127" spans="19:21">
      <c r="S127"/>
      <c r="T127"/>
      <c r="U127"/>
    </row>
    <row r="128" spans="19:21">
      <c r="S128"/>
      <c r="T128"/>
      <c r="U128"/>
    </row>
    <row r="129" spans="19:21">
      <c r="S129"/>
      <c r="T129"/>
      <c r="U129"/>
    </row>
    <row r="130" spans="19:21">
      <c r="S130"/>
      <c r="T130"/>
      <c r="U130"/>
    </row>
    <row r="131" spans="19:21">
      <c r="S131"/>
      <c r="T131"/>
      <c r="U131"/>
    </row>
    <row r="132" spans="19:21">
      <c r="S132"/>
      <c r="T132"/>
      <c r="U132"/>
    </row>
    <row r="133" spans="19:21">
      <c r="S133"/>
      <c r="T133"/>
      <c r="U133"/>
    </row>
    <row r="134" spans="19:21">
      <c r="S134"/>
      <c r="T134"/>
      <c r="U134"/>
    </row>
    <row r="135" spans="19:21">
      <c r="S135"/>
      <c r="T135"/>
      <c r="U135"/>
    </row>
    <row r="136" spans="19:21">
      <c r="S136"/>
      <c r="T136"/>
      <c r="U136"/>
    </row>
    <row r="137" spans="19:21">
      <c r="S137"/>
      <c r="T137"/>
      <c r="U137"/>
    </row>
    <row r="138" spans="19:21">
      <c r="S138"/>
      <c r="T138"/>
      <c r="U138"/>
    </row>
    <row r="139" spans="19:21">
      <c r="S139"/>
      <c r="T139"/>
      <c r="U139"/>
    </row>
    <row r="140" spans="19:21">
      <c r="S140"/>
      <c r="T140"/>
      <c r="U140"/>
    </row>
    <row r="141" spans="19:21">
      <c r="S141"/>
      <c r="T141"/>
      <c r="U141"/>
    </row>
    <row r="142" spans="19:21">
      <c r="S142"/>
      <c r="T142"/>
      <c r="U142"/>
    </row>
    <row r="143" spans="19:21">
      <c r="S143"/>
      <c r="T143"/>
      <c r="U143"/>
    </row>
    <row r="144" spans="19:21">
      <c r="S144"/>
      <c r="T144"/>
      <c r="U144"/>
    </row>
    <row r="145" spans="19:21">
      <c r="S145"/>
      <c r="T145"/>
      <c r="U145"/>
    </row>
    <row r="146" spans="19:21">
      <c r="S146"/>
      <c r="T146"/>
      <c r="U146"/>
    </row>
    <row r="147" spans="19:21">
      <c r="S147"/>
      <c r="T147"/>
      <c r="U147"/>
    </row>
    <row r="148" spans="19:21">
      <c r="S148"/>
      <c r="T148"/>
      <c r="U148"/>
    </row>
    <row r="149" spans="19:21">
      <c r="S149"/>
      <c r="T149"/>
      <c r="U149"/>
    </row>
    <row r="150" spans="19:21">
      <c r="S150"/>
      <c r="T150"/>
      <c r="U150"/>
    </row>
    <row r="151" spans="19:21">
      <c r="S151"/>
      <c r="T151"/>
      <c r="U151"/>
    </row>
    <row r="152" spans="19:21">
      <c r="S152"/>
      <c r="T152"/>
      <c r="U152"/>
    </row>
    <row r="153" spans="19:21">
      <c r="S153"/>
      <c r="T153"/>
      <c r="U153"/>
    </row>
    <row r="154" spans="19:21">
      <c r="S154"/>
      <c r="T154"/>
      <c r="U154"/>
    </row>
    <row r="155" spans="19:21">
      <c r="S155"/>
      <c r="T155"/>
      <c r="U155"/>
    </row>
    <row r="156" spans="19:21">
      <c r="S156"/>
      <c r="T156"/>
      <c r="U156"/>
    </row>
    <row r="157" spans="19:21">
      <c r="S157"/>
      <c r="T157"/>
      <c r="U157"/>
    </row>
    <row r="158" spans="19:21">
      <c r="S158"/>
      <c r="T158"/>
      <c r="U158"/>
    </row>
    <row r="159" spans="19:21">
      <c r="S159"/>
      <c r="T159"/>
      <c r="U159"/>
    </row>
    <row r="160" spans="19:21">
      <c r="S160"/>
      <c r="T160"/>
      <c r="U160"/>
    </row>
    <row r="161" spans="19:21">
      <c r="S161"/>
      <c r="T161"/>
      <c r="U161"/>
    </row>
    <row r="162" spans="19:21">
      <c r="S162"/>
      <c r="T162"/>
      <c r="U162"/>
    </row>
    <row r="163" spans="19:21">
      <c r="S163"/>
      <c r="T163"/>
      <c r="U163"/>
    </row>
    <row r="164" spans="19:21">
      <c r="S164"/>
      <c r="T164"/>
      <c r="U164"/>
    </row>
    <row r="165" spans="19:21">
      <c r="S165"/>
      <c r="T165"/>
      <c r="U165"/>
    </row>
    <row r="166" spans="19:21">
      <c r="S166"/>
      <c r="T166"/>
      <c r="U166"/>
    </row>
    <row r="167" spans="19:21">
      <c r="S167"/>
      <c r="T167"/>
      <c r="U167"/>
    </row>
    <row r="168" spans="19:21">
      <c r="S168"/>
      <c r="T168"/>
      <c r="U168"/>
    </row>
    <row r="169" spans="19:21">
      <c r="S169"/>
      <c r="T169"/>
      <c r="U169"/>
    </row>
    <row r="170" spans="19:21">
      <c r="S170"/>
      <c r="T170"/>
      <c r="U170"/>
    </row>
    <row r="171" spans="19:21">
      <c r="S171"/>
      <c r="T171"/>
      <c r="U171"/>
    </row>
    <row r="172" spans="19:21">
      <c r="S172"/>
      <c r="T172"/>
      <c r="U172"/>
    </row>
    <row r="173" spans="19:21">
      <c r="S173"/>
      <c r="T173"/>
      <c r="U173"/>
    </row>
    <row r="174" spans="19:21">
      <c r="S174"/>
      <c r="T174"/>
      <c r="U174"/>
    </row>
    <row r="175" spans="19:21">
      <c r="S175"/>
      <c r="T175"/>
      <c r="U175"/>
    </row>
    <row r="176" spans="19:21">
      <c r="S176"/>
      <c r="T176"/>
      <c r="U176"/>
    </row>
    <row r="177" spans="19:21">
      <c r="S177"/>
      <c r="T177"/>
      <c r="U177"/>
    </row>
    <row r="178" spans="19:21">
      <c r="S178"/>
      <c r="T178"/>
      <c r="U178"/>
    </row>
  </sheetData>
  <mergeCells count="132">
    <mergeCell ref="AO39:AQ39"/>
    <mergeCell ref="AK26:AM26"/>
    <mergeCell ref="AK27:AM27"/>
    <mergeCell ref="AO26:AQ26"/>
    <mergeCell ref="AO27:AQ27"/>
    <mergeCell ref="AG2:AI2"/>
    <mergeCell ref="AK2:AM2"/>
    <mergeCell ref="AO2:AQ2"/>
    <mergeCell ref="V3:V8"/>
    <mergeCell ref="V9:V14"/>
    <mergeCell ref="W3:W8"/>
    <mergeCell ref="W9:W14"/>
    <mergeCell ref="AG26:AI26"/>
    <mergeCell ref="AG27:AI27"/>
    <mergeCell ref="O3:O8"/>
    <mergeCell ref="O9:O14"/>
    <mergeCell ref="O15:O20"/>
    <mergeCell ref="A3:A8"/>
    <mergeCell ref="A9:A14"/>
    <mergeCell ref="A15:A20"/>
    <mergeCell ref="B3:B8"/>
    <mergeCell ref="B9:B14"/>
    <mergeCell ref="B15:B20"/>
    <mergeCell ref="D15:D20"/>
    <mergeCell ref="F15:F20"/>
    <mergeCell ref="H3:H8"/>
    <mergeCell ref="H9:H14"/>
    <mergeCell ref="H15:H20"/>
    <mergeCell ref="I3:I8"/>
    <mergeCell ref="I9:I14"/>
    <mergeCell ref="I15:I20"/>
    <mergeCell ref="D3:D8"/>
    <mergeCell ref="G3:G8"/>
    <mergeCell ref="F3:F8"/>
    <mergeCell ref="D9:D14"/>
    <mergeCell ref="F9:F14"/>
    <mergeCell ref="G9:G14"/>
    <mergeCell ref="G15:G20"/>
    <mergeCell ref="E3:E8"/>
    <mergeCell ref="E15:E20"/>
    <mergeCell ref="E9:E14"/>
    <mergeCell ref="S15:S20"/>
    <mergeCell ref="S3:S8"/>
    <mergeCell ref="Q9:Q14"/>
    <mergeCell ref="R9:R14"/>
    <mergeCell ref="S9:S14"/>
    <mergeCell ref="Q3:Q8"/>
    <mergeCell ref="R3:R8"/>
    <mergeCell ref="Q15:Q20"/>
    <mergeCell ref="R15:R20"/>
    <mergeCell ref="AG46:AI46"/>
    <mergeCell ref="AK46:AM46"/>
    <mergeCell ref="T21:T26"/>
    <mergeCell ref="Y3:Y8"/>
    <mergeCell ref="Y9:Y14"/>
    <mergeCell ref="Y15:Y20"/>
    <mergeCell ref="T3:T8"/>
    <mergeCell ref="T9:T14"/>
    <mergeCell ref="T15:T20"/>
    <mergeCell ref="U3:U8"/>
    <mergeCell ref="U9:U14"/>
    <mergeCell ref="U15:U20"/>
    <mergeCell ref="V15:V20"/>
    <mergeCell ref="W15:W20"/>
    <mergeCell ref="AG39:AI39"/>
    <mergeCell ref="AK39:AM39"/>
    <mergeCell ref="Q57:Q62"/>
    <mergeCell ref="R57:R62"/>
    <mergeCell ref="S57:S62"/>
    <mergeCell ref="AG50:AI50"/>
    <mergeCell ref="AK50:AM50"/>
    <mergeCell ref="AO50:AQ50"/>
    <mergeCell ref="A51:A56"/>
    <mergeCell ref="B51:B56"/>
    <mergeCell ref="D51:D56"/>
    <mergeCell ref="E51:E56"/>
    <mergeCell ref="F51:F56"/>
    <mergeCell ref="G51:G56"/>
    <mergeCell ref="H51:H56"/>
    <mergeCell ref="I51:I56"/>
    <mergeCell ref="O51:O56"/>
    <mergeCell ref="Q51:Q56"/>
    <mergeCell ref="R51:R56"/>
    <mergeCell ref="S51:S56"/>
    <mergeCell ref="T51:T56"/>
    <mergeCell ref="A57:A62"/>
    <mergeCell ref="B57:B62"/>
    <mergeCell ref="D57:D62"/>
    <mergeCell ref="E57:E62"/>
    <mergeCell ref="F57:F62"/>
    <mergeCell ref="G57:G62"/>
    <mergeCell ref="H57:H62"/>
    <mergeCell ref="I57:I62"/>
    <mergeCell ref="O57:O62"/>
    <mergeCell ref="T57:T62"/>
    <mergeCell ref="U57:U62"/>
    <mergeCell ref="V57:V62"/>
    <mergeCell ref="W57:W62"/>
    <mergeCell ref="Y57:Y62"/>
    <mergeCell ref="U51:U56"/>
    <mergeCell ref="V51:V56"/>
    <mergeCell ref="W51:W56"/>
    <mergeCell ref="Y51:Y56"/>
    <mergeCell ref="G63:G68"/>
    <mergeCell ref="H63:H68"/>
    <mergeCell ref="I63:I68"/>
    <mergeCell ref="O63:O68"/>
    <mergeCell ref="Q63:Q68"/>
    <mergeCell ref="A63:A68"/>
    <mergeCell ref="B63:B68"/>
    <mergeCell ref="D63:D68"/>
    <mergeCell ref="E63:E68"/>
    <mergeCell ref="F63:F68"/>
    <mergeCell ref="W63:W68"/>
    <mergeCell ref="Y63:Y68"/>
    <mergeCell ref="T69:T74"/>
    <mergeCell ref="AG74:AI74"/>
    <mergeCell ref="AK74:AM74"/>
    <mergeCell ref="R63:R68"/>
    <mergeCell ref="S63:S68"/>
    <mergeCell ref="T63:T68"/>
    <mergeCell ref="U63:U68"/>
    <mergeCell ref="V63:V68"/>
    <mergeCell ref="AG94:AI94"/>
    <mergeCell ref="AK94:AM94"/>
    <mergeCell ref="AO74:AQ74"/>
    <mergeCell ref="AG75:AI75"/>
    <mergeCell ref="AK75:AM75"/>
    <mergeCell ref="AO75:AQ75"/>
    <mergeCell ref="AG87:AI87"/>
    <mergeCell ref="AK87:AM87"/>
    <mergeCell ref="AO87:AQ87"/>
  </mergeCells>
  <conditionalFormatting sqref="C3:C21">
    <cfRule type="expression" dxfId="26" priority="10">
      <formula>AND(INDIRECT("C"&amp;(3+FLOOR((ROW()-3)/6,1)*6))&lt;&gt;"",C3="")</formula>
    </cfRule>
  </conditionalFormatting>
  <conditionalFormatting sqref="C51:C69">
    <cfRule type="expression" dxfId="25" priority="1">
      <formula>AND(INDIRECT("C"&amp;(3+FLOOR((ROW()-3)/6,1)*6))&lt;&gt;"",C51="")</formula>
    </cfRule>
  </conditionalFormatting>
  <conditionalFormatting sqref="I3">
    <cfRule type="expression" dxfId="24" priority="14">
      <formula>OR(AND($H$3="Printed",OR($I$3=0,$I$3="0",$I$3="")),AND($H$3="Not Printed",NOT(OR($I$3=0,$I$3="0",$I$3=""))))</formula>
    </cfRule>
  </conditionalFormatting>
  <conditionalFormatting sqref="I9">
    <cfRule type="expression" dxfId="23" priority="17">
      <formula>OR(AND($H$9="Printed",OR($I$9=0,$I$9="0",$I$9="")),AND($H$9="Not Printed",NOT(OR($I$9=0,$I$9="0",$I$9=""))))</formula>
    </cfRule>
  </conditionalFormatting>
  <conditionalFormatting sqref="I15">
    <cfRule type="expression" dxfId="22" priority="20">
      <formula>OR(AND($H$15="Printed",OR($I$15=0,$I$15="0",$I$15="")),AND($H$15="Not Printed",NOT(OR($I$15=0,$I$15="0",$I$15=""))))</formula>
    </cfRule>
  </conditionalFormatting>
  <conditionalFormatting sqref="I51">
    <cfRule type="expression" dxfId="21" priority="3">
      <formula>OR(AND($H$3="Printed",OR($I$3=0,$I$3="0",$I$3="")),AND($H$3="Not Printed",NOT(OR($I$3=0,$I$3="0",$I$3=""))))</formula>
    </cfRule>
  </conditionalFormatting>
  <conditionalFormatting sqref="I57">
    <cfRule type="expression" dxfId="20" priority="4">
      <formula>OR(AND($H$9="Printed",OR($I$9=0,$I$9="0",$I$9="")),AND($H$9="Not Printed",NOT(OR($I$9=0,$I$9="0",$I$9=""))))</formula>
    </cfRule>
  </conditionalFormatting>
  <conditionalFormatting sqref="I63">
    <cfRule type="expression" dxfId="19" priority="5">
      <formula>OR(AND($H$15="Printed",OR($I$15=0,$I$15="0",$I$15="")),AND($H$15="Not Printed",NOT(OR($I$15=0,$I$15="0",$I$15=""))))</formula>
    </cfRule>
  </conditionalFormatting>
  <conditionalFormatting sqref="J3:J45">
    <cfRule type="containsText" dxfId="18" priority="11" operator="containsText" text="ERROR">
      <formula>NOT(ISERROR(SEARCH("ERROR",J3)))</formula>
    </cfRule>
  </conditionalFormatting>
  <conditionalFormatting sqref="J51:J93">
    <cfRule type="containsText" dxfId="17" priority="2" operator="containsText" text="ERROR">
      <formula>NOT(ISERROR(SEARCH("ERROR",J51)))</formula>
    </cfRule>
  </conditionalFormatting>
  <conditionalFormatting sqref="V1:W2 Z1:Z2 R1:U3 R4:S8 U4:U8 R9:U9 R10:S14 U10:U14 R15:U15 R16:S20 U16:U20 R21:U21 R22:S28 U22:U28 R29:R48 V49:W50 Z49:Z50 R49:U51 R52:S56 U52:U56 R57:U57 R58:S62 U58:U62 R63:U63 R64:S68 U64:U68 R69:U69 R70:S76 U70:U76 R77:R178 R179:U1048576">
    <cfRule type="containsText" dxfId="16" priority="6" operator="containsText" text="Error! please choose width not higher than 1220">
      <formula>NOT(ISERROR(SEARCH("Error! please choose width not higher than 1220",R1)))</formula>
    </cfRule>
  </conditionalFormatting>
  <dataValidations count="6">
    <dataValidation type="list" allowBlank="1" showInputMessage="1" showErrorMessage="1" sqref="AH7 AL7 AP7 AH55 AL55 AP55" xr:uid="{0C4F079D-FD37-497E-8A28-014842A4B94B}">
      <formula1>"Printed,Not Printed"</formula1>
    </dataValidation>
    <dataValidation type="list" allowBlank="1" showInputMessage="1" showErrorMessage="1" sqref="AH10 AL10 AP10 AH58 AL58 AP58" xr:uid="{59E25BF4-B572-402E-A1B3-7105AE95265D}">
      <formula1>"Europe to US,Europe to Europe,Europe to Canada"</formula1>
    </dataValidation>
    <dataValidation type="list" allowBlank="1" showInputMessage="1" showErrorMessage="1" sqref="AH11 AL11 AP11 AH59 AL59 AP59" xr:uid="{362462B8-B21A-4BF0-B005-1504C5663EC5}">
      <formula1>"Marma,Bastin"</formula1>
    </dataValidation>
    <dataValidation type="list" allowBlank="1" showInputMessage="1" showErrorMessage="1" errorTitle="Invalid input mode" error="Choose By Weight, By Length, or By Imp." sqref="AH12 AP12 AL12 AH60 AP60 AL60" xr:uid="{66537516-E6CB-452F-8361-61049251BCB2}">
      <formula1>"By Weight,By Length,By Imp"</formula1>
    </dataValidation>
    <dataValidation type="list" allowBlank="1" showInputMessage="1" showErrorMessage="1" sqref="AH8 AL8 AP8 AH56 AL56 AP56" xr:uid="{C20531A5-F521-4C38-9F14-5F32629376A0}">
      <formula1>"0,1-2,3-4,5-8"</formula1>
    </dataValidation>
    <dataValidation type="list" allowBlank="1" showInputMessage="1" showErrorMessage="1" errorTitle="Invalid designs" error="Please choose a whole number from 1 to 8." promptTitle="Number of designs" prompt="Choose 1 to 8 designs." sqref="AH41 AP41 AL41 AH9 AL9 AP9 AH89 AP89 AL89 AH57 AL57 AP57" xr:uid="{A37B1E31-BAD3-43E2-8F58-4933D98AB941}">
      <formula1>"1,2,3,4,5,6,7,8"</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7">
        <x14:dataValidation type="list" allowBlank="1" showInputMessage="1" showErrorMessage="1" xr:uid="{69AB1C1B-0270-499E-B7D5-5CC71EF9A5CD}">
          <x14:formula1>
            <xm:f>_xlfn.ANCHORARRAY(HELPER!$CB$2)</xm:f>
          </x14:formula1>
          <xm:sqref>AH3 AL3 AP3 AH51 AL51 AP51</xm:sqref>
        </x14:dataValidation>
        <x14:dataValidation type="list" allowBlank="1" showInputMessage="1" showErrorMessage="1" errorTitle="Invalid thickness" error="Choose a thickness available for the selected laminate." xr:uid="{461C501E-D574-412C-BC41-792BAC11FF55}">
          <x14:formula1>
            <xm:f>HELPER!$CD$2:$CD$20</xm:f>
          </x14:formula1>
          <xm:sqref>AH4</xm:sqref>
        </x14:dataValidation>
        <x14:dataValidation type="list" allowBlank="1" showInputMessage="1" showErrorMessage="1" errorTitle="Invalid thickness" error="Choose a thickness available for the selected laminate." xr:uid="{71B25243-2908-42BA-97E5-8578A98E71FD}">
          <x14:formula1>
            <xm:f>HELPER!$CE$2:$CE$20</xm:f>
          </x14:formula1>
          <xm:sqref>AL4</xm:sqref>
        </x14:dataValidation>
        <x14:dataValidation type="list" allowBlank="1" showInputMessage="1" showErrorMessage="1" errorTitle="Invalid thickness" error="Choose a thickness available for the selected laminate." xr:uid="{877E6913-E335-4D3F-9E0F-E4118D30D762}">
          <x14:formula1>
            <xm:f>HELPER!$CF$2:$CF$20</xm:f>
          </x14:formula1>
          <xm:sqref>AP4</xm:sqref>
        </x14:dataValidation>
        <x14:dataValidation type="list" allowBlank="1" showInputMessage="1" showErrorMessage="1" errorTitle="Invalid thickness" error="Choose a thickness available for the selected laminate." xr:uid="{C4B5FF6A-456D-4D8A-A9EA-79F01C7A6B9B}">
          <x14:formula1>
            <xm:f>HELPER!$DF$2:$DF$20</xm:f>
          </x14:formula1>
          <xm:sqref>AH52</xm:sqref>
        </x14:dataValidation>
        <x14:dataValidation type="list" allowBlank="1" showInputMessage="1" showErrorMessage="1" errorTitle="Invalid thickness" error="Choose a thickness available for the selected laminate." xr:uid="{00905784-3A7B-4C7B-879C-CBDC3A6F3AB9}">
          <x14:formula1>
            <xm:f>HELPER!$DG$2:$DG$20</xm:f>
          </x14:formula1>
          <xm:sqref>AL52</xm:sqref>
        </x14:dataValidation>
        <x14:dataValidation type="list" allowBlank="1" showInputMessage="1" showErrorMessage="1" errorTitle="Invalid thickness" error="Choose a thickness available for the selected laminate." xr:uid="{B3BC6415-F2EA-4385-A30F-E186AFA05562}">
          <x14:formula1>
            <xm:f>HELPER!$DH$2:$DH$20</xm:f>
          </x14:formula1>
          <xm:sqref>AP52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8F8AA-3639-465C-AD6F-78F83E5F2AB0}">
  <sheetPr>
    <tabColor rgb="FFFFFF00"/>
    <pageSetUpPr autoPageBreaks="0"/>
  </sheetPr>
  <dimension ref="A1:AR191"/>
  <sheetViews>
    <sheetView topLeftCell="T11" zoomScale="85" zoomScaleNormal="85" zoomScaleSheetLayoutView="85" workbookViewId="0">
      <selection activeCell="AE4" sqref="AE4"/>
    </sheetView>
  </sheetViews>
  <sheetFormatPr defaultRowHeight="15" outlineLevelRow="1" outlineLevelCol="1"/>
  <cols>
    <col min="1" max="1" width="18" style="96" bestFit="1" customWidth="1" outlineLevel="1"/>
    <col min="2" max="2" width="18" bestFit="1" customWidth="1" outlineLevel="1"/>
    <col min="3" max="3" width="19.7109375" bestFit="1" customWidth="1" outlineLevel="1"/>
    <col min="4" max="4" width="20.140625" bestFit="1" customWidth="1" outlineLevel="1"/>
    <col min="5" max="5" width="19.28515625" bestFit="1" customWidth="1" outlineLevel="1"/>
    <col min="6" max="6" width="21.85546875" bestFit="1" customWidth="1" outlineLevel="1"/>
    <col min="7" max="7" width="32.28515625" bestFit="1" customWidth="1" outlineLevel="1"/>
    <col min="8" max="9" width="18" bestFit="1" customWidth="1" outlineLevel="1"/>
    <col min="10" max="10" width="25.85546875" bestFit="1" customWidth="1" outlineLevel="1"/>
    <col min="11" max="11" width="14.5703125" bestFit="1" customWidth="1" outlineLevel="1"/>
    <col min="12" max="13" width="13.7109375" bestFit="1" customWidth="1" outlineLevel="1"/>
    <col min="14" max="14" width="19" bestFit="1" customWidth="1" outlineLevel="1"/>
    <col min="15" max="15" width="22.5703125" bestFit="1" customWidth="1" outlineLevel="1"/>
    <col min="16" max="16" width="16.5703125" bestFit="1" customWidth="1" outlineLevel="1"/>
    <col min="17" max="17" width="18" bestFit="1" customWidth="1" outlineLevel="1"/>
    <col min="18" max="19" width="25.140625" style="141" bestFit="1" customWidth="1" outlineLevel="1"/>
    <col min="20" max="20" width="16" style="141" bestFit="1" customWidth="1" outlineLevel="1"/>
    <col min="21" max="21" width="25.140625" style="141" bestFit="1" customWidth="1" outlineLevel="1"/>
    <col min="22" max="22" width="15.28515625" bestFit="1" customWidth="1" outlineLevel="1"/>
    <col min="23" max="23" width="15.7109375" bestFit="1" customWidth="1" outlineLevel="1"/>
    <col min="24" max="24" width="9.5703125" bestFit="1" customWidth="1" outlineLevel="1"/>
    <col min="25" max="25" width="14.5703125" bestFit="1" customWidth="1" outlineLevel="1"/>
    <col min="26" max="26" width="22.42578125" bestFit="1" customWidth="1" outlineLevel="1"/>
    <col min="27" max="28" width="3.5703125" customWidth="1"/>
    <col min="29" max="29" width="4" customWidth="1"/>
    <col min="30" max="30" width="27.5703125" customWidth="1"/>
    <col min="31" max="31" width="17.85546875" bestFit="1" customWidth="1"/>
    <col min="32" max="32" width="14.7109375" bestFit="1" customWidth="1"/>
    <col min="33" max="34" width="11.85546875" customWidth="1"/>
    <col min="35" max="35" width="17.85546875" bestFit="1" customWidth="1"/>
    <col min="36" max="36" width="14.7109375" bestFit="1" customWidth="1"/>
    <col min="37" max="40" width="11.85546875" customWidth="1"/>
    <col min="42" max="44" width="23" bestFit="1" customWidth="1"/>
  </cols>
  <sheetData>
    <row r="1" spans="1:44" ht="15.75" thickBot="1">
      <c r="A1" s="276" t="s">
        <v>875</v>
      </c>
      <c r="B1" s="276" t="s">
        <v>875</v>
      </c>
      <c r="C1" s="276" t="s">
        <v>617</v>
      </c>
      <c r="D1" s="534"/>
      <c r="E1" s="535"/>
      <c r="F1" s="276" t="s">
        <v>875</v>
      </c>
      <c r="G1" s="276" t="s">
        <v>141</v>
      </c>
      <c r="H1" s="276" t="s">
        <v>875</v>
      </c>
      <c r="I1" s="276" t="s">
        <v>875</v>
      </c>
      <c r="J1" s="276" t="s">
        <v>876</v>
      </c>
      <c r="K1" s="277" t="s">
        <v>141</v>
      </c>
      <c r="L1" s="276" t="s">
        <v>141</v>
      </c>
      <c r="M1" s="276" t="s">
        <v>141</v>
      </c>
      <c r="N1" s="277" t="s">
        <v>141</v>
      </c>
      <c r="O1" s="276" t="s">
        <v>875</v>
      </c>
      <c r="P1" s="276" t="s">
        <v>141</v>
      </c>
      <c r="Q1" s="276" t="s">
        <v>875</v>
      </c>
      <c r="R1" s="278" t="s">
        <v>877</v>
      </c>
      <c r="S1" s="278" t="s">
        <v>877</v>
      </c>
      <c r="T1" s="275" t="s">
        <v>141</v>
      </c>
      <c r="U1" s="278" t="s">
        <v>877</v>
      </c>
      <c r="V1" s="278" t="s">
        <v>141</v>
      </c>
      <c r="W1" s="278" t="s">
        <v>141</v>
      </c>
      <c r="X1" s="276"/>
      <c r="Y1" s="276" t="s">
        <v>141</v>
      </c>
      <c r="Z1" s="238" t="s">
        <v>865</v>
      </c>
      <c r="AD1" s="287" t="s">
        <v>878</v>
      </c>
      <c r="AE1" s="200">
        <v>0.25</v>
      </c>
      <c r="AH1" s="287" t="s">
        <v>878</v>
      </c>
      <c r="AI1" s="200">
        <v>0.25</v>
      </c>
      <c r="AL1" s="287" t="s">
        <v>878</v>
      </c>
      <c r="AM1" s="200">
        <v>0.25</v>
      </c>
      <c r="AP1" t="s">
        <v>1101</v>
      </c>
      <c r="AQ1" t="s">
        <v>1102</v>
      </c>
      <c r="AR1" t="s">
        <v>1103</v>
      </c>
    </row>
    <row r="2" spans="1:44" ht="30.75" thickBot="1">
      <c r="A2" s="94" t="s">
        <v>227</v>
      </c>
      <c r="B2" s="94" t="s">
        <v>180</v>
      </c>
      <c r="C2" s="92" t="s">
        <v>181</v>
      </c>
      <c r="D2" s="94" t="s">
        <v>883</v>
      </c>
      <c r="E2" s="94" t="s">
        <v>1040</v>
      </c>
      <c r="F2" s="94" t="s">
        <v>239</v>
      </c>
      <c r="G2" s="94" t="s">
        <v>183</v>
      </c>
      <c r="H2" s="92" t="s">
        <v>184</v>
      </c>
      <c r="I2" s="94" t="s">
        <v>612</v>
      </c>
      <c r="J2" s="536" t="s">
        <v>1041</v>
      </c>
      <c r="K2" s="92" t="s">
        <v>4</v>
      </c>
      <c r="L2" s="92" t="s">
        <v>58</v>
      </c>
      <c r="M2" s="94" t="s">
        <v>187</v>
      </c>
      <c r="N2" s="92" t="s">
        <v>188</v>
      </c>
      <c r="O2" s="94" t="s">
        <v>148</v>
      </c>
      <c r="P2" s="94" t="s">
        <v>122</v>
      </c>
      <c r="Q2" s="118" t="s">
        <v>244</v>
      </c>
      <c r="R2" s="139" t="s">
        <v>291</v>
      </c>
      <c r="S2" s="139" t="s">
        <v>293</v>
      </c>
      <c r="T2" s="139" t="s">
        <v>874</v>
      </c>
      <c r="U2" s="140" t="s">
        <v>827</v>
      </c>
      <c r="V2" s="140" t="s">
        <v>621</v>
      </c>
      <c r="W2" s="140" t="s">
        <v>622</v>
      </c>
      <c r="X2" s="92" t="s">
        <v>189</v>
      </c>
      <c r="Y2" s="239" t="s">
        <v>866</v>
      </c>
      <c r="Z2" s="140" t="s">
        <v>777</v>
      </c>
      <c r="AD2" s="898" t="str">
        <f>"📊 LAMINATE CALCULATOR 1-"&amp;AE3&amp;" Laminate"</f>
        <v>📊 LAMINATE CALCULATOR 1-618 W Laminate</v>
      </c>
      <c r="AE2" s="899"/>
      <c r="AF2" s="900"/>
      <c r="AH2" s="966" t="str">
        <f>"📊 LAMINATE CALCULATOR 2-"&amp;AI3&amp;" Laminate"</f>
        <v>📊 LAMINATE CALCULATOR 2-608 W Laminate</v>
      </c>
      <c r="AI2" s="967"/>
      <c r="AJ2" s="968"/>
      <c r="AL2" s="969" t="str">
        <f>"📊 LAMINATE CALCULATOR 3-"&amp;AM3&amp;" Laminate"</f>
        <v>📊 LAMINATE CALCULATOR 3-608 W Laminate</v>
      </c>
      <c r="AM2" s="970"/>
      <c r="AN2" s="971"/>
      <c r="AP2" s="727" cm="1">
        <f t="array" ref="AP2">IFERROR(INDEX(_xlfn._xlws.SORT(_xlfn.UNIQUE(_xlfn._xlws.FILTER(HELPER!$CC$2:$CC$250,(TRIM(HELPER!$BZ$2:$BZ$250&amp;"")=TRIM($AE$51&amp;""))*(HELPER!$CC$2:$CC$250&lt;&gt;""),""))),1),"")</f>
        <v>51</v>
      </c>
      <c r="AQ2" s="727" cm="1">
        <f t="array" ref="AQ2">IFERROR(INDEX(_xlfn._xlws.SORT(_xlfn.UNIQUE(_xlfn._xlws.FILTER(HELPER!$CC$2:$CC$250,(TRIM(HELPER!$BZ$2:$BZ$250&amp;"")=TRIM($AI$51&amp;""))*(HELPER!$CC$2:$CC$250&lt;&gt;""),""))),1),"")</f>
        <v>100</v>
      </c>
      <c r="AR2" s="727" cm="1">
        <f t="array" ref="AR2">IFERROR(INDEX(_xlfn._xlws.SORT(_xlfn.UNIQUE(_xlfn._xlws.FILTER(HELPER!$CC$2:$CC$250,(TRIM(HELPER!$BZ$2:$BZ$250&amp;"")=TRIM($AM$51&amp;""))*(HELPER!$CC$2:$CC$250&lt;&gt;""),""))),1),"")</f>
        <v>100</v>
      </c>
    </row>
    <row r="3" spans="1:44" ht="15.75">
      <c r="A3" s="893">
        <f>IF(AE11="By Length",IF(AE12&lt;&gt;"",AE12*$M$8/MAX(1,IFERROR($E$3/$D3,1)),""),IF(OR(AE11="By Imp",AE11="IMP"),IFERROR(AE39*$M$8/MAX(1,IFERROR($E$3/$D3,1)),""),IF(AE6="","",AE6)))</f>
        <v>1553.9630592000001</v>
      </c>
      <c r="B3" s="891" t="str">
        <f>AE3</f>
        <v>618 W</v>
      </c>
      <c r="C3" t="str" cm="1">
        <f t="array" ref="C3:C5">IFERROR(_xlfn.LET(_xlpm.lam,TRIM(B3&amp;""),_xlpm.thick,AE4,_xlfn.TAKE(_xlfn._xlws.FILTER(HELPER!$BW$2:$BW$250,(TRIM(HELPER!$BZ$2:$BZ$250&amp;"")=_xlpm.lam)*(HELPER!$CC$2:$CC$250=_xlpm.thick)*(HELPER!$BW$2:$BW$250&lt;&gt;""),"No match"),6)),"")</f>
        <v>NK</v>
      </c>
      <c r="D3" s="972">
        <f>AE5</f>
        <v>660.4</v>
      </c>
      <c r="E3" s="895">
        <f>IF(D3="","",IF(D3&lt;300,D3*4,IF(D3&lt;400,D3*3,IF(D3&lt;600,D3*2,D3))))</f>
        <v>660.4</v>
      </c>
      <c r="F3" s="891"/>
      <c r="G3" s="892">
        <f>IF(OR(AE11="IMP",AE11="By Imp",AE11="By Length"),IFERROR(AE14,""),IFERROR((IF(OR(A3="",A3=0,$D3="",$E$3="",$M$8="",$M$8=0),"",A3/$M$8*MAX(1,IFERROR($E$3/$D3,1))))/(ROUNDDOWN($J3/$D3,0)),""))</f>
        <v>25400</v>
      </c>
      <c r="H3" s="891" t="str">
        <f>AE7</f>
        <v>Printed</v>
      </c>
      <c r="I3" s="894" t="str">
        <f>IF(H3="Not Printed",0,AE8)</f>
        <v>5-8</v>
      </c>
      <c r="J3" s="537">
        <f t="shared" ref="J3:J8" si="0">IF($C3="","",IF($E$3="","",$E$3+50))</f>
        <v>710.4</v>
      </c>
      <c r="K3" cm="1">
        <f t="array" ref="K3">_xlfn.LET(_xlpm.baseThick,IFERROR(INDEX(HELPER!$BX$2:$BX$250,MATCH(1,(TRIM(HELPER!$BZ$2:$BZ$250&amp;"")=TRIM($B$3&amp;""))*(HELPER!$CC$2:$CC$250=$AE$4)*(HELPER!$BW$2:$BW$250=C3),0)),""),_xlpm.struct,$C$3:$C$8,_xlpm.realLayers,SUMPRODUCT(--(_xlpm.struct&lt;&gt;""),--ISERROR(SEARCH("EPOTAL",_xlpm.struct&amp;"")),--ISERROR(SEARCH("BASONAT",_xlpm.struct&amp;"")),--ISERROR(SEARCH("ADHESIVE",_xlpm.struct&amp;"")),--ISERROR(SEARCH("HARDENER",_xlpm.struct&amp;""))),_xlpm.lamSteps,MAX(1,_xlpm.realLayers-1),_xlpm.isAdhesive,OR(ISNUMBER(SEARCH("EPOTAL",C3&amp;"")),ISNUMBER(SEARCH("BASONAT",C3&amp;"")),ISNUMBER(SEARCH("ADHESIVE",C3&amp;"")),ISNUMBER(SEARCH("HARDENER",C3&amp;""))),IF(_xlpm.baseThick="","",IF(_xlpm.isAdhesive,_xlpm.baseThick*_xlpm.lamSteps,_xlpm.baseThick)))</f>
        <v>23</v>
      </c>
      <c r="L3">
        <f>IFERROR(VLOOKUP(C3,HELPER!$AP$1:$AQ$20,2,FALSE),"")</f>
        <v>1.44</v>
      </c>
      <c r="M3" s="283">
        <f>IF(C3="","",IF(ISNUMBER(SEARCH("paper",C3)),42/1000*(J3/1000),IF(OR(L3="",L3=0),"",L3*1000*(K3/1000000)*(J3/1000))))</f>
        <v>2.3528447999999997E-2</v>
      </c>
      <c r="N3" s="235" cm="1">
        <f t="array" ref="N3">IF($C3="","",_xlfn.LET(
    _xlpm.mat,TRIM($C3),
    _xlpm.matKey,UPPER(SUBSTITUTE(_xlpm.mat," ","")),
    _xlpm.pr,IFERROR(LOOKUP(2,1/($H$3:H3&lt;&gt;""),$H$3:H3),""),
    _xlpm.widthActual,IFERROR(LOOKUP(2,1/($E$3:E3&lt;&gt;""),$E$3:E3),$E3),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",""))=_xlpm.matKey)*(_xlpm.summaryThick=$K3)*(_xlpm.summaryCosts&gt;0))),INDEX(_xlfn._xlws.FILTER(_xlpm.summaryCosts,(UPPER(SUBSTITUTE(_xlpm.summaryNames," ",""))=_xlpm.matKey)*(_xlpm.summaryThick=$K3)*(_xlpm.summaryCosts&gt;0)),1)),""),""),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7.95</v>
      </c>
      <c r="O3" s="891" t="str">
        <f>AE9</f>
        <v>Europe to Europe</v>
      </c>
      <c r="P3" s="95">
        <f>IF(C3="","",IFERROR(IF(O$3="Europe to Canada",IF(A$3&lt;1000,VLOOKUP(1000,HELPER!$AG$4:$AH$8,2,FALSE)/A$3,VLOOKUP(A$3,HELPER!$AG$4:$AH$8,2,TRUE)/A$3),IF(O$3="Europe to US",HELPER!$AH$2,IF(O$3="Europe to Europe",HELPER!$AH$3,0))),0))</f>
        <v>0.2</v>
      </c>
      <c r="Q3" s="891" t="str">
        <f>AE10</f>
        <v>Marma</v>
      </c>
      <c r="R3" s="901" cm="1">
        <f t="array" ref="R3">IF(OR($Q3="",$G3=""),"",IF($D3&gt;1220,"Error! please choose width not higher than 1220",_xlfn.LET(_xlpm.struct,$C$3:$C$8,_xlpm.realLayers,SUMPRODUCT(--(_xlpm.struct&lt;&gt;""),--ISERROR(SEARCH("EPOTAL",_xlpm.struct&amp;"")),--ISERROR(SEARCH("BASONAT",_xlpm.struct&amp;"")),--ISERROR(SEARCH("ADHESIVE",_xlpm.struct&amp;"")),--ISERROR(SEARCH("HARDENER",_xlpm.struct&amp;""))),_xlpm.lamSteps,MAX(0,_xlpm.realLayers-1),_xlpm.len,$G3,_xlpm.colNum,IF(_xlpm.len&lt;3000,1,IF(_xlpm.len&lt;10000,2,IF(_xlpm.len&lt;25000,3,IF(_xlpm.len&lt;50000,4,IF(_xlpm.len&lt;100000,5,IF(_xlpm.len&lt;250000,6,IF(_xlpm.len&lt;500000,7,8))))))),_xlpm.widthRow,IF($D3&lt;=990,0,5),_xlpm.supplierRow,IF($Q3="Marma",3,IF($Q3="Bastin",13,0)),_xlpm.baseRate,IF(_xlpm.supplierRow=0,"",INDEX('Lmntn &amp; Prntng- Marma &amp; Bastin '!$D$1:$K$22,_xlpm.supplierRow+_xlpm.widthRow,_xlpm.colNum)),IF(_xlpm.realLayers=0,"",_xlpm.baseRate*_xlpm.lamSteps))))</f>
        <v>8.6489999999999997E-2</v>
      </c>
      <c r="S3" s="888" cm="1">
        <f t="array" ref="S3">IF(OR($Q3="",$I3=0,$I3="0"),"",IF($D3&gt;1220,"Error! please choose width not higher than 1220",_xlfn.LET(_xlpm.len,$G3,_xlpm.colors,$I3,_xlpm.colNum,IF(_xlpm.len&lt;3000,1,IF(_xlpm.len&lt;10000,2,IF(_xlpm.len&lt;25000,3,IF(_xlpm.len&lt;50000,4,IF(_xlpm.len&lt;100000,5,IF(_xlpm.len&lt;250000,6,IF(_xlpm.len&lt;500000,7,8))))))),_xlpm.widthRow,IF($D3&lt;=990,0,5),_xlpm.colorOffset,IF(OR(_xlpm.colors=1,_xlpm.colors=2,_xlpm.colors="1-2"),1,IF(OR(_xlpm.colors=3,_xlpm.colors=4,_xlpm.colors="3-4"),2,IF(OR(_xlpm.colors&gt;=5,_xlpm.colors="5-6",_xlpm.colors="5-8"),3,0))),_xlpm.supplierRow,IF($Q3="Marma",3,IF($Q3="Bastin",13,0)),IF(OR(_xlpm.supplierRow=0,_xlpm.colorOffset=0),"",INDEX('Lmntn &amp; Prntng- Marma &amp; Bastin '!$D$1:$K$22,_xlpm.supplierRow+_xlpm.widthRow+_xlpm.colorOffset,_xlpm.colNum)))))</f>
        <v>0.11529</v>
      </c>
      <c r="T3" s="889">
        <f>IF(OR($S3="",$K3=""),"",IFERROR($S3*(1/$M$8)*($J3/($D3*MAX(1,ROUNDDOWN(760/$D3,0)))),""))</f>
        <v>2.0271251107366983</v>
      </c>
      <c r="U3" s="896" cm="1">
        <f t="array" ref="U3">IF($Q3="","",IF($D3&gt;1220,"Error! please choose width not higher than 1220",_xlfn.LET(_xlpm.len,$G3,_xlpm.colNum,IF(_xlpm.len&lt;3000,1,IF(_xlpm.len&lt;10000,2,IF(_xlpm.len&lt;25000,3,IF(_xlpm.len&lt;50000,4,IF(_xlpm.len&lt;100000,5,IF(_xlpm.len&lt;250000,6,IF(_xlpm.len&lt;500000,7,8))))))),_xlpm.widthRow,IF($D3&lt;=990,0,5),_xlpm.supplierRow,IF($Q3="Marma",7,IF($Q3="Bastin",17,0)),IF(_xlpm.supplierRow=0,"",INDEX('Lmntn &amp; Prntng- Marma &amp; Bastin '!$D$1:$K$22,_xlpm.supplierRow+_xlpm.widthRow,_xlpm.colNum)))))</f>
        <v>2.4120000000000003E-2</v>
      </c>
      <c r="V3" s="890">
        <f>IFERROR(IF(AE21="","",VLOOKUP($K$8,HELPER!$BH$3:$BI$5,2,TRUE)*AE21),"")</f>
        <v>0</v>
      </c>
      <c r="W3" s="973">
        <f>IF(OR($H3&lt;&gt;"Printed",$I3=0,$I3="0"),0,IFERROR(AE21*0.028,0))</f>
        <v>0.23516339951100024</v>
      </c>
      <c r="X3" s="237">
        <f t="shared" ref="X3:X19" si="1">IF($K3="","",IFERROR($M3*($N3+$P3),""))</f>
        <v>0.19175685119999999</v>
      </c>
      <c r="Y3" s="886">
        <f>IFERROR((SUM(X3:X8)+SUM(R3:S3,U3))*(1/M8)*(J3/E3)+V3+W3,"")</f>
        <v>12.820961128258766</v>
      </c>
      <c r="Z3" s="282">
        <f>IF($M3="","",IFERROR(($N3+$P3)*$M3/$M$8,""))</f>
        <v>3.1343241987923824</v>
      </c>
      <c r="AD3" s="556" t="s">
        <v>594</v>
      </c>
      <c r="AE3" s="546" t="str">
        <f>IF(AE51="","",AE51)</f>
        <v>618 W</v>
      </c>
      <c r="AF3" s="557"/>
      <c r="AH3" s="571" t="s">
        <v>594</v>
      </c>
      <c r="AI3" s="198" t="str">
        <f>IF(AI51="","",AI51)</f>
        <v>608 W</v>
      </c>
      <c r="AJ3" s="572"/>
      <c r="AL3" s="585" t="s">
        <v>594</v>
      </c>
      <c r="AM3" s="199" t="str">
        <f>IF(AM51="","",AM51)</f>
        <v>608 W</v>
      </c>
      <c r="AN3" s="586"/>
      <c r="AP3" s="727" cm="1">
        <f t="array" ref="AP3">IFERROR(INDEX(_xlfn._xlws.SORT(_xlfn.UNIQUE(_xlfn._xlws.FILTER(HELPER!$CC$2:$CC$250,(TRIM(HELPER!$BZ$2:$BZ$250&amp;"")=TRIM($AE$51&amp;""))*(HELPER!$CC$2:$CC$250&lt;&gt;""),""))),2),"")</f>
        <v>56</v>
      </c>
      <c r="AQ3" s="727" t="str" cm="1">
        <f t="array" ref="AQ3">IFERROR(INDEX(_xlfn._xlws.SORT(_xlfn.UNIQUE(_xlfn._xlws.FILTER(HELPER!$CC$2:$CC$250,(TRIM(HELPER!$BZ$2:$BZ$250&amp;"")=TRIM($AI$51&amp;""))*(HELPER!$CC$2:$CC$250&lt;&gt;""),""))),2),"")</f>
        <v/>
      </c>
      <c r="AR3" s="727" t="str" cm="1">
        <f t="array" ref="AR3">IFERROR(INDEX(_xlfn._xlws.SORT(_xlfn.UNIQUE(_xlfn._xlws.FILTER(HELPER!$CC$2:$CC$250,(TRIM(HELPER!$BZ$2:$BZ$250&amp;"")=TRIM($AM$51&amp;""))*(HELPER!$CC$2:$CC$250&lt;&gt;""),""))),2),"")</f>
        <v/>
      </c>
    </row>
    <row r="4" spans="1:44" ht="15.75">
      <c r="A4" s="893"/>
      <c r="B4" s="891"/>
      <c r="C4" t="str">
        <v>TIPA 302FG W</v>
      </c>
      <c r="D4" s="891"/>
      <c r="E4" s="891"/>
      <c r="F4" s="891"/>
      <c r="G4" s="892"/>
      <c r="H4" s="891"/>
      <c r="I4" s="891"/>
      <c r="J4" s="537">
        <f t="shared" si="0"/>
        <v>710.4</v>
      </c>
      <c r="K4" cm="1">
        <f t="array" ref="K4">_xlfn.LET(_xlpm.baseThick,IFERROR(INDEX(HELPER!$BX$2:$BX$250,MATCH(1,(TRIM(HELPER!$BZ$2:$BZ$250&amp;"")=TRIM($B$3&amp;""))*(HELPER!$CC$2:$CC$250=$AE$4)*(HELPER!$BW$2:$BW$250=C4),0)),""),_xlpm.struct,$C$3:$C$8,_xlpm.realLayers,SUMPRODUCT(--(_xlpm.struct&lt;&gt;""),--ISERROR(SEARCH("EPOTAL",_xlpm.struct&amp;"")),--ISERROR(SEARCH("BASONAT",_xlpm.struct&amp;"")),--ISERROR(SEARCH("ADHESIVE",_xlpm.struct&amp;"")),--ISERROR(SEARCH("HARDENER",_xlpm.struct&amp;""))),_xlpm.lamSteps,MAX(1,_xlpm.realLayers-1),_xlpm.isAdhesive,OR(ISNUMBER(SEARCH("EPOTAL",C4&amp;"")),ISNUMBER(SEARCH("BASONAT",C4&amp;"")),ISNUMBER(SEARCH("ADHESIVE",C4&amp;"")),ISNUMBER(SEARCH("HARDENER",C4&amp;""))),IF(_xlpm.baseThick="","",IF(_xlpm.isAdhesive,_xlpm.baseThick*_xlpm.lamSteps,_xlpm.baseThick)))</f>
        <v>40</v>
      </c>
      <c r="L4">
        <f>IFERROR(VLOOKUP(C4,HELPER!$AP$1:$AQ$20,2,FALSE),"")</f>
        <v>1.25</v>
      </c>
      <c r="M4" s="283">
        <f>IF(C4="","",IF(ISNUMBER(SEARCH("paper",C4)),42/1000*(J4/1000),IF(OR(L4="",L4=0),"",L4*1000*(K4/1000000)*(J4/1000))))</f>
        <v>3.5520000000000003E-2</v>
      </c>
      <c r="N4" s="533" cm="1">
        <f t="array" ref="N4">IF($C4="","",_xlfn.LET(
    _xlpm.mat,TRIM($C4),
    _xlpm.matKey,UPPER(SUBSTITUTE(_xlpm.mat," ","")),
    _xlpm.pr,IFERROR(LOOKUP(2,1/($H$3:H4&lt;&gt;""),$H$3:H4),""),
    _xlpm.widthActual,IFERROR(LOOKUP(2,1/($E$3:E4&lt;&gt;""),$E$3:E4),$E4),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",""))=_xlpm.matKey)*(_xlpm.summaryThick=$K4)*(_xlpm.summaryCosts&gt;0))),INDEX(_xlfn._xlws.FILTER(_xlpm.summaryCosts,(UPPER(SUBSTITUTE(_xlpm.summaryNames," ",""))=_xlpm.matKey)*(_xlpm.summaryThick=$K4)*(_xlpm.summaryCosts&gt;0)),1)),""),""),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7.8906761999999997</v>
      </c>
      <c r="O4" s="891"/>
      <c r="P4" s="95">
        <f>IF(C4="","",IFERROR(IF(O$3="Europe to Canada",IF(A$3&lt;1000,VLOOKUP(1000,HELPER!$AG$4:$AH$8,2,FALSE)/A$3,VLOOKUP(A$3,HELPER!$AG$4:$AH$8,2,TRUE)/A$3),IF(O$3="Europe to US",HELPER!$AH$2,IF(O$3="Europe to Europe",HELPER!$AH$3,0))),0))</f>
        <v>0.2</v>
      </c>
      <c r="Q4" s="891"/>
      <c r="R4" s="901"/>
      <c r="S4" s="888"/>
      <c r="T4" s="889"/>
      <c r="U4" s="896"/>
      <c r="V4" s="897"/>
      <c r="W4" s="897"/>
      <c r="X4" s="237">
        <f t="shared" si="1"/>
        <v>0.287380818624</v>
      </c>
      <c r="Y4" s="886"/>
      <c r="Z4" s="281">
        <f>IF($M4="","",IFERROR(($N4+$P4)*$M4/$M$8,""))</f>
        <v>4.6973271017185318</v>
      </c>
      <c r="AD4" s="556" t="s">
        <v>595</v>
      </c>
      <c r="AE4" s="546">
        <f>IF(AE52="","",AE52)</f>
        <v>66</v>
      </c>
      <c r="AF4" s="557" t="s">
        <v>109</v>
      </c>
      <c r="AH4" s="571" t="s">
        <v>595</v>
      </c>
      <c r="AI4" s="745">
        <f>IF(AI52="","",AI52)</f>
        <v>100</v>
      </c>
      <c r="AJ4" s="572" t="s">
        <v>109</v>
      </c>
      <c r="AL4" s="585" t="s">
        <v>595</v>
      </c>
      <c r="AM4" s="746">
        <f>IF(AM52="","",AM52)</f>
        <v>100</v>
      </c>
      <c r="AN4" s="586" t="s">
        <v>109</v>
      </c>
      <c r="AP4" s="727" cm="1">
        <f t="array" ref="AP4">IFERROR(INDEX(_xlfn._xlws.SORT(_xlfn.UNIQUE(_xlfn._xlws.FILTER(HELPER!$CC$2:$CC$250,(TRIM(HELPER!$BZ$2:$BZ$250&amp;"")=TRIM($AE$51&amp;""))*(HELPER!$CC$2:$CC$250&lt;&gt;""),""))),3),"")</f>
        <v>61</v>
      </c>
      <c r="AQ4" s="727" t="str" cm="1">
        <f t="array" ref="AQ4">IFERROR(INDEX(_xlfn._xlws.SORT(_xlfn.UNIQUE(_xlfn._xlws.FILTER(HELPER!$CC$2:$CC$250,(TRIM(HELPER!$BZ$2:$BZ$250&amp;"")=TRIM($AI$51&amp;""))*(HELPER!$CC$2:$CC$250&lt;&gt;""),""))),3),"")</f>
        <v/>
      </c>
      <c r="AR4" s="727" t="str" cm="1">
        <f t="array" ref="AR4">IFERROR(INDEX(_xlfn._xlws.SORT(_xlfn.UNIQUE(_xlfn._xlws.FILTER(HELPER!$CC$2:$CC$250,(TRIM(HELPER!$BZ$2:$BZ$250&amp;"")=TRIM($AM$51&amp;""))*(HELPER!$CC$2:$CC$250&lt;&gt;""),""))),3),"")</f>
        <v/>
      </c>
    </row>
    <row r="5" spans="1:44" ht="15.75">
      <c r="A5" s="893"/>
      <c r="B5" s="891"/>
      <c r="C5" t="str">
        <v>RM G Epotal ECO 3675</v>
      </c>
      <c r="D5" s="891"/>
      <c r="E5" s="891"/>
      <c r="F5" s="891"/>
      <c r="G5" s="892"/>
      <c r="H5" s="891"/>
      <c r="I5" s="891"/>
      <c r="J5" s="537">
        <f t="shared" si="0"/>
        <v>710.4</v>
      </c>
      <c r="K5" cm="1">
        <f t="array" ref="K5">_xlfn.LET(_xlpm.baseThick,IFERROR(INDEX(HELPER!$BX$2:$BX$250,MATCH(1,(TRIM(HELPER!$BZ$2:$BZ$250&amp;"")=TRIM($B$3&amp;""))*(HELPER!$CC$2:$CC$250=$AE$4)*(HELPER!$BW$2:$BW$250=C5),0)),""),_xlpm.struct,$C$3:$C$8,_xlpm.realLayers,SUMPRODUCT(--(_xlpm.struct&lt;&gt;""),--ISERROR(SEARCH("EPOTAL",_xlpm.struct&amp;"")),--ISERROR(SEARCH("BASONAT",_xlpm.struct&amp;"")),--ISERROR(SEARCH("ADHESIVE",_xlpm.struct&amp;"")),--ISERROR(SEARCH("HARDENER",_xlpm.struct&amp;""))),_xlpm.lamSteps,MAX(1,_xlpm.realLayers-1),_xlpm.isAdhesive,OR(ISNUMBER(SEARCH("EPOTAL",C5&amp;"")),ISNUMBER(SEARCH("BASONAT",C5&amp;"")),ISNUMBER(SEARCH("ADHESIVE",C5&amp;"")),ISNUMBER(SEARCH("HARDENER",C5&amp;""))),IF(_xlpm.baseThick="","",IF(_xlpm.isAdhesive,_xlpm.baseThick*_xlpm.lamSteps,_xlpm.baseThick)))</f>
        <v>3</v>
      </c>
      <c r="L5">
        <f>IFERROR(VLOOKUP(C5,HELPER!$AP$1:$AQ$20,2,FALSE),"")</f>
        <v>1</v>
      </c>
      <c r="M5" s="283">
        <f>IF(C5="","",IF(ISNUMBER(SEARCH("paper",C5)),42/1000*(J5/1000),IF(OR(L5="",L5=0),"",L5*1000*(K5/1000000)*(J5/1000))))</f>
        <v>2.1312000000000002E-3</v>
      </c>
      <c r="N5" s="236" cm="1">
        <f t="array" ref="N5">IF($C5="","",_xlfn.LET(
    _xlpm.mat,TRIM($C5),
    _xlpm.matKey,UPPER(SUBSTITUTE(_xlpm.mat," ","")),
    _xlpm.pr,IFERROR(LOOKUP(2,1/($H$3:H5&lt;&gt;""),$H$3:H5),""),
    _xlpm.widthActual,IFERROR(LOOKUP(2,1/($E$3:E5&lt;&gt;""),$E$3:E5),$E5),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",""))=_xlpm.matKey)*(_xlpm.summaryThick=$K5)*(_xlpm.summaryCosts&gt;0))),INDEX(_xlfn._xlws.FILTER(_xlpm.summaryCosts,(UPPER(SUBSTITUTE(_xlpm.summaryNames," ",""))=_xlpm.matKey)*(_xlpm.summaryThick=$K5)*(_xlpm.summaryCosts&gt;0)),1)),""),""),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4.8500000000000005</v>
      </c>
      <c r="O5" s="891"/>
      <c r="P5" s="95">
        <f>IF(C5="","",IFERROR(IF(O$3="Europe to Canada",IF(A$3&lt;1000,VLOOKUP(1000,HELPER!$AG$4:$AH$8,2,FALSE)/A$3,VLOOKUP(A$3,HELPER!$AG$4:$AH$8,2,TRUE)/A$3),IF(O$3="Europe to US",HELPER!$AH$2,IF(O$3="Europe to Europe",HELPER!$AH$3,0))),0))</f>
        <v>0.2</v>
      </c>
      <c r="Q5" s="891"/>
      <c r="R5" s="901"/>
      <c r="S5" s="888"/>
      <c r="T5" s="889"/>
      <c r="U5" s="896"/>
      <c r="V5" s="897"/>
      <c r="W5" s="897"/>
      <c r="X5" s="237">
        <f t="shared" si="1"/>
        <v>1.0762560000000003E-2</v>
      </c>
      <c r="Y5" s="886"/>
      <c r="Z5" s="233">
        <f>IF($M5="","",IFERROR(($N5+$P5)*$M5/$M$8,""))</f>
        <v>0.1759173246632606</v>
      </c>
      <c r="AD5" s="556" t="s">
        <v>596</v>
      </c>
      <c r="AE5" s="748">
        <f>IF(AE53="","",AE53*2+IF(AE55="",0,AE55*2)+IF(AE56="",0,AE56))</f>
        <v>660.4</v>
      </c>
      <c r="AF5" s="557" t="s">
        <v>511</v>
      </c>
      <c r="AH5" s="571" t="s">
        <v>596</v>
      </c>
      <c r="AI5" s="749">
        <f>IF(AI53="","",AI53*2+IF(AI55="",0,AI55*2)+IF(AI56="",0,AI56))</f>
        <v>660.4</v>
      </c>
      <c r="AJ5" s="572" t="s">
        <v>511</v>
      </c>
      <c r="AL5" s="585" t="s">
        <v>596</v>
      </c>
      <c r="AM5" s="750">
        <f>IF(AM53="","",AM53*2+IF(AM55="",0,AM55*2)+IF(AM56="",0,AM56))</f>
        <v>660.4</v>
      </c>
      <c r="AN5" s="586" t="s">
        <v>511</v>
      </c>
      <c r="AP5" s="727" cm="1">
        <f t="array" ref="AP5">IFERROR(INDEX(_xlfn._xlws.SORT(_xlfn.UNIQUE(_xlfn._xlws.FILTER(HELPER!$CC$2:$CC$250,(TRIM(HELPER!$BZ$2:$BZ$250&amp;"")=TRIM($AE$51&amp;""))*(HELPER!$CC$2:$CC$250&lt;&gt;""),""))),4),"")</f>
        <v>66</v>
      </c>
      <c r="AQ5" s="727" t="str" cm="1">
        <f t="array" ref="AQ5">IFERROR(INDEX(_xlfn._xlws.SORT(_xlfn.UNIQUE(_xlfn._xlws.FILTER(HELPER!$CC$2:$CC$250,(TRIM(HELPER!$BZ$2:$BZ$250&amp;"")=TRIM($AI$51&amp;""))*(HELPER!$CC$2:$CC$250&lt;&gt;""),""))),4),"")</f>
        <v/>
      </c>
      <c r="AR5" s="727" t="str" cm="1">
        <f t="array" ref="AR5">IFERROR(INDEX(_xlfn._xlws.SORT(_xlfn.UNIQUE(_xlfn._xlws.FILTER(HELPER!$CC$2:$CC$250,(TRIM(HELPER!$BZ$2:$BZ$250&amp;"")=TRIM($AM$51&amp;""))*(HELPER!$CC$2:$CC$250&lt;&gt;""),""))),4),"")</f>
        <v/>
      </c>
    </row>
    <row r="6" spans="1:44" ht="15.75">
      <c r="A6" s="893"/>
      <c r="B6" s="891"/>
      <c r="D6" s="891"/>
      <c r="E6" s="891"/>
      <c r="F6" s="891"/>
      <c r="G6" s="892"/>
      <c r="H6" s="891"/>
      <c r="I6" s="891"/>
      <c r="J6" s="537" t="str">
        <f t="shared" si="0"/>
        <v/>
      </c>
      <c r="K6" t="str" cm="1">
        <f t="array" ref="K6">_xlfn.LET(_xlpm.baseThick,IFERROR(INDEX(HELPER!$BX$2:$BX$250,MATCH(1,(TRIM(HELPER!$BZ$2:$BZ$250&amp;"")=TRIM($B$3&amp;""))*(HELPER!$CC$2:$CC$250=$AE$4)*(HELPER!$BW$2:$BW$250=C6),0)),""),_xlpm.struct,$C$3:$C$8,_xlpm.realLayers,SUMPRODUCT(--(_xlpm.struct&lt;&gt;""),--ISERROR(SEARCH("EPOTAL",_xlpm.struct&amp;"")),--ISERROR(SEARCH("BASONAT",_xlpm.struct&amp;"")),--ISERROR(SEARCH("ADHESIVE",_xlpm.struct&amp;"")),--ISERROR(SEARCH("HARDENER",_xlpm.struct&amp;""))),_xlpm.lamSteps,MAX(1,_xlpm.realLayers-1),_xlpm.isAdhesive,OR(ISNUMBER(SEARCH("EPOTAL",C6&amp;"")),ISNUMBER(SEARCH("BASONAT",C6&amp;"")),ISNUMBER(SEARCH("ADHESIVE",C6&amp;"")),ISNUMBER(SEARCH("HARDENER",C6&amp;""))),IF(_xlpm.baseThick="","",IF(_xlpm.isAdhesive,_xlpm.baseThick*_xlpm.lamSteps,_xlpm.baseThick)))</f>
        <v/>
      </c>
      <c r="L6" t="str">
        <f>IFERROR(VLOOKUP(C6,HELPER!$AP$1:$AQ$20,2,FALSE),"")</f>
        <v/>
      </c>
      <c r="M6" s="283" t="str" cm="1">
        <f t="array" ref="M6">IF(C6="","",IF(ISNUMBER(SEARCH("paper",C6)),42/1000*(J6/1000),IF(OR(L6="",L6=0),"",L6*1000*(K6/1000000)*(J6/1000)*IF(OR(ISNUMBER(SEARCH("RM G Epotal",C6)),ISNUMBER(SEARCH("RM G Basonat",C6))),MAX(1,SUMPRODUCT((LEFT(C$3:C$7,2)="NK")+(ISNUMBER(SEARCH("paper",C$3:C$7)))+(LEFT(C$3:C$7,4)="TIPA")+(LEFT(C$3:C$7,4)="PBAT"))-1),1))))</f>
        <v/>
      </c>
      <c r="N6" s="235" t="str" cm="1">
        <f t="array" ref="N6">IF($C6="","",_xlfn.LET(
    _xlpm.mat,TRIM($C6),
    _xlpm.matKey,UPPER(SUBSTITUTE(_xlpm.mat," ","")),
    _xlpm.pr,IFERROR(LOOKUP(2,1/($H$3:H6&lt;&gt;""),$H$3:H6),""),
    _xlpm.widthActual,IFERROR(LOOKUP(2,1/($E$3:E6&lt;&gt;""),$E$3:E6),$E6),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",""))=_xlpm.matKey)*(_xlpm.summaryThick=$K6)*(_xlpm.summaryCosts&gt;0))),INDEX(_xlfn._xlws.FILTER(_xlpm.summaryCosts,(UPPER(SUBSTITUTE(_xlpm.summaryNames," ",""))=_xlpm.matKey)*(_xlpm.summaryThick=$K6)*(_xlpm.summaryCosts&gt;0)),1)),""),""),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
      </c>
      <c r="O6" s="891"/>
      <c r="P6" s="95" t="str">
        <f>IF(C6="","",IFERROR(IF(O$3="Europe to Canada",IF(A$3&lt;1000,VLOOKUP(1000,HELPER!$AG$4:$AH$8,2,FALSE)/A$3,VLOOKUP(A$3,HELPER!$AG$4:$AH$8,2,TRUE)/A$3),IF(O$3="Europe to US",HELPER!$AH$2,IF(O$3="Europe to Europe",HELPER!$AH$3,0))),0))</f>
        <v/>
      </c>
      <c r="Q6" s="891"/>
      <c r="R6" s="901"/>
      <c r="S6" s="888"/>
      <c r="T6" s="889"/>
      <c r="U6" s="896"/>
      <c r="V6" s="897"/>
      <c r="W6" s="897"/>
      <c r="X6" s="237" t="str">
        <f t="shared" si="1"/>
        <v/>
      </c>
      <c r="Y6" s="886"/>
      <c r="Z6" s="280" t="str">
        <f>IF($M6="","",IFERROR(($N6+$P6)*$M6/$M$8,""))</f>
        <v/>
      </c>
      <c r="AD6" s="556" t="s">
        <v>597</v>
      </c>
      <c r="AE6" s="196"/>
      <c r="AF6" s="557" t="s">
        <v>225</v>
      </c>
      <c r="AH6" s="571" t="s">
        <v>597</v>
      </c>
      <c r="AI6" s="198"/>
      <c r="AJ6" s="572" t="s">
        <v>225</v>
      </c>
      <c r="AL6" s="585" t="s">
        <v>597</v>
      </c>
      <c r="AM6" s="199"/>
      <c r="AN6" s="586" t="s">
        <v>225</v>
      </c>
      <c r="AP6" s="727" cm="1">
        <f t="array" ref="AP6">IFERROR(INDEX(_xlfn._xlws.SORT(_xlfn.UNIQUE(_xlfn._xlws.FILTER(HELPER!$CC$2:$CC$250,(TRIM(HELPER!$BZ$2:$BZ$250&amp;"")=TRIM($AE$51&amp;""))*(HELPER!$CC$2:$CC$250&lt;&gt;""),""))),5),"")</f>
        <v>78</v>
      </c>
      <c r="AQ6" s="727" t="str" cm="1">
        <f t="array" ref="AQ6">IFERROR(INDEX(_xlfn._xlws.SORT(_xlfn.UNIQUE(_xlfn._xlws.FILTER(HELPER!$CC$2:$CC$250,(TRIM(HELPER!$BZ$2:$BZ$250&amp;"")=TRIM($AI$51&amp;""))*(HELPER!$CC$2:$CC$250&lt;&gt;""),""))),5),"")</f>
        <v/>
      </c>
      <c r="AR6" s="727" t="str" cm="1">
        <f t="array" ref="AR6">IFERROR(INDEX(_xlfn._xlws.SORT(_xlfn.UNIQUE(_xlfn._xlws.FILTER(HELPER!$CC$2:$CC$250,(TRIM(HELPER!$BZ$2:$BZ$250&amp;"")=TRIM($AM$51&amp;""))*(HELPER!$CC$2:$CC$250&lt;&gt;""),""))),5),"")</f>
        <v/>
      </c>
    </row>
    <row r="7" spans="1:44" ht="15.75">
      <c r="A7" s="893"/>
      <c r="B7" s="891"/>
      <c r="C7" s="95"/>
      <c r="D7" s="891"/>
      <c r="E7" s="891"/>
      <c r="F7" s="891"/>
      <c r="G7" s="892"/>
      <c r="H7" s="891"/>
      <c r="I7" s="891"/>
      <c r="J7" s="537" t="str">
        <f t="shared" si="0"/>
        <v/>
      </c>
      <c r="K7" t="str" cm="1">
        <f t="array" ref="K7">_xlfn.LET(_xlpm.baseThick,IFERROR(INDEX(HELPER!$BX$2:$BX$250,MATCH(1,(TRIM(HELPER!$BZ$2:$BZ$250&amp;"")=TRIM($B$3&amp;""))*(HELPER!$CC$2:$CC$250=$AE$4)*(HELPER!$BW$2:$BW$250=C7),0)),""),_xlpm.struct,$C$3:$C$8,_xlpm.realLayers,SUMPRODUCT(--(_xlpm.struct&lt;&gt;""),--ISERROR(SEARCH("EPOTAL",_xlpm.struct&amp;"")),--ISERROR(SEARCH("BASONAT",_xlpm.struct&amp;"")),--ISERROR(SEARCH("ADHESIVE",_xlpm.struct&amp;"")),--ISERROR(SEARCH("HARDENER",_xlpm.struct&amp;""))),_xlpm.lamSteps,MAX(1,_xlpm.realLayers-1),_xlpm.isAdhesive,OR(ISNUMBER(SEARCH("EPOTAL",C7&amp;"")),ISNUMBER(SEARCH("BASONAT",C7&amp;"")),ISNUMBER(SEARCH("ADHESIVE",C7&amp;"")),ISNUMBER(SEARCH("HARDENER",C7&amp;""))),IF(_xlpm.baseThick="","",IF(_xlpm.isAdhesive,_xlpm.baseThick*_xlpm.lamSteps,_xlpm.baseThick)))</f>
        <v/>
      </c>
      <c r="L7" t="str">
        <f>IFERROR(VLOOKUP(C7,HELPER!$AP$1:$AQ$20,2,FALSE),"")</f>
        <v/>
      </c>
      <c r="M7" s="283" t="str" cm="1">
        <f t="array" ref="M7">IF(C7="","",IF(ISNUMBER(SEARCH("paper",C7)),42/1000*(J7/1000),IF(OR(L7="",L7=0),"",L7*1000*(K7/1000000)*(J7/1000)*IF(OR(ISNUMBER(SEARCH("RM G Epotal",C7)),ISNUMBER(SEARCH("RM G Basonat",C7))),MAX(1,SUMPRODUCT((LEFT(C$3:C$7,2)="NK")+(ISNUMBER(SEARCH("paper",C$3:C$7)))+(LEFT(C$3:C$7,4)="TIPA")+(LEFT(C$3:C$7,4)="PBAT"))-1),1))))</f>
        <v/>
      </c>
      <c r="N7" s="235" t="str" cm="1">
        <f t="array" ref="N7">IF($C7="","",_xlfn.LET(
    _xlpm.mat,TRIM($C7),
    _xlpm.matKey,UPPER(SUBSTITUTE(_xlpm.mat," ","")),
    _xlpm.pr,IFERROR(LOOKUP(2,1/($H$3:H7&lt;&gt;""),$H$3:H7),""),
    _xlpm.widthActual,IFERROR(LOOKUP(2,1/($E$3:E7&lt;&gt;""),$E$3:E7),$E7),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",""))=_xlpm.matKey)*(_xlpm.summaryThick=$K7)*(_xlpm.summaryCosts&gt;0))),INDEX(_xlfn._xlws.FILTER(_xlpm.summaryCosts,(UPPER(SUBSTITUTE(_xlpm.summaryNames," ",""))=_xlpm.matKey)*(_xlpm.summaryThick=$K7)*(_xlpm.summaryCosts&gt;0)),1)),""),""),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
      </c>
      <c r="O7" s="891"/>
      <c r="P7" s="65" t="str">
        <f>IF(C7="","",IFERROR(IF(O$3="Europe to Canada",IF(A$3&lt;1000,VLOOKUP(1000,HELPER!$AG$4:$AH$8,2,FALSE)/A$3,VLOOKUP(A$3,HELPER!$AG$4:$AH$8,2,TRUE)/A$3),IF(O$3="Europe to US",HELPER!$AH$2,IF(O$3="Europe to Europe",HELPER!$AH$3,0))),0))</f>
        <v/>
      </c>
      <c r="Q7" s="891"/>
      <c r="R7" s="901"/>
      <c r="S7" s="888"/>
      <c r="T7" s="889"/>
      <c r="U7" s="896"/>
      <c r="V7" s="897"/>
      <c r="W7" s="897"/>
      <c r="X7" s="289" t="str">
        <f t="shared" si="1"/>
        <v/>
      </c>
      <c r="Y7" s="886"/>
      <c r="Z7" s="233" t="str">
        <f>IF($M7="","",IFERROR(($N7+$P7)*$M7/$M$8,""))</f>
        <v/>
      </c>
      <c r="AD7" s="556" t="s">
        <v>598</v>
      </c>
      <c r="AE7" s="196" t="str">
        <f>IF(AE58="","",IF(AE58="Yes","Printed","Not Printed"))</f>
        <v>Printed</v>
      </c>
      <c r="AF7" s="557"/>
      <c r="AH7" s="571" t="s">
        <v>598</v>
      </c>
      <c r="AI7" s="198" t="str">
        <f>IF(AI58="","",IF(AI58="Yes","Printed","Not Printed"))</f>
        <v>Printed</v>
      </c>
      <c r="AJ7" s="572"/>
      <c r="AL7" s="585" t="s">
        <v>598</v>
      </c>
      <c r="AM7" s="199" t="str">
        <f>IF(AM58="","",IF(AM58="Yes","Printed","Not Printed"))</f>
        <v>Printed</v>
      </c>
      <c r="AN7" s="586"/>
      <c r="AP7" s="727" cm="1">
        <f t="array" ref="AP7">IFERROR(INDEX(_xlfn._xlws.SORT(_xlfn.UNIQUE(_xlfn._xlws.FILTER(HELPER!$CC$2:$CC$250,(TRIM(HELPER!$BZ$2:$BZ$250&amp;"")=TRIM($AE$51&amp;""))*(HELPER!$CC$2:$CC$250&lt;&gt;""),""))),6),"")</f>
        <v>86</v>
      </c>
      <c r="AQ7" s="727" t="str" cm="1">
        <f t="array" ref="AQ7">IFERROR(INDEX(_xlfn._xlws.SORT(_xlfn.UNIQUE(_xlfn._xlws.FILTER(HELPER!$CC$2:$CC$250,(TRIM(HELPER!$BZ$2:$BZ$250&amp;"")=TRIM($AI$51&amp;""))*(HELPER!$CC$2:$CC$250&lt;&gt;""),""))),6),"")</f>
        <v/>
      </c>
      <c r="AR7" s="727" t="str" cm="1">
        <f t="array" ref="AR7">IFERROR(INDEX(_xlfn._xlws.SORT(_xlfn.UNIQUE(_xlfn._xlws.FILTER(HELPER!$CC$2:$CC$250,(TRIM(HELPER!$BZ$2:$BZ$250&amp;"")=TRIM($AM$51&amp;""))*(HELPER!$CC$2:$CC$250&lt;&gt;""),""))),6),"")</f>
        <v/>
      </c>
    </row>
    <row r="8" spans="1:44" ht="15.75">
      <c r="A8" s="893"/>
      <c r="B8" s="891"/>
      <c r="C8" s="38"/>
      <c r="D8" s="891"/>
      <c r="E8" s="891"/>
      <c r="F8" s="891"/>
      <c r="G8" s="892"/>
      <c r="H8" s="891"/>
      <c r="I8" s="891"/>
      <c r="J8" s="537" t="str">
        <f t="shared" si="0"/>
        <v/>
      </c>
      <c r="K8" s="192">
        <f>AE4</f>
        <v>66</v>
      </c>
      <c r="L8" t="str">
        <f>IFERROR(VLOOKUP(C8,HELPER!$AP$1:$AQ$20,2,FALSE),"")</f>
        <v/>
      </c>
      <c r="M8" s="284">
        <f>SUM(M3:M7)</f>
        <v>6.1179648000000003E-2</v>
      </c>
      <c r="N8" s="235" t="str" cm="1">
        <f t="array" ref="N8">IF($C8="","",_xlfn.LET(
    _xlpm.mat,TRIM($C8),
    _xlpm.matKey,UPPER(SUBSTITUTE(_xlpm.mat," ","")),
    _xlpm.pr,IFERROR(LOOKUP(2,1/($H$3:H8&lt;&gt;""),$H$3:H8),""),
    _xlpm.widthActual,IFERROR(LOOKUP(2,1/($E$3:E8&lt;&gt;""),$E$3:E8),$E8),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",""))=_xlpm.matKey)*(_xlpm.summaryThick=$K8)*(_xlpm.summaryCosts&gt;0))),INDEX(_xlfn._xlws.FILTER(_xlpm.summaryCosts,(UPPER(SUBSTITUTE(_xlpm.summaryNames," ",""))=_xlpm.matKey)*(_xlpm.summaryThick=$K8)*(_xlpm.summaryCosts&gt;0)),1)),""),""),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
      </c>
      <c r="O8" s="891"/>
      <c r="P8" s="95" t="str">
        <f>IF(C8="","",IFERROR(IF(O$3="Europe to Canada",IF(A$3&lt;1000,VLOOKUP(1000,HELPER!$AG$4:$AH$8,2,FALSE)/A$3,VLOOKUP(A$3,HELPER!$AG$4:$AH$8,2,TRUE)/A$3),IF(O$3="Europe to US",HELPER!$AH$2,IF(O$3="Europe to Europe",HELPER!$AH$3,0))),0))</f>
        <v/>
      </c>
      <c r="Q8" s="891"/>
      <c r="R8" s="901"/>
      <c r="S8" s="888"/>
      <c r="T8" s="889"/>
      <c r="U8" s="896"/>
      <c r="V8" s="897"/>
      <c r="W8" s="897"/>
      <c r="X8" s="234" t="str">
        <f t="shared" si="1"/>
        <v/>
      </c>
      <c r="Y8" s="886"/>
      <c r="Z8" s="233"/>
      <c r="AD8" s="556" t="s">
        <v>825</v>
      </c>
      <c r="AE8" s="196" t="str">
        <f>IF(AE59="","",AE59)</f>
        <v>5-8</v>
      </c>
      <c r="AF8" s="557"/>
      <c r="AH8" s="556" t="s">
        <v>825</v>
      </c>
      <c r="AI8" s="196" t="str">
        <f>IF(AI59="","",AI59)</f>
        <v>5-8</v>
      </c>
      <c r="AJ8" s="557"/>
      <c r="AL8" s="556" t="s">
        <v>825</v>
      </c>
      <c r="AM8" s="196" t="str">
        <f>IF(AM59="","",AM59)</f>
        <v>5-8</v>
      </c>
      <c r="AN8" s="557"/>
      <c r="AP8" s="727" cm="1">
        <f t="array" ref="AP8">IFERROR(INDEX(_xlfn._xlws.SORT(_xlfn.UNIQUE(_xlfn._xlws.FILTER(HELPER!$CC$2:$CC$250,(TRIM(HELPER!$BZ$2:$BZ$250&amp;"")=TRIM($AE$51&amp;""))*(HELPER!$CC$2:$CC$250&lt;&gt;""),""))),7),"")</f>
        <v>106</v>
      </c>
      <c r="AQ8" s="727" t="str" cm="1">
        <f t="array" ref="AQ8">IFERROR(INDEX(_xlfn._xlws.SORT(_xlfn.UNIQUE(_xlfn._xlws.FILTER(HELPER!$CC$2:$CC$250,(TRIM(HELPER!$BZ$2:$BZ$250&amp;"")=TRIM($AI$51&amp;""))*(HELPER!$CC$2:$CC$250&lt;&gt;""),""))),7),"")</f>
        <v/>
      </c>
      <c r="AR8" s="727" t="str" cm="1">
        <f t="array" ref="AR8">IFERROR(INDEX(_xlfn._xlws.SORT(_xlfn.UNIQUE(_xlfn._xlws.FILTER(HELPER!$CC$2:$CC$250,(TRIM(HELPER!$BZ$2:$BZ$250&amp;"")=TRIM($AM$51&amp;""))*(HELPER!$CC$2:$CC$250&lt;&gt;""),""))),7),"")</f>
        <v/>
      </c>
    </row>
    <row r="9" spans="1:44" ht="15.75">
      <c r="A9" s="893">
        <f>IF(AI11="By Length",IF(AI12&lt;&gt;"",AI12*$M$14/MAX(1,IFERROR($E$9/$D9,1)),""),IF(OR(AI11="By Imp",AI11="IMP"),IFERROR(AI39*$M$14/MAX(1,IFERROR($E$9/$D9,1)),""),IF(AI6="","",AI6)))</f>
        <v>2334.3729791999999</v>
      </c>
      <c r="B9" s="891" t="str">
        <f>AI3</f>
        <v>608 W</v>
      </c>
      <c r="C9" t="str" cm="1">
        <f t="array" ref="C9:C11">IFERROR(_xlfn.LET(_xlpm.lam,TRIM(B9&amp;""),_xlpm.thick,AI4,_xlfn.TAKE(_xlfn._xlws.FILTER(HELPER!$BW$2:$BW$250,(TRIM(HELPER!$BZ$2:$BZ$250&amp;"")=_xlpm.lam)*(HELPER!$CC$2:$CC$250=_xlpm.thick)*(HELPER!$BW$2:$BW$250&lt;&gt;""),"No match"),6)),"")</f>
        <v>NK</v>
      </c>
      <c r="D9" s="972">
        <f>AI5</f>
        <v>660.4</v>
      </c>
      <c r="E9" s="895">
        <f>IF(D9="","",IF(D9&lt;300,D9*4,IF(D9&lt;400,D9*3,IF(D9&lt;600,D9*2,D9))))</f>
        <v>660.4</v>
      </c>
      <c r="F9" s="891"/>
      <c r="G9" s="892">
        <f>IF(OR(AI11="IMP",AI11="By Imp",AI11="By Length"),IFERROR(AI14,""),IFERROR((IF(OR(A9="",A9=0,$D9="",$E$9="",$M$14="",$M$14=0),"",A9/$M$14*MAX(1,IFERROR($E$9/$D9,1))))/(ROUNDDOWN($J9/$D9,0)),""))</f>
        <v>25400</v>
      </c>
      <c r="H9" s="891" t="str">
        <f>AI7</f>
        <v>Printed</v>
      </c>
      <c r="I9" s="894" t="str">
        <f>IF(H9="Not Printed",0,AI8)</f>
        <v>5-8</v>
      </c>
      <c r="J9" s="537">
        <f t="shared" ref="J9:J14" si="2">IF($C9="","",IF($E$9="","",$E$9+50))</f>
        <v>710.4</v>
      </c>
      <c r="K9" cm="1">
        <f t="array" ref="K9">_xlfn.LET(_xlpm.baseThick,IFERROR(INDEX(HELPER!$BX$2:$BX$250,MATCH(1,(TRIM(HELPER!$BZ$2:$BZ$250&amp;"")=TRIM($B$9&amp;""))*(HELPER!$CC$2:$CC$250=$AI$4)*(HELPER!$BW$2:$BW$250=C9),0)),""),_xlpm.struct,$C$9:$C$14,_xlpm.realLayers,SUMPRODUCT(--(_xlpm.struct&lt;&gt;""),--ISERROR(SEARCH("EPOTAL",_xlpm.struct&amp;"")),--ISERROR(SEARCH("BASONAT",_xlpm.struct&amp;"")),--ISERROR(SEARCH("ADHESIVE",_xlpm.struct&amp;"")),--ISERROR(SEARCH("HARDENER",_xlpm.struct&amp;""))),_xlpm.lamSteps,MAX(1,_xlpm.realLayers-1),_xlpm.isAdhesive,OR(ISNUMBER(SEARCH("EPOTAL",C9&amp;"")),ISNUMBER(SEARCH("BASONAT",C9&amp;"")),ISNUMBER(SEARCH("ADHESIVE",C9&amp;"")),ISNUMBER(SEARCH("HARDENER",C9&amp;""))),IF(_xlpm.baseThick="","",IF(_xlpm.isAdhesive,_xlpm.baseThick*_xlpm.lamSteps,_xlpm.baseThick)))</f>
        <v>23</v>
      </c>
      <c r="L9">
        <f>IFERROR(VLOOKUP(C9,HELPER!$AP$1:$AQ$20,2,FALSE),"")</f>
        <v>1.44</v>
      </c>
      <c r="M9" s="283">
        <f>IF(C9="","",IF(ISNUMBER(SEARCH("paper",C9)),42/1000*(J9/1000),IF(OR(L9="",L9=0),"",L9*1000*(K9/1000000)*(J9/1000))))</f>
        <v>2.3528447999999997E-2</v>
      </c>
      <c r="N9" s="235" cm="1">
        <f t="array" ref="N9">IF($C9="","",_xlfn.LET(
    _xlpm.mat,TRIM($C9),
    _xlpm.matKey,UPPER(SUBSTITUTE(_xlpm.mat," ","")),
    _xlpm.pr,IFERROR(LOOKUP(2,1/($H$3:H9&lt;&gt;""),$H$3:H9),""),
    _xlpm.widthActual,IFERROR(LOOKUP(2,1/($E$3:E9&lt;&gt;""),$E$3:E9),$E9),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",""))=_xlpm.matKey)*(_xlpm.summaryThick=$K9)*(_xlpm.summaryCosts&gt;0))),INDEX(_xlfn._xlws.FILTER(_xlpm.summaryCosts,(UPPER(SUBSTITUTE(_xlpm.summaryNames," ",""))=_xlpm.matKey)*(_xlpm.summaryThick=$K9)*(_xlpm.summaryCosts&gt;0)),1)),""),""),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7.95</v>
      </c>
      <c r="O9" s="891" t="str">
        <f>AI9</f>
        <v>Europe to Europe</v>
      </c>
      <c r="P9" s="95">
        <f>IF(C9="","",IFERROR(IF(O$9="Europe to Canada",IF(A$9&lt;1000,VLOOKUP(1000,HELPER!$AG$4:$AH$8,2,FALSE)/A$9,VLOOKUP(A$9,HELPER!$AG$4:$AH$8,2,TRUE)/A$9),IF(O$9="Europe to US",HELPER!$AH$2,IF(O$9="Europe to Europe",HELPER!$AH$3,0))),0))</f>
        <v>0.2</v>
      </c>
      <c r="Q9" s="891" t="str">
        <f>AI10</f>
        <v>Marma</v>
      </c>
      <c r="R9" s="888" cm="1">
        <f t="array" ref="R9">IF(OR($Q9="",$G9=""),"",IF($D9&gt;1220,"Error! please choose width not higher than 1220",_xlfn.LET(_xlpm.struct,$C$9:$C$14,_xlpm.realLayers,SUMPRODUCT(--(_xlpm.struct&lt;&gt;""),--ISERROR(SEARCH("EPOTAL",_xlpm.struct&amp;"")),--ISERROR(SEARCH("BASONAT",_xlpm.struct&amp;"")),--ISERROR(SEARCH("ADHESIVE",_xlpm.struct&amp;"")),--ISERROR(SEARCH("HARDENER",_xlpm.struct&amp;""))),_xlpm.lamSteps,MAX(0,_xlpm.realLayers-1),_xlpm.len,$G9,_xlpm.colNum,IF(_xlpm.len&lt;3000,1,IF(_xlpm.len&lt;10000,2,IF(_xlpm.len&lt;25000,3,IF(_xlpm.len&lt;50000,4,IF(_xlpm.len&lt;100000,5,IF(_xlpm.len&lt;250000,6,IF(_xlpm.len&lt;500000,7,8))))))),_xlpm.widthRow,IF($D9&lt;=990,0,5),_xlpm.supplierRow,IF($Q9="Marma",3,IF($Q9="Bastin",13,0)),_xlpm.baseRate,IF(_xlpm.supplierRow=0,"",INDEX('Lmntn &amp; Prntng- Marma &amp; Bastin '!$D$1:$K$22,_xlpm.supplierRow+_xlpm.widthRow,_xlpm.colNum)),IF(_xlpm.realLayers=0,"",_xlpm.baseRate*_xlpm.lamSteps))))</f>
        <v>0.17297999999999999</v>
      </c>
      <c r="S9" s="888" cm="1">
        <f t="array" ref="S9">IF(OR($Q9="",$I9=0,$I9="0"),"",IF($D9&gt;1220,"Error! please choose width not higher than 1220",_xlfn.LET(_xlpm.len,$G9,_xlpm.colors,$I9,_xlpm.colNum,IF(_xlpm.len&lt;3000,1,IF(_xlpm.len&lt;10000,2,IF(_xlpm.len&lt;25000,3,IF(_xlpm.len&lt;50000,4,IF(_xlpm.len&lt;100000,5,IF(_xlpm.len&lt;250000,6,IF(_xlpm.len&lt;500000,7,8))))))),_xlpm.widthRow,IF($D9&lt;=990,0,5),_xlpm.colorOffset,IF(OR(_xlpm.colors=1,_xlpm.colors=2,_xlpm.colors="1-2"),1,IF(OR(_xlpm.colors=3,_xlpm.colors=4,_xlpm.colors="3-4"),2,IF(OR(_xlpm.colors&gt;=5,_xlpm.colors="5-6",_xlpm.colors="5-8"),3,0))),_xlpm.supplierRow,IF($Q9="Marma",3,IF($Q9="Bastin",13,0)),IF(OR(_xlpm.supplierRow=0,_xlpm.colorOffset=0),"",INDEX('Lmntn &amp; Prntng- Marma &amp; Bastin '!$D$1:$K$22,_xlpm.supplierRow+_xlpm.widthRow+_xlpm.colorOffset,_xlpm.colNum)))))</f>
        <v>0.11529</v>
      </c>
      <c r="T9" s="889">
        <f>IF(OR($S9="",$K9=""),"",IFERROR($S9*(1/$M$14)*($J9/($D9*MAX(1,ROUNDDOWN(760/$D9,0)))),""))</f>
        <v>1.3494319744658303</v>
      </c>
      <c r="U9" s="888" cm="1">
        <f t="array" ref="U9">IF($Q9="","",IF($D9&gt;1220,"Error! please choose width not higher than 1220",_xlfn.LET(_xlpm.len,$G9,_xlpm.colNum,IF(_xlpm.len&lt;3000,1,IF(_xlpm.len&lt;10000,2,IF(_xlpm.len&lt;25000,3,IF(_xlpm.len&lt;50000,4,IF(_xlpm.len&lt;100000,5,IF(_xlpm.len&lt;250000,6,IF(_xlpm.len&lt;500000,7,8))))))),_xlpm.widthRow,IF($D9&lt;=990,0,5),_xlpm.supplierRow,IF($Q9="Marma",7,IF($Q9="Bastin",17,0)),IF(_xlpm.supplierRow=0,"",INDEX('Lmntn &amp; Prntng- Marma &amp; Bastin '!$D$1:$K$22,_xlpm.supplierRow+_xlpm.widthRow,_xlpm.colNum)))))</f>
        <v>2.4120000000000003E-2</v>
      </c>
      <c r="V9" s="890">
        <f>IFERROR(IF(AI21="","",VLOOKUP($K$14,HELPER!$BH$3:$BI$5,2,TRUE)*AI21),"")</f>
        <v>0</v>
      </c>
      <c r="W9" s="897">
        <f>IF(OR($H9&lt;&gt;"Printed",$I9=0,$I9="0"),0,AI21*0.028)</f>
        <v>0.20902983117841684</v>
      </c>
      <c r="X9" s="234">
        <f t="shared" si="1"/>
        <v>0.19175685119999999</v>
      </c>
      <c r="Y9" s="886">
        <f>IFERROR((SUM(X9:X14)+SUM(R9:S9,U9))*(1/M14)*(J9/E9)+V9+W9,"")</f>
        <v>11.545946688892688</v>
      </c>
      <c r="Z9" s="233">
        <f>IF($M9="","",IFERROR(($N9+$P9)*$M9/$M$14,""))</f>
        <v>2.0864806369328281</v>
      </c>
      <c r="AD9" s="556" t="s">
        <v>599</v>
      </c>
      <c r="AE9" s="756" t="str">
        <f>AE62</f>
        <v>Europe to Europe</v>
      </c>
      <c r="AF9" s="557"/>
      <c r="AH9" s="571" t="s">
        <v>599</v>
      </c>
      <c r="AI9" s="757" t="str">
        <f>AI62</f>
        <v>Europe to Europe</v>
      </c>
      <c r="AJ9" s="572"/>
      <c r="AL9" s="585" t="s">
        <v>599</v>
      </c>
      <c r="AM9" s="758" t="str">
        <f>AM62</f>
        <v>Europe to Europe</v>
      </c>
      <c r="AN9" s="586"/>
      <c r="AP9" s="727" t="str" cm="1">
        <f t="array" ref="AP9">IFERROR(INDEX(_xlfn._xlws.SORT(_xlfn.UNIQUE(_xlfn._xlws.FILTER(HELPER!$CC$2:$CC$250,(TRIM(HELPER!$BZ$2:$BZ$250&amp;"")=TRIM($AE$51&amp;""))*(HELPER!$CC$2:$CC$250&lt;&gt;""),""))),8),"")</f>
        <v/>
      </c>
      <c r="AQ9" s="727" t="str" cm="1">
        <f t="array" ref="AQ9">IFERROR(INDEX(_xlfn._xlws.SORT(_xlfn.UNIQUE(_xlfn._xlws.FILTER(HELPER!$CC$2:$CC$250,(TRIM(HELPER!$BZ$2:$BZ$250&amp;"")=TRIM($AI$51&amp;""))*(HELPER!$CC$2:$CC$250&lt;&gt;""),""))),8),"")</f>
        <v/>
      </c>
      <c r="AR9" s="727" t="str" cm="1">
        <f t="array" ref="AR9">IFERROR(INDEX(_xlfn._xlws.SORT(_xlfn.UNIQUE(_xlfn._xlws.FILTER(HELPER!$CC$2:$CC$250,(TRIM(HELPER!$BZ$2:$BZ$250&amp;"")=TRIM($AM$51&amp;""))*(HELPER!$CC$2:$CC$250&lt;&gt;""),""))),8),"")</f>
        <v/>
      </c>
    </row>
    <row r="10" spans="1:44" ht="15.75">
      <c r="A10" s="893"/>
      <c r="B10" s="891"/>
      <c r="C10" t="str">
        <v>TIPA 302FG W</v>
      </c>
      <c r="D10" s="891"/>
      <c r="E10" s="891"/>
      <c r="F10" s="891"/>
      <c r="G10" s="893"/>
      <c r="H10" s="891"/>
      <c r="I10" s="891"/>
      <c r="J10" s="537">
        <f t="shared" si="2"/>
        <v>710.4</v>
      </c>
      <c r="K10" cm="1">
        <f t="array" ref="K10">_xlfn.LET(_xlpm.baseThick,IFERROR(INDEX(HELPER!$BX$2:$BX$250,MATCH(1,(TRIM(HELPER!$BZ$2:$BZ$250&amp;"")=TRIM($B$9&amp;""))*(HELPER!$CC$2:$CC$250=$AI$4)*(HELPER!$BW$2:$BW$250=C10),0)),""),_xlpm.struct,$C$9:$C$14,_xlpm.realLayers,SUMPRODUCT(--(_xlpm.struct&lt;&gt;""),--ISERROR(SEARCH("EPOTAL",_xlpm.struct&amp;"")),--ISERROR(SEARCH("BASONAT",_xlpm.struct&amp;"")),--ISERROR(SEARCH("ADHESIVE",_xlpm.struct&amp;"")),--ISERROR(SEARCH("HARDENER",_xlpm.struct&amp;""))),_xlpm.lamSteps,MAX(1,_xlpm.realLayers-1),_xlpm.isAdhesive,OR(ISNUMBER(SEARCH("EPOTAL",C10&amp;"")),ISNUMBER(SEARCH("BASONAT",C10&amp;"")),ISNUMBER(SEARCH("ADHESIVE",C10&amp;"")),ISNUMBER(SEARCH("HARDENER",C10&amp;""))),IF(_xlpm.baseThick="","",IF(_xlpm.isAdhesive,_xlpm.baseThick*_xlpm.lamSteps,_xlpm.baseThick)))</f>
        <v>60</v>
      </c>
      <c r="L10">
        <f>IFERROR(VLOOKUP(C10,HELPER!$AP$1:$AQ$20,2,FALSE),"")</f>
        <v>1.25</v>
      </c>
      <c r="M10" s="283">
        <f>IF(C10="","",IF(ISNUMBER(SEARCH("paper",C10)),42/1000*(J10/1000),IF(OR(L10="",L10=0),"",L10*1000*(K10/1000000)*(J10/1000))))</f>
        <v>5.3280000000000001E-2</v>
      </c>
      <c r="N10" s="236" cm="1">
        <f t="array" ref="N10">IF($C10="","",_xlfn.LET(
    _xlpm.mat,TRIM($C10),
    _xlpm.matKey,UPPER(SUBSTITUTE(_xlpm.mat," ","")),
    _xlpm.pr,IFERROR(LOOKUP(2,1/($H$3:H10&lt;&gt;""),$H$3:H10),""),
    _xlpm.widthActual,IFERROR(LOOKUP(2,1/($E$3:E10&lt;&gt;""),$E$3:E10),$E10),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",""))=_xlpm.matKey)*(_xlpm.summaryThick=$K10)*(_xlpm.summaryCosts&gt;0))),INDEX(_xlfn._xlws.FILTER(_xlpm.summaryCosts,(UPPER(SUBSTITUTE(_xlpm.summaryNames," ",""))=_xlpm.matKey)*(_xlpm.summaryThick=$K10)*(_xlpm.summaryCosts&gt;0)),1)),""),""),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7.8906761999999997</v>
      </c>
      <c r="O10" s="891"/>
      <c r="P10" s="95">
        <f>IF(C10="","",IFERROR(IF(O$9="Europe to Canada",IF(A$9&lt;1000,VLOOKUP(1000,HELPER!$AG$4:$AH$8,2,FALSE)/A$9,VLOOKUP(A$9,HELPER!$AG$4:$AH$8,2,TRUE)/A$9),IF(O$9="Europe to US",HELPER!$AH$2,IF(O$9="Europe to Europe",HELPER!$AH$3,0))),0))</f>
        <v>0.2</v>
      </c>
      <c r="Q10" s="891"/>
      <c r="R10" s="888"/>
      <c r="S10" s="888"/>
      <c r="T10" s="889"/>
      <c r="U10" s="888"/>
      <c r="V10" s="891"/>
      <c r="W10" s="891"/>
      <c r="X10" s="234">
        <f t="shared" si="1"/>
        <v>0.43107122793599995</v>
      </c>
      <c r="Y10" s="886"/>
      <c r="Z10" s="233">
        <f>IF($M10="","",IFERROR(($N10+$P10)*$M10/$M$14,""))</f>
        <v>4.6904283450568132</v>
      </c>
      <c r="AD10" s="556" t="s">
        <v>600</v>
      </c>
      <c r="AE10" s="196" t="str">
        <f>IF(AE60="","",AE60)</f>
        <v>Marma</v>
      </c>
      <c r="AF10" s="557"/>
      <c r="AH10" s="571" t="s">
        <v>600</v>
      </c>
      <c r="AI10" s="198" t="str">
        <f>IF(AI60="","",AI60)</f>
        <v>Marma</v>
      </c>
      <c r="AJ10" s="572"/>
      <c r="AL10" s="585" t="s">
        <v>600</v>
      </c>
      <c r="AM10" s="199" t="str">
        <f>IF(AM60="","",AM60)</f>
        <v>Marma</v>
      </c>
      <c r="AN10" s="586"/>
      <c r="AP10" s="727" t="str" cm="1">
        <f t="array" ref="AP10">IFERROR(INDEX(_xlfn._xlws.SORT(_xlfn.UNIQUE(_xlfn._xlws.FILTER(HELPER!$CC$2:$CC$250,(TRIM(HELPER!$BZ$2:$BZ$250&amp;"")=TRIM($AE$51&amp;""))*(HELPER!$CC$2:$CC$250&lt;&gt;""),""))),9),"")</f>
        <v/>
      </c>
      <c r="AQ10" s="727" t="str" cm="1">
        <f t="array" ref="AQ10">IFERROR(INDEX(_xlfn._xlws.SORT(_xlfn.UNIQUE(_xlfn._xlws.FILTER(HELPER!$CC$2:$CC$250,(TRIM(HELPER!$BZ$2:$BZ$250&amp;"")=TRIM($AI$51&amp;""))*(HELPER!$CC$2:$CC$250&lt;&gt;""),""))),9),"")</f>
        <v/>
      </c>
      <c r="AR10" s="727" t="str" cm="1">
        <f t="array" ref="AR10">IFERROR(INDEX(_xlfn._xlws.SORT(_xlfn.UNIQUE(_xlfn._xlws.FILTER(HELPER!$CC$2:$CC$250,(TRIM(HELPER!$BZ$2:$BZ$250&amp;"")=TRIM($AM$51&amp;""))*(HELPER!$CC$2:$CC$250&lt;&gt;""),""))),9),"")</f>
        <v/>
      </c>
    </row>
    <row r="11" spans="1:44">
      <c r="A11" s="893"/>
      <c r="B11" s="891"/>
      <c r="C11" t="str">
        <v>PBAT</v>
      </c>
      <c r="D11" s="891"/>
      <c r="E11" s="891"/>
      <c r="F11" s="891"/>
      <c r="G11" s="893"/>
      <c r="H11" s="891"/>
      <c r="I11" s="891"/>
      <c r="J11" s="537">
        <f t="shared" si="2"/>
        <v>710.4</v>
      </c>
      <c r="K11" cm="1">
        <f t="array" ref="K11">_xlfn.LET(_xlpm.baseThick,IFERROR(INDEX(HELPER!$BX$2:$BX$250,MATCH(1,(TRIM(HELPER!$BZ$2:$BZ$250&amp;"")=TRIM($B$9&amp;""))*(HELPER!$CC$2:$CC$250=$AI$4)*(HELPER!$BW$2:$BW$250=C11),0)),""),_xlpm.struct,$C$9:$C$14,_xlpm.realLayers,SUMPRODUCT(--(_xlpm.struct&lt;&gt;""),--ISERROR(SEARCH("EPOTAL",_xlpm.struct&amp;"")),--ISERROR(SEARCH("BASONAT",_xlpm.struct&amp;"")),--ISERROR(SEARCH("ADHESIVE",_xlpm.struct&amp;"")),--ISERROR(SEARCH("HARDENER",_xlpm.struct&amp;""))),_xlpm.lamSteps,MAX(1,_xlpm.realLayers-1),_xlpm.isAdhesive,OR(ISNUMBER(SEARCH("EPOTAL",C11&amp;"")),ISNUMBER(SEARCH("BASONAT",C11&amp;"")),ISNUMBER(SEARCH("ADHESIVE",C11&amp;"")),ISNUMBER(SEARCH("HARDENER",C11&amp;""))),IF(_xlpm.baseThick="","",IF(_xlpm.isAdhesive,_xlpm.baseThick*_xlpm.lamSteps,_xlpm.baseThick)))</f>
        <v>17</v>
      </c>
      <c r="L11">
        <f>IFERROR(VLOOKUP(C11,HELPER!$AP$1:$AQ$20,2,FALSE),"")</f>
        <v>1.25</v>
      </c>
      <c r="M11" s="283">
        <f>IF(C11="","",IF(ISNUMBER(SEARCH("paper",C11)),42/1000*(J11/1000),IF(OR(L11="",L11=0),"",L11*1000*(K11/1000000)*(J11/1000))))</f>
        <v>1.5096000000000002E-2</v>
      </c>
      <c r="N11" s="235" cm="1">
        <f t="array" ref="N11">IF($C11="","",_xlfn.LET(
    _xlpm.mat,TRIM($C11),
    _xlpm.matKey,UPPER(SUBSTITUTE(_xlpm.mat," ","")),
    _xlpm.pr,IFERROR(LOOKUP(2,1/($H$3:H11&lt;&gt;""),$H$3:H11),""),
    _xlpm.widthActual,IFERROR(LOOKUP(2,1/($E$3:E11&lt;&gt;""),$E$3:E11),$E11),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",""))=_xlpm.matKey)*(_xlpm.summaryThick=$K11)*(_xlpm.summaryCosts&gt;0))),INDEX(_xlfn._xlws.FILTER(_xlpm.summaryCosts,(UPPER(SUBSTITUTE(_xlpm.summaryNames," ",""))=_xlpm.matKey)*(_xlpm.summaryThick=$K11)*(_xlpm.summaryCosts&gt;0)),1)),""),""),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2.0100000000000002</v>
      </c>
      <c r="O11" s="891"/>
      <c r="P11" s="95">
        <f>IF(C11="","",IFERROR(IF(O$9="Europe to Canada",IF(A$9&lt;1000,VLOOKUP(1000,HELPER!$AG$4:$AH$8,2,FALSE)/A$9,VLOOKUP(A$9,HELPER!$AG$4:$AH$8,2,TRUE)/A$9),IF(O$9="Europe to US",HELPER!$AH$2,IF(O$9="Europe to Europe",HELPER!$AH$3,0))),0))</f>
        <v>0.2</v>
      </c>
      <c r="Q11" s="891"/>
      <c r="R11" s="888"/>
      <c r="S11" s="888"/>
      <c r="T11" s="889"/>
      <c r="U11" s="888"/>
      <c r="V11" s="891"/>
      <c r="W11" s="891"/>
      <c r="X11" s="234">
        <f t="shared" si="1"/>
        <v>3.3362160000000009E-2</v>
      </c>
      <c r="Y11" s="886"/>
      <c r="Z11" s="233">
        <f>IF($M11="","",IFERROR(($N11+$P11)*$M11/$M$14,""))</f>
        <v>0.36300919842312757</v>
      </c>
      <c r="AD11" s="558" t="s">
        <v>589</v>
      </c>
      <c r="AE11" s="267" t="s">
        <v>585</v>
      </c>
      <c r="AF11" s="559"/>
      <c r="AH11" s="573" t="s">
        <v>589</v>
      </c>
      <c r="AI11" s="268" t="s">
        <v>585</v>
      </c>
      <c r="AJ11" s="574"/>
      <c r="AL11" s="587" t="s">
        <v>589</v>
      </c>
      <c r="AM11" s="269" t="s">
        <v>585</v>
      </c>
      <c r="AN11" s="588"/>
      <c r="AP11" s="727" t="str" cm="1">
        <f t="array" ref="AP11">IFERROR(INDEX(_xlfn._xlws.SORT(_xlfn.UNIQUE(_xlfn._xlws.FILTER(HELPER!$CC$2:$CC$250,(TRIM(HELPER!$BZ$2:$BZ$250&amp;"")=TRIM($AE$51&amp;""))*(HELPER!$CC$2:$CC$250&lt;&gt;""),""))),10),"")</f>
        <v/>
      </c>
      <c r="AQ11" s="727" t="str" cm="1">
        <f t="array" ref="AQ11">IFERROR(INDEX(_xlfn._xlws.SORT(_xlfn.UNIQUE(_xlfn._xlws.FILTER(HELPER!$CC$2:$CC$250,(TRIM(HELPER!$BZ$2:$BZ$250&amp;"")=TRIM($AI$51&amp;""))*(HELPER!$CC$2:$CC$250&lt;&gt;""),""))),10),"")</f>
        <v/>
      </c>
      <c r="AR11" s="727" t="str" cm="1">
        <f t="array" ref="AR11">IFERROR(INDEX(_xlfn._xlws.SORT(_xlfn.UNIQUE(_xlfn._xlws.FILTER(HELPER!$CC$2:$CC$250,(TRIM(HELPER!$BZ$2:$BZ$250&amp;"")=TRIM($AM$51&amp;""))*(HELPER!$CC$2:$CC$250&lt;&gt;""),""))),10),"")</f>
        <v/>
      </c>
    </row>
    <row r="12" spans="1:44" ht="15.75">
      <c r="A12" s="893"/>
      <c r="B12" s="891"/>
      <c r="D12" s="891"/>
      <c r="E12" s="891"/>
      <c r="F12" s="891"/>
      <c r="G12" s="893"/>
      <c r="H12" s="891"/>
      <c r="I12" s="891"/>
      <c r="J12" s="537" t="str">
        <f t="shared" si="2"/>
        <v/>
      </c>
      <c r="K12" t="str" cm="1">
        <f t="array" ref="K12">_xlfn.LET(_xlpm.baseThick,IFERROR(INDEX(HELPER!$BX$2:$BX$250,MATCH(1,(TRIM(HELPER!$BZ$2:$BZ$250&amp;"")=TRIM($B$9&amp;""))*(HELPER!$CC$2:$CC$250=$AI$4)*(HELPER!$BW$2:$BW$250=C12),0)),""),_xlpm.struct,$C$9:$C$14,_xlpm.realLayers,SUMPRODUCT(--(_xlpm.struct&lt;&gt;""),--ISERROR(SEARCH("EPOTAL",_xlpm.struct&amp;"")),--ISERROR(SEARCH("BASONAT",_xlpm.struct&amp;"")),--ISERROR(SEARCH("ADHESIVE",_xlpm.struct&amp;"")),--ISERROR(SEARCH("HARDENER",_xlpm.struct&amp;""))),_xlpm.lamSteps,MAX(1,_xlpm.realLayers-1),_xlpm.isAdhesive,OR(ISNUMBER(SEARCH("EPOTAL",C12&amp;"")),ISNUMBER(SEARCH("BASONAT",C12&amp;"")),ISNUMBER(SEARCH("ADHESIVE",C12&amp;"")),ISNUMBER(SEARCH("HARDENER",C12&amp;""))),IF(_xlpm.baseThick="","",IF(_xlpm.isAdhesive,_xlpm.baseThick*_xlpm.lamSteps,_xlpm.baseThick)))</f>
        <v/>
      </c>
      <c r="L12" t="str">
        <f>IFERROR(VLOOKUP(C12,HELPER!$AP$1:$AQ$20,2,FALSE),"")</f>
        <v/>
      </c>
      <c r="M12" s="283" t="str" cm="1">
        <f t="array" ref="M12">IF(C12="","",IF(ISNUMBER(SEARCH("paper",C12)),42/1000*(J12/1000),IF(OR(L12="",L12=0),"",L12*1000*(K12/1000000)*(J12/1000)*IF(OR(ISNUMBER(SEARCH("RM G Epotal",C12)),ISNUMBER(SEARCH("RM G Basonat",C12))),MAX(1,SUMPRODUCT((LEFT(C$9:C$13,2)="NK")+(ISNUMBER(SEARCH("paper",C$9:C$13)))+(LEFT(C$9:C$13,4)="TIPA")+(LEFT(C$9:C$13,4)="PBAT"))-1),1))))</f>
        <v/>
      </c>
      <c r="N12" s="235" t="str" cm="1">
        <f t="array" ref="N12">IF($C12="","",_xlfn.LET(
    _xlpm.mat,TRIM($C12),
    _xlpm.matKey,UPPER(SUBSTITUTE(_xlpm.mat," ","")),
    _xlpm.pr,IFERROR(LOOKUP(2,1/($H$3:H12&lt;&gt;""),$H$3:H12),""),
    _xlpm.widthActual,IFERROR(LOOKUP(2,1/($E$3:E12&lt;&gt;""),$E$3:E12),$E12),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",""))=_xlpm.matKey)*(_xlpm.summaryThick=$K12)*(_xlpm.summaryCosts&gt;0))),INDEX(_xlfn._xlws.FILTER(_xlpm.summaryCosts,(UPPER(SUBSTITUTE(_xlpm.summaryNames," ",""))=_xlpm.matKey)*(_xlpm.summaryThick=$K12)*(_xlpm.summaryCosts&gt;0)),1)),""),""),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
      </c>
      <c r="O12" s="891"/>
      <c r="P12" s="95" t="str">
        <f>IF(C12="","",IFERROR(IF(O$9="Europe to Canada",IF(A$9&lt;1000,VLOOKUP(1000,HELPER!$AG$4:$AH$8,2,FALSE)/A$9,VLOOKUP(A$9,HELPER!$AG$4:$AH$8,2,TRUE)/A$9),IF(O$9="Europe to US",HELPER!$AH$2,IF(O$9="Europe to Europe",HELPER!$AH$3,0))),0))</f>
        <v/>
      </c>
      <c r="Q12" s="891"/>
      <c r="R12" s="888"/>
      <c r="S12" s="888"/>
      <c r="T12" s="889"/>
      <c r="U12" s="888"/>
      <c r="V12" s="891"/>
      <c r="W12" s="891"/>
      <c r="X12" s="234" t="str">
        <f t="shared" si="1"/>
        <v/>
      </c>
      <c r="Y12" s="886"/>
      <c r="Z12" s="233" t="str">
        <f>IF($M12="","",IFERROR(($N12+$P12)*$M12/$M$14,""))</f>
        <v/>
      </c>
      <c r="AD12" s="599" t="s">
        <v>1064</v>
      </c>
      <c r="AE12" s="549">
        <f>IFERROR(AE57*AE54/1000,"")</f>
        <v>25400</v>
      </c>
      <c r="AF12" s="561" t="s">
        <v>607</v>
      </c>
      <c r="AG12" s="270"/>
      <c r="AH12" s="600" t="s">
        <v>1064</v>
      </c>
      <c r="AI12" s="551">
        <f>IFERROR(AI57*AI54/1000,"")</f>
        <v>25400</v>
      </c>
      <c r="AJ12" s="575" t="s">
        <v>607</v>
      </c>
      <c r="AL12" s="601" t="s">
        <v>1064</v>
      </c>
      <c r="AM12" s="553">
        <f>IFERROR(AM57*AM54/1000,"")</f>
        <v>25400</v>
      </c>
      <c r="AN12" s="589" t="s">
        <v>607</v>
      </c>
      <c r="AP12" s="727" t="str" cm="1">
        <f t="array" ref="AP12">IFERROR(INDEX(_xlfn._xlws.SORT(_xlfn.UNIQUE(_xlfn._xlws.FILTER(HELPER!$CC$2:$CC$250,(TRIM(HELPER!$BZ$2:$BZ$250&amp;"")=TRIM($AE$51&amp;""))*(HELPER!$CC$2:$CC$250&lt;&gt;""),""))),11),"")</f>
        <v/>
      </c>
      <c r="AQ12" s="727" t="str" cm="1">
        <f t="array" ref="AQ12">IFERROR(INDEX(_xlfn._xlws.SORT(_xlfn.UNIQUE(_xlfn._xlws.FILTER(HELPER!$CC$2:$CC$250,(TRIM(HELPER!$BZ$2:$BZ$250&amp;"")=TRIM($AI$51&amp;""))*(HELPER!$CC$2:$CC$250&lt;&gt;""),""))),11),"")</f>
        <v/>
      </c>
      <c r="AR12" s="727" t="str" cm="1">
        <f t="array" ref="AR12">IFERROR(INDEX(_xlfn._xlws.SORT(_xlfn.UNIQUE(_xlfn._xlws.FILTER(HELPER!$CC$2:$CC$250,(TRIM(HELPER!$BZ$2:$BZ$250&amp;"")=TRIM($AM$51&amp;""))*(HELPER!$CC$2:$CC$250&lt;&gt;""),""))),11),"")</f>
        <v/>
      </c>
    </row>
    <row r="13" spans="1:44" ht="15.75">
      <c r="A13" s="893"/>
      <c r="B13" s="891"/>
      <c r="D13" s="891"/>
      <c r="E13" s="891"/>
      <c r="F13" s="891"/>
      <c r="G13" s="893"/>
      <c r="H13" s="891"/>
      <c r="I13" s="891"/>
      <c r="J13" s="537" t="str">
        <f t="shared" si="2"/>
        <v/>
      </c>
      <c r="K13" t="str" cm="1">
        <f t="array" ref="K13">_xlfn.LET(_xlpm.baseThick,IFERROR(INDEX(HELPER!$BX$2:$BX$250,MATCH(1,(TRIM(HELPER!$BZ$2:$BZ$250&amp;"")=TRIM($B$9&amp;""))*(HELPER!$CC$2:$CC$250=$AI$4)*(HELPER!$BW$2:$BW$250=C13),0)),""),_xlpm.struct,$C$9:$C$14,_xlpm.realLayers,SUMPRODUCT(--(_xlpm.struct&lt;&gt;""),--ISERROR(SEARCH("EPOTAL",_xlpm.struct&amp;"")),--ISERROR(SEARCH("BASONAT",_xlpm.struct&amp;"")),--ISERROR(SEARCH("ADHESIVE",_xlpm.struct&amp;"")),--ISERROR(SEARCH("HARDENER",_xlpm.struct&amp;""))),_xlpm.lamSteps,MAX(1,_xlpm.realLayers-1),_xlpm.isAdhesive,OR(ISNUMBER(SEARCH("EPOTAL",C13&amp;"")),ISNUMBER(SEARCH("BASONAT",C13&amp;"")),ISNUMBER(SEARCH("ADHESIVE",C13&amp;"")),ISNUMBER(SEARCH("HARDENER",C13&amp;""))),IF(_xlpm.baseThick="","",IF(_xlpm.isAdhesive,_xlpm.baseThick*_xlpm.lamSteps,_xlpm.baseThick)))</f>
        <v/>
      </c>
      <c r="L13" t="str">
        <f>IFERROR(VLOOKUP(C13,HELPER!$AP$1:$AQ$20,2,FALSE),"")</f>
        <v/>
      </c>
      <c r="M13" s="283" t="str">
        <f>IF(C13="","",IF(ISNUMBER(SEARCH("paper",C13)),42/1000*(J13/1000),IF(OR(L13="",L13=0),"",L13*1000*(K13/1000000)*(J13/1000))))</f>
        <v/>
      </c>
      <c r="N13" s="235" t="str" cm="1">
        <f t="array" ref="N13">IF($C13="","",_xlfn.LET(
    _xlpm.mat,TRIM($C13),
    _xlpm.matKey,UPPER(SUBSTITUTE(_xlpm.mat," ","")),
    _xlpm.pr,IFERROR(LOOKUP(2,1/($H$3:H13&lt;&gt;""),$H$3:H13),""),
    _xlpm.widthActual,IFERROR(LOOKUP(2,1/($E$3:E13&lt;&gt;""),$E$3:E13),$E13),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",""))=_xlpm.matKey)*(_xlpm.summaryThick=$K13)*(_xlpm.summaryCosts&gt;0))),INDEX(_xlfn._xlws.FILTER(_xlpm.summaryCosts,(UPPER(SUBSTITUTE(_xlpm.summaryNames," ",""))=_xlpm.matKey)*(_xlpm.summaryThick=$K13)*(_xlpm.summaryCosts&gt;0)),1)),""),""),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
      </c>
      <c r="O13" s="891"/>
      <c r="P13" s="95" t="str">
        <f>IF(C13="","",IFERROR(IF(O$9="Europe to Canada",IF(A$9&lt;1000,VLOOKUP(1000,HELPER!$AG$4:$AH$8,2,FALSE)/A$9,VLOOKUP(A$9,HELPER!$AG$4:$AH$8,2,TRUE)/A$9),IF(O$9="Europe to US",HELPER!$AH$2,IF(O$9="Europe to Europe",HELPER!$AH$3,0))),0))</f>
        <v/>
      </c>
      <c r="Q13" s="891"/>
      <c r="R13" s="888"/>
      <c r="S13" s="888"/>
      <c r="T13" s="889"/>
      <c r="U13" s="888"/>
      <c r="V13" s="891"/>
      <c r="W13" s="891"/>
      <c r="X13" s="234" t="str">
        <f t="shared" si="1"/>
        <v/>
      </c>
      <c r="Y13" s="886"/>
      <c r="Z13" s="233"/>
      <c r="AD13" s="560" t="s">
        <v>1319</v>
      </c>
      <c r="AE13" s="872">
        <v>125</v>
      </c>
      <c r="AF13" s="625">
        <v>120</v>
      </c>
      <c r="AG13" s="555"/>
      <c r="AH13" s="560" t="s">
        <v>1319</v>
      </c>
      <c r="AI13" s="873">
        <v>125</v>
      </c>
      <c r="AJ13" s="626">
        <v>120</v>
      </c>
      <c r="AK13" s="555"/>
      <c r="AL13" s="560" t="s">
        <v>1319</v>
      </c>
      <c r="AM13" s="874">
        <v>125</v>
      </c>
      <c r="AN13" s="627">
        <v>120</v>
      </c>
      <c r="AP13" s="727" t="str" cm="1">
        <f t="array" ref="AP13">IFERROR(INDEX(_xlfn._xlws.SORT(_xlfn.UNIQUE(_xlfn._xlws.FILTER(HELPER!$CC$2:$CC$250,(TRIM(HELPER!$BZ$2:$BZ$250&amp;"")=TRIM($AE$51&amp;""))*(HELPER!$CC$2:$CC$250&lt;&gt;""),""))),12),"")</f>
        <v/>
      </c>
      <c r="AQ13" s="727" t="str" cm="1">
        <f t="array" ref="AQ13">IFERROR(INDEX(_xlfn._xlws.SORT(_xlfn.UNIQUE(_xlfn._xlws.FILTER(HELPER!$CC$2:$CC$250,(TRIM(HELPER!$BZ$2:$BZ$250&amp;"")=TRIM($AI$51&amp;""))*(HELPER!$CC$2:$CC$250&lt;&gt;""),""))),12),"")</f>
        <v/>
      </c>
      <c r="AR13" s="727" t="str" cm="1">
        <f t="array" ref="AR13">IFERROR(INDEX(_xlfn._xlws.SORT(_xlfn.UNIQUE(_xlfn._xlws.FILTER(HELPER!$CC$2:$CC$250,(TRIM(HELPER!$BZ$2:$BZ$250&amp;"")=TRIM($AM$51&amp;""))*(HELPER!$CC$2:$CC$250&lt;&gt;""),""))),12),"")</f>
        <v/>
      </c>
    </row>
    <row r="14" spans="1:44" ht="15.75">
      <c r="A14" s="893"/>
      <c r="B14" s="891"/>
      <c r="C14" s="38"/>
      <c r="D14" s="891"/>
      <c r="E14" s="891"/>
      <c r="F14" s="891"/>
      <c r="G14" s="893"/>
      <c r="H14" s="891"/>
      <c r="I14" s="891"/>
      <c r="J14" s="537" t="str">
        <f t="shared" si="2"/>
        <v/>
      </c>
      <c r="K14" s="192">
        <f>AI4</f>
        <v>100</v>
      </c>
      <c r="L14" t="str">
        <f>IFERROR(VLOOKUP(C14,HELPER!$AP$1:$AQ$20,2,FALSE),"")</f>
        <v/>
      </c>
      <c r="M14" s="284">
        <f>SUM(M9:M13)</f>
        <v>9.1904448E-2</v>
      </c>
      <c r="N14" s="235" t="str" cm="1">
        <f t="array" ref="N14">IF($C14="","",_xlfn.LET(
    _xlpm.mat,TRIM($C14),
    _xlpm.matKey,UPPER(SUBSTITUTE(_xlpm.mat," ","")),
    _xlpm.pr,IFERROR(LOOKUP(2,1/($H$3:H14&lt;&gt;""),$H$3:H14),""),
    _xlpm.widthActual,IFERROR(LOOKUP(2,1/($E$3:E14&lt;&gt;""),$E$3:E14),$E14),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",""))=_xlpm.matKey)*(_xlpm.summaryThick=$K14)*(_xlpm.summaryCosts&gt;0))),INDEX(_xlfn._xlws.FILTER(_xlpm.summaryCosts,(UPPER(SUBSTITUTE(_xlpm.summaryNames," ",""))=_xlpm.matKey)*(_xlpm.summaryThick=$K14)*(_xlpm.summaryCosts&gt;0)),1)),""),""),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
      </c>
      <c r="O14" s="891"/>
      <c r="P14" s="95" t="str">
        <f>IF(C14="","",IFERROR(IF(O$9="Europe to Canada",IF(A$9&lt;1000,VLOOKUP(1000,HELPER!$AG$4:$AH$8,2,FALSE)/A$9,VLOOKUP(A$9,HELPER!$AG$4:$AH$8,2,TRUE)/A$9),IF(O$9="Europe to US",HELPER!$AH$2,IF(O$9="Europe to Europe",HELPER!$AH$3,0))),0))</f>
        <v/>
      </c>
      <c r="Q14" s="891"/>
      <c r="R14" s="888"/>
      <c r="S14" s="888"/>
      <c r="T14" s="889"/>
      <c r="U14" s="888"/>
      <c r="V14" s="891"/>
      <c r="W14" s="891"/>
      <c r="X14" s="234" t="str">
        <f t="shared" si="1"/>
        <v/>
      </c>
      <c r="Y14" s="886"/>
      <c r="Z14" s="233"/>
      <c r="AD14" s="562" t="s">
        <v>602</v>
      </c>
      <c r="AE14" s="550" cm="1">
        <f t="array" ref="AE14">IF(OR(AE11="IMP",AE11="By Imp"),IFERROR(AE12/(1000/AE13)/MAX(1,IFERROR(ROUNDDOWN(AE5/AF13,0),1)),""),IF(AE11="By Length",IFERROR(AE12,""),IF(AE11="By Weight",IFERROR(ROUND(INDEX($G$3:$G$46,MATCH(1,($B$3:$B$46=AE3)*($D$3:$D$46=AE5)*($A$3:$A$46=IF(AE6&lt;&gt;"",AE6,A3))*($O$3:$O$46=AE9),0)),0),""),"")))</f>
        <v>25400</v>
      </c>
      <c r="AF14" s="563" t="s">
        <v>607</v>
      </c>
      <c r="AH14" s="576" t="s">
        <v>602</v>
      </c>
      <c r="AI14" s="552" cm="1">
        <f t="array" ref="AI14">IF(OR(AI11="IMP",AI11="By Imp"),IFERROR(AI12/(1000/AI13)/MAX(1,IFERROR(ROUNDDOWN(AI5/AJ13,0),1)),""),IF(AI11="By Length",IFERROR(AI12,""),IF(AI11="By Weight",IFERROR(ROUND(INDEX($G$3:$G$46,MATCH(1,($B$3:$B$46=AI3)*($D$3:$D$46=AI5)*($A$3:$A$46=IF(AI6&lt;&gt;"",AI6,A9))*($O$3:$O$46=AI9),0)),0),""),"")))</f>
        <v>25400</v>
      </c>
      <c r="AJ14" s="577" t="s">
        <v>607</v>
      </c>
      <c r="AL14" s="590" t="s">
        <v>602</v>
      </c>
      <c r="AM14" s="554" cm="1">
        <f t="array" ref="AM14">IF(OR(AM11="IMP",AM11="By Imp"),IFERROR(AM12/(1000/AM13)/MAX(1,IFERROR(ROUNDDOWN(AM5/AN13,0),1)),""),IF(AM11="By Length",IFERROR(AM12,""),IF(AM11="By Weight",IFERROR(ROUND(INDEX($G$3:$G$46,MATCH(1,($B$3:$B$46=AM3)*($D$3:$D$46=AM5)*($A$3:$A$46=IF(AM6&lt;&gt;"",AM6,A15))*($O$3:$O$46=AM9),0)),0),""),"")))</f>
        <v>25400</v>
      </c>
      <c r="AN14" s="591" t="s">
        <v>607</v>
      </c>
      <c r="AP14" s="727" t="str" cm="1">
        <f t="array" ref="AP14">IFERROR(INDEX(_xlfn._xlws.SORT(_xlfn.UNIQUE(_xlfn._xlws.FILTER(HELPER!$CC$2:$CC$250,(TRIM(HELPER!$BZ$2:$BZ$250&amp;"")=TRIM($AE$51&amp;""))*(HELPER!$CC$2:$CC$250&lt;&gt;""),""))),13),"")</f>
        <v/>
      </c>
      <c r="AQ14" s="727" t="str" cm="1">
        <f t="array" ref="AQ14">IFERROR(INDEX(_xlfn._xlws.SORT(_xlfn.UNIQUE(_xlfn._xlws.FILTER(HELPER!$CC$2:$CC$250,(TRIM(HELPER!$BZ$2:$BZ$250&amp;"")=TRIM($AI$51&amp;""))*(HELPER!$CC$2:$CC$250&lt;&gt;""),""))),13),"")</f>
        <v/>
      </c>
      <c r="AR14" s="727" t="str" cm="1">
        <f t="array" ref="AR14">IFERROR(INDEX(_xlfn._xlws.SORT(_xlfn.UNIQUE(_xlfn._xlws.FILTER(HELPER!$CC$2:$CC$250,(TRIM(HELPER!$BZ$2:$BZ$250&amp;"")=TRIM($AM$51&amp;""))*(HELPER!$CC$2:$CC$250&lt;&gt;""),""))),13),"")</f>
        <v/>
      </c>
    </row>
    <row r="15" spans="1:44" ht="15.75">
      <c r="A15" s="893">
        <f>IF(AM11="By Length",IF(AM12&lt;&gt;"",AM12*$M$20/MAX(1,IFERROR($E$15/$D15,1)),""),IF(OR(AM11="By Imp",AM11="IMP"),IFERROR(AM39*$M$20/MAX(1,IFERROR($E$15/$D15,1)),""),IF(AM6="","",AM6)))</f>
        <v>2334.3729791999999</v>
      </c>
      <c r="B15" s="891" t="str">
        <f>AM3</f>
        <v>608 W</v>
      </c>
      <c r="C15" t="str" cm="1">
        <f t="array" ref="C15:C17">IFERROR(_xlfn.LET(_xlpm.lam,TRIM(B15&amp;""),_xlpm.thick,AM4,_xlfn.TAKE(_xlfn._xlws.FILTER(HELPER!$BW$2:$BW$250,(TRIM(HELPER!$BZ$2:$BZ$250&amp;"")=_xlpm.lam)*(HELPER!$CC$2:$CC$250=_xlpm.thick)*(HELPER!$BW$2:$BW$250&lt;&gt;""),"No match"),6)),"")</f>
        <v>NK</v>
      </c>
      <c r="D15" s="972">
        <f>AM5</f>
        <v>660.4</v>
      </c>
      <c r="E15" s="895">
        <f>IF(D15="","",IF(D15&lt;300,D15*4,IF(D15&lt;400,D15*3,IF(D15&lt;600,D15*2,D15))))</f>
        <v>660.4</v>
      </c>
      <c r="F15" s="891"/>
      <c r="G15" s="892">
        <f>IF(OR(AM11="IMP",AM11="By Imp",AM11="By Length"),IFERROR(AM14,""),IFERROR((IF(OR(A15="",A15=0,$D15="",$E$15="",$M$20="",$M$20=0),"",A15/$M$20*MAX(1,IFERROR($E$15/$D15,1))))/(ROUNDDOWN($J15/$D15,0)),""))</f>
        <v>25400</v>
      </c>
      <c r="H15" s="891" t="str">
        <f>AM7</f>
        <v>Printed</v>
      </c>
      <c r="I15" s="894" t="str">
        <f>IF(H15="Not Printed",0,AM8)</f>
        <v>5-8</v>
      </c>
      <c r="J15" s="537">
        <f t="shared" ref="J15:J20" si="3">IF($C15="","",IF($E$15="","",$E$15+50))</f>
        <v>710.4</v>
      </c>
      <c r="K15" cm="1">
        <f t="array" ref="K15">_xlfn.LET(_xlpm.baseThick,IFERROR(INDEX(HELPER!$BX$2:$BX$250,MATCH(1,(TRIM(HELPER!$BZ$2:$BZ$250&amp;"")=TRIM($B$15&amp;""))*(HELPER!$CC$2:$CC$250=$AM$4)*(HELPER!$BW$2:$BW$250=C15),0)),""),_xlpm.struct,$C$15:$C$20,_xlpm.realLayers,SUMPRODUCT(--(_xlpm.struct&lt;&gt;""),--ISERROR(SEARCH("EPOTAL",_xlpm.struct&amp;"")),--ISERROR(SEARCH("BASONAT",_xlpm.struct&amp;"")),--ISERROR(SEARCH("ADHESIVE",_xlpm.struct&amp;"")),--ISERROR(SEARCH("HARDENER",_xlpm.struct&amp;""))),_xlpm.lamSteps,MAX(1,_xlpm.realLayers-1),_xlpm.isAdhesive,OR(ISNUMBER(SEARCH("EPOTAL",C15&amp;"")),ISNUMBER(SEARCH("BASONAT",C15&amp;"")),ISNUMBER(SEARCH("ADHESIVE",C15&amp;"")),ISNUMBER(SEARCH("HARDENER",C15&amp;""))),IF(_xlpm.baseThick="","",IF(_xlpm.isAdhesive,_xlpm.baseThick*_xlpm.lamSteps,_xlpm.baseThick)))</f>
        <v>23</v>
      </c>
      <c r="L15">
        <f>IFERROR(VLOOKUP(C15,HELPER!$AP$1:$AQ$20,2,FALSE),"")</f>
        <v>1.44</v>
      </c>
      <c r="M15" s="285">
        <f>IF(C15="","",IF(J15="","",IF(ISNUMBER(SEARCH("paper",C15)),42/1000*(J15/1000),IF(OR(L15="",L15=0,K15=""),"",L15*1000*(K15/1000000)*(J15/1000)))))</f>
        <v>2.3528447999999997E-2</v>
      </c>
      <c r="N15" s="235" cm="1">
        <f t="array" ref="N15">IF($C15="","",_xlfn.LET(
    _xlpm.mat,TRIM($C15),
    _xlpm.matKey,UPPER(SUBSTITUTE(_xlpm.mat," ","")),
    _xlpm.pr,IFERROR(LOOKUP(2,1/($H$3:H15&lt;&gt;""),$H$3:H15),""),
    _xlpm.widthActual,IFERROR(LOOKUP(2,1/($E$3:E15&lt;&gt;""),$E$3:E15),$E15),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",""))=_xlpm.matKey)*(_xlpm.summaryThick=$K15)*(_xlpm.summaryCosts&gt;0))),INDEX(_xlfn._xlws.FILTER(_xlpm.summaryCosts,(UPPER(SUBSTITUTE(_xlpm.summaryNames," ",""))=_xlpm.matKey)*(_xlpm.summaryThick=$K15)*(_xlpm.summaryCosts&gt;0)),1)),""),""),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7.95</v>
      </c>
      <c r="O15" s="891" t="str">
        <f>AM9</f>
        <v>Europe to Europe</v>
      </c>
      <c r="P15" s="95">
        <f>IF(C15="","",IFERROR(IF(O$15="Europe to Canada",IF(A$15&lt;1000,VLOOKUP(1000,HELPER!$AG$4:$AH$8,2,FALSE)/A$15,VLOOKUP(A$15,HELPER!$AG$4:$AH$8,2,TRUE)/A$15),IF(O$15="Europe to US",HELPER!$AH$2,IF(O$15="Europe to Europe",HELPER!$AH$3,0))),0))</f>
        <v>0.2</v>
      </c>
      <c r="Q15" s="891" t="str">
        <f>AM10</f>
        <v>Marma</v>
      </c>
      <c r="R15" s="888" cm="1">
        <f t="array" ref="R15">IF(OR($Q15="",$G15=""),"",IF($D15&gt;1220,"Error! please choose width not higher than 1220",_xlfn.LET(_xlpm.struct,$C$15:$C$20,_xlpm.realLayers,SUMPRODUCT(--(_xlpm.struct&lt;&gt;""),--ISERROR(SEARCH("EPOTAL",_xlpm.struct&amp;"")),--ISERROR(SEARCH("BASONAT",_xlpm.struct&amp;"")),--ISERROR(SEARCH("ADHESIVE",_xlpm.struct&amp;"")),--ISERROR(SEARCH("HARDENER",_xlpm.struct&amp;""))),_xlpm.lamSteps,MAX(0,_xlpm.realLayers-1),_xlpm.len,$G15,_xlpm.colNum,IF(_xlpm.len&lt;3000,1,IF(_xlpm.len&lt;10000,2,IF(_xlpm.len&lt;25000,3,IF(_xlpm.len&lt;50000,4,IF(_xlpm.len&lt;100000,5,IF(_xlpm.len&lt;250000,6,IF(_xlpm.len&lt;500000,7,8))))))),_xlpm.widthRow,IF($D15&lt;=990,0,5),_xlpm.supplierRow,IF($Q15="Marma",3,IF($Q15="Bastin",13,0)),_xlpm.baseRate,IF(_xlpm.supplierRow=0,"",INDEX('Lmntn &amp; Prntng- Marma &amp; Bastin '!$D$1:$K$22,_xlpm.supplierRow+_xlpm.widthRow,_xlpm.colNum)),IF(_xlpm.realLayers=0,"",_xlpm.baseRate*_xlpm.lamSteps))))</f>
        <v>0.17297999999999999</v>
      </c>
      <c r="S15" s="888" cm="1">
        <f t="array" ref="S15">IF(OR($Q15="",$I15=0,$I15="0"),"",IF($D15&gt;1220,"Error! please choose width not higher than 1220",_xlfn.LET(_xlpm.len,$G15,_xlpm.colors,$I15,_xlpm.colNum,IF(_xlpm.len&lt;3000,1,IF(_xlpm.len&lt;10000,2,IF(_xlpm.len&lt;25000,3,IF(_xlpm.len&lt;50000,4,IF(_xlpm.len&lt;100000,5,IF(_xlpm.len&lt;250000,6,IF(_xlpm.len&lt;500000,7,8))))))),_xlpm.widthRow,IF($D15&lt;=990,0,5),_xlpm.colorOffset,IF(OR(_xlpm.colors=1,_xlpm.colors=2,_xlpm.colors="1-2"),1,IF(OR(_xlpm.colors=3,_xlpm.colors=4,_xlpm.colors="3-4"),2,IF(OR(_xlpm.colors&gt;=5,_xlpm.colors="5-6",_xlpm.colors="5-8"),3,0))),_xlpm.supplierRow,IF($Q15="Marma",3,IF($Q15="Bastin",13,0)),IF(OR(_xlpm.supplierRow=0,_xlpm.colorOffset=0),"",INDEX('Lmntn &amp; Prntng- Marma &amp; Bastin '!$D$1:$K$22,_xlpm.supplierRow+_xlpm.widthRow+_xlpm.colorOffset,_xlpm.colNum)))))</f>
        <v>0.11529</v>
      </c>
      <c r="T15" s="889">
        <f>IF(OR($S15="",$K15=""),"",IFERROR($S15*(1/$M$20)*($J15/($D15*MAX(1,ROUNDDOWN(760/$D15,0)))),""))</f>
        <v>1.3494319744658303</v>
      </c>
      <c r="U15" s="888" cm="1">
        <f t="array" ref="U15">IF(OR($Q15="",$G15=""),"",IF($D15&gt;1220,"Error! please choose width not higher than 1220",_xlfn.LET(_xlpm.len,$G15,_xlpm.colNum,IF(_xlpm.len&lt;3000,1,IF(_xlpm.len&lt;10000,2,IF(_xlpm.len&lt;25000,3,IF(_xlpm.len&lt;50000,4,IF(_xlpm.len&lt;100000,5,IF(_xlpm.len&lt;250000,6,IF(_xlpm.len&lt;500000,7,8))))))),_xlpm.widthRow,IF($D15&lt;=990,0,5),_xlpm.supplierRow,IF($Q15="Marma",7,IF($Q15="Bastin",17,0)),IF(_xlpm.supplierRow=0,"",INDEX('Lmntn &amp; Prntng- Marma &amp; Bastin '!$D$1:$K$22,_xlpm.supplierRow+_xlpm.widthRow,_xlpm.colNum)))))</f>
        <v>2.4120000000000003E-2</v>
      </c>
      <c r="V15" s="890">
        <f>IFERROR(IF(AM21="","",VLOOKUP($K$20,HELPER!$BH$3:$BI$5,2,TRUE)*AM21),"")</f>
        <v>0</v>
      </c>
      <c r="W15" s="897">
        <f>IF(OR($H15&lt;&gt;"Printed",$I15=0,$I15="0"),0,AM21*0.028)</f>
        <v>0.20902983117841684</v>
      </c>
      <c r="X15" s="234">
        <f t="shared" si="1"/>
        <v>0.19175685119999999</v>
      </c>
      <c r="Y15" s="886">
        <f>IFERROR((SUM(X15:X20)+SUM(R15:S15,U15))*(1/M20)*(J15/E15)+V15+W15,"")</f>
        <v>11.545946688892688</v>
      </c>
      <c r="Z15" s="233">
        <f>IF(OR($M15="",$M$20=""),"",IFERROR(($N15+$P15)*$M15/$M$20,""))</f>
        <v>2.0864806369328281</v>
      </c>
      <c r="AD15" s="564" t="s">
        <v>603</v>
      </c>
      <c r="AE15" s="221">
        <f>IF(AE37&lt;&gt;"",IFERROR(AE37*AE17,""),"")</f>
        <v>19923.299976753278</v>
      </c>
      <c r="AF15" s="565" t="s">
        <v>518</v>
      </c>
      <c r="AH15" s="578" t="s">
        <v>603</v>
      </c>
      <c r="AI15" s="223">
        <f>IF(AI37&lt;&gt;"",IFERROR(AI37*AI17,""),"")</f>
        <v>26952.545969834802</v>
      </c>
      <c r="AJ15" s="579" t="s">
        <v>518</v>
      </c>
      <c r="AL15" s="592" t="s">
        <v>603</v>
      </c>
      <c r="AM15" s="225">
        <f>IF(AM37&lt;&gt;"",IFERROR(AM37*AM17,""),"")</f>
        <v>26952.545969834802</v>
      </c>
      <c r="AN15" s="593" t="s">
        <v>518</v>
      </c>
      <c r="AP15" s="727" t="str" cm="1">
        <f t="array" ref="AP15">IFERROR(INDEX(_xlfn._xlws.SORT(_xlfn.UNIQUE(_xlfn._xlws.FILTER(HELPER!$CC$2:$CC$250,(TRIM(HELPER!$BZ$2:$BZ$250&amp;"")=TRIM($AE$51&amp;""))*(HELPER!$CC$2:$CC$250&lt;&gt;""),""))),14),"")</f>
        <v/>
      </c>
      <c r="AQ15" s="727" t="str" cm="1">
        <f t="array" ref="AQ15">IFERROR(INDEX(_xlfn._xlws.SORT(_xlfn.UNIQUE(_xlfn._xlws.FILTER(HELPER!$CC$2:$CC$250,(TRIM(HELPER!$BZ$2:$BZ$250&amp;"")=TRIM($AI$51&amp;""))*(HELPER!$CC$2:$CC$250&lt;&gt;""),""))),14),"")</f>
        <v/>
      </c>
      <c r="AR15" s="727" t="str" cm="1">
        <f t="array" ref="AR15">IFERROR(INDEX(_xlfn._xlws.SORT(_xlfn.UNIQUE(_xlfn._xlws.FILTER(HELPER!$CC$2:$CC$250,(TRIM(HELPER!$BZ$2:$BZ$250&amp;"")=TRIM($AM$51&amp;""))*(HELPER!$CC$2:$CC$250&lt;&gt;""),""))),14),"")</f>
        <v/>
      </c>
    </row>
    <row r="16" spans="1:44" ht="15.75">
      <c r="A16" s="893"/>
      <c r="B16" s="891"/>
      <c r="C16" t="str">
        <v>TIPA 302FG W</v>
      </c>
      <c r="D16" s="891"/>
      <c r="E16" s="891"/>
      <c r="F16" s="891"/>
      <c r="G16" s="893"/>
      <c r="H16" s="891"/>
      <c r="I16" s="891"/>
      <c r="J16" s="537">
        <f t="shared" si="3"/>
        <v>710.4</v>
      </c>
      <c r="K16" cm="1">
        <f t="array" ref="K16">_xlfn.LET(_xlpm.baseThick,IFERROR(INDEX(HELPER!$BX$2:$BX$250,MATCH(1,(TRIM(HELPER!$BZ$2:$BZ$250&amp;"")=TRIM($B$15&amp;""))*(HELPER!$CC$2:$CC$250=$AM$4)*(HELPER!$BW$2:$BW$250=C16),0)),""),_xlpm.struct,$C$15:$C$20,_xlpm.realLayers,SUMPRODUCT(--(_xlpm.struct&lt;&gt;""),--ISERROR(SEARCH("EPOTAL",_xlpm.struct&amp;"")),--ISERROR(SEARCH("BASONAT",_xlpm.struct&amp;"")),--ISERROR(SEARCH("ADHESIVE",_xlpm.struct&amp;"")),--ISERROR(SEARCH("HARDENER",_xlpm.struct&amp;""))),_xlpm.lamSteps,MAX(1,_xlpm.realLayers-1),_xlpm.isAdhesive,OR(ISNUMBER(SEARCH("EPOTAL",C16&amp;"")),ISNUMBER(SEARCH("BASONAT",C16&amp;"")),ISNUMBER(SEARCH("ADHESIVE",C16&amp;"")),ISNUMBER(SEARCH("HARDENER",C16&amp;""))),IF(_xlpm.baseThick="","",IF(_xlpm.isAdhesive,_xlpm.baseThick*_xlpm.lamSteps,_xlpm.baseThick)))</f>
        <v>60</v>
      </c>
      <c r="L16">
        <f>IFERROR(VLOOKUP(C16,HELPER!$AP$1:$AQ$20,2,FALSE),"")</f>
        <v>1.25</v>
      </c>
      <c r="M16" s="285">
        <f>IF(C16="","",IF(J16="","",IF(ISNUMBER(SEARCH("paper",C16)),42/1000*(J16/1000),IF(OR(L16="",L16=0,K16=""),"",L16*1000*(K16/1000000)*(J16/1000)))))</f>
        <v>5.3280000000000001E-2</v>
      </c>
      <c r="N16" s="236" cm="1">
        <f t="array" ref="N16">IF($C16="","",_xlfn.LET(
    _xlpm.mat,TRIM($C16),
    _xlpm.matKey,UPPER(SUBSTITUTE(_xlpm.mat," ","")),
    _xlpm.pr,IFERROR(LOOKUP(2,1/($H$3:H16&lt;&gt;""),$H$3:H16),""),
    _xlpm.widthActual,IFERROR(LOOKUP(2,1/($E$3:E16&lt;&gt;""),$E$3:E16),$E16),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",""))=_xlpm.matKey)*(_xlpm.summaryThick=$K16)*(_xlpm.summaryCosts&gt;0))),INDEX(_xlfn._xlws.FILTER(_xlpm.summaryCosts,(UPPER(SUBSTITUTE(_xlpm.summaryNames," ",""))=_xlpm.matKey)*(_xlpm.summaryThick=$K16)*(_xlpm.summaryCosts&gt;0)),1)),""),""),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7.8906761999999997</v>
      </c>
      <c r="O16" s="891"/>
      <c r="P16" s="95">
        <f>IF(C16="","",IFERROR(IF(O$15="Europe to Canada",IF(A$15&lt;1000,VLOOKUP(1000,HELPER!$AG$4:$AH$8,2,FALSE)/A$15,VLOOKUP(A$15,HELPER!$AG$4:$AH$8,2,TRUE)/A$15),IF(O$15="Europe to US",HELPER!$AH$2,IF(O$15="Europe to Europe",HELPER!$AH$3,0))),0))</f>
        <v>0.2</v>
      </c>
      <c r="Q16" s="891"/>
      <c r="R16" s="888"/>
      <c r="S16" s="888"/>
      <c r="T16" s="889"/>
      <c r="U16" s="888"/>
      <c r="V16" s="891"/>
      <c r="W16" s="891"/>
      <c r="X16" s="234">
        <f t="shared" si="1"/>
        <v>0.43107122793599995</v>
      </c>
      <c r="Y16" s="886"/>
      <c r="Z16" s="233">
        <f>IF(OR($M16="",$M$20=""),"",IFERROR(($N16+$P16)*$M16/$M$20,""))</f>
        <v>4.6904283450568132</v>
      </c>
      <c r="AD16" s="564" t="s">
        <v>604</v>
      </c>
      <c r="AE16" s="222">
        <f>IF(AE15&lt;&gt;"",IFERROR(AE15*1.16,""),"")</f>
        <v>23111.027973033801</v>
      </c>
      <c r="AF16" s="565" t="s">
        <v>292</v>
      </c>
      <c r="AH16" s="578" t="s">
        <v>604</v>
      </c>
      <c r="AI16" s="224">
        <f>IF(AI15&lt;&gt;"",IFERROR(AI15*1.16,""),"")</f>
        <v>31264.95332500837</v>
      </c>
      <c r="AJ16" s="579" t="s">
        <v>292</v>
      </c>
      <c r="AL16" s="594" t="s">
        <v>604</v>
      </c>
      <c r="AM16" s="232">
        <f>IF(AM15&lt;&gt;"",IFERROR(AM15*1.16,""),"")</f>
        <v>31264.95332500837</v>
      </c>
      <c r="AN16" s="595" t="s">
        <v>292</v>
      </c>
      <c r="AP16" s="727" t="str" cm="1">
        <f t="array" ref="AP16">IFERROR(INDEX(_xlfn._xlws.SORT(_xlfn.UNIQUE(_xlfn._xlws.FILTER(HELPER!$CC$2:$CC$250,(TRIM(HELPER!$BZ$2:$BZ$250&amp;"")=TRIM($AE$51&amp;""))*(HELPER!$CC$2:$CC$250&lt;&gt;""),""))),15),"")</f>
        <v/>
      </c>
      <c r="AQ16" s="727" t="str" cm="1">
        <f t="array" ref="AQ16">IFERROR(INDEX(_xlfn._xlws.SORT(_xlfn.UNIQUE(_xlfn._xlws.FILTER(HELPER!$CC$2:$CC$250,(TRIM(HELPER!$BZ$2:$BZ$250&amp;"")=TRIM($AI$51&amp;""))*(HELPER!$CC$2:$CC$250&lt;&gt;""),""))),15),"")</f>
        <v/>
      </c>
      <c r="AR16" s="727" t="str" cm="1">
        <f t="array" ref="AR16">IFERROR(INDEX(_xlfn._xlws.SORT(_xlfn.UNIQUE(_xlfn._xlws.FILTER(HELPER!$CC$2:$CC$250,(TRIM(HELPER!$BZ$2:$BZ$250&amp;"")=TRIM($AM$51&amp;""))*(HELPER!$CC$2:$CC$250&lt;&gt;""),""))),15),"")</f>
        <v/>
      </c>
    </row>
    <row r="17" spans="1:44" ht="15.75">
      <c r="A17" s="893"/>
      <c r="B17" s="891"/>
      <c r="C17" t="str">
        <v>PBAT</v>
      </c>
      <c r="D17" s="891"/>
      <c r="E17" s="891"/>
      <c r="F17" s="891"/>
      <c r="G17" s="893"/>
      <c r="H17" s="891"/>
      <c r="I17" s="891"/>
      <c r="J17" s="537">
        <f t="shared" si="3"/>
        <v>710.4</v>
      </c>
      <c r="K17" cm="1">
        <f t="array" ref="K17">_xlfn.LET(_xlpm.baseThick,IFERROR(INDEX(HELPER!$BX$2:$BX$250,MATCH(1,(TRIM(HELPER!$BZ$2:$BZ$250&amp;"")=TRIM($B$15&amp;""))*(HELPER!$CC$2:$CC$250=$AM$4)*(HELPER!$BW$2:$BW$250=C17),0)),""),_xlpm.struct,$C$15:$C$20,_xlpm.realLayers,SUMPRODUCT(--(_xlpm.struct&lt;&gt;""),--ISERROR(SEARCH("EPOTAL",_xlpm.struct&amp;"")),--ISERROR(SEARCH("BASONAT",_xlpm.struct&amp;"")),--ISERROR(SEARCH("ADHESIVE",_xlpm.struct&amp;"")),--ISERROR(SEARCH("HARDENER",_xlpm.struct&amp;""))),_xlpm.lamSteps,MAX(1,_xlpm.realLayers-1),_xlpm.isAdhesive,OR(ISNUMBER(SEARCH("EPOTAL",C17&amp;"")),ISNUMBER(SEARCH("BASONAT",C17&amp;"")),ISNUMBER(SEARCH("ADHESIVE",C17&amp;"")),ISNUMBER(SEARCH("HARDENER",C17&amp;""))),IF(_xlpm.baseThick="","",IF(_xlpm.isAdhesive,_xlpm.baseThick*_xlpm.lamSteps,_xlpm.baseThick)))</f>
        <v>17</v>
      </c>
      <c r="L17">
        <f>IFERROR(VLOOKUP(C17,HELPER!$AP$1:$AQ$20,2,FALSE),"")</f>
        <v>1.25</v>
      </c>
      <c r="M17" s="285">
        <f>IF(C17="","",IF(J17="","",IF(ISNUMBER(SEARCH("paper",C17)),42/1000*(J17/1000),IF(OR(L17="",L17=0,K17=""),"",L17*1000*(K17/1000000)*(J17/1000)))))</f>
        <v>1.5096000000000002E-2</v>
      </c>
      <c r="N17" s="235" cm="1">
        <f t="array" ref="N17">IF($C17="","",_xlfn.LET(
    _xlpm.mat,TRIM($C17),
    _xlpm.matKey,UPPER(SUBSTITUTE(_xlpm.mat," ","")),
    _xlpm.pr,IFERROR(LOOKUP(2,1/($H$3:H17&lt;&gt;""),$H$3:H17),""),
    _xlpm.widthActual,IFERROR(LOOKUP(2,1/($E$3:E17&lt;&gt;""),$E$3:E17),$E17),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",""))=_xlpm.matKey)*(_xlpm.summaryThick=$K17)*(_xlpm.summaryCosts&gt;0))),INDEX(_xlfn._xlws.FILTER(_xlpm.summaryCosts,(UPPER(SUBSTITUTE(_xlpm.summaryNames," ",""))=_xlpm.matKey)*(_xlpm.summaryThick=$K17)*(_xlpm.summaryCosts&gt;0)),1)),""),""),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2.0100000000000002</v>
      </c>
      <c r="O17" s="891"/>
      <c r="P17" s="95">
        <f>IF(C17="","",IFERROR(IF(O$15="Europe to Canada",IF(A$15&lt;1000,VLOOKUP(1000,HELPER!$AG$4:$AH$8,2,FALSE)/A$15,VLOOKUP(A$15,HELPER!$AG$4:$AH$8,2,TRUE)/A$15),IF(O$15="Europe to US",HELPER!$AH$2,IF(O$15="Europe to Europe",HELPER!$AH$3,0))),0))</f>
        <v>0.2</v>
      </c>
      <c r="Q17" s="891"/>
      <c r="R17" s="888"/>
      <c r="S17" s="888"/>
      <c r="T17" s="889"/>
      <c r="U17" s="888"/>
      <c r="V17" s="891"/>
      <c r="W17" s="891"/>
      <c r="X17" s="234">
        <f t="shared" si="1"/>
        <v>3.3362160000000009E-2</v>
      </c>
      <c r="Y17" s="886"/>
      <c r="Z17" s="233">
        <f>IF(OR($M17="",$M$20=""),"",IFERROR(($N17+$P17)*$M17/$M$20,""))</f>
        <v>0.36300919842312757</v>
      </c>
      <c r="AD17" s="566" t="s">
        <v>605</v>
      </c>
      <c r="AE17" s="230" cm="1">
        <f t="array" ref="AE17">IF(OR(AND(AE11="By Weight",AE6&lt;&gt;""),AND(AE11="By Length",AE12&lt;&gt;""),AND(OR(AE11="IMP",AE11="By Imp"),AE12&lt;&gt;"",AE13&lt;&gt;"")),IFERROR(_xlfn.LET(_xlpm.r,MATCH(1,($B$3:$B$46=AE3)*($D$3:$D$46=AE5)*($A$3:$A$46=IF(AE6&lt;&gt;"",AE6,A3))*($O$3:$O$46=AE9),0)+2,SUM(AE21:AE22,AE24)+INDEX($V$3:$V$46,_xlpm.r-2)),""),"")</f>
        <v>12.820961128258766</v>
      </c>
      <c r="AF17" s="567" t="s">
        <v>518</v>
      </c>
      <c r="AH17" s="578" t="s">
        <v>605</v>
      </c>
      <c r="AI17" s="223" cm="1">
        <f t="array" ref="AI17">IF(OR(AND(AI11="By Weight",AI6&lt;&gt;""),AND(AI11="By Length",AI12&lt;&gt;""),AND(OR(AI11="IMP",AI11="By Imp"),AI12&lt;&gt;"",AI13&lt;&gt;"")),IFERROR(_xlfn.LET(_xlpm.r,MATCH(1,($B$3:$B$46=AI3)*($D$3:$D$46=AI5)*($A$3:$A$46=IF(AI6&lt;&gt;"",AI6,A9))*($O$3:$O$46=AI9),0)+2,SUM(AI21:AI22,AI24)+INDEX($V$3:$V$46,_xlpm.r-2)),""),"")</f>
        <v>11.545946688892689</v>
      </c>
      <c r="AJ17" s="579" t="s">
        <v>518</v>
      </c>
      <c r="AL17" s="594" t="s">
        <v>605</v>
      </c>
      <c r="AM17" s="231" cm="1">
        <f t="array" ref="AM17">IF(OR(AND(AM11="By Weight",AM6&lt;&gt;""),AND(AM11="By Length",AM12&lt;&gt;""),AND(OR(AM11="IMP",AM11="By Imp"),AM12&lt;&gt;"",AM13&lt;&gt;"")),IFERROR(_xlfn.LET(_xlpm.r,MATCH(1,($B$3:$B$46=AM3)*($D$3:$D$46=AM5)*($A$3:$A$46=IF(AM6&lt;&gt;"",AM6,A15))*($O$3:$O$46=AM9),0)+2,SUM(AM21:AM22,AM24)+INDEX($V$3:$V$46,_xlpm.r-2)),""),"")</f>
        <v>11.545946688892689</v>
      </c>
      <c r="AN17" s="595" t="s">
        <v>518</v>
      </c>
      <c r="AP17" s="727" t="str" cm="1">
        <f t="array" ref="AP17">IFERROR(INDEX(_xlfn._xlws.SORT(_xlfn.UNIQUE(_xlfn._xlws.FILTER(HELPER!$CC$2:$CC$250,(TRIM(HELPER!$BZ$2:$BZ$250&amp;"")=TRIM($AE$51&amp;""))*(HELPER!$CC$2:$CC$250&lt;&gt;""),""))),16),"")</f>
        <v/>
      </c>
      <c r="AQ17" s="727" t="str" cm="1">
        <f t="array" ref="AQ17">IFERROR(INDEX(_xlfn._xlws.SORT(_xlfn.UNIQUE(_xlfn._xlws.FILTER(HELPER!$CC$2:$CC$250,(TRIM(HELPER!$BZ$2:$BZ$250&amp;"")=TRIM($AI$51&amp;""))*(HELPER!$CC$2:$CC$250&lt;&gt;""),""))),16),"")</f>
        <v/>
      </c>
      <c r="AR17" s="727" t="str" cm="1">
        <f t="array" ref="AR17">IFERROR(INDEX(_xlfn._xlws.SORT(_xlfn.UNIQUE(_xlfn._xlws.FILTER(HELPER!$CC$2:$CC$250,(TRIM(HELPER!$BZ$2:$BZ$250&amp;"")=TRIM($AM$51&amp;""))*(HELPER!$CC$2:$CC$250&lt;&gt;""),""))),16),"")</f>
        <v/>
      </c>
    </row>
    <row r="18" spans="1:44" ht="15.75">
      <c r="A18" s="893"/>
      <c r="B18" s="891"/>
      <c r="D18" s="891"/>
      <c r="E18" s="891"/>
      <c r="F18" s="891"/>
      <c r="G18" s="893"/>
      <c r="H18" s="891"/>
      <c r="I18" s="891"/>
      <c r="J18" s="537" t="str">
        <f t="shared" si="3"/>
        <v/>
      </c>
      <c r="K18" t="str" cm="1">
        <f t="array" ref="K18">_xlfn.LET(_xlpm.baseThick,IFERROR(INDEX(HELPER!$BX$2:$BX$250,MATCH(1,(TRIM(HELPER!$BZ$2:$BZ$250&amp;"")=TRIM($B$15&amp;""))*(HELPER!$CC$2:$CC$250=$AM$4)*(HELPER!$BW$2:$BW$250=C18),0)),""),_xlpm.struct,$C$15:$C$20,_xlpm.realLayers,SUMPRODUCT(--(_xlpm.struct&lt;&gt;""),--ISERROR(SEARCH("EPOTAL",_xlpm.struct&amp;"")),--ISERROR(SEARCH("BASONAT",_xlpm.struct&amp;"")),--ISERROR(SEARCH("ADHESIVE",_xlpm.struct&amp;"")),--ISERROR(SEARCH("HARDENER",_xlpm.struct&amp;""))),_xlpm.lamSteps,MAX(1,_xlpm.realLayers-1),_xlpm.isAdhesive,OR(ISNUMBER(SEARCH("EPOTAL",C18&amp;"")),ISNUMBER(SEARCH("BASONAT",C18&amp;"")),ISNUMBER(SEARCH("ADHESIVE",C18&amp;"")),ISNUMBER(SEARCH("HARDENER",C18&amp;""))),IF(_xlpm.baseThick="","",IF(_xlpm.isAdhesive,_xlpm.baseThick*_xlpm.lamSteps,_xlpm.baseThick)))</f>
        <v/>
      </c>
      <c r="L18" t="str">
        <f>IFERROR(VLOOKUP(C18,HELPER!$AP$1:$AQ$20,2,FALSE),"")</f>
        <v/>
      </c>
      <c r="M18" s="285" t="str" cm="1">
        <f t="array" ref="M18">IF(C18="","",IF(J18="","",IF(ISNUMBER(SEARCH("paper",C18)),42/1000*(J18/1000),IF(OR(L18="",L18=0,K18=""),"",L18*1000*(K18/1000000)*(J18/1000)*IF(OR(ISNUMBER(SEARCH("RM G Epotal",C18)),ISNUMBER(SEARCH("RM G Basonat",C18))),MAX(1,SUMPRODUCT((LEFT(C$15:C$19,2)="NK")+(ISNUMBER(SEARCH("paper",C$15:C$19)))+(LEFT(C$15:C$19,4)="TIPA")+(LEFT(C$15:C$19,4)="PBAT"))-1),1)))))</f>
        <v/>
      </c>
      <c r="N18" s="235" t="str" cm="1">
        <f t="array" ref="N18">IF($C18="","",_xlfn.LET(
    _xlpm.mat,TRIM($C18),
    _xlpm.matKey,UPPER(SUBSTITUTE(_xlpm.mat," ","")),
    _xlpm.pr,IFERROR(LOOKUP(2,1/($H$3:H18&lt;&gt;""),$H$3:H18),""),
    _xlpm.widthActual,IFERROR(LOOKUP(2,1/($E$3:E18&lt;&gt;""),$E$3:E18),$E18),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",""))=_xlpm.matKey)*(_xlpm.summaryThick=$K18)*(_xlpm.summaryCosts&gt;0))),INDEX(_xlfn._xlws.FILTER(_xlpm.summaryCosts,(UPPER(SUBSTITUTE(_xlpm.summaryNames," ",""))=_xlpm.matKey)*(_xlpm.summaryThick=$K18)*(_xlpm.summaryCosts&gt;0)),1)),""),""),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
      </c>
      <c r="O18" s="891"/>
      <c r="P18" s="95" t="str">
        <f>IF(C18="","",IFERROR(IF(O$15="Europe to Canada",IF(A$15&lt;1000,VLOOKUP(1000,HELPER!$AG$4:$AH$8,2,FALSE)/A$15,VLOOKUP(A$15,HELPER!$AG$4:$AH$8,2,TRUE)/A$15),IF(O$15="Europe to US",HELPER!$AH$2,IF(O$15="Europe to Europe",HELPER!$AH$3,0))),0))</f>
        <v/>
      </c>
      <c r="Q18" s="891"/>
      <c r="R18" s="888"/>
      <c r="S18" s="888"/>
      <c r="T18" s="889"/>
      <c r="U18" s="888"/>
      <c r="V18" s="891"/>
      <c r="W18" s="891"/>
      <c r="X18" s="234" t="str">
        <f t="shared" si="1"/>
        <v/>
      </c>
      <c r="Y18" s="886"/>
      <c r="Z18" s="233" t="str">
        <f>IF(OR($M18="",$M$20=""),"",IFERROR(($N18+$P18)*$M18/$M$20,""))</f>
        <v/>
      </c>
      <c r="AD18" s="564" t="s">
        <v>606</v>
      </c>
      <c r="AE18" s="222">
        <f>IF(AE17&lt;&gt;"",IFERROR(AE17*1.16,""),"")</f>
        <v>14.872314908780167</v>
      </c>
      <c r="AF18" s="565" t="s">
        <v>292</v>
      </c>
      <c r="AH18" s="580" t="s">
        <v>606</v>
      </c>
      <c r="AI18" s="228">
        <f>IF(AI17&lt;&gt;"",IFERROR(AI17*1.16,""),"")</f>
        <v>13.393298159115519</v>
      </c>
      <c r="AJ18" s="581" t="s">
        <v>292</v>
      </c>
      <c r="AL18" s="594" t="s">
        <v>606</v>
      </c>
      <c r="AM18" s="232">
        <f>IF(AM17&lt;&gt;"",IFERROR(AM17*1.16,""),"")</f>
        <v>13.393298159115519</v>
      </c>
      <c r="AN18" s="595" t="s">
        <v>292</v>
      </c>
      <c r="AP18" s="727" t="str" cm="1">
        <f t="array" ref="AP18">IFERROR(INDEX(_xlfn._xlws.SORT(_xlfn.UNIQUE(_xlfn._xlws.FILTER(HELPER!$CC$2:$CC$250,(TRIM(HELPER!$BZ$2:$BZ$250&amp;"")=TRIM($AE$51&amp;""))*(HELPER!$CC$2:$CC$250&lt;&gt;""),""))),17),"")</f>
        <v/>
      </c>
      <c r="AQ18" s="727" t="str" cm="1">
        <f t="array" ref="AQ18">IFERROR(INDEX(_xlfn._xlws.SORT(_xlfn.UNIQUE(_xlfn._xlws.FILTER(HELPER!$CC$2:$CC$250,(TRIM(HELPER!$BZ$2:$BZ$250&amp;"")=TRIM($AI$51&amp;""))*(HELPER!$CC$2:$CC$250&lt;&gt;""),""))),17),"")</f>
        <v/>
      </c>
      <c r="AR18" s="727" t="str" cm="1">
        <f t="array" ref="AR18">IFERROR(INDEX(_xlfn._xlws.SORT(_xlfn.UNIQUE(_xlfn._xlws.FILTER(HELPER!$CC$2:$CC$250,(TRIM(HELPER!$BZ$2:$BZ$250&amp;"")=TRIM($AM$51&amp;""))*(HELPER!$CC$2:$CC$250&lt;&gt;""),""))),17),"")</f>
        <v/>
      </c>
    </row>
    <row r="19" spans="1:44" ht="16.5" thickBot="1">
      <c r="A19" s="893"/>
      <c r="B19" s="891"/>
      <c r="D19" s="891"/>
      <c r="E19" s="891"/>
      <c r="F19" s="891"/>
      <c r="G19" s="893"/>
      <c r="H19" s="891"/>
      <c r="I19" s="891"/>
      <c r="J19" s="537" t="str">
        <f t="shared" si="3"/>
        <v/>
      </c>
      <c r="K19" t="str" cm="1">
        <f t="array" ref="K19">_xlfn.LET(_xlpm.baseThick,IFERROR(INDEX(HELPER!$BX$2:$BX$250,MATCH(1,(TRIM(HELPER!$BZ$2:$BZ$250&amp;"")=TRIM($B$15&amp;""))*(HELPER!$CC$2:$CC$250=$AM$4)*(HELPER!$BW$2:$BW$250=C19),0)),""),_xlpm.struct,$C$15:$C$20,_xlpm.realLayers,SUMPRODUCT(--(_xlpm.struct&lt;&gt;""),--ISERROR(SEARCH("EPOTAL",_xlpm.struct&amp;"")),--ISERROR(SEARCH("BASONAT",_xlpm.struct&amp;"")),--ISERROR(SEARCH("ADHESIVE",_xlpm.struct&amp;"")),--ISERROR(SEARCH("HARDENER",_xlpm.struct&amp;""))),_xlpm.lamSteps,MAX(1,_xlpm.realLayers-1),_xlpm.isAdhesive,OR(ISNUMBER(SEARCH("EPOTAL",C19&amp;"")),ISNUMBER(SEARCH("BASONAT",C19&amp;"")),ISNUMBER(SEARCH("ADHESIVE",C19&amp;"")),ISNUMBER(SEARCH("HARDENER",C19&amp;""))),IF(_xlpm.baseThick="","",IF(_xlpm.isAdhesive,_xlpm.baseThick*_xlpm.lamSteps,_xlpm.baseThick)))</f>
        <v/>
      </c>
      <c r="L19" t="str">
        <f>IFERROR(VLOOKUP(C19,HELPER!$AP$1:$AQ$20,2,FALSE),"")</f>
        <v/>
      </c>
      <c r="M19" s="285" t="str">
        <f>IF(C19="","",IF(ISNUMBER(SEARCH("paper",C19)),42/1000*(J19/1000),IF(OR(L19="",L19=0),"",L19*1000*(K19/1000000)*(J19/1000))))</f>
        <v/>
      </c>
      <c r="N19" s="235" t="str" cm="1">
        <f t="array" ref="N19">IF($C19="","",_xlfn.LET(
    _xlpm.mat,TRIM($C19),
    _xlpm.matKey,UPPER(SUBSTITUTE(_xlpm.mat," ","")),
    _xlpm.pr,IFERROR(LOOKUP(2,1/($H$3:H19&lt;&gt;""),$H$3:H19),""),
    _xlpm.widthActual,IFERROR(LOOKUP(2,1/($E$3:E19&lt;&gt;""),$E$3:E19),$E19),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",""))=_xlpm.matKey)*(_xlpm.summaryThick=$K19)*(_xlpm.summaryCosts&gt;0))),INDEX(_xlfn._xlws.FILTER(_xlpm.summaryCosts,(UPPER(SUBSTITUTE(_xlpm.summaryNames," ",""))=_xlpm.matKey)*(_xlpm.summaryThick=$K19)*(_xlpm.summaryCosts&gt;0)),1)),""),""),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
      </c>
      <c r="O19" s="891"/>
      <c r="P19" s="95" t="str">
        <f>IF(C19="","",IFERROR(IF(O$15="Europe to Canada",IF(A$15&lt;1000,VLOOKUP(1000,HELPER!$AG$4:$AH$8,2,FALSE)/A$15,VLOOKUP(A$15,HELPER!$AG$4:$AH$8,2,TRUE)/A$15),IF(O$15="Europe to US",HELPER!$AH$2,IF(O$15="Europe to Europe",HELPER!$AH$3,0))),0))</f>
        <v/>
      </c>
      <c r="Q19" s="891"/>
      <c r="R19" s="888"/>
      <c r="S19" s="888"/>
      <c r="T19" s="889"/>
      <c r="U19" s="888"/>
      <c r="V19" s="891"/>
      <c r="W19" s="891"/>
      <c r="X19" s="234" t="str">
        <f t="shared" si="1"/>
        <v/>
      </c>
      <c r="Y19" s="886"/>
      <c r="Z19" s="233"/>
      <c r="AD19" s="568" t="s">
        <v>863</v>
      </c>
      <c r="AE19" s="569">
        <f>IF(AE37&lt;&gt;"",IFERROR(AE15/AE37,""),"")</f>
        <v>12.820961128258768</v>
      </c>
      <c r="AF19" s="570" t="s">
        <v>864</v>
      </c>
      <c r="AG19" s="271"/>
      <c r="AH19" s="582" t="s">
        <v>863</v>
      </c>
      <c r="AI19" s="583">
        <f>IF(AI37&lt;&gt;"",IFERROR(AI15/AI37,""),"")</f>
        <v>11.545946688892689</v>
      </c>
      <c r="AJ19" s="584" t="s">
        <v>864</v>
      </c>
      <c r="AK19" s="229"/>
      <c r="AL19" s="596" t="s">
        <v>863</v>
      </c>
      <c r="AM19" s="597">
        <f>IF(AM37&lt;&gt;"",IFERROR(AM15/AM37,""),"")</f>
        <v>11.545946688892689</v>
      </c>
      <c r="AN19" s="598" t="s">
        <v>864</v>
      </c>
      <c r="AP19" s="727" t="str" cm="1">
        <f t="array" ref="AP19">IFERROR(INDEX(_xlfn._xlws.SORT(_xlfn.UNIQUE(_xlfn._xlws.FILTER(HELPER!$CC$2:$CC$250,(TRIM(HELPER!$BZ$2:$BZ$250&amp;"")=TRIM($AE$51&amp;""))*(HELPER!$CC$2:$CC$250&lt;&gt;""),""))),18),"")</f>
        <v/>
      </c>
      <c r="AQ19" s="727" t="str" cm="1">
        <f t="array" ref="AQ19">IFERROR(INDEX(_xlfn._xlws.SORT(_xlfn.UNIQUE(_xlfn._xlws.FILTER(HELPER!$CC$2:$CC$250,(TRIM(HELPER!$BZ$2:$BZ$250&amp;"")=TRIM($AI$51&amp;""))*(HELPER!$CC$2:$CC$250&lt;&gt;""),""))),18),"")</f>
        <v/>
      </c>
      <c r="AR19" s="727" t="str" cm="1">
        <f t="array" ref="AR19">IFERROR(INDEX(_xlfn._xlws.SORT(_xlfn.UNIQUE(_xlfn._xlws.FILTER(HELPER!$CC$2:$CC$250,(TRIM(HELPER!$BZ$2:$BZ$250&amp;"")=TRIM($AM$51&amp;""))*(HELPER!$CC$2:$CC$250&lt;&gt;""),""))),18),"")</f>
        <v/>
      </c>
    </row>
    <row r="20" spans="1:44">
      <c r="A20" s="893"/>
      <c r="B20" s="891"/>
      <c r="D20" s="891"/>
      <c r="E20" s="891"/>
      <c r="F20" s="891"/>
      <c r="G20" s="893"/>
      <c r="H20" s="891"/>
      <c r="I20" s="891"/>
      <c r="J20" s="537" t="str">
        <f t="shared" si="3"/>
        <v/>
      </c>
      <c r="K20" s="192">
        <f>AM4</f>
        <v>100</v>
      </c>
      <c r="L20" t="str">
        <f>IFERROR(VLOOKUP(C20,HELPER!$AP$1:$AQ$20,2,FALSE),"")</f>
        <v/>
      </c>
      <c r="M20" s="286">
        <f>IFERROR(SUM(M15:M19),"")</f>
        <v>9.1904448E-2</v>
      </c>
      <c r="N20" s="235" t="str" cm="1">
        <f t="array" ref="N20">IF($C20="","",_xlfn.LET(
    _xlpm.mat,TRIM($C20),
    _xlpm.matKey,UPPER(SUBSTITUTE(_xlpm.mat," ","")),
    _xlpm.pr,IFERROR(LOOKUP(2,1/($H$3:H20&lt;&gt;""),$H$3:H20),""),
    _xlpm.widthActual,IFERROR(LOOKUP(2,1/($E$3:E20&lt;&gt;""),$E$3:E20),$E20),
    _xlpm.euShip,IFERROR(HELPER!$AH$3,0),
    _xlpm.metSetup,IFERROR(HELPER!$CH$2,0),
    _xlpm.filmNames,Table1[Film Type],
    _xlpm.filmCosts,Table1[For Laminates calculation purposes],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",""))=_xlpm.matKey)*(_xlpm.summaryThick=$K20)*(_xlpm.summaryCosts&gt;0))),INDEX(_xlfn._xlws.FILTER(_xlpm.summaryCosts,(UPPER(SUBSTITUTE(_xlpm.summaryNames," ",""))=_xlpm.matKey)*(_xlpm.summaryThick=$K20)*(_xlpm.summaryCosts&gt;0)),1)),""),""),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_xlpm.rawResult
  ))</f>
        <v/>
      </c>
      <c r="O20" s="891"/>
      <c r="P20" s="95" t="str">
        <f>IF(C20="","",IFERROR(IF(O$15="Europe to Canada",IF(A$15&lt;1000,VLOOKUP(1000,HELPER!$AG$4:$AH$8,2,FALSE)/A$15,VLOOKUP(A$15,HELPER!$AG$4:$AH$8,2,TRUE)/A$15),IF(O$15="Europe to US",HELPER!$AH$2,IF(O$15="Europe to Europe",HELPER!$AH$3,0))),0))</f>
        <v/>
      </c>
      <c r="Q20" s="891"/>
      <c r="R20" s="888"/>
      <c r="S20" s="888"/>
      <c r="T20" s="889"/>
      <c r="U20" s="888"/>
      <c r="V20" s="891"/>
      <c r="W20" s="891"/>
      <c r="X20" s="234"/>
      <c r="Y20" s="886"/>
      <c r="AE20" s="117" cm="1">
        <f t="array" ref="AE20">IF(OR(AND(AE11="By Weight",AE6&lt;&gt;""),AND(AE11="By Length",AE12&lt;&gt;""),AND(OR(AE11="IMP",AE11="By Imp"),AE12&lt;&gt;"",AE13&lt;&gt;"")),IFERROR(_xlfn.LET(_xlpm.r,MATCH(1,($B$3:$B$46=AE3)*($D$3:$D$46=AE5)*($A$3:$A$46=IF(AE6&lt;&gt;"",AE6,A3))*($O$3:$O$46=AE9),0)+2,INDEX($G$3:$G$46,_xlpm.r-2)),""),"")</f>
        <v>25400</v>
      </c>
      <c r="AI20" s="117" cm="1">
        <f t="array" ref="AI20">IF(OR(AND(AI11="By Weight",AI6&lt;&gt;""),AND(AI11="By Length",AI12&lt;&gt;""),AND(OR(AI11="IMP",AI11="By Imp"),AI12&lt;&gt;"",AI13&lt;&gt;"")),IFERROR(_xlfn.LET(_xlpm.r,MATCH(1,($B$3:$B$46=AI3)*($D$3:$D$46=AI5)*($A$3:$A$46=IF(AI6&lt;&gt;"",AI6,A9))*($O$3:$O$46=AI9),0)+2,INDEX($G$3:$G$46,_xlpm.r-2)),""),"")</f>
        <v>25400</v>
      </c>
      <c r="AM20" cm="1">
        <f t="array" ref="AM20">IF(OR(AND(AM11="By Weight",AM6&lt;&gt;""),AND(AM11="By Length",AM12&lt;&gt;""),AND(OR(AM11="IMP",AM11="By Imp"),AM12&lt;&gt;"",AM13&lt;&gt;"")),IFERROR(_xlfn.LET(_xlpm.r,MATCH(1,($B$3:$B$46=AM3)*($D$3:$D$46=AM5)*($A$3:$A$46=IF(AM6&lt;&gt;"",AM6,A15))*($O$3:$O$46=AM9),0)+2,INDEX($G$3:$G$46,_xlpm.r-2)),""),"")</f>
        <v>25400</v>
      </c>
      <c r="AP20" s="727" t="str" cm="1">
        <f t="array" ref="AP20">IFERROR(INDEX(_xlfn._xlws.SORT(_xlfn.UNIQUE(_xlfn._xlws.FILTER(HELPER!$CC$2:$CC$250,(TRIM(HELPER!$BZ$2:$BZ$250&amp;"")=TRIM($AE$51&amp;""))*(HELPER!$CC$2:$CC$250&lt;&gt;""),""))),19),"")</f>
        <v/>
      </c>
      <c r="AQ20" s="727" t="str" cm="1">
        <f t="array" ref="AQ20">IFERROR(INDEX(_xlfn._xlws.SORT(_xlfn.UNIQUE(_xlfn._xlws.FILTER(HELPER!$CC$2:$CC$250,(TRIM(HELPER!$BZ$2:$BZ$250&amp;"")=TRIM($AI$51&amp;""))*(HELPER!$CC$2:$CC$250&lt;&gt;""),""))),19),"")</f>
        <v/>
      </c>
      <c r="AR20" s="727" t="str" cm="1">
        <f t="array" ref="AR20">IFERROR(INDEX(_xlfn._xlws.SORT(_xlfn.UNIQUE(_xlfn._xlws.FILTER(HELPER!$CC$2:$CC$250,(TRIM(HELPER!$BZ$2:$BZ$250&amp;"")=TRIM($AM$51&amp;""))*(HELPER!$CC$2:$CC$250&lt;&gt;""),""))),19),"")</f>
        <v/>
      </c>
    </row>
    <row r="21" spans="1:44">
      <c r="A21"/>
      <c r="C21" s="38"/>
      <c r="G21">
        <f>85772/(ROUNDDOWN(J3/D3,0))</f>
        <v>85772</v>
      </c>
      <c r="J21" s="537" t="str">
        <f t="shared" ref="J21:J26" si="4">IF($C21="","",IF($E$15="","",IF($E$15+50&gt;1220,"ERROR: Lamination Width &gt; 1220",$E$15+50)))</f>
        <v/>
      </c>
      <c r="K21" s="191">
        <f>SUM(K15:K20)</f>
        <v>200</v>
      </c>
      <c r="N21" s="235" t="str" cm="1">
        <f t="array" ref="N21">IF($C21="","",_xlfn.LET(
    _xlpm.mat,TRIM($C21),
    _xlpm.matKey,UPPER(SUBSTITUTE(_xlpm.mat," ","")),
    _xlpm.pr,IFERROR(LOOKUP(2,1/($H$3:H21&lt;&gt;""),$H$3:H21),""),
    _xlpm.widthActual,IFERROR(LOOKUP(2,1/($E$3:E21&lt;&gt;""),$E$3:E21),$E21),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",""))=_xlpm.matKey)*(_xlpm.summaryThick=$K21)*(_xlpm.summaryCosts&gt;0))),INDEX(_xlfn._xlws.FILTER(_xlpm.summaryCosts,(UPPER(SUBSTITUTE(_xlpm.summaryNames," ",""))=_xlpm.matKey)*(_xlpm.summaryThick=$K21)*(_xlpm.summaryCosts&gt;0)),1)),""),""),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21"/>
      <c r="S21"/>
      <c r="T21" s="887" t="str">
        <f>IF(OR($S21="",$K21=""),"",IFERROR($S21*(1/$M$26)*($J21/($D21*MAX(1,ROUNDDOWN(760/$D21,0)))),""))</f>
        <v/>
      </c>
      <c r="U21"/>
      <c r="X21" s="234"/>
      <c r="Y21" s="234"/>
      <c r="Z21" s="233"/>
      <c r="AD21" t="s">
        <v>608</v>
      </c>
      <c r="AE21" s="288" cm="1">
        <f t="array" ref="AE21">IF(OR(AND(AE11="By Weight",AE6&lt;&gt;""),AND(AE11="By Length",AE12&lt;&gt;""),AND(OR(AE11="IMP",AE11="By Imp"),AE12&lt;&gt;"",AE13&lt;&gt;"")),IFERROR(_xlfn.LET(_xlpm.r,MATCH(1,($B$3:$B$46=AE3)*($D$3:$D$46=AE5)*($A$3:$A$46=IF(AE6&lt;&gt;"",AE6,A3))*($O$3:$O$46=AE9),0)+2,SUMPRODUCT(INDEX($N$3:$N$46,_xlpm.r-2):INDEX($N$3:$N$46,_xlpm.r+3),INDEX($M$3:$M$46,_xlpm.r-2):INDEX($M$3:$M$46,_xlpm.r+3))*(1/INDEX($M$3:$M$46,MATCH(1,($B$3:$B$46=AE3)*($D$3:$D$46=AE5)*($A$3:$A$46=IF(AE6&lt;&gt;"",AE6,A3))*($O$3:$O$46=AE9),0)+5))*(INDEX($J$3:$J$46,_xlpm.r-2)/INDEX($E$3:$E$46,_xlpm.r-2))),""),"")</f>
        <v>8.3986928396785796</v>
      </c>
      <c r="AH21" t="s">
        <v>614</v>
      </c>
      <c r="AI21" s="288" cm="1">
        <f t="array" ref="AI21">IF(OR(AND(AI11="By Weight",AI6&lt;&gt;""),AND(AI11="By Length",AI12&lt;&gt;""),AND(OR(AI11="IMP",AI11="By Imp"),AI12&lt;&gt;"",AI13&lt;&gt;"")),IFERROR(_xlfn.LET(_xlpm.r,MATCH(1,($B$3:$B$46=AI3)*($D$3:$D$46=AI5)*($A$3:$A$46=IF(AI6&lt;&gt;"",AI6,A9))*($O$3:$O$46=AI9),0)+2,SUMPRODUCT(INDEX($N$3:$N$46,_xlpm.r-2):INDEX($N$3:$N$46,_xlpm.r+3),INDEX($M$3:$M$46,_xlpm.r-2):INDEX($M$3:$M$46,_xlpm.r+3))*(1/INDEX($M$3:$M$46,MATCH(1,($B$3:$B$46=AI3)*($D$3:$D$46=AI5)*($A$3:$A$46=IF(AI6&lt;&gt;"",AI6,A9))*($O$3:$O$46=AI9),0)+5))*(INDEX($J$3:$J$46,_xlpm.r-2)/INDEX($E$3:$E$46,_xlpm.r-2))),""),"")</f>
        <v>7.4653511135148864</v>
      </c>
      <c r="AL21" t="s">
        <v>614</v>
      </c>
      <c r="AM21" s="288" cm="1">
        <f t="array" ref="AM21">IF(OR(AND(AM11="By Weight",AM6&lt;&gt;""),AND(AM11="By Length",AM12&lt;&gt;""),AND(OR(AM11="IMP",AM11="By Imp"),AM12&lt;&gt;"",AM13&lt;&gt;"")),IFERROR(_xlfn.LET(_xlpm.r,MATCH(1,($B$3:$B$46=AM3)*($D$3:$D$46=AM5)*($A$3:$A$46=IF(AM6&lt;&gt;"",AM6,A15))*($O$3:$O$46=AM9),0)+2,SUMPRODUCT(INDEX($N$3:$N$46,_xlpm.r-2):INDEX($N$3:$N$46,_xlpm.r+3),INDEX($M$3:$M$46,_xlpm.r-2):INDEX($M$3:$M$46,_xlpm.r+3))*(1/INDEX($M$3:$M$46,MATCH(1,($B$3:$B$46=AM3)*($D$3:$D$46=AM5)*($A$3:$A$46=IF(AM6&lt;&gt;"",AM6,A15))*($O$3:$O$46=AM9),0)+5))*(INDEX($J$3:$J$46,_xlpm.r-2)/INDEX($E$3:$E$46,_xlpm.r-2))),""),"")</f>
        <v>7.4653511135148864</v>
      </c>
    </row>
    <row r="22" spans="1:44">
      <c r="A22"/>
      <c r="J22" s="537" t="str">
        <f t="shared" si="4"/>
        <v/>
      </c>
      <c r="N22" s="235" t="str" cm="1">
        <f t="array" ref="N22">IF($C22="","",_xlfn.LET(
    _xlpm.mat,TRIM($C22),
    _xlpm.matKey,UPPER(SUBSTITUTE(_xlpm.mat," ","")),
    _xlpm.pr,IFERROR(LOOKUP(2,1/($H$3:H22&lt;&gt;""),$H$3:H22),""),
    _xlpm.widthActual,IFERROR(LOOKUP(2,1/($E$3:E22&lt;&gt;""),$E$3:E22),$E22),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",""))=_xlpm.matKey)*(_xlpm.summaryThick=$K22)*(_xlpm.summaryCosts&gt;0))),INDEX(_xlfn._xlws.FILTER(_xlpm.summaryCosts,(UPPER(SUBSTITUTE(_xlpm.summaryNames," ",""))=_xlpm.matKey)*(_xlpm.summaryThick=$K22)*(_xlpm.summaryCosts&gt;0)),1)),""),""),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22"/>
      <c r="S22"/>
      <c r="T22" s="887"/>
      <c r="U22"/>
      <c r="X22" s="66"/>
      <c r="Y22" s="66"/>
      <c r="AD22" t="s">
        <v>609</v>
      </c>
      <c r="AE22" s="288" cm="1">
        <f t="array" ref="AE22">IF(OR(AND(AE11="By Weight",AE6&lt;&gt;""),AND(AE11="By Length",AE12&lt;&gt;""),AND(OR(AE11="IMP",AE11="By Imp"),AE12&lt;&gt;"",AE13&lt;&gt;"")),IFERROR(_xlfn.LET(_xlpm.r,MATCH(1,($B$3:$B$46=AE3)*($D$3:$D$46=AE5)*($A$3:$A$46=IF(AE6&lt;&gt;"",AE6,A3))*($O$3:$O$46=AE9),0)+2,SUMPRODUCT(INDEX($P$3:$P$46,_xlpm.r-2):INDEX($P$3:$P$46,_xlpm.r+3),INDEX($M$3:$M$46,_xlpm.r-2):INDEX($M$3:$M$46,_xlpm.r+3))*(1/INDEX($M$3:$M$46,MATCH(1,($B$3:$B$46=AE3)*($D$3:$D$46=AE5)*($A$3:$A$46=IF(AE6&lt;&gt;"",AE6,A3))*($O$3:$O$46=AE9),0)+5))*(INDEX($J$3:$J$46,_xlpm.r-2)/INDEX($E$3:$E$46,_xlpm.r-2))),""),"")</f>
        <v>0.21514233797698365</v>
      </c>
      <c r="AH22" t="s">
        <v>615</v>
      </c>
      <c r="AI22" s="288" cm="1">
        <f t="array" ref="AI22">IF(OR(AND(AI11="By Weight",AI6&lt;&gt;""),AND(AI11="By Length",AI12&lt;&gt;""),AND(OR(AI11="IMP",AI11="By Imp"),AI12&lt;&gt;"",AI13&lt;&gt;"")),IFERROR(_xlfn.LET(_xlpm.r,MATCH(1,($B$3:$B$46=AI3)*($D$3:$D$46=AI5)*($A$3:$A$46=IF(AI6&lt;&gt;"",AI6,A9))*($O$3:$O$46=AI9),0)+2,SUMPRODUCT(INDEX($P$3:$P$46,_xlpm.r-2):INDEX($P$3:$P$46,_xlpm.r+3),INDEX($M$3:$M$46,_xlpm.r-2):INDEX($M$3:$M$46,_xlpm.r+3))*(1/INDEX($M$3:$M$46,MATCH(1,($B$3:$B$46=AI3)*($D$3:$D$46=AI5)*($A$3:$A$46=IF(AI6&lt;&gt;"",AI6,A9))*($O$3:$O$46=AI9),0)+5))*(INDEX($J$3:$J$46,_xlpm.r-2)/INDEX($E$3:$E$46,_xlpm.r-2))),""),"")</f>
        <v>0.21514233797698368</v>
      </c>
      <c r="AL22" t="s">
        <v>615</v>
      </c>
      <c r="AM22" s="288" cm="1">
        <f t="array" ref="AM22">IF(OR(AND(AM11="By Weight",AM6&lt;&gt;""),AND(AM11="By Length",AM12&lt;&gt;""),AND(OR(AM11="IMP",AM11="By Imp"),AM12&lt;&gt;"",AM13&lt;&gt;"")),IFERROR(_xlfn.LET(_xlpm.r,MATCH(1,($B$3:$B$46=AM3)*($D$3:$D$46=AM5)*($A$3:$A$46=IF(AM6&lt;&gt;"",AM6,A15))*($O$3:$O$46=AM9),0)+2,SUMPRODUCT(INDEX($P$3:$P$46,_xlpm.r-2):INDEX($P$3:$P$46,_xlpm.r+3),INDEX($M$3:$M$46,_xlpm.r-2):INDEX($M$3:$M$46,_xlpm.r+3))*(1/INDEX($M$3:$M$46,MATCH(1,($B$3:$B$46=AM3)*($D$3:$D$46=AM5)*($A$3:$A$46=IF(AM6&lt;&gt;"",AM6,A15))*($O$3:$O$46=AM9),0)+5))*(INDEX($J$3:$J$46,_xlpm.r-2)/INDEX($E$3:$E$46,_xlpm.r-2))),""),"")</f>
        <v>0.21514233797698368</v>
      </c>
    </row>
    <row r="23" spans="1:44">
      <c r="A23"/>
      <c r="J23" s="537" t="str">
        <f t="shared" si="4"/>
        <v/>
      </c>
      <c r="N23" s="235" t="str" cm="1">
        <f t="array" ref="N23">IF($C23="","",_xlfn.LET(
    _xlpm.mat,TRIM($C23),
    _xlpm.matKey,UPPER(SUBSTITUTE(_xlpm.mat," ","")),
    _xlpm.pr,IFERROR(LOOKUP(2,1/($H$3:H23&lt;&gt;""),$H$3:H23),""),
    _xlpm.widthActual,IFERROR(LOOKUP(2,1/($E$3:E23&lt;&gt;""),$E$3:E23),$E23),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",""))=_xlpm.matKey)*(_xlpm.summaryThick=$K23)*(_xlpm.summaryCosts&gt;0))),INDEX(_xlfn._xlws.FILTER(_xlpm.summaryCosts,(UPPER(SUBSTITUTE(_xlpm.summaryNames," ",""))=_xlpm.matKey)*(_xlpm.summaryThick=$K23)*(_xlpm.summaryCosts&gt;0)),1)),""),""),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23"/>
      <c r="S23"/>
      <c r="T23" s="887"/>
      <c r="U23"/>
      <c r="Z23" s="480"/>
      <c r="AD23" t="s">
        <v>610</v>
      </c>
      <c r="AE23" s="288" cm="1">
        <f t="array" ref="AE23">IF(OR(AND(AE11="By Weight",AE6&lt;&gt;""),AND(AE11="By Length",AE12&lt;&gt;""),AND(OR(AE11="IMP",AE11="By Imp"),AE12&lt;&gt;"",AE13&lt;&gt;"")),IFERROR(_xlfn.LET(_xlpm.r,MATCH(1,($B$3:$B$46=AE3)*($D$3:$D$46=AE5)*($A$3:$A$46=IF(AE6&lt;&gt;"",AE6,A3))*($O$3:$O$46=AE9),0)+2,INDEX($R$3:$R$46,_xlpm.r-2)*(1/INDEX($M$3:$M$46,MATCH(1,($B$3:$B$46=AE3)*($D$3:$D$46=AE5)*($A$3:$A$46=IF(AE6&lt;&gt;"",AE6,A3))*($O$3:$O$46=AE9),0)+5))*(INDEX($J$3:$J$46,_xlpm.r-2)/INDEX($E$3:$E$46,_xlpm.r-2))),""),"")</f>
        <v>1.5207394468524331</v>
      </c>
      <c r="AH23" t="s">
        <v>616</v>
      </c>
      <c r="AI23" s="288" cm="1">
        <f t="array" ref="AI23">IF(OR(AND(AI11="By Weight",AI6&lt;&gt;""),AND(AI11="By Length",AI12&lt;&gt;""),AND(OR(AI11="IMP",AI11="By Imp"),AI12&lt;&gt;"",AI13&lt;&gt;"")),IFERROR(_xlfn.LET(_xlpm.r,MATCH(1,($B$3:$B$46=AI3)*($D$3:$D$46=AI5)*($A$3:$A$46=IF(AI6&lt;&gt;"",AI6,A9))*($O$3:$O$46=AI9),0)+2,INDEX($R$3:$R$46,_xlpm.r-2)*(1/INDEX($M$3:$M$46,MATCH(1,($B$3:$B$46=AI3)*($D$3:$D$46=AI5)*($A$3:$A$46=IF(AI6&lt;&gt;"",AI6,A9))*($O$3:$O$46=AI9),0)+5))*(INDEX($J$3:$J$46,_xlpm.r-2)/INDEX($E$3:$E$46,_xlpm.r-2))),""),"")</f>
        <v>2.0246746720712925</v>
      </c>
      <c r="AL23" t="s">
        <v>616</v>
      </c>
      <c r="AM23" s="288" cm="1">
        <f t="array" ref="AM23">IF(OR(AND(AM11="By Weight",AM6&lt;&gt;""),AND(AM11="By Length",AM12&lt;&gt;""),AND(OR(AM11="IMP",AM11="By Imp"),AM12&lt;&gt;"",AM13&lt;&gt;"")),IFERROR(_xlfn.LET(_xlpm.r,MATCH(1,($B$3:$B$46=AM3)*($D$3:$D$46=AM5)*($A$3:$A$46=IF(AM6&lt;&gt;"",AM6,A15))*($O$3:$O$46=AM9),0)+2,INDEX($R$3:$R$46,_xlpm.r-2)*(1/INDEX($M$3:$M$46,MATCH(1,($B$3:$B$46=AM3)*($D$3:$D$46=AM5)*($A$3:$A$46=IF(AM6&lt;&gt;"",AM6,A15))*($O$3:$O$46=AM9),0)+5))*(INDEX($J$3:$J$46,_xlpm.r-2)/INDEX($E$3:$E$46,_xlpm.r-2))),""),"")</f>
        <v>2.0246746720712925</v>
      </c>
    </row>
    <row r="24" spans="1:44" ht="15.75" thickBot="1">
      <c r="A24"/>
      <c r="J24" s="537" t="str">
        <f t="shared" si="4"/>
        <v/>
      </c>
      <c r="N24" s="235" t="str" cm="1">
        <f t="array" ref="N24">IF($C24="","",_xlfn.LET(
    _xlpm.mat,TRIM($C24),
    _xlpm.matKey,UPPER(SUBSTITUTE(_xlpm.mat," ","")),
    _xlpm.pr,IFERROR(LOOKUP(2,1/($H$3:H24&lt;&gt;""),$H$3:H24),""),
    _xlpm.widthActual,IFERROR(LOOKUP(2,1/($E$3:E24&lt;&gt;""),$E$3:E24),$E24),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",""))=_xlpm.matKey)*(_xlpm.summaryThick=$K24)*(_xlpm.summaryCosts&gt;0))),INDEX(_xlfn._xlws.FILTER(_xlpm.summaryCosts,(UPPER(SUBSTITUTE(_xlpm.summaryNames," ",""))=_xlpm.matKey)*(_xlpm.summaryThick=$K24)*(_xlpm.summaryCosts&gt;0)),1)),""),""),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24"/>
      <c r="S24"/>
      <c r="T24" s="887"/>
      <c r="U24"/>
      <c r="AD24" t="s">
        <v>867</v>
      </c>
      <c r="AE24" s="288" cm="1">
        <f t="array" ref="AE24">IF(OR(AND(AE11="By Weight",AE6&lt;&gt;""),AND(AE11="By Length",AE12&lt;&gt;""),AND(OR(AE11="IMP",AE11="By Imp"),AE12&lt;&gt;"",AE13&lt;&gt;"")),IFERROR(_xlfn.LET(_xlpm.r,MATCH(1,($B$3:$B$46=AE3)*($D$3:$D$46=AE5)*($A$3:$A$46=IF(AE6&lt;&gt;"",AE6,A3))*($O$3:$O$46=AE9),0)+2,(SUM(INDEX($R$3:$S$46,_xlpm.r-2,1):INDEX($R$3:$S$46,_xlpm.r-2,2))+INDEX($U$3:$U$46,_xlpm.r-2))*(1/INDEX($M$3:$M$46,MATCH(1,($B$3:$B$46=AE3)*($D$3:$D$46=AE5)*($A$3:$A$46=IF(AE6&lt;&gt;"",AE6,A3))*($O$3:$O$46=AE9),0)+5))*(INDEX($J$3:$J$46,_xlpm.r-2)/INDEX($E$3:$E$46,_xlpm.r-2))+INDEX($W$3:$W$46,_xlpm.r-2)),""),"")</f>
        <v>4.2071259506032037</v>
      </c>
      <c r="AH24" t="s">
        <v>868</v>
      </c>
      <c r="AI24" s="288" cm="1">
        <f t="array" ref="AI24">IF(OR(AND(AI11="By Weight",AI6&lt;&gt;""),AND(AI11="By Length",AI12&lt;&gt;""),AND(OR(AI11="IMP",AI11="By Imp"),AI12&lt;&gt;"",AI13&lt;&gt;"")),IFERROR(_xlfn.LET(_xlpm.r,MATCH(1,($B$3:$B$46=AI3)*($D$3:$D$46=AI5)*($A$3:$A$46=IF(AI6&lt;&gt;"",AI6,A9))*($O$3:$O$46=AI9),0)+2,(SUM(INDEX($R$3:$S$46,_xlpm.r-2,1):INDEX($R$3:$S$46,_xlpm.r-2,2))+INDEX($U$3:$U$46,_xlpm.r-2))*(1/INDEX($M$3:$M$46,MATCH(1,($B$3:$B$46=AI3)*($D$3:$D$46=AI5)*($A$3:$A$46=IF(AI6&lt;&gt;"",AI6,A9))*($O$3:$O$46=AI9),0)+5))*(INDEX($J$3:$J$46,_xlpm.r-2)/INDEX($E$3:$E$46,_xlpm.r-2))+INDEX($W$3:$W$46,_xlpm.r-2)),""),"")</f>
        <v>3.865453237400819</v>
      </c>
      <c r="AL24" t="s">
        <v>868</v>
      </c>
      <c r="AM24" s="288" cm="1">
        <f t="array" ref="AM24">IF(OR(AND(AM11="By Weight",AM6&lt;&gt;""),AND(AM11="By Length",AM12&lt;&gt;""),AND(OR(AM11="IMP",AM11="By Imp"),AM12&lt;&gt;"",AM13&lt;&gt;"")),IFERROR(_xlfn.LET(_xlpm.r,MATCH(1,($B$3:$B$46=AM3)*($D$3:$D$46=AM5)*($A$3:$A$46=IF(AM6&lt;&gt;"",AM6,A15))*($O$3:$O$46=AM9),0)+2,(SUM(INDEX($R$3:$S$46,_xlpm.r-2,1):INDEX($R$3:$S$46,_xlpm.r-2,2))+INDEX($U$3:$U$46,_xlpm.r-2))*(1/INDEX($M$3:$M$46,MATCH(1,($B$3:$B$46=AM3)*($D$3:$D$46=AM5)*($A$3:$A$46=IF(AM6&lt;&gt;"",AM6,A15))*($O$3:$O$46=AM9),0)+5))*(INDEX($J$3:$J$46,_xlpm.r-2)/INDEX($E$3:$E$46,_xlpm.r-2))+INDEX($W$3:$W$46,_xlpm.r-2)),""),"")</f>
        <v>3.865453237400819</v>
      </c>
    </row>
    <row r="25" spans="1:44" ht="15.75">
      <c r="A25"/>
      <c r="J25" s="537" t="str">
        <f t="shared" si="4"/>
        <v/>
      </c>
      <c r="N25" s="235" t="str" cm="1">
        <f t="array" ref="N25">IF($C25="","",_xlfn.LET(
    _xlpm.mat,TRIM($C25),
    _xlpm.matKey,UPPER(SUBSTITUTE(_xlpm.mat," ","")),
    _xlpm.pr,IFERROR(LOOKUP(2,1/($H$3:H25&lt;&gt;""),$H$3:H25),""),
    _xlpm.widthActual,IFERROR(LOOKUP(2,1/($E$3:E25&lt;&gt;""),$E$3:E25),$E25),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",""))=_xlpm.matKey)*(_xlpm.summaryThick=$K25)*(_xlpm.summaryCosts&gt;0))),INDEX(_xlfn._xlws.FILTER(_xlpm.summaryCosts,(UPPER(SUBSTITUTE(_xlpm.summaryNames," ",""))=_xlpm.matKey)*(_xlpm.summaryThick=$K25)*(_xlpm.summaryCosts&gt;0)),1)),""),""),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25"/>
      <c r="S25"/>
      <c r="T25" s="887"/>
      <c r="U25"/>
      <c r="Z25" s="3"/>
      <c r="AD25" s="876" t="s">
        <v>1025</v>
      </c>
      <c r="AE25" s="877"/>
      <c r="AF25" s="878"/>
      <c r="AH25" s="876" t="s">
        <v>1025</v>
      </c>
      <c r="AI25" s="877"/>
      <c r="AJ25" s="878"/>
      <c r="AL25" s="876" t="s">
        <v>1025</v>
      </c>
      <c r="AM25" s="877"/>
      <c r="AN25" s="878"/>
    </row>
    <row r="26" spans="1:44" ht="21">
      <c r="A26"/>
      <c r="J26" s="537" t="str">
        <f t="shared" si="4"/>
        <v/>
      </c>
      <c r="N26" s="235" t="str" cm="1">
        <f t="array" ref="N26">IF($C26="","",_xlfn.LET(
    _xlpm.mat,TRIM($C26),
    _xlpm.matKey,UPPER(SUBSTITUTE(_xlpm.mat," ","")),
    _xlpm.pr,IFERROR(LOOKUP(2,1/($H$3:H26&lt;&gt;""),$H$3:H26),""),
    _xlpm.widthActual,IFERROR(LOOKUP(2,1/($E$3:E26&lt;&gt;""),$E$3:E26),$E26),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",""))=_xlpm.matKey)*(_xlpm.summaryThick=$K26)*(_xlpm.summaryCosts&gt;0))),INDEX(_xlfn._xlws.FILTER(_xlpm.summaryCosts,(UPPER(SUBSTITUTE(_xlpm.summaryNames," ",""))=_xlpm.matKey)*(_xlpm.summaryThick=$K26)*(_xlpm.summaryCosts&gt;0)),1)),""),""),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26"/>
      <c r="S26"/>
      <c r="T26" s="887"/>
      <c r="U26"/>
      <c r="Z26" s="3"/>
      <c r="AD26" s="879">
        <f>IF(AE37&lt;&gt;"",IFERROR(AE17/(1-AE1),""),"")</f>
        <v>17.094614837678353</v>
      </c>
      <c r="AE26" s="880"/>
      <c r="AF26" s="881"/>
      <c r="AH26" s="879">
        <f>IF(AI37&lt;&gt;"",IFERROR(AI17/(1-AI1),""),"")</f>
        <v>15.394595585190253</v>
      </c>
      <c r="AI26" s="880"/>
      <c r="AJ26" s="881"/>
      <c r="AL26" s="879">
        <f>IF(AM37&lt;&gt;"",IFERROR(AM17/(1-AM1),""),"")</f>
        <v>15.394595585190253</v>
      </c>
      <c r="AM26" s="880"/>
      <c r="AN26" s="881"/>
    </row>
    <row r="27" spans="1:44">
      <c r="A27"/>
      <c r="J27" s="537"/>
      <c r="N27" s="235"/>
      <c r="R27"/>
      <c r="S27"/>
      <c r="T27" s="544"/>
      <c r="U27"/>
      <c r="Z27" s="3"/>
      <c r="AD27" s="604" t="s">
        <v>1071</v>
      </c>
      <c r="AE27" s="480">
        <f>IF(OR(AE14="",AE37=""),"",IFERROR(AD26*AE37/AE14,""))</f>
        <v>1.0458425184647389</v>
      </c>
      <c r="AF27" s="605" t="s">
        <v>1026</v>
      </c>
      <c r="AH27" s="604" t="s">
        <v>1071</v>
      </c>
      <c r="AI27" s="480">
        <f>IF(OR(AI14="",AI37=""),"",IFERROR(AH26*AI37/AI14,""))</f>
        <v>1.4148318094401473</v>
      </c>
      <c r="AJ27" s="605" t="s">
        <v>1026</v>
      </c>
      <c r="AL27" s="604" t="s">
        <v>1071</v>
      </c>
      <c r="AM27" s="480">
        <f>IF(OR(AM14="",AM37=""),"",IFERROR(AL26*AM37/AM14,""))</f>
        <v>1.4148318094401473</v>
      </c>
      <c r="AN27" s="605" t="s">
        <v>1026</v>
      </c>
    </row>
    <row r="28" spans="1:44">
      <c r="A28"/>
      <c r="J28" s="537"/>
      <c r="N28" s="235"/>
      <c r="R28"/>
      <c r="S28"/>
      <c r="T28" s="544"/>
      <c r="U28"/>
      <c r="Z28" s="3"/>
      <c r="AD28" s="604" t="s">
        <v>1072</v>
      </c>
      <c r="AE28" s="288">
        <f>IFERROR(AD26,"")</f>
        <v>17.094614837678353</v>
      </c>
      <c r="AF28" s="605" t="s">
        <v>864</v>
      </c>
      <c r="AH28" s="604" t="s">
        <v>1072</v>
      </c>
      <c r="AI28" s="288">
        <f>IFERROR(AH26,"")</f>
        <v>15.394595585190253</v>
      </c>
      <c r="AJ28" s="605" t="s">
        <v>864</v>
      </c>
      <c r="AL28" s="604" t="s">
        <v>1072</v>
      </c>
      <c r="AM28" s="288">
        <f>IFERROR(AL26,"")</f>
        <v>15.394595585190253</v>
      </c>
      <c r="AN28" s="605" t="s">
        <v>864</v>
      </c>
    </row>
    <row r="29" spans="1:44">
      <c r="A29"/>
      <c r="J29" s="537" t="str">
        <f>IF($C29="","",IF($E$15="","",IF($E$15+50&gt;1220,"ERROR: Lamination Width &gt; 1220",$E$15+50)))</f>
        <v/>
      </c>
      <c r="N29" s="235" t="str" cm="1">
        <f t="array" ref="N29">IF($C29="","",_xlfn.LET(
    _xlpm.mat,TRIM($C29),
    _xlpm.matKey,UPPER(SUBSTITUTE(_xlpm.mat," ","")),
    _xlpm.pr,IFERROR(LOOKUP(2,1/($H$3:H29&lt;&gt;""),$H$3:H29),""),
    _xlpm.widthActual,IFERROR(LOOKUP(2,1/($E$3:E29&lt;&gt;""),$E$3:E29),$E29),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",""))=_xlpm.matKey)*(_xlpm.summaryThick=$K29)*(_xlpm.summaryCosts&gt;0))),INDEX(_xlfn._xlws.FILTER(_xlpm.summaryCosts,(UPPER(SUBSTITUTE(_xlpm.summaryNames," ",""))=_xlpm.matKey)*(_xlpm.summaryThick=$K29)*(_xlpm.summaryCosts&gt;0)),1)),""),""),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29"/>
      <c r="S29"/>
      <c r="T29" t="str">
        <f>IF(OR($S29="",$K29=""),"",IFERROR($S29*(1/$M$37)*($J29/($D29*MAX(1,ROUNDDOWN(760/$D29,0)))),""))</f>
        <v/>
      </c>
      <c r="U29"/>
      <c r="Y29" t="str">
        <f>IFERROR((SUM(X29:X37)+SUM(R29:S29,U29))*(1/M37)*(J29/(D29*MAX(1,ROUNDDOWN(760/D29,0))))+W29,"")</f>
        <v/>
      </c>
      <c r="Z29" s="279"/>
      <c r="AD29" s="604" t="s">
        <v>1073</v>
      </c>
      <c r="AE29" s="480">
        <f>IF(OR(AE14="",AE37="",AE13=""),"",IFERROR(AE27*AE13/1000/MAX(1,IFERROR(ROUNDDOWN(AE5/AF13,0),1)),""))</f>
        <v>2.614606296161847E-2</v>
      </c>
      <c r="AF29" s="605" t="s">
        <v>1074</v>
      </c>
      <c r="AH29" s="604" t="s">
        <v>1073</v>
      </c>
      <c r="AI29" s="480">
        <f>IF(OR(AI14="",AI37="",AI13=""),"",IFERROR(AI27*AI13/1000/MAX(1,IFERROR(ROUNDDOWN(AI5/AJ13,0),1)),""))</f>
        <v>3.5370795236003685E-2</v>
      </c>
      <c r="AJ29" s="605" t="s">
        <v>1074</v>
      </c>
      <c r="AL29" s="604" t="s">
        <v>1073</v>
      </c>
      <c r="AM29" s="480">
        <f>IF(OR(AM14="",AM37="",AM13=""),"",IFERROR(AM27*AM13/1000/MAX(1,IFERROR(ROUNDDOWN(AM5/AN13,0),1)),""))</f>
        <v>3.5370795236003685E-2</v>
      </c>
      <c r="AN29" s="605" t="s">
        <v>1074</v>
      </c>
    </row>
    <row r="30" spans="1:44">
      <c r="A30"/>
      <c r="J30" s="537"/>
      <c r="N30" s="235"/>
      <c r="R30"/>
      <c r="S30"/>
      <c r="T30"/>
      <c r="U30"/>
      <c r="Z30" s="279"/>
      <c r="AD30" s="606" t="s">
        <v>1075</v>
      </c>
      <c r="AE30" s="602">
        <f>IFERROR(AE27*1.16,"")</f>
        <v>1.2131773214190971</v>
      </c>
      <c r="AF30" s="607" t="s">
        <v>1076</v>
      </c>
      <c r="AH30" s="606" t="s">
        <v>1075</v>
      </c>
      <c r="AI30" s="602">
        <f>IFERROR(AI27*1.16,"")</f>
        <v>1.6412048989505708</v>
      </c>
      <c r="AJ30" s="607" t="s">
        <v>1076</v>
      </c>
      <c r="AL30" s="606" t="s">
        <v>1075</v>
      </c>
      <c r="AM30" s="602">
        <f>IFERROR(AM27*1.16,"")</f>
        <v>1.6412048989505708</v>
      </c>
      <c r="AN30" s="607" t="s">
        <v>1076</v>
      </c>
    </row>
    <row r="31" spans="1:44">
      <c r="A31"/>
      <c r="J31" s="537"/>
      <c r="N31" s="235"/>
      <c r="R31"/>
      <c r="S31"/>
      <c r="T31"/>
      <c r="U31"/>
      <c r="Z31" s="279"/>
      <c r="AD31" s="606" t="s">
        <v>1077</v>
      </c>
      <c r="AE31" s="548">
        <f>IFERROR(AE28*1.16,"")</f>
        <v>19.829753211706887</v>
      </c>
      <c r="AF31" s="607" t="s">
        <v>1067</v>
      </c>
      <c r="AH31" s="606" t="s">
        <v>1077</v>
      </c>
      <c r="AI31" s="548">
        <f>IFERROR(AI28*1.16,"")</f>
        <v>17.857730878820693</v>
      </c>
      <c r="AJ31" s="607" t="s">
        <v>1067</v>
      </c>
      <c r="AL31" s="606" t="s">
        <v>1077</v>
      </c>
      <c r="AM31" s="548">
        <f>IFERROR(AM28*1.16,"")</f>
        <v>17.857730878820693</v>
      </c>
      <c r="AN31" s="607" t="s">
        <v>1067</v>
      </c>
    </row>
    <row r="32" spans="1:44">
      <c r="A32"/>
      <c r="J32" s="537" t="str">
        <f>IF($C32="","",IF($E$15="","",IF($E$15+50&gt;1220,"ERROR: Lamination Width &gt; 1220",$E$15+50)))</f>
        <v/>
      </c>
      <c r="N32" s="235" t="str" cm="1">
        <f t="array" ref="N32">IF($C32="","",_xlfn.LET(
    _xlpm.mat,TRIM($C32),
    _xlpm.matKey,UPPER(SUBSTITUTE(_xlpm.mat," ","")),
    _xlpm.pr,IFERROR(LOOKUP(2,1/($H$3:H32&lt;&gt;""),$H$3:H32),""),
    _xlpm.widthActual,IFERROR(LOOKUP(2,1/($E$3:E32&lt;&gt;""),$E$3:E32),$E32),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",""))=_xlpm.matKey)*(_xlpm.summaryThick=$K32)*(_xlpm.summaryCosts&gt;0))),INDEX(_xlfn._xlws.FILTER(_xlpm.summaryCosts,(UPPER(SUBSTITUTE(_xlpm.summaryNames," ",""))=_xlpm.matKey)*(_xlpm.summaryThick=$K32)*(_xlpm.summaryCosts&gt;0)),1)),""),""),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32"/>
      <c r="S32"/>
      <c r="T32"/>
      <c r="U32"/>
      <c r="Z32" s="66"/>
      <c r="AD32" s="606" t="s">
        <v>1078</v>
      </c>
      <c r="AE32" s="602">
        <f>IF(OR(AE14="",AE37="",AE13=""),"",IFERROR(AE30*AE13/1000/MAX(1,IFERROR(ROUNDDOWN(AE5/AF13,0),1)),""))</f>
        <v>3.0329433035477426E-2</v>
      </c>
      <c r="AF32" s="607" t="s">
        <v>1066</v>
      </c>
      <c r="AH32" s="606" t="s">
        <v>1078</v>
      </c>
      <c r="AI32" s="602">
        <f>IF(OR(AI14="",AI37="",AI13=""),"",IFERROR(AI30*AI13/1000/MAX(1,IFERROR(ROUNDDOWN(AI5/AJ13,0),1)),""))</f>
        <v>4.1030122473764266E-2</v>
      </c>
      <c r="AJ32" s="607" t="s">
        <v>1066</v>
      </c>
      <c r="AL32" s="606" t="s">
        <v>1078</v>
      </c>
      <c r="AM32" s="602">
        <f>IF(OR(AM14="",AM37="",AM13=""),"",IFERROR(AM30*AM13/1000/MAX(1,IFERROR(ROUNDDOWN(AM5/AN13,0),1)),""))</f>
        <v>4.1030122473764266E-2</v>
      </c>
      <c r="AN32" s="607" t="s">
        <v>1066</v>
      </c>
    </row>
    <row r="33" spans="1:40">
      <c r="A33"/>
      <c r="J33" s="537"/>
      <c r="N33" s="235"/>
      <c r="R33"/>
      <c r="S33"/>
      <c r="T33"/>
      <c r="U33"/>
      <c r="Z33" s="66"/>
      <c r="AD33" s="608" t="s">
        <v>1079</v>
      </c>
      <c r="AE33" s="603" cm="1">
        <f t="array" ref="AE33">IFERROR(_xlfn.SWITCH(AE11,"By Imp",AE12*AE29,"IMP",AE12*AE29,"By Length",AE12*AE27,"By Weight",AE12*AE28,AD26*AE37),"")</f>
        <v>26564.399969004367</v>
      </c>
      <c r="AF33" s="607" t="s">
        <v>1080</v>
      </c>
      <c r="AH33" s="608" t="s">
        <v>1079</v>
      </c>
      <c r="AI33" s="603" cm="1">
        <f t="array" ref="AI33">IFERROR(_xlfn.SWITCH(AI11,"By Imp",AI12*AI29,"IMP",AI12*AI29,"By Length",AI12*AI27,"By Weight",AI12*AI28,AH26*AI37),"")</f>
        <v>35936.727959779739</v>
      </c>
      <c r="AJ33" s="607" t="s">
        <v>1080</v>
      </c>
      <c r="AL33" s="608" t="s">
        <v>1079</v>
      </c>
      <c r="AM33" s="603" cm="1">
        <f t="array" ref="AM33">IFERROR(_xlfn.SWITCH(AM11,"By Imp",AM12*AM29,"IMP",AM12*AM29,"By Length",AM12*AM27,"By Weight",AM12*AM28,AL26*AM37),"")</f>
        <v>35936.727959779739</v>
      </c>
      <c r="AN33" s="607" t="s">
        <v>1080</v>
      </c>
    </row>
    <row r="34" spans="1:40">
      <c r="A34"/>
      <c r="J34" s="537" t="str">
        <f t="shared" ref="J34:J46" si="5">IF($C34="","",IF($E$15="","",IF($E$15+50&gt;1220,"ERROR: Lamination Width &gt; 1220",$E$15+50)))</f>
        <v/>
      </c>
      <c r="N34" s="235" t="str" cm="1">
        <f t="array" ref="N34">IF($C34="","",_xlfn.LET(
    _xlpm.mat,TRIM($C34),
    _xlpm.matKey,UPPER(SUBSTITUTE(_xlpm.mat," ","")),
    _xlpm.pr,IFERROR(LOOKUP(2,1/($H$3:H34&lt;&gt;""),$H$3:H34),""),
    _xlpm.widthActual,IFERROR(LOOKUP(2,1/($E$3:E34&lt;&gt;""),$E$3:E34),$E34),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",""))=_xlpm.matKey)*(_xlpm.summaryThick=$K34)*(_xlpm.summaryCosts&gt;0))),INDEX(_xlfn._xlws.FILTER(_xlpm.summaryCosts,(UPPER(SUBSTITUTE(_xlpm.summaryNames," ",""))=_xlpm.matKey)*(_xlpm.summaryThick=$K34)*(_xlpm.summaryCosts&gt;0)),1)),""),""),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34"/>
      <c r="S34"/>
      <c r="T34"/>
      <c r="U34"/>
      <c r="AD34" s="608" t="s">
        <v>1081</v>
      </c>
      <c r="AE34" s="548" cm="1">
        <f t="array" ref="AE34">IFERROR(_xlfn.SWITCH(AE11,"By Imp",AE12*AE32,"IMP",AE12*AE32,"By Length",AE12*AE30,"By Weight",AE12*AE31,AD26*AE37*1.16),"")</f>
        <v>30814.703964045064</v>
      </c>
      <c r="AF34" s="607" t="s">
        <v>1082</v>
      </c>
      <c r="AH34" s="608" t="s">
        <v>1081</v>
      </c>
      <c r="AI34" s="548" cm="1">
        <f t="array" ref="AI34">IFERROR(_xlfn.SWITCH(AI11,"By Imp",AI12*AI32,"IMP",AI12*AI32,"By Length",AI12*AI30,"By Weight",AI12*AI31,AH26*AI37*1.16),"")</f>
        <v>41686.604433344495</v>
      </c>
      <c r="AJ34" s="607" t="s">
        <v>1082</v>
      </c>
      <c r="AL34" s="608" t="s">
        <v>1081</v>
      </c>
      <c r="AM34" s="548" cm="1">
        <f t="array" ref="AM34">IFERROR(_xlfn.SWITCH(AM11,"By Imp",AM12*AM32,"IMP",AM12*AM32,"By Length",AM12*AM30,"By Weight",AM12*AM31,AL26*AM37*1.16),"")</f>
        <v>41686.604433344495</v>
      </c>
      <c r="AN34" s="607" t="s">
        <v>1082</v>
      </c>
    </row>
    <row r="35" spans="1:40">
      <c r="A35"/>
      <c r="J35" s="537" t="str">
        <f t="shared" si="5"/>
        <v/>
      </c>
      <c r="N35" s="235" t="str" cm="1">
        <f t="array" ref="N35">IF($C35="","",_xlfn.LET(
    _xlpm.mat,TRIM($C35),
    _xlpm.matKey,UPPER(SUBSTITUTE(_xlpm.mat," ","")),
    _xlpm.pr,IFERROR(LOOKUP(2,1/($H$3:H35&lt;&gt;""),$H$3:H35),""),
    _xlpm.widthActual,IFERROR(LOOKUP(2,1/($E$3:E35&lt;&gt;""),$E$3:E35),$E35),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",""))=_xlpm.matKey)*(_xlpm.summaryThick=$K35)*(_xlpm.summaryCosts&gt;0))),INDEX(_xlfn._xlws.FILTER(_xlpm.summaryCosts,(UPPER(SUBSTITUTE(_xlpm.summaryNames," ",""))=_xlpm.matKey)*(_xlpm.summaryThick=$K35)*(_xlpm.summaryCosts&gt;0)),1)),""),""),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35"/>
      <c r="S35"/>
      <c r="T35"/>
      <c r="U35"/>
      <c r="AD35" s="609" t="s">
        <v>871</v>
      </c>
      <c r="AE35" s="610" cm="1">
        <f t="array" ref="AE35">IFERROR(AE36/INDEX($M$3:$M$46,MATCH(1,($B$3:$B$46=AE3)*($D$3:$D$46=AE5)*($A$3:$A$46=IF(AE6&lt;&gt;"",AE6,A3))*($O$3:$O$46=AE9),0)+5),"")</f>
        <v>8172.6524480820808</v>
      </c>
      <c r="AF35" s="611" t="s">
        <v>607</v>
      </c>
      <c r="AH35" s="609" t="s">
        <v>871</v>
      </c>
      <c r="AI35" s="610" cm="1">
        <f t="array" ref="AI35">IFERROR(AI36/INDEX($M$3:$M$46,MATCH(1,($B$3:$B$46=AI3)*($D$3:$D$46=AI5)*($A$3:$A$46=IF(AI6&lt;&gt;"",AI6,A9))*($O$3:$O$46=AI9),0)+5),"")</f>
        <v>5440.4330898108437</v>
      </c>
      <c r="AJ35" s="611" t="s">
        <v>607</v>
      </c>
      <c r="AL35" s="609" t="s">
        <v>871</v>
      </c>
      <c r="AM35" s="610" cm="1">
        <f t="array" ref="AM35">IFERROR(AM36/INDEX($M$3:$M$46,MATCH(1,($B$3:$B$46=AM3)*($D$3:$D$46=AM5)*($A$3:$A$46=IF(AM6&lt;&gt;"",AM6,A15))*($O$3:$O$46=AM9),0)+5),"")</f>
        <v>5440.4330898108437</v>
      </c>
      <c r="AN35" s="611" t="s">
        <v>607</v>
      </c>
    </row>
    <row r="36" spans="1:40">
      <c r="A36"/>
      <c r="J36" s="537" t="str">
        <f t="shared" si="5"/>
        <v/>
      </c>
      <c r="N36" s="235" t="str" cm="1">
        <f t="array" ref="N36">IF($C36="","",_xlfn.LET(
    _xlpm.mat,TRIM($C36),
    _xlpm.matKey,UPPER(SUBSTITUTE(_xlpm.mat," ","")),
    _xlpm.pr,IFERROR(LOOKUP(2,1/($H$3:H36&lt;&gt;""),$H$3:H36),""),
    _xlpm.widthActual,IFERROR(LOOKUP(2,1/($E$3:E36&lt;&gt;""),$E$3:E36),$E36),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",""))=_xlpm.matKey)*(_xlpm.summaryThick=$K36)*(_xlpm.summaryCosts&gt;0))),INDEX(_xlfn._xlws.FILTER(_xlpm.summaryCosts,(UPPER(SUBSTITUTE(_xlpm.summaryNames," ",""))=_xlpm.matKey)*(_xlpm.summaryThick=$K36)*(_xlpm.summaryCosts&gt;0)),1)),""),""),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36"/>
      <c r="S36"/>
      <c r="T36"/>
      <c r="U36"/>
      <c r="AD36" s="609" t="s">
        <v>872</v>
      </c>
      <c r="AE36" s="610">
        <f>_xlfn.LET(_xlpm.lam,UPPER(SUBSTITUTE(AE3&amp;"","LAMINATE","")),IF(_xlpm.lam="608W",2000,IF(_xlpm.lam="608",750,500)))</f>
        <v>500</v>
      </c>
      <c r="AF36" s="611" t="s">
        <v>225</v>
      </c>
      <c r="AH36" s="609" t="s">
        <v>872</v>
      </c>
      <c r="AI36" s="610">
        <f>_xlfn.LET(_xlpm.lam,UPPER(SUBSTITUTE(AI3&amp;"","LAMINATE","")),IF(_xlpm.lam="608W",2000,IF(_xlpm.lam="608",750,500)))</f>
        <v>500</v>
      </c>
      <c r="AJ36" s="611" t="s">
        <v>225</v>
      </c>
      <c r="AL36" s="609" t="s">
        <v>872</v>
      </c>
      <c r="AM36" s="610">
        <f>_xlfn.LET(_xlpm.lam,UPPER(SUBSTITUTE(AM3&amp;"","LAMINATE","")),IF(_xlpm.lam="608W",2000,IF(_xlpm.lam="608",750,500)))</f>
        <v>500</v>
      </c>
      <c r="AN36" s="611" t="s">
        <v>225</v>
      </c>
    </row>
    <row r="37" spans="1:40" ht="15.75" thickBot="1">
      <c r="A37"/>
      <c r="J37" s="537" t="str">
        <f t="shared" si="5"/>
        <v/>
      </c>
      <c r="N37" s="235" t="str" cm="1">
        <f t="array" ref="N37">IF($C37="","",_xlfn.LET(
    _xlpm.mat,TRIM($C37),
    _xlpm.matKey,UPPER(SUBSTITUTE(_xlpm.mat," ","")),
    _xlpm.pr,IFERROR(LOOKUP(2,1/($H$3:H37&lt;&gt;""),$H$3:H37),""),
    _xlpm.widthActual,IFERROR(LOOKUP(2,1/($E$3:E37&lt;&gt;""),$E$3:E37),$E37),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",""))=_xlpm.matKey)*(_xlpm.summaryThick=$K37)*(_xlpm.summaryCosts&gt;0))),INDEX(_xlfn._xlws.FILTER(_xlpm.summaryCosts,(UPPER(SUBSTITUTE(_xlpm.summaryNames," ",""))=_xlpm.matKey)*(_xlpm.summaryThick=$K37)*(_xlpm.summaryCosts&gt;0)),1)),""),""),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R37"/>
      <c r="S37"/>
      <c r="T37"/>
      <c r="U37"/>
      <c r="AD37" s="612" t="s">
        <v>873</v>
      </c>
      <c r="AE37" s="613" cm="1">
        <f t="array" ref="AE37">IF(OR(AE11="IMP",AE11="By Imp"),IFERROR(AE14*INDEX($M$3:$M$46,MATCH(1,($B$3:$B$46=AE3)*($D$3:$D$46=AE5)*($A$3:$A$46=IF(AE6&lt;&gt;"",AE6,A3))*($O$3:$O$46=AE9),0)+5),""),IF(AE11="By Length",IFERROR(AE12*INDEX($M$3:$M$46,MATCH(1,($B$3:$B$46=AE3)*($D$3:$D$46=AE5)*($A$3:$A$46=IF(AE6&lt;&gt;"",AE6,A3))*($O$3:$O$46=AE9),0)+5),""),IF(AE11="By Weight",IFERROR(_xlfn.LET(_xlpm.q,INDEX($A$3:$A$46,MATCH(1,($B$3:$B$46=AE3)*($D$3:$D$46=AE5)*($A$3:$A$46=IF(AE6&lt;&gt;"",AE6,A3))*($O$3:$O$46=AE9),0)),IF(_xlpm.q=0,"",_xlpm.q)),""),"")))</f>
        <v>1553.9630592000001</v>
      </c>
      <c r="AF37" s="614" t="s">
        <v>225</v>
      </c>
      <c r="AH37" s="612" t="s">
        <v>873</v>
      </c>
      <c r="AI37" s="613" cm="1">
        <f t="array" ref="AI37">IF(OR(AI11="IMP",AI11="By Imp"),IFERROR(AI14*INDEX($M$3:$M$46,MATCH(1,($B$3:$B$46=AI3)*($D$3:$D$46=AI5)*($A$3:$A$46=IF(AI6&lt;&gt;"",AI6,A9))*($O$3:$O$46=AI9),0)+5),""),IF(AI11="By Length",IFERROR(AI12*INDEX($M$3:$M$46,MATCH(1,($B$3:$B$46=AI3)*($D$3:$D$46=AI5)*($A$3:$A$46=IF(AI6&lt;&gt;"",AI6,A9))*($O$3:$O$46=AI9),0)+5),""),IF(AI11="By Weight",IFERROR(_xlfn.LET(_xlpm.q,INDEX($A$3:$A$46,MATCH(1,($B$3:$B$46=AI3)*($D$3:$D$46=AI5)*($A$3:$A$46=IF(AI6&lt;&gt;"",AI6,A9))*($O$3:$O$46=AI9),0)),IF(_xlpm.q=0,"",_xlpm.q)),""),"")))</f>
        <v>2334.3729791999999</v>
      </c>
      <c r="AJ37" s="614" t="s">
        <v>225</v>
      </c>
      <c r="AL37" s="612" t="s">
        <v>873</v>
      </c>
      <c r="AM37" s="613" cm="1">
        <f t="array" ref="AM37">IF(OR(AM11="IMP",AM11="By Imp"),IFERROR(AM14*INDEX($M$3:$M$46,MATCH(1,($B$3:$B$46=AM3)*($D$3:$D$46=AM5)*($A$3:$A$46=IF(AM6&lt;&gt;"",AM6,A15))*($O$3:$O$46=AM9),0)+5),""),IF(AM11="By Length",IFERROR(AM12*INDEX($M$3:$M$46,MATCH(1,($B$3:$B$46=AM3)*($D$3:$D$46=AM5)*($A$3:$A$46=IF(AM6&lt;&gt;"",AM6,A15))*($O$3:$O$46=AM9),0)+5),""),IF(AM11="By Weight",IFERROR(_xlfn.LET(_xlpm.q,INDEX($A$3:$A$46,MATCH(1,($B$3:$B$46=AM3)*($D$3:$D$46=AM5)*($A$3:$A$46=IF(AM6&lt;&gt;"",AM6,A15))*($O$3:$O$46=AM9),0)),IF(_xlpm.q=0,"",_xlpm.q)),""),"")))</f>
        <v>2334.3729791999999</v>
      </c>
      <c r="AN37" s="614" t="s">
        <v>225</v>
      </c>
    </row>
    <row r="38" spans="1:40" hidden="1" outlineLevel="1">
      <c r="J38" s="537" t="str">
        <f t="shared" si="5"/>
        <v/>
      </c>
      <c r="N38" s="235" t="str" cm="1">
        <f t="array" ref="N38">IF($C38="","",_xlfn.LET(
    _xlpm.mat,TRIM($C38),
    _xlpm.matKey,UPPER(SUBSTITUTE(_xlpm.mat," ","")),
    _xlpm.pr,IFERROR(LOOKUP(2,1/($H$3:H38&lt;&gt;""),$H$3:H38),""),
    _xlpm.widthActual,IFERROR(LOOKUP(2,1/($E$3:E38&lt;&gt;""),$E$3:E38),$E38),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",""))=_xlpm.matKey)*(_xlpm.summaryThick=$K38)*(_xlpm.summaryCosts&gt;0))),INDEX(_xlfn._xlws.FILTER(_xlpm.summaryCosts,(UPPER(SUBSTITUTE(_xlpm.summaryNames," ",""))=_xlpm.matKey)*(_xlpm.summaryThick=$K38)*(_xlpm.summaryCosts&gt;0)),1)),""),""),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38"/>
      <c r="T38" t="str">
        <f>IF(OR($S38="",$K38=""),"",IFERROR($S38*(1/$M$42)*($J38/($D38*MAX(1,ROUNDDOWN(760/$D38,0)))),""))</f>
        <v/>
      </c>
      <c r="U38"/>
      <c r="Y38" t="str">
        <f>IFERROR((SUM(X38:X42)+SUM(R38:S38,U38))*(1/M42)*(J38/(D38*MAX(1,ROUNDDOWN(760/D38,0))))+W38,"")</f>
        <v/>
      </c>
      <c r="AD38" s="974" t="s">
        <v>1068</v>
      </c>
      <c r="AE38" s="975"/>
      <c r="AF38" s="974"/>
      <c r="AG38" s="272"/>
      <c r="AH38" s="974" t="s">
        <v>1068</v>
      </c>
      <c r="AI38" s="975"/>
      <c r="AJ38" s="974"/>
      <c r="AK38" s="272"/>
      <c r="AL38" s="974" t="s">
        <v>1068</v>
      </c>
      <c r="AM38" s="975"/>
      <c r="AN38" s="974"/>
    </row>
    <row r="39" spans="1:40" hidden="1" outlineLevel="1">
      <c r="J39" s="537" t="str">
        <f t="shared" si="5"/>
        <v/>
      </c>
      <c r="N39" s="235" t="str" cm="1">
        <f t="array" ref="N39">IF($C39="","",_xlfn.LET(
    _xlpm.mat,TRIM($C39),
    _xlpm.matKey,UPPER(SUBSTITUTE(_xlpm.mat," ","")),
    _xlpm.pr,IFERROR(LOOKUP(2,1/($H$3:H39&lt;&gt;""),$H$3:H39),""),
    _xlpm.widthActual,IFERROR(LOOKUP(2,1/($E$3:E39&lt;&gt;""),$E$3:E39),$E39),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",""))=_xlpm.matKey)*(_xlpm.summaryThick=$K39)*(_xlpm.summaryCosts&gt;0))),INDEX(_xlfn._xlws.FILTER(_xlpm.summaryCosts,(UPPER(SUBSTITUTE(_xlpm.summaryNames," ",""))=_xlpm.matKey)*(_xlpm.summaryThick=$K39)*(_xlpm.summaryCosts&gt;0)),1)),""),""),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39"/>
      <c r="T39"/>
      <c r="U39"/>
      <c r="AD39" s="545" t="s">
        <v>1065</v>
      </c>
      <c r="AE39" s="117">
        <f>IF(OR(AE11="IMP",AE11="By Imp"),IFERROR(AE12/(1000/AE13)/MAX(1,IFERROR(ROUNDDOWN(AE5/AF13,0),1)),""),IF(AE11="By Length",AE12,""))</f>
        <v>25400</v>
      </c>
      <c r="AF39" s="272" t="s">
        <v>607</v>
      </c>
      <c r="AH39" s="545" t="s">
        <v>1065</v>
      </c>
      <c r="AI39" s="117">
        <f>IF(OR(AI11="IMP",AI11="By Imp"),IFERROR(AI12/(1000/AI13)/MAX(1,IFERROR(ROUNDDOWN(AI5/AJ13,0),1)),""),IF(AI11="By Length",AI12,""))</f>
        <v>25400</v>
      </c>
      <c r="AJ39" s="272" t="s">
        <v>607</v>
      </c>
      <c r="AL39" s="545" t="s">
        <v>1065</v>
      </c>
      <c r="AM39" s="117">
        <f>IF(OR(AM11="IMP",AM11="By Imp"),IFERROR(AM12/(1000/AM13)/MAX(1,IFERROR(ROUNDDOWN(AM5/AN13,0),1)),""),IF(AM11="By Length",AM12,""))</f>
        <v>25400</v>
      </c>
      <c r="AN39" s="272" t="s">
        <v>607</v>
      </c>
    </row>
    <row r="40" spans="1:40" hidden="1" outlineLevel="1">
      <c r="J40" s="537" t="str">
        <f t="shared" si="5"/>
        <v/>
      </c>
      <c r="N40" s="235" t="str" cm="1">
        <f t="array" ref="N40">IF($C40="","",_xlfn.LET(
    _xlpm.mat,TRIM($C40),
    _xlpm.matKey,UPPER(SUBSTITUTE(_xlpm.mat," ","")),
    _xlpm.pr,IFERROR(LOOKUP(2,1/($H$3:H40&lt;&gt;""),$H$3:H40),""),
    _xlpm.widthActual,IFERROR(LOOKUP(2,1/($E$3:E40&lt;&gt;""),$E$3:E40),$E40),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",""))=_xlpm.matKey)*(_xlpm.summaryThick=$K40)*(_xlpm.summaryCosts&gt;0))),INDEX(_xlfn._xlws.FILTER(_xlpm.summaryCosts,(UPPER(SUBSTITUTE(_xlpm.summaryNames," ",""))=_xlpm.matKey)*(_xlpm.summaryThick=$K40)*(_xlpm.summaryCosts&gt;0)),1)),""),""),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40"/>
      <c r="T40"/>
      <c r="U40"/>
      <c r="AD40" s="545" t="s">
        <v>1069</v>
      </c>
      <c r="AE40" s="117" cm="1">
        <f t="array" ref="AE40">IF(OR(AE11="IMP",AE11="By Imp",AE11="By Length"),IFERROR(AE39*INDEX($M$3:$M$46,MATCH(1,($B$3:$B$46=AE3)*($D$3:$D$46=AE5)*($A$3:$A$46=IF(AE6&lt;&gt;"",AE6,A3))*($O$3:$O$46=AE9),0)+5),""),"")</f>
        <v>1553.9630592000001</v>
      </c>
      <c r="AF40" s="272" t="s">
        <v>225</v>
      </c>
      <c r="AH40" s="545" t="s">
        <v>1069</v>
      </c>
      <c r="AI40" s="117" cm="1">
        <f t="array" ref="AI40">IF(OR(AI11="IMP",AI11="By Imp",AI11="By Length"),IFERROR(AI39*INDEX($M$3:$M$46,MATCH(1,($B$3:$B$46=AI3)*($D$3:$D$46=AI5)*($A$3:$A$46=IF(AI6&lt;&gt;"",AI6,A9))*($O$3:$O$46=AI9),0)+5),""),"")</f>
        <v>2334.3729791999999</v>
      </c>
      <c r="AJ40" s="272" t="s">
        <v>225</v>
      </c>
      <c r="AL40" s="545" t="s">
        <v>1069</v>
      </c>
      <c r="AM40" s="117" cm="1">
        <f t="array" ref="AM40">IF(OR(AM11="IMP",AM11="By Imp",AM11="By Length"),IFERROR(AM39*INDEX($M$3:$M$46,MATCH(1,($B$3:$B$46=AM3)*($D$3:$D$46=AM5)*($A$3:$A$46=IF(AM6&lt;&gt;"",AM6,A15))*($O$3:$O$46=AM9),0)+5),""),"")</f>
        <v>2334.3729791999999</v>
      </c>
      <c r="AN40" s="272" t="s">
        <v>225</v>
      </c>
    </row>
    <row r="41" spans="1:40" ht="15" customHeight="1" collapsed="1">
      <c r="J41" s="537" t="str">
        <f t="shared" si="5"/>
        <v/>
      </c>
      <c r="N41" s="235" t="str" cm="1">
        <f t="array" ref="N41">IF($C41="","",_xlfn.LET(
    _xlpm.mat,TRIM($C41),
    _xlpm.matKey,UPPER(SUBSTITUTE(_xlpm.mat," ","")),
    _xlpm.pr,IFERROR(LOOKUP(2,1/($H$3:H41&lt;&gt;""),$H$3:H41),""),
    _xlpm.widthActual,IFERROR(LOOKUP(2,1/($E$3:E41&lt;&gt;""),$E$3:E41),$E41),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",""))=_xlpm.matKey)*(_xlpm.summaryThick=$K41)*(_xlpm.summaryCosts&gt;0))),INDEX(_xlfn._xlws.FILTER(_xlpm.summaryCosts,(UPPER(SUBSTITUTE(_xlpm.summaryNames," ",""))=_xlpm.matKey)*(_xlpm.summaryThick=$K41)*(_xlpm.summaryCosts&gt;0)),1)),""),""),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41"/>
      <c r="T41"/>
      <c r="U41"/>
    </row>
    <row r="42" spans="1:40" ht="18" customHeight="1">
      <c r="J42" s="537" t="str">
        <f t="shared" si="5"/>
        <v/>
      </c>
      <c r="N42" s="235" t="str" cm="1">
        <f t="array" ref="N42">IF($C42="","",_xlfn.LET(
    _xlpm.mat,TRIM($C42),
    _xlpm.matKey,UPPER(SUBSTITUTE(_xlpm.mat," ","")),
    _xlpm.pr,IFERROR(LOOKUP(2,1/($H$3:H42&lt;&gt;""),$H$3:H42),""),
    _xlpm.widthActual,IFERROR(LOOKUP(2,1/($E$3:E42&lt;&gt;""),$E$3:E42),$E42),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",""))=_xlpm.matKey)*(_xlpm.summaryThick=$K42)*(_xlpm.summaryCosts&gt;0))),INDEX(_xlfn._xlws.FILTER(_xlpm.summaryCosts,(UPPER(SUBSTITUTE(_xlpm.summaryNames," ",""))=_xlpm.matKey)*(_xlpm.summaryThick=$K42)*(_xlpm.summaryCosts&gt;0)),1)),""),""),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42"/>
      <c r="T42"/>
      <c r="U42"/>
      <c r="AE42" s="547"/>
    </row>
    <row r="43" spans="1:40" ht="18" customHeight="1">
      <c r="J43" s="537" t="str">
        <f t="shared" si="5"/>
        <v/>
      </c>
      <c r="N43" s="235" t="str" cm="1">
        <f t="array" ref="N43">IF($C43="","",_xlfn.LET(
    _xlpm.mat,TRIM($C43),
    _xlpm.matKey,UPPER(SUBSTITUTE(_xlpm.mat," ","")),
    _xlpm.pr,IFERROR(LOOKUP(2,1/($H$3:H43&lt;&gt;""),$H$3:H43),""),
    _xlpm.widthActual,IFERROR(LOOKUP(2,1/($E$3:E43&lt;&gt;""),$E$3:E43),$E43),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",""))=_xlpm.matKey)*(_xlpm.summaryThick=$K43)*(_xlpm.summaryCosts&gt;0))),INDEX(_xlfn._xlws.FILTER(_xlpm.summaryCosts,(UPPER(SUBSTITUTE(_xlpm.summaryNames," ",""))=_xlpm.matKey)*(_xlpm.summaryThick=$K43)*(_xlpm.summaryCosts&gt;0)),1)),""),""),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43"/>
      <c r="T43" t="str">
        <f>IF(OR($S43="",$K43=""),"",IFERROR($S43*(1/$M$48)*($J43/($D43*MAX(1,ROUNDDOWN(760/$D43,0)))),""))</f>
        <v/>
      </c>
      <c r="U43"/>
      <c r="Y43" t="str">
        <f>IFERROR((SUM(X43:X48)+SUM(R43:S43,U43))*(1/M48)*(J43/(D43*MAX(1,ROUNDDOWN(760/D43,0))))+W43,"")</f>
        <v/>
      </c>
    </row>
    <row r="44" spans="1:40" ht="18" customHeight="1">
      <c r="J44" s="537" t="str">
        <f t="shared" si="5"/>
        <v/>
      </c>
      <c r="N44" s="235" t="str" cm="1">
        <f t="array" ref="N44">IF($C44="","",_xlfn.LET(
    _xlpm.mat,TRIM($C44),
    _xlpm.matKey,UPPER(SUBSTITUTE(_xlpm.mat," ","")),
    _xlpm.pr,IFERROR(LOOKUP(2,1/($H$3:H44&lt;&gt;""),$H$3:H44),""),
    _xlpm.widthActual,IFERROR(LOOKUP(2,1/($E$3:E44&lt;&gt;""),$E$3:E44),$E44),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",""))=_xlpm.matKey)*(_xlpm.summaryThick=$K44)*(_xlpm.summaryCosts&gt;0))),INDEX(_xlfn._xlws.FILTER(_xlpm.summaryCosts,(UPPER(SUBSTITUTE(_xlpm.summaryNames," ",""))=_xlpm.matKey)*(_xlpm.summaryThick=$K44)*(_xlpm.summaryCosts&gt;0)),1)),""),""),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44"/>
      <c r="T44"/>
      <c r="U44"/>
      <c r="AD44" s="91"/>
    </row>
    <row r="45" spans="1:40" ht="18" customHeight="1">
      <c r="J45" s="537" t="str">
        <f t="shared" si="5"/>
        <v/>
      </c>
      <c r="N45" s="235" t="str" cm="1">
        <f t="array" ref="N45">IF($C45="","",_xlfn.LET(
    _xlpm.mat,TRIM($C45),
    _xlpm.matKey,UPPER(SUBSTITUTE(_xlpm.mat," ","")),
    _xlpm.pr,IFERROR(LOOKUP(2,1/($H$3:H45&lt;&gt;""),$H$3:H45),""),
    _xlpm.widthActual,IFERROR(LOOKUP(2,1/($E$3:E45&lt;&gt;""),$E$3:E45),$E45),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",""))=_xlpm.matKey)*(_xlpm.summaryThick=$K45)*(_xlpm.summaryCosts&gt;0))),INDEX(_xlfn._xlws.FILTER(_xlpm.summaryCosts,(UPPER(SUBSTITUTE(_xlpm.summaryNames," ",""))=_xlpm.matKey)*(_xlpm.summaryThick=$K45)*(_xlpm.summaryCosts&gt;0)),1)),""),""),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45"/>
      <c r="T45"/>
      <c r="U45"/>
    </row>
    <row r="46" spans="1:40" ht="18" customHeight="1">
      <c r="J46" s="537" t="str">
        <f t="shared" si="5"/>
        <v/>
      </c>
      <c r="N46" s="235" t="str" cm="1">
        <f t="array" ref="N46">IF($C46="","",_xlfn.LET(
    _xlpm.mat,TRIM($C46),
    _xlpm.matKey,UPPER(SUBSTITUTE(_xlpm.mat," ","")),
    _xlpm.pr,IFERROR(LOOKUP(2,1/($H$3:H46&lt;&gt;""),$H$3:H46),""),
    _xlpm.widthActual,IFERROR(LOOKUP(2,1/($E$3:E46&lt;&gt;""),$E$3:E46),$E46),
    _xlpm.euShip,IFERROR(HELPER!$AH$3,0),
    _xlpm.metSetup,IFERROR(HELPER!$CH$2,0),
    _xlpm.filmNames,Table1[Film Type],
    _xlpm.filmCosts,Table1[Total Cost],
    _xlpm.printCosts,Table1[Printing],
    _xlpm.printWaste,Table1[Printing Waste],
    _xlpm.filmCost,IF(LEFT(_xlpm.mat,4)="TIPA",IFERROR(IF(_xlpm.pr="Not Printed",MIN(_xlfn._xlws.FILTER(_xlpm.filmCosts,(UPPER(SUBSTITUTE(_xlpm.filmNames," ",""))=_xlpm.matKey)*(_xlpm.printCosts=0)*(_xlpm.printWaste=0)*(_xlpm.filmCosts&gt;0))),INDEX(_xlfn._xlws.FILTER(_xlpm.filmCosts,(UPPER(SUBSTITUTE(_xlpm.filmNames," ",""))=_xlpm.matKey)*(_xlpm.filmCosts&gt;0)),1)),""),""),
    _xlpm.summaryNames,"",
    _xlpm.summaryThick,"",
    _xlpm.summaryCosts,"",
    _xlpm.summaryCost,IF(LEFT(_xlpm.mat,4)="TIPA",IFERROR(IF(_xlpm.pr="Not Printed",MIN(_xlfn._xlws.FILTER(_xlpm.summaryCosts,(UPPER(SUBSTITUTE(_xlpm.summaryNames," ",""))=_xlpm.matKey)*(_xlpm.summaryThick=$K46)*(_xlpm.summaryCosts&gt;0))),INDEX(_xlfn._xlws.FILTER(_xlpm.summaryCosts,(UPPER(SUBSTITUTE(_xlpm.summaryNames," ",""))=_xlpm.matKey)*(_xlpm.summaryThick=$K46)*(_xlpm.summaryCosts&gt;0)),1)),""),""),
    _xlpm.finalFilmCost,IF(_xlpm.filmCost&lt;&gt;"",_xlpm.filmCost,_xlpm.summaryCost),
    _xlpm.metFilmCost,IFERROR(INDEX(_xlpm.filmCosts,MATCH("TIPA 312 MFG",_xlpm.filmNames,0)),INDEX(_xlpm.filmCosts,1)),
    _xlpm.tipa312MfgCost,IFERROR(IF(_xlpm.pr="Not Printed",MIN(_xlfn._xlws.FILTER(_xlpm.filmCosts,(UPPER(SUBSTITUTE(_xlpm.filmNames," ",""))="TIPA312MFG")*(_xlpm.printCosts=0)*(_xlpm.printWaste=0)*(_xlpm.filmCosts&gt;0))),INDEX(_xlfn._xlws.FILTER(_xlpm.filmCosts,(UPPER(SUBSTITUTE(_xlpm.filmNames," ",""))="TIPA312MFG")*(_xlpm.filmCosts&gt;0)),1)),0),
    _xlpm.metluxCost,IFERROR(INDEX(HELPER!$E$2:$E$32,MATCH(TRUE,TRIM(HELPER!$A$2:$A$32)="MET LUX",0)),IFERROR(INDEX(HELPER!$E$2:$E$32,MATCH(TRUE,TRIM(HELPER!$B$2:$B$32)="MET LUX",0)),IFERROR(INDEX(HELPER!$E$2:$E$32,MATCH(TRUE,TRIM(HELPER!$C$2:$C$32)="MET LUX",0)),IFERROR(INDEX(HELPER!$E$2:$E$32,MATCH(TRUE,TRIM(HELPER!$D$2:$D$32)="MET LUX",0)),0)))),
    _xlpm.helperCost,IFERROR(INDEX(HELPER!$E$2:$E$32,MATCH(TRUE,TRIM(HELPER!$A$2:$A$32)=_xlpm.mat,0)),IFERROR(INDEX(HELPER!$E$2:$E$32,MATCH(TRUE,TRIM(HELPER!$B$2:$B$32)=_xlpm.mat,0)),IFERROR(INDEX(HELPER!$E$2:$E$32,MATCH(TRUE,TRIM(HELPER!$C$2:$C$32)=_xlpm.mat,0)),IFERROR(INDEX(HELPER!$E$2:$E$32,MATCH(TRUE,TRIM(HELPER!$D$2:$D$32)=_xlpm.mat,0)),"")))),
    _xlpm.specialCost,IFERROR(_xlfn.XLOOKUP(_xlpm.mat,HELPER!$CK$2:$CK$105,HELPER!$CO$2:$CO$105,""),""),
    _xlpm.nkHelperCost,IFERROR(INDEX(HELPER!$E$2:$E$32,MATCH(TRUE,TRIM(HELPER!$A$2:$A$32)="NK",0)),IFERROR(INDEX(HELPER!$E$2:$E$32,MATCH(TRUE,TRIM(HELPER!$B$2:$B$32)="NK",0)),IFERROR(INDEX(HELPER!$E$2:$E$32,MATCH(TRUE,TRIM(HELPER!$C$2:$C$32)="NK",0)),IFERROR(INDEX(HELPER!$E$2:$E$32,MATCH(TRUE,TRIM(HELPER!$D$2:$D$32)="NK",0)),0)))),
    _xlpm.baseCost,IF(LEFT(_xlpm.mat,4)="TIPA",IF(_xlpm.finalFilmCost&lt;&gt;"",_xlpm.finalFilmCost,_xlpm.specialCost),_xlpm.helperCost),
    _xlpm.rawResult,IF(OR(_xlpm.mat="NK",_xlpm.mat="NKR"),_xlpm.nkHelperCost,IF(_xlpm.baseCost="","",IF(OR(_xlpm.finalFilmCost&lt;&gt;"",LEFT(_xlpm.mat,4)="TIPA"),_xlpm.baseCost,_xlpm.baseCost+_xlpm.euShip))),
    _xlpm.upliftFilm,ISNUMBER(MATCH(_xlpm.matKey,{"TIPA312MET";"TIPA302FG";"TIPA302FGW";"TIPA306M";"TIPA306W";"TIPA312MFG";"TIPA312MFGW"},0)),
    IF(AND(_xlpm.upliftFilm,_xlpm.widthActual&gt;=900,_xlpm.rawResult&lt;&gt;""),_xlpm.rawResult*1.25,_xlpm.rawResult)
  ))</f>
        <v/>
      </c>
      <c r="S46"/>
      <c r="T46"/>
      <c r="U46"/>
    </row>
    <row r="47" spans="1:40" ht="18" customHeight="1">
      <c r="S47"/>
      <c r="T47"/>
      <c r="U47"/>
    </row>
    <row r="48" spans="1:40" ht="15" customHeight="1">
      <c r="S48"/>
      <c r="T48"/>
      <c r="U48"/>
    </row>
    <row r="49" spans="19:41" ht="24" customHeight="1">
      <c r="S49"/>
      <c r="T49"/>
      <c r="U49"/>
      <c r="AD49" s="976" t="str">
        <f>IF(AND(AE50="",AE51=""),"📦 POUCH CALCULATOR 1","📦 POUCH CALCULATOR 1 - "&amp;AE50&amp;IF(AND(AE50&lt;&gt;"",AE51&lt;&gt;"")," - ","")&amp;AE51)</f>
        <v>📦 POUCH CALCULATOR 1 - Zipper pouch - 618 W</v>
      </c>
      <c r="AE49" s="976"/>
      <c r="AF49" s="976"/>
      <c r="AH49" s="976" t="str">
        <f>IF(AND(AI50="",AI51=""),"📦 POUCH CALCULATOR 2","📦 POUCH CALCULATOR 2 - "&amp;AI50&amp;IF(AND(AI50&lt;&gt;"",AI51&lt;&gt;"")," - ","")&amp;AI51)</f>
        <v>📦 POUCH CALCULATOR 2 - Zipper pouch - 608 W</v>
      </c>
      <c r="AI49" s="976"/>
      <c r="AJ49" s="976"/>
      <c r="AL49" s="976" t="str">
        <f>IF(AND(AM50="",AM51=""),"📦 POUCH CALCULATOR 3","📦 POUCH CALCULATOR 3 - "&amp;AM50&amp;IF(AND(AM50&lt;&gt;"",AM51&lt;&gt;"")," - ","")&amp;AM51)</f>
        <v>📦 POUCH CALCULATOR 3 - Zipper pouch - 608 W</v>
      </c>
      <c r="AM49" s="976"/>
      <c r="AN49" s="976"/>
    </row>
    <row r="50" spans="19:41" ht="18" customHeight="1">
      <c r="S50"/>
      <c r="T50"/>
      <c r="U50"/>
      <c r="AD50" s="761" t="s">
        <v>1178</v>
      </c>
      <c r="AE50" s="762" t="s">
        <v>283</v>
      </c>
      <c r="AF50" s="762"/>
      <c r="AG50" s="760"/>
      <c r="AH50" s="761" t="s">
        <v>1178</v>
      </c>
      <c r="AI50" s="762" t="s">
        <v>283</v>
      </c>
      <c r="AJ50" s="762"/>
      <c r="AK50" s="760"/>
      <c r="AL50" s="761" t="s">
        <v>1178</v>
      </c>
      <c r="AM50" s="762" t="s">
        <v>283</v>
      </c>
      <c r="AN50" s="762"/>
      <c r="AO50" s="760"/>
    </row>
    <row r="51" spans="19:41" ht="18" customHeight="1">
      <c r="S51"/>
      <c r="T51"/>
      <c r="U51"/>
      <c r="AD51" s="761" t="s">
        <v>1163</v>
      </c>
      <c r="AE51" s="762" t="s">
        <v>591</v>
      </c>
      <c r="AF51" s="762"/>
      <c r="AG51" s="760"/>
      <c r="AH51" s="761" t="s">
        <v>1163</v>
      </c>
      <c r="AI51" s="762" t="s">
        <v>592</v>
      </c>
      <c r="AJ51" s="762"/>
      <c r="AK51" s="760"/>
      <c r="AL51" s="761" t="s">
        <v>1163</v>
      </c>
      <c r="AM51" s="762" t="s">
        <v>592</v>
      </c>
      <c r="AN51" s="762"/>
      <c r="AO51" s="760"/>
    </row>
    <row r="52" spans="19:41" ht="18" customHeight="1">
      <c r="S52"/>
      <c r="T52"/>
      <c r="U52"/>
      <c r="AD52" s="761" t="s">
        <v>595</v>
      </c>
      <c r="AE52" s="762">
        <v>66</v>
      </c>
      <c r="AF52" s="762" t="s">
        <v>109</v>
      </c>
      <c r="AG52" s="760"/>
      <c r="AH52" s="761" t="s">
        <v>595</v>
      </c>
      <c r="AI52" s="762" cm="1">
        <f t="array" ref="AI52">IFERROR(INDEX($AQ$2:$AQ$20,MATCH(TRUE,$AQ$2:$AQ$20&lt;&gt;"",0)),"")</f>
        <v>100</v>
      </c>
      <c r="AJ52" s="762" t="s">
        <v>109</v>
      </c>
      <c r="AK52" s="760"/>
      <c r="AL52" s="761" t="s">
        <v>595</v>
      </c>
      <c r="AM52" s="762" cm="1">
        <f t="array" ref="AM52">IFERROR(INDEX($AR$2:$AR$20,MATCH(TRUE,$AR$2:$AR$20&lt;&gt;"",0)),"")</f>
        <v>100</v>
      </c>
      <c r="AN52" s="762" t="s">
        <v>109</v>
      </c>
      <c r="AO52" s="760"/>
    </row>
    <row r="53" spans="19:41" ht="18" customHeight="1">
      <c r="S53"/>
      <c r="T53"/>
      <c r="U53"/>
      <c r="AD53" s="761" t="s">
        <v>1164</v>
      </c>
      <c r="AE53" s="762">
        <v>254</v>
      </c>
      <c r="AF53" s="762" t="s">
        <v>511</v>
      </c>
      <c r="AG53" s="760"/>
      <c r="AH53" s="761" t="s">
        <v>1164</v>
      </c>
      <c r="AI53" s="762">
        <v>254</v>
      </c>
      <c r="AJ53" s="762" t="s">
        <v>511</v>
      </c>
      <c r="AK53" s="760"/>
      <c r="AL53" s="761" t="s">
        <v>1164</v>
      </c>
      <c r="AM53" s="762">
        <v>254</v>
      </c>
      <c r="AN53" s="762" t="s">
        <v>511</v>
      </c>
      <c r="AO53" s="760"/>
    </row>
    <row r="54" spans="19:41" ht="18" customHeight="1">
      <c r="S54"/>
      <c r="T54"/>
      <c r="U54"/>
      <c r="AD54" s="761" t="s">
        <v>1165</v>
      </c>
      <c r="AE54" s="762">
        <v>254</v>
      </c>
      <c r="AF54" s="762" t="s">
        <v>511</v>
      </c>
      <c r="AG54" s="760"/>
      <c r="AH54" s="761" t="s">
        <v>1165</v>
      </c>
      <c r="AI54" s="762">
        <v>254</v>
      </c>
      <c r="AJ54" s="762" t="s">
        <v>511</v>
      </c>
      <c r="AK54" s="760"/>
      <c r="AL54" s="761" t="s">
        <v>1165</v>
      </c>
      <c r="AM54" s="762">
        <v>254</v>
      </c>
      <c r="AN54" s="762" t="s">
        <v>511</v>
      </c>
      <c r="AO54" s="760"/>
    </row>
    <row r="55" spans="19:41" ht="18" customHeight="1">
      <c r="S55"/>
      <c r="T55"/>
      <c r="U55"/>
      <c r="AD55" s="761" t="s">
        <v>1166</v>
      </c>
      <c r="AE55" s="762">
        <v>76.2</v>
      </c>
      <c r="AF55" s="762" t="s">
        <v>511</v>
      </c>
      <c r="AG55" s="760"/>
      <c r="AH55" s="761" t="s">
        <v>1166</v>
      </c>
      <c r="AI55" s="762">
        <v>76.2</v>
      </c>
      <c r="AJ55" s="762" t="s">
        <v>511</v>
      </c>
      <c r="AK55" s="760"/>
      <c r="AL55" s="761" t="s">
        <v>1166</v>
      </c>
      <c r="AM55" s="762">
        <v>76.2</v>
      </c>
      <c r="AN55" s="762" t="s">
        <v>511</v>
      </c>
      <c r="AO55" s="760"/>
    </row>
    <row r="56" spans="19:41" ht="18" customHeight="1">
      <c r="S56"/>
      <c r="T56"/>
      <c r="U56"/>
      <c r="AD56" s="761" t="s">
        <v>1167</v>
      </c>
      <c r="AE56" s="763"/>
      <c r="AF56" s="762"/>
      <c r="AG56" s="760"/>
      <c r="AH56" s="761" t="s">
        <v>1167</v>
      </c>
      <c r="AI56" s="763"/>
      <c r="AJ56" s="762"/>
      <c r="AK56" s="760"/>
      <c r="AL56" s="761" t="s">
        <v>1167</v>
      </c>
      <c r="AM56" s="763"/>
      <c r="AN56" s="762"/>
      <c r="AO56" s="760"/>
    </row>
    <row r="57" spans="19:41" ht="18" customHeight="1">
      <c r="S57"/>
      <c r="T57"/>
      <c r="U57"/>
      <c r="AD57" s="761" t="s">
        <v>1168</v>
      </c>
      <c r="AE57" s="764">
        <v>100000</v>
      </c>
      <c r="AF57" s="762" t="s">
        <v>1106</v>
      </c>
      <c r="AG57" s="760"/>
      <c r="AH57" s="761" t="s">
        <v>1168</v>
      </c>
      <c r="AI57" s="764">
        <v>100000</v>
      </c>
      <c r="AJ57" s="762" t="s">
        <v>1106</v>
      </c>
      <c r="AK57" s="760"/>
      <c r="AL57" s="761" t="s">
        <v>1168</v>
      </c>
      <c r="AM57" s="764">
        <v>100000</v>
      </c>
      <c r="AN57" s="762" t="s">
        <v>1106</v>
      </c>
      <c r="AO57" s="760"/>
    </row>
    <row r="58" spans="19:41" ht="18" customHeight="1">
      <c r="S58"/>
      <c r="T58"/>
      <c r="U58"/>
      <c r="AD58" s="761" t="s">
        <v>598</v>
      </c>
      <c r="AE58" s="762" t="s">
        <v>1162</v>
      </c>
      <c r="AF58" s="762"/>
      <c r="AG58" s="760"/>
      <c r="AH58" s="761" t="s">
        <v>598</v>
      </c>
      <c r="AI58" s="762" t="s">
        <v>1162</v>
      </c>
      <c r="AJ58" s="762"/>
      <c r="AK58" s="760"/>
      <c r="AL58" s="761" t="s">
        <v>598</v>
      </c>
      <c r="AM58" s="762" t="s">
        <v>1162</v>
      </c>
      <c r="AN58" s="762"/>
      <c r="AO58" s="760"/>
    </row>
    <row r="59" spans="19:41" ht="18" customHeight="1">
      <c r="S59"/>
      <c r="T59"/>
      <c r="U59"/>
      <c r="AD59" s="761" t="s">
        <v>1169</v>
      </c>
      <c r="AE59" s="765" t="s">
        <v>619</v>
      </c>
      <c r="AF59" s="762"/>
      <c r="AG59" s="760"/>
      <c r="AH59" s="761" t="s">
        <v>1169</v>
      </c>
      <c r="AI59" s="765" t="s">
        <v>619</v>
      </c>
      <c r="AJ59" s="762"/>
      <c r="AK59" s="760"/>
      <c r="AL59" s="761" t="s">
        <v>1169</v>
      </c>
      <c r="AM59" s="765" t="s">
        <v>619</v>
      </c>
      <c r="AN59" s="762"/>
      <c r="AO59" s="760"/>
    </row>
    <row r="60" spans="19:41" ht="18" customHeight="1">
      <c r="S60"/>
      <c r="T60"/>
      <c r="U60"/>
      <c r="AD60" s="761" t="s">
        <v>600</v>
      </c>
      <c r="AE60" s="762" t="s">
        <v>272</v>
      </c>
      <c r="AF60" s="762"/>
      <c r="AG60" s="760"/>
      <c r="AH60" s="761" t="s">
        <v>600</v>
      </c>
      <c r="AI60" s="762" t="s">
        <v>272</v>
      </c>
      <c r="AJ60" s="762"/>
      <c r="AK60" s="760"/>
      <c r="AL60" s="761" t="s">
        <v>600</v>
      </c>
      <c r="AM60" s="762" t="s">
        <v>272</v>
      </c>
      <c r="AN60" s="762"/>
      <c r="AO60" s="760"/>
    </row>
    <row r="61" spans="19:41" ht="18" customHeight="1">
      <c r="S61"/>
      <c r="T61"/>
      <c r="U61"/>
      <c r="AD61" s="761" t="s">
        <v>1170</v>
      </c>
      <c r="AE61" s="766" t="str">
        <f>IF(AE50="Zipper pouch","Yes","")</f>
        <v>Yes</v>
      </c>
      <c r="AF61" s="762"/>
      <c r="AG61" s="760"/>
      <c r="AH61" s="761" t="s">
        <v>1170</v>
      </c>
      <c r="AI61" s="766" t="str">
        <f>IF(AI50="Zipper pouch","Yes","")</f>
        <v>Yes</v>
      </c>
      <c r="AJ61" s="762"/>
      <c r="AK61" s="760"/>
      <c r="AL61" s="761" t="s">
        <v>1170</v>
      </c>
      <c r="AM61" s="766" t="str">
        <f>IF(AM50="Zipper pouch","Yes","")</f>
        <v>Yes</v>
      </c>
      <c r="AN61" s="762"/>
      <c r="AO61" s="760"/>
    </row>
    <row r="62" spans="19:41" ht="18" customHeight="1">
      <c r="S62"/>
      <c r="T62"/>
      <c r="U62"/>
      <c r="AD62" s="761" t="s">
        <v>599</v>
      </c>
      <c r="AE62" s="767" t="s">
        <v>572</v>
      </c>
      <c r="AF62" s="762"/>
      <c r="AG62" s="759"/>
      <c r="AH62" s="761" t="s">
        <v>599</v>
      </c>
      <c r="AI62" s="767" t="s">
        <v>572</v>
      </c>
      <c r="AJ62" s="762"/>
      <c r="AK62" s="759"/>
      <c r="AL62" s="761" t="s">
        <v>599</v>
      </c>
      <c r="AM62" s="767" t="s">
        <v>572</v>
      </c>
      <c r="AN62" s="762"/>
      <c r="AO62" s="760"/>
    </row>
    <row r="63" spans="19:41" ht="18" customHeight="1">
      <c r="S63"/>
      <c r="T63"/>
      <c r="U63"/>
      <c r="AD63" s="761" t="s">
        <v>1171</v>
      </c>
      <c r="AE63" s="762">
        <f>IFERROR(IF(AE57&gt;=AE36/((M8*D3/E3*((E3+30)/J3)*AE54/1000)),1,"X"),"Data is missing")</f>
        <v>1</v>
      </c>
      <c r="AF63" s="762"/>
      <c r="AG63" s="760"/>
      <c r="AH63" s="761" t="s">
        <v>1171</v>
      </c>
      <c r="AI63" s="762">
        <f>IFERROR(IF(AI57&gt;=AI36/((M14*D9/E9*((E9+30)/J9)*AI54/1000)),1,"X"),"Data is missing")</f>
        <v>1</v>
      </c>
      <c r="AJ63" s="762"/>
      <c r="AK63" s="760"/>
      <c r="AL63" s="761" t="s">
        <v>1171</v>
      </c>
      <c r="AM63" s="762">
        <f>IFERROR(IF(AM57&gt;=AM36/((M20*D15/E15*((E15+30)/J15)*AM54/1000)),1,"X"),"Data is missing")</f>
        <v>1</v>
      </c>
      <c r="AN63" s="762"/>
      <c r="AO63" s="760"/>
    </row>
    <row r="64" spans="19:41" ht="18" customHeight="1">
      <c r="S64"/>
      <c r="T64"/>
      <c r="U64"/>
      <c r="AD64" s="761" t="s">
        <v>1172</v>
      </c>
      <c r="AE64" s="815">
        <f>IFERROR(IF(AE63=1,AE73/(1-AE1),"Check MOQ"),"Data is missing")</f>
        <v>0.33995563292062397</v>
      </c>
      <c r="AF64" s="768" t="s">
        <v>518</v>
      </c>
      <c r="AG64" s="760"/>
      <c r="AH64" s="761" t="s">
        <v>1172</v>
      </c>
      <c r="AI64" s="815">
        <f>IFERROR(IF(AI63=1,AI73/(1-AI1),"Check MOQ"),"Data is missing")</f>
        <v>0.43589284857423011</v>
      </c>
      <c r="AJ64" s="768" t="s">
        <v>518</v>
      </c>
      <c r="AK64" s="760"/>
      <c r="AL64" s="761" t="s">
        <v>1172</v>
      </c>
      <c r="AM64" s="815">
        <f>IFERROR(IF(AM63=1,AM73/(1-AM1),"Check MOQ"),"Data is missing")</f>
        <v>0.43589284857423011</v>
      </c>
      <c r="AN64" s="768" t="s">
        <v>518</v>
      </c>
      <c r="AO64" s="760"/>
    </row>
    <row r="65" spans="19:41" ht="18" customHeight="1">
      <c r="S65"/>
      <c r="T65"/>
      <c r="U65"/>
      <c r="AD65" s="761" t="s">
        <v>1201</v>
      </c>
      <c r="AE65" s="816">
        <f>IFERROR(IF(ISNUMBER(AE64),AE64*AE57,"Check MOQ"),"Data is missing")</f>
        <v>33995.563292062398</v>
      </c>
      <c r="AF65" s="768" t="s">
        <v>1080</v>
      </c>
      <c r="AG65" s="760"/>
      <c r="AH65" s="761" t="s">
        <v>1201</v>
      </c>
      <c r="AI65" s="816">
        <f>IFERROR(IF(ISNUMBER(AI64),AI64*AI57,"Check MOQ"),"Data is missing")</f>
        <v>43589.284857423008</v>
      </c>
      <c r="AJ65" s="768" t="s">
        <v>1080</v>
      </c>
      <c r="AK65" s="760"/>
      <c r="AL65" s="761" t="s">
        <v>1201</v>
      </c>
      <c r="AM65" s="816">
        <f>IFERROR(IF(ISNUMBER(AM64),AM64*AM57,"Check MOQ"),"Data is missing")</f>
        <v>43589.284857423008</v>
      </c>
      <c r="AN65" s="768" t="s">
        <v>1080</v>
      </c>
      <c r="AO65" s="760"/>
    </row>
    <row r="66" spans="19:41">
      <c r="S66"/>
      <c r="T66"/>
      <c r="U66"/>
      <c r="AD66" s="769" t="s">
        <v>1202</v>
      </c>
      <c r="AE66" s="817">
        <f>IFERROR(IF(ISNUMBER(AE65),AE65*1.16,"Check MOQ"),"Data is missing")</f>
        <v>39434.85341879238</v>
      </c>
      <c r="AF66" s="769" t="s">
        <v>1082</v>
      </c>
      <c r="AH66" s="769" t="s">
        <v>1202</v>
      </c>
      <c r="AI66" s="817">
        <f>IFERROR(IF(ISNUMBER(AI65),AI65*1.16,"Check MOQ"),"Data is missing")</f>
        <v>50563.570434610687</v>
      </c>
      <c r="AJ66" s="769" t="s">
        <v>1082</v>
      </c>
      <c r="AL66" s="769" t="s">
        <v>1202</v>
      </c>
      <c r="AM66" s="817">
        <f>IFERROR(IF(ISNUMBER(AM65),AM65*1.16,"Check MOQ"),"Data is missing")</f>
        <v>50563.570434610687</v>
      </c>
      <c r="AN66" s="769" t="s">
        <v>1082</v>
      </c>
    </row>
    <row r="67" spans="19:41" ht="21.95" customHeight="1">
      <c r="S67"/>
      <c r="T67"/>
      <c r="U67"/>
      <c r="AD67" s="770" t="s">
        <v>1176</v>
      </c>
      <c r="AE67" s="770"/>
      <c r="AF67" s="770"/>
      <c r="AH67" s="770"/>
      <c r="AI67" s="770"/>
      <c r="AJ67" s="770"/>
      <c r="AL67" s="770"/>
      <c r="AM67" s="770"/>
      <c r="AN67" s="770"/>
    </row>
    <row r="68" spans="19:41" ht="18" customHeight="1">
      <c r="S68"/>
      <c r="T68"/>
      <c r="U68"/>
      <c r="AD68" s="771" t="s">
        <v>1177</v>
      </c>
      <c r="AE68" s="772" cm="1">
        <f t="array" ref="AE68">IFERROR(_xlfn.LET(_xlpm.s,AE60,_xlpm.b,_xlfn.SWITCH(LOWER(AE50),"zipper bag","Zipper pouch","open bag","Open pouch",AE50),_xlpm.w,AE54,_xlpm.q,AE57,_xlpm.src,'Converting-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5.1027433589843921E-2</v>
      </c>
      <c r="AF68" s="773" t="str">
        <f>IF(AE68="Data is missing","","€/pouch")</f>
        <v>€/pouch</v>
      </c>
      <c r="AG68" s="759"/>
      <c r="AH68" s="771" t="s">
        <v>1177</v>
      </c>
      <c r="AI68" s="776" cm="1">
        <f t="array" ref="AI68">IFERROR(_xlfn.LET(_xlpm.s,AI60,_xlpm.b,_xlfn.SWITCH(LOWER(AI50),"zipper bag","Zipper pouch","open bag","Open pouch",AI50),_xlpm.w,AI54,_xlpm.q,AI57,_xlpm.src,'Converting-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5.1027433589843921E-2</v>
      </c>
      <c r="AJ68" s="773" t="str">
        <f>IF(AI68="Data is missing","","€/pouch")</f>
        <v>€/pouch</v>
      </c>
      <c r="AK68" s="759"/>
      <c r="AL68" s="771" t="s">
        <v>1177</v>
      </c>
      <c r="AM68" s="776" cm="1">
        <f t="array" ref="AM68">IFERROR(_xlfn.LET(_xlpm.s,AM60,_xlpm.b,_xlfn.SWITCH(LOWER(AM50),"zipper bag","Zipper pouch","open bag","Open pouch",AM50),_xlpm.w,AM54,_xlpm.q,AM57,_xlpm.src,'Converting- Marma &amp; Bastin '!$A$3:$J$38,_xlpm.widths,VALUE(LEFT('Converting- Marma &amp; Bastin '!$C$3:$C$38,FIND(" ",'Converting- Marma &amp; Bastin '!$C$3:$C$38&amp;" ")-1)),_xlpm.tier,_xlfn.XMATCH(_xlpm.q,{0,25001,50001,100001,250001,500001,1000001},1)+3,_xlpm.target,MIN(_xlfn._xlws.FILTER(_xlpm.widths,('Converting- Marma &amp; Bastin '!$A$3:$A$38=_xlpm.s)*('Converting- Marma &amp; Bastin '!$B$3:$B$38=_xlpm.b)*(_xlpm.widths&gt;=_xlpm.w))),INDEX(_xlpm.src,_xlfn.XMATCH(1,('Converting- Marma &amp; Bastin '!$A$3:$A$38=_xlpm.s)*('Converting- Marma &amp; Bastin '!$B$3:$B$38=_xlpm.b)*(_xlpm.widths=_xlpm.target),0),_xlpm.tier)),"Data is missing")</f>
        <v>5.1027433589843921E-2</v>
      </c>
      <c r="AN68" s="773" t="str">
        <f>IF(AM68="Data is missing","","€/pouch")</f>
        <v>€/pouch</v>
      </c>
      <c r="AO68" s="760"/>
    </row>
    <row r="69" spans="19:41" ht="18" customHeight="1">
      <c r="S69"/>
      <c r="T69"/>
      <c r="U69"/>
      <c r="AD69" s="771" t="s">
        <v>68</v>
      </c>
      <c r="AE69" s="774"/>
      <c r="AF69" s="773" t="str">
        <f>IF(AE69="Data is missing","","€/pouch")</f>
        <v>€/pouch</v>
      </c>
      <c r="AG69" s="760"/>
      <c r="AH69" s="771" t="s">
        <v>68</v>
      </c>
      <c r="AI69" s="774"/>
      <c r="AJ69" s="773" t="str">
        <f>IF(AI69="Data is missing","","€/pouch")</f>
        <v>€/pouch</v>
      </c>
      <c r="AK69" s="760"/>
      <c r="AL69" s="771" t="s">
        <v>68</v>
      </c>
      <c r="AM69" s="774"/>
      <c r="AN69" s="773" t="str">
        <f>IF(AM69="Data is missing","","€/pouch")</f>
        <v>€/pouch</v>
      </c>
      <c r="AO69" s="760"/>
    </row>
    <row r="70" spans="19:41" ht="18" customHeight="1">
      <c r="S70"/>
      <c r="T70"/>
      <c r="U70"/>
      <c r="AD70" s="771" t="s">
        <v>1121</v>
      </c>
      <c r="AE70" s="775">
        <f>IFERROR($Y$3*$M$8,"Data is missing")</f>
        <v>0.7843818888485542</v>
      </c>
      <c r="AF70" s="773" t="s">
        <v>1026</v>
      </c>
      <c r="AG70" s="760"/>
      <c r="AH70" s="771" t="s">
        <v>1121</v>
      </c>
      <c r="AI70" s="775">
        <f>IFERROR($Y$9*$M$14,"Data is missing")</f>
        <v>1.0611238570801103</v>
      </c>
      <c r="AJ70" s="773" t="s">
        <v>1026</v>
      </c>
      <c r="AK70" s="760"/>
      <c r="AL70" s="771" t="s">
        <v>1121</v>
      </c>
      <c r="AM70" s="775">
        <f>IFERROR($Y$15*$M$20,"Data is missing")</f>
        <v>1.0611238570801103</v>
      </c>
      <c r="AN70" s="773" t="s">
        <v>1026</v>
      </c>
      <c r="AO70" s="760"/>
    </row>
    <row r="71" spans="19:41" ht="18" customHeight="1">
      <c r="S71"/>
      <c r="T71"/>
      <c r="U71"/>
      <c r="AD71" s="771" t="s">
        <v>1180</v>
      </c>
      <c r="AE71" s="775">
        <f>IFERROR(IF(AE61="Yes",HELPER!$DE$2*(AE70+AE72)/AE57,HELPER!$DE$2*AE70/AE57),"Data is missing")</f>
        <v>4.706291333091325E-3</v>
      </c>
      <c r="AF71" s="773" t="str">
        <f>IF(AE71="Data is missing","","€/pouch")</f>
        <v>€/pouch</v>
      </c>
      <c r="AG71" s="760"/>
      <c r="AH71" s="771" t="s">
        <v>1180</v>
      </c>
      <c r="AI71" s="775">
        <f>IFERROR(IF(AI61="Yes",HELPER!$DE$2*(AI70+AI72)/AI57,HELPER!$DE$2*AI70/AI57),"Data is missing")</f>
        <v>6.3667431424806612E-3</v>
      </c>
      <c r="AJ71" s="773" t="str">
        <f>IF(AI71="Data is missing","","€/pouch")</f>
        <v>€/pouch</v>
      </c>
      <c r="AK71" s="760"/>
      <c r="AL71" s="771" t="s">
        <v>1180</v>
      </c>
      <c r="AM71" s="775">
        <f>IFERROR(IF(AM61="Yes",HELPER!$DE$2*(AM70+AM72)/AM57,HELPER!$DE$2*AM70/AM57),"Data is missing")</f>
        <v>6.3667431424806612E-3</v>
      </c>
      <c r="AN71" s="773" t="str">
        <f>IF(AM71="Data is missing","","€/pouch")</f>
        <v>€/pouch</v>
      </c>
      <c r="AO71" s="760"/>
    </row>
    <row r="72" spans="19:41" ht="18" customHeight="1">
      <c r="S72"/>
      <c r="T72"/>
      <c r="U72"/>
      <c r="AD72" s="771" t="s">
        <v>125</v>
      </c>
      <c r="AE72" s="775">
        <f>IF(AE50="Zipper pouch",HELPER!$DC$2*AE54/1000,"")</f>
        <v>0</v>
      </c>
      <c r="AF72" s="773" t="str">
        <f>IF(AE72="Data is missing","","€/pouch")</f>
        <v>€/pouch</v>
      </c>
      <c r="AG72" s="759"/>
      <c r="AH72" s="771" t="s">
        <v>125</v>
      </c>
      <c r="AI72" s="775">
        <f>IF(AI50="Zipper pouch",HELPER!$DC$2*AI54/1000,"")</f>
        <v>0</v>
      </c>
      <c r="AJ72" s="773" t="str">
        <f>IF(AI72="Data is missing","","€/pouch")</f>
        <v>€/pouch</v>
      </c>
      <c r="AK72" s="759"/>
      <c r="AL72" s="771" t="s">
        <v>125</v>
      </c>
      <c r="AM72" s="775">
        <f>IF(AM50="Zipper pouch",HELPER!$DC$2*AM54/1000,"")</f>
        <v>0</v>
      </c>
      <c r="AN72" s="773" t="str">
        <f>IF(AM72="Data is missing","","€/pouch")</f>
        <v>€/pouch</v>
      </c>
      <c r="AO72" s="760"/>
    </row>
    <row r="73" spans="19:41" ht="18" customHeight="1">
      <c r="S73"/>
      <c r="T73"/>
      <c r="U73"/>
      <c r="AD73" s="771" t="s">
        <v>907</v>
      </c>
      <c r="AE73" s="775">
        <f>IFERROR(AE68+AE71+N(AE72)+AE70*AE54/1000,"Data is missing")</f>
        <v>0.25496672469046799</v>
      </c>
      <c r="AF73" s="774" t="s">
        <v>1185</v>
      </c>
      <c r="AG73" s="760"/>
      <c r="AH73" s="771" t="s">
        <v>907</v>
      </c>
      <c r="AI73" s="775">
        <f>IFERROR(AI68+AI71+N(AI72)+AI70*AI54/1000,"Data is missing")</f>
        <v>0.32691963643067257</v>
      </c>
      <c r="AJ73" s="774" t="s">
        <v>1185</v>
      </c>
      <c r="AK73" s="760"/>
      <c r="AL73" s="771" t="s">
        <v>907</v>
      </c>
      <c r="AM73" s="775">
        <f>IFERROR(AM68+AM71+N(AM72)+AM70*AM54/1000,"Data is missing")</f>
        <v>0.32691963643067257</v>
      </c>
      <c r="AN73" s="773" t="s">
        <v>1185</v>
      </c>
      <c r="AO73" s="760"/>
    </row>
    <row r="74" spans="19:41">
      <c r="S74"/>
      <c r="T74"/>
      <c r="U74"/>
    </row>
    <row r="75" spans="19:41">
      <c r="S75"/>
      <c r="T75"/>
      <c r="U75"/>
    </row>
    <row r="76" spans="19:41">
      <c r="S76"/>
      <c r="T76"/>
      <c r="U76"/>
    </row>
    <row r="77" spans="19:41">
      <c r="S77"/>
      <c r="T77"/>
      <c r="U77"/>
    </row>
    <row r="78" spans="19:41">
      <c r="S78"/>
      <c r="T78"/>
      <c r="U78"/>
    </row>
    <row r="79" spans="19:41">
      <c r="S79"/>
      <c r="T79"/>
      <c r="U79"/>
    </row>
    <row r="80" spans="19:41">
      <c r="S80"/>
      <c r="T80"/>
      <c r="U80"/>
    </row>
    <row r="81" spans="19:40">
      <c r="S81"/>
      <c r="T81"/>
      <c r="U81"/>
    </row>
    <row r="82" spans="19:40">
      <c r="S82"/>
      <c r="T82"/>
      <c r="U82"/>
    </row>
    <row r="83" spans="19:40">
      <c r="S83"/>
      <c r="T83"/>
      <c r="U83"/>
    </row>
    <row r="84" spans="19:40" ht="18.75">
      <c r="S84"/>
      <c r="T84"/>
      <c r="U84"/>
      <c r="AD84" s="965" t="s">
        <v>1203</v>
      </c>
      <c r="AE84" s="965"/>
      <c r="AF84" s="965"/>
      <c r="AG84" s="965"/>
      <c r="AH84" s="965"/>
      <c r="AI84" s="965"/>
      <c r="AJ84" s="965"/>
      <c r="AK84" s="965"/>
      <c r="AL84" s="965"/>
      <c r="AM84" s="965"/>
      <c r="AN84" s="965"/>
    </row>
    <row r="85" spans="19:40">
      <c r="S85"/>
      <c r="T85"/>
      <c r="U85"/>
      <c r="AD85" s="818" t="s">
        <v>154</v>
      </c>
      <c r="AE85" s="964" t="s">
        <v>1204</v>
      </c>
      <c r="AF85" s="964"/>
      <c r="AG85" s="964"/>
      <c r="AH85" s="964"/>
      <c r="AI85" s="964"/>
      <c r="AJ85" s="964"/>
      <c r="AK85" s="964"/>
      <c r="AL85" s="964"/>
      <c r="AM85" s="964"/>
      <c r="AN85" s="964"/>
    </row>
    <row r="86" spans="19:40">
      <c r="S86"/>
      <c r="T86"/>
      <c r="U86"/>
      <c r="AD86" s="819" t="s">
        <v>1205</v>
      </c>
      <c r="AE86" s="962" t="s">
        <v>1206</v>
      </c>
      <c r="AF86" s="962"/>
      <c r="AG86" s="962"/>
      <c r="AH86" s="962"/>
      <c r="AI86" s="962"/>
      <c r="AJ86" s="962"/>
      <c r="AK86" s="962"/>
      <c r="AL86" s="962"/>
      <c r="AM86" s="962"/>
      <c r="AN86" s="962"/>
    </row>
    <row r="87" spans="19:40">
      <c r="S87"/>
      <c r="T87"/>
      <c r="U87"/>
      <c r="AD87" s="819" t="s">
        <v>1207</v>
      </c>
      <c r="AE87" s="962" t="s">
        <v>1208</v>
      </c>
      <c r="AF87" s="962"/>
      <c r="AG87" s="962"/>
      <c r="AH87" s="962"/>
      <c r="AI87" s="962"/>
      <c r="AJ87" s="962"/>
      <c r="AK87" s="962"/>
      <c r="AL87" s="962"/>
      <c r="AM87" s="962"/>
      <c r="AN87" s="962"/>
    </row>
    <row r="88" spans="19:40">
      <c r="S88"/>
      <c r="T88"/>
      <c r="U88"/>
      <c r="AD88" s="819" t="s">
        <v>1209</v>
      </c>
      <c r="AE88" s="962" t="s">
        <v>1210</v>
      </c>
      <c r="AF88" s="962"/>
      <c r="AG88" s="962"/>
      <c r="AH88" s="962"/>
      <c r="AI88" s="962"/>
      <c r="AJ88" s="962"/>
      <c r="AK88" s="962"/>
      <c r="AL88" s="962"/>
      <c r="AM88" s="962"/>
      <c r="AN88" s="962"/>
    </row>
    <row r="89" spans="19:40">
      <c r="S89"/>
      <c r="T89"/>
      <c r="U89"/>
      <c r="AD89" s="819" t="s">
        <v>1211</v>
      </c>
      <c r="AE89" s="962" t="s">
        <v>1212</v>
      </c>
      <c r="AF89" s="962"/>
      <c r="AG89" s="962"/>
      <c r="AH89" s="962"/>
      <c r="AI89" s="962"/>
      <c r="AJ89" s="962"/>
      <c r="AK89" s="962"/>
      <c r="AL89" s="962"/>
      <c r="AM89" s="962"/>
      <c r="AN89" s="962"/>
    </row>
    <row r="90" spans="19:40">
      <c r="S90"/>
      <c r="T90"/>
      <c r="U90"/>
      <c r="AD90" s="819" t="s">
        <v>1213</v>
      </c>
      <c r="AE90" s="962" t="s">
        <v>1214</v>
      </c>
      <c r="AF90" s="962"/>
      <c r="AG90" s="962"/>
      <c r="AH90" s="962"/>
      <c r="AI90" s="962"/>
      <c r="AJ90" s="962"/>
      <c r="AK90" s="962"/>
      <c r="AL90" s="962"/>
      <c r="AM90" s="962"/>
      <c r="AN90" s="962"/>
    </row>
    <row r="91" spans="19:40">
      <c r="S91"/>
      <c r="T91"/>
      <c r="U91"/>
      <c r="AD91" s="819" t="s">
        <v>1215</v>
      </c>
      <c r="AE91" s="962" t="s">
        <v>1216</v>
      </c>
      <c r="AF91" s="962"/>
      <c r="AG91" s="962"/>
      <c r="AH91" s="962"/>
      <c r="AI91" s="962"/>
      <c r="AJ91" s="962"/>
      <c r="AK91" s="962"/>
      <c r="AL91" s="962"/>
      <c r="AM91" s="962"/>
      <c r="AN91" s="962"/>
    </row>
    <row r="92" spans="19:40">
      <c r="S92"/>
      <c r="T92"/>
      <c r="U92"/>
      <c r="AD92" s="819" t="s">
        <v>1217</v>
      </c>
      <c r="AE92" s="962" t="s">
        <v>1218</v>
      </c>
      <c r="AF92" s="962"/>
      <c r="AG92" s="962"/>
      <c r="AH92" s="962"/>
      <c r="AI92" s="962"/>
      <c r="AJ92" s="962"/>
      <c r="AK92" s="962"/>
      <c r="AL92" s="962"/>
      <c r="AM92" s="962"/>
      <c r="AN92" s="962"/>
    </row>
    <row r="93" spans="19:40">
      <c r="S93"/>
      <c r="T93"/>
      <c r="U93"/>
      <c r="AD93" s="820" t="s">
        <v>1219</v>
      </c>
      <c r="AE93" s="963" t="s">
        <v>1220</v>
      </c>
      <c r="AF93" s="963"/>
      <c r="AG93" s="963"/>
      <c r="AH93" s="963"/>
      <c r="AI93" s="963"/>
      <c r="AJ93" s="963"/>
      <c r="AK93" s="963"/>
      <c r="AL93" s="963"/>
      <c r="AM93" s="963"/>
      <c r="AN93" s="963"/>
    </row>
    <row r="94" spans="19:40">
      <c r="S94"/>
      <c r="T94"/>
      <c r="U94"/>
    </row>
    <row r="95" spans="19:40">
      <c r="S95"/>
      <c r="T95"/>
      <c r="U95"/>
    </row>
    <row r="96" spans="19:40">
      <c r="S96"/>
      <c r="T96"/>
      <c r="U96"/>
    </row>
    <row r="97" spans="19:21">
      <c r="S97"/>
      <c r="T97"/>
      <c r="U97"/>
    </row>
    <row r="98" spans="19:21">
      <c r="S98"/>
      <c r="T98"/>
      <c r="U98"/>
    </row>
    <row r="99" spans="19:21">
      <c r="S99"/>
      <c r="T99"/>
      <c r="U99"/>
    </row>
    <row r="100" spans="19:21">
      <c r="S100"/>
      <c r="T100"/>
      <c r="U100"/>
    </row>
    <row r="101" spans="19:21">
      <c r="S101"/>
      <c r="T101"/>
      <c r="U101"/>
    </row>
    <row r="102" spans="19:21">
      <c r="S102"/>
      <c r="T102"/>
      <c r="U102"/>
    </row>
    <row r="103" spans="19:21">
      <c r="S103"/>
      <c r="T103"/>
      <c r="U103"/>
    </row>
    <row r="104" spans="19:21">
      <c r="S104"/>
      <c r="T104"/>
      <c r="U104"/>
    </row>
    <row r="105" spans="19:21">
      <c r="S105"/>
      <c r="T105"/>
      <c r="U105"/>
    </row>
    <row r="106" spans="19:21">
      <c r="S106"/>
      <c r="T106"/>
      <c r="U106"/>
    </row>
    <row r="107" spans="19:21">
      <c r="S107"/>
      <c r="T107"/>
      <c r="U107"/>
    </row>
    <row r="108" spans="19:21">
      <c r="S108"/>
      <c r="T108"/>
      <c r="U108"/>
    </row>
    <row r="109" spans="19:21">
      <c r="S109"/>
      <c r="T109"/>
      <c r="U109"/>
    </row>
    <row r="110" spans="19:21">
      <c r="S110"/>
      <c r="T110"/>
      <c r="U110"/>
    </row>
    <row r="111" spans="19:21">
      <c r="S111"/>
      <c r="T111"/>
      <c r="U111"/>
    </row>
    <row r="112" spans="19:21">
      <c r="S112"/>
      <c r="T112"/>
      <c r="U112"/>
    </row>
    <row r="113" spans="19:21">
      <c r="S113"/>
      <c r="T113"/>
      <c r="U113"/>
    </row>
    <row r="114" spans="19:21">
      <c r="S114"/>
      <c r="T114"/>
      <c r="U114"/>
    </row>
    <row r="115" spans="19:21">
      <c r="S115"/>
      <c r="T115"/>
      <c r="U115"/>
    </row>
    <row r="116" spans="19:21">
      <c r="S116"/>
      <c r="T116"/>
      <c r="U116"/>
    </row>
    <row r="117" spans="19:21">
      <c r="S117"/>
      <c r="T117"/>
      <c r="U117"/>
    </row>
    <row r="118" spans="19:21">
      <c r="S118"/>
      <c r="T118"/>
      <c r="U118"/>
    </row>
    <row r="119" spans="19:21">
      <c r="S119"/>
      <c r="T119"/>
      <c r="U119"/>
    </row>
    <row r="120" spans="19:21">
      <c r="S120"/>
      <c r="T120"/>
      <c r="U120"/>
    </row>
    <row r="121" spans="19:21">
      <c r="S121"/>
      <c r="T121"/>
      <c r="U121"/>
    </row>
    <row r="122" spans="19:21">
      <c r="S122"/>
      <c r="T122"/>
      <c r="U122"/>
    </row>
    <row r="123" spans="19:21">
      <c r="S123"/>
      <c r="T123"/>
      <c r="U123"/>
    </row>
    <row r="124" spans="19:21">
      <c r="S124"/>
      <c r="T124"/>
      <c r="U124"/>
    </row>
    <row r="125" spans="19:21">
      <c r="S125"/>
      <c r="T125"/>
      <c r="U125"/>
    </row>
    <row r="126" spans="19:21">
      <c r="S126"/>
      <c r="T126"/>
      <c r="U126"/>
    </row>
    <row r="127" spans="19:21">
      <c r="S127"/>
      <c r="T127"/>
      <c r="U127"/>
    </row>
    <row r="128" spans="19:21">
      <c r="S128"/>
      <c r="T128"/>
      <c r="U128"/>
    </row>
    <row r="129" spans="19:21">
      <c r="S129"/>
      <c r="T129"/>
      <c r="U129"/>
    </row>
    <row r="130" spans="19:21">
      <c r="S130"/>
      <c r="T130"/>
      <c r="U130"/>
    </row>
    <row r="131" spans="19:21">
      <c r="S131"/>
      <c r="T131"/>
      <c r="U131"/>
    </row>
    <row r="132" spans="19:21">
      <c r="S132"/>
      <c r="T132"/>
      <c r="U132"/>
    </row>
    <row r="133" spans="19:21">
      <c r="S133"/>
      <c r="T133"/>
      <c r="U133"/>
    </row>
    <row r="134" spans="19:21">
      <c r="S134"/>
      <c r="T134"/>
      <c r="U134"/>
    </row>
    <row r="135" spans="19:21">
      <c r="S135"/>
      <c r="T135"/>
      <c r="U135"/>
    </row>
    <row r="136" spans="19:21">
      <c r="S136"/>
      <c r="T136"/>
      <c r="U136"/>
    </row>
    <row r="137" spans="19:21">
      <c r="S137"/>
      <c r="T137"/>
      <c r="U137"/>
    </row>
    <row r="138" spans="19:21">
      <c r="S138"/>
      <c r="T138"/>
      <c r="U138"/>
    </row>
    <row r="139" spans="19:21">
      <c r="S139"/>
      <c r="T139"/>
      <c r="U139"/>
    </row>
    <row r="140" spans="19:21">
      <c r="S140"/>
      <c r="T140"/>
      <c r="U140"/>
    </row>
    <row r="141" spans="19:21">
      <c r="S141"/>
      <c r="T141"/>
      <c r="U141"/>
    </row>
    <row r="142" spans="19:21">
      <c r="S142"/>
      <c r="T142"/>
      <c r="U142"/>
    </row>
    <row r="143" spans="19:21">
      <c r="S143"/>
      <c r="T143"/>
      <c r="U143"/>
    </row>
    <row r="144" spans="19:21">
      <c r="S144"/>
      <c r="T144"/>
      <c r="U144"/>
    </row>
    <row r="145" spans="19:21">
      <c r="S145"/>
      <c r="T145"/>
      <c r="U145"/>
    </row>
    <row r="146" spans="19:21">
      <c r="S146"/>
      <c r="T146"/>
      <c r="U146"/>
    </row>
    <row r="147" spans="19:21">
      <c r="S147"/>
      <c r="T147"/>
      <c r="U147"/>
    </row>
    <row r="148" spans="19:21">
      <c r="S148"/>
      <c r="T148"/>
      <c r="U148"/>
    </row>
    <row r="149" spans="19:21">
      <c r="S149"/>
      <c r="T149"/>
      <c r="U149"/>
    </row>
    <row r="150" spans="19:21">
      <c r="S150"/>
      <c r="T150"/>
      <c r="U150"/>
    </row>
    <row r="151" spans="19:21">
      <c r="S151"/>
      <c r="T151"/>
      <c r="U151"/>
    </row>
    <row r="152" spans="19:21">
      <c r="S152"/>
      <c r="T152"/>
      <c r="U152"/>
    </row>
    <row r="153" spans="19:21">
      <c r="S153"/>
      <c r="T153"/>
      <c r="U153"/>
    </row>
    <row r="154" spans="19:21">
      <c r="S154"/>
      <c r="T154"/>
      <c r="U154"/>
    </row>
    <row r="155" spans="19:21">
      <c r="S155"/>
      <c r="T155"/>
      <c r="U155"/>
    </row>
    <row r="156" spans="19:21">
      <c r="S156"/>
      <c r="T156"/>
      <c r="U156"/>
    </row>
    <row r="157" spans="19:21">
      <c r="S157"/>
      <c r="T157"/>
      <c r="U157"/>
    </row>
    <row r="158" spans="19:21">
      <c r="S158"/>
      <c r="T158"/>
      <c r="U158"/>
    </row>
    <row r="159" spans="19:21">
      <c r="S159"/>
      <c r="T159"/>
      <c r="U159"/>
    </row>
    <row r="160" spans="19:21">
      <c r="S160"/>
      <c r="T160"/>
      <c r="U160"/>
    </row>
    <row r="161" spans="19:21">
      <c r="S161"/>
      <c r="T161"/>
      <c r="U161"/>
    </row>
    <row r="162" spans="19:21">
      <c r="S162"/>
      <c r="T162"/>
      <c r="U162"/>
    </row>
    <row r="163" spans="19:21">
      <c r="S163"/>
      <c r="T163"/>
      <c r="U163"/>
    </row>
    <row r="164" spans="19:21">
      <c r="S164"/>
      <c r="T164"/>
      <c r="U164"/>
    </row>
    <row r="165" spans="19:21">
      <c r="S165"/>
      <c r="T165"/>
      <c r="U165"/>
    </row>
    <row r="166" spans="19:21">
      <c r="S166"/>
      <c r="T166"/>
      <c r="U166"/>
    </row>
    <row r="167" spans="19:21">
      <c r="S167"/>
      <c r="T167"/>
      <c r="U167"/>
    </row>
    <row r="168" spans="19:21">
      <c r="S168"/>
      <c r="T168"/>
      <c r="U168"/>
    </row>
    <row r="169" spans="19:21">
      <c r="S169"/>
      <c r="T169"/>
      <c r="U169"/>
    </row>
    <row r="170" spans="19:21">
      <c r="S170"/>
      <c r="T170"/>
      <c r="U170"/>
    </row>
    <row r="171" spans="19:21">
      <c r="S171"/>
      <c r="T171"/>
      <c r="U171"/>
    </row>
    <row r="172" spans="19:21">
      <c r="S172"/>
      <c r="T172"/>
      <c r="U172"/>
    </row>
    <row r="173" spans="19:21">
      <c r="S173"/>
      <c r="T173"/>
      <c r="U173"/>
    </row>
    <row r="174" spans="19:21">
      <c r="S174"/>
      <c r="T174"/>
      <c r="U174"/>
    </row>
    <row r="175" spans="19:21">
      <c r="S175"/>
      <c r="T175"/>
      <c r="U175"/>
    </row>
    <row r="176" spans="19:21">
      <c r="S176"/>
      <c r="T176"/>
      <c r="U176"/>
    </row>
    <row r="177" spans="19:21">
      <c r="S177"/>
      <c r="T177"/>
      <c r="U177"/>
    </row>
    <row r="178" spans="19:21">
      <c r="S178"/>
      <c r="T178"/>
      <c r="U178"/>
    </row>
    <row r="179" spans="19:21">
      <c r="S179"/>
      <c r="T179"/>
      <c r="U179"/>
    </row>
    <row r="180" spans="19:21">
      <c r="S180"/>
      <c r="T180"/>
      <c r="U180"/>
    </row>
    <row r="181" spans="19:21">
      <c r="S181"/>
      <c r="T181"/>
      <c r="U181"/>
    </row>
    <row r="182" spans="19:21">
      <c r="S182"/>
      <c r="T182"/>
      <c r="U182"/>
    </row>
    <row r="183" spans="19:21">
      <c r="S183"/>
      <c r="T183"/>
      <c r="U183"/>
    </row>
    <row r="184" spans="19:21">
      <c r="S184"/>
      <c r="T184"/>
      <c r="U184"/>
    </row>
    <row r="185" spans="19:21">
      <c r="S185"/>
      <c r="T185"/>
      <c r="U185"/>
    </row>
    <row r="186" spans="19:21">
      <c r="S186"/>
      <c r="T186"/>
      <c r="U186"/>
    </row>
    <row r="187" spans="19:21">
      <c r="S187"/>
      <c r="T187"/>
      <c r="U187"/>
    </row>
    <row r="188" spans="19:21">
      <c r="S188"/>
      <c r="T188"/>
      <c r="U188"/>
    </row>
    <row r="189" spans="19:21">
      <c r="S189"/>
      <c r="T189"/>
      <c r="U189"/>
    </row>
    <row r="190" spans="19:21">
      <c r="S190"/>
      <c r="T190"/>
      <c r="U190"/>
    </row>
    <row r="191" spans="19:21">
      <c r="S191"/>
      <c r="T191"/>
      <c r="U191"/>
    </row>
  </sheetData>
  <mergeCells count="77">
    <mergeCell ref="AD38:AF38"/>
    <mergeCell ref="AH38:AJ38"/>
    <mergeCell ref="AL38:AN38"/>
    <mergeCell ref="AD49:AF49"/>
    <mergeCell ref="AH49:AJ49"/>
    <mergeCell ref="AL49:AN49"/>
    <mergeCell ref="T21:T26"/>
    <mergeCell ref="AD25:AF25"/>
    <mergeCell ref="AH25:AJ25"/>
    <mergeCell ref="AL25:AN25"/>
    <mergeCell ref="AD26:AF26"/>
    <mergeCell ref="AH26:AJ26"/>
    <mergeCell ref="AL26:AN26"/>
    <mergeCell ref="Y15:Y20"/>
    <mergeCell ref="G15:G20"/>
    <mergeCell ref="H15:H20"/>
    <mergeCell ref="I15:I20"/>
    <mergeCell ref="O15:O20"/>
    <mergeCell ref="Q15:Q20"/>
    <mergeCell ref="R15:R20"/>
    <mergeCell ref="S15:S20"/>
    <mergeCell ref="T15:T20"/>
    <mergeCell ref="U15:U20"/>
    <mergeCell ref="V15:V20"/>
    <mergeCell ref="W15:W20"/>
    <mergeCell ref="A15:A20"/>
    <mergeCell ref="B15:B20"/>
    <mergeCell ref="D15:D20"/>
    <mergeCell ref="E15:E20"/>
    <mergeCell ref="F15:F20"/>
    <mergeCell ref="S9:S14"/>
    <mergeCell ref="U3:U8"/>
    <mergeCell ref="V3:V8"/>
    <mergeCell ref="W3:W8"/>
    <mergeCell ref="Y3:Y8"/>
    <mergeCell ref="S3:S8"/>
    <mergeCell ref="T3:T8"/>
    <mergeCell ref="T9:T14"/>
    <mergeCell ref="U9:U14"/>
    <mergeCell ref="V9:V14"/>
    <mergeCell ref="W9:W14"/>
    <mergeCell ref="Y9:Y14"/>
    <mergeCell ref="A9:A14"/>
    <mergeCell ref="B9:B14"/>
    <mergeCell ref="D9:D14"/>
    <mergeCell ref="E9:E14"/>
    <mergeCell ref="F9:F14"/>
    <mergeCell ref="G9:G14"/>
    <mergeCell ref="I3:I8"/>
    <mergeCell ref="O3:O8"/>
    <mergeCell ref="Q3:Q8"/>
    <mergeCell ref="R3:R8"/>
    <mergeCell ref="H9:H14"/>
    <mergeCell ref="I9:I14"/>
    <mergeCell ref="O9:O14"/>
    <mergeCell ref="Q9:Q14"/>
    <mergeCell ref="R9:R14"/>
    <mergeCell ref="AD2:AF2"/>
    <mergeCell ref="AH2:AJ2"/>
    <mergeCell ref="AL2:AN2"/>
    <mergeCell ref="A3:A8"/>
    <mergeCell ref="B3:B8"/>
    <mergeCell ref="D3:D8"/>
    <mergeCell ref="E3:E8"/>
    <mergeCell ref="F3:F8"/>
    <mergeCell ref="G3:G8"/>
    <mergeCell ref="H3:H8"/>
    <mergeCell ref="AE85:AN85"/>
    <mergeCell ref="AE86:AN86"/>
    <mergeCell ref="AE87:AN87"/>
    <mergeCell ref="AE88:AN88"/>
    <mergeCell ref="AD84:AN84"/>
    <mergeCell ref="AE89:AN89"/>
    <mergeCell ref="AE90:AN90"/>
    <mergeCell ref="AE91:AN91"/>
    <mergeCell ref="AE92:AN92"/>
    <mergeCell ref="AE93:AN93"/>
  </mergeCells>
  <conditionalFormatting sqref="C3:C21">
    <cfRule type="expression" dxfId="15" priority="2">
      <formula>AND(INDIRECT("C"&amp;(3+FLOOR((ROW()-3)/6,1)*6))&lt;&gt;"",C3="")</formula>
    </cfRule>
  </conditionalFormatting>
  <conditionalFormatting sqref="I3">
    <cfRule type="expression" dxfId="14" priority="4">
      <formula>OR(AND($H$3="Printed",OR($I$3=0,$I$3="0",$I$3="")),AND($H$3="Not Printed",NOT(OR($I$3=0,$I$3="0",$I$3=""))))</formula>
    </cfRule>
  </conditionalFormatting>
  <conditionalFormatting sqref="I9">
    <cfRule type="expression" dxfId="13" priority="5">
      <formula>OR(AND($H$9="Printed",OR($I$9=0,$I$9="0",$I$9="")),AND($H$9="Not Printed",NOT(OR($I$9=0,$I$9="0",$I$9=""))))</formula>
    </cfRule>
  </conditionalFormatting>
  <conditionalFormatting sqref="I15">
    <cfRule type="expression" dxfId="12" priority="6">
      <formula>OR(AND($H$15="Printed",OR($I$15=0,$I$15="0",$I$15="")),AND($H$15="Not Printed",NOT(OR($I$15=0,$I$15="0",$I$15=""))))</formula>
    </cfRule>
  </conditionalFormatting>
  <conditionalFormatting sqref="J3:J46">
    <cfRule type="containsText" dxfId="11" priority="3" operator="containsText" text="ERROR">
      <formula>NOT(ISERROR(SEARCH("ERROR",J3)))</formula>
    </cfRule>
  </conditionalFormatting>
  <conditionalFormatting sqref="V1:W2 Z1:Z2 R1:U3 R4:S8 U4:U8 R9:U9 R10:S14 U10:U14 R15:U15 R16:S20 U16:U20 R21:U21 R22:S28 U22:U28 R29:R191 R192:U1048576">
    <cfRule type="containsText" dxfId="10" priority="1" operator="containsText" text="Error! please choose width not higher than 1220">
      <formula>NOT(ISERROR(SEARCH("Error! please choose width not higher than 1220",R1)))</formula>
    </cfRule>
  </conditionalFormatting>
  <conditionalFormatting sqref="AD50:AF65">
    <cfRule type="expression" dxfId="9" priority="28"/>
  </conditionalFormatting>
  <conditionalFormatting sqref="AE68">
    <cfRule type="containsText" dxfId="8" priority="29" operator="containsText" text="Data is missing">
      <formula>NOT(ISERROR(SEARCH("Data is missing",AE68)))</formula>
    </cfRule>
  </conditionalFormatting>
  <conditionalFormatting sqref="AH50:AJ65">
    <cfRule type="expression" dxfId="7" priority="30"/>
  </conditionalFormatting>
  <conditionalFormatting sqref="AI68">
    <cfRule type="containsText" dxfId="6" priority="31" operator="containsText" text="Data is missing">
      <formula>NOT(ISERROR(SEARCH("Data is missing",AI68)))</formula>
    </cfRule>
  </conditionalFormatting>
  <conditionalFormatting sqref="AL50:AN65">
    <cfRule type="expression" dxfId="5" priority="32"/>
  </conditionalFormatting>
  <conditionalFormatting sqref="AM68">
    <cfRule type="containsText" dxfId="4" priority="33" operator="containsText" text="Data is missing">
      <formula>NOT(ISERROR(SEARCH("Data is missing",AM68)))</formula>
    </cfRule>
  </conditionalFormatting>
  <dataValidations count="10">
    <dataValidation type="list" allowBlank="1" showInputMessage="1" showErrorMessage="1" sqref="AE8 AI8 AM8" xr:uid="{CF159B63-C37E-490E-9661-7F5E7181A00B}">
      <formula1>"0,1-2,3-4,5-8"</formula1>
    </dataValidation>
    <dataValidation type="list" allowBlank="1" showInputMessage="1" showErrorMessage="1" errorTitle="Invalid input mode" error="Choose By Weight, By Length, or By Imp." sqref="AE11 AM11 AI11" xr:uid="{90515D3E-0C68-421B-A290-799F2399A336}">
      <formula1>"By Weight,By Length,By Imp"</formula1>
    </dataValidation>
    <dataValidation type="list" allowBlank="1" showInputMessage="1" showErrorMessage="1" sqref="AE10 AI10 AM10 AI60 AE60 AM60" xr:uid="{A7B5074E-20F4-4B03-B061-63FB5ADB3888}">
      <formula1>"Marma,Bastin"</formula1>
    </dataValidation>
    <dataValidation type="list" allowBlank="1" showInputMessage="1" showErrorMessage="1" sqref="AE9 AI9 AM9" xr:uid="{2D5779CE-991C-4E75-AEC5-7525A1BEBD14}">
      <formula1>"Europe to US,Europe to Europe,Europe to Canada"</formula1>
    </dataValidation>
    <dataValidation type="list" allowBlank="1" showInputMessage="1" showErrorMessage="1" sqref="AE7 AI7 AM7" xr:uid="{67C43F3E-0168-4C1C-9F47-A293357EBFD0}">
      <formula1>"Printed,Not Printed"</formula1>
    </dataValidation>
    <dataValidation type="list" allowBlank="1" showInputMessage="1" showErrorMessage="1" sqref="AM58 AE58 AI58" xr:uid="{221B2DC1-80BA-4899-8359-6449E1D435AB}">
      <formula1>"Yes,No"</formula1>
    </dataValidation>
    <dataValidation type="list" allowBlank="1" showInputMessage="1" showErrorMessage="1" sqref="AE52" xr:uid="{1E19C2E8-399D-48EB-A4C2-024B23C782E6}">
      <formula1>$AP$2:$AP$20</formula1>
    </dataValidation>
    <dataValidation type="list" allowBlank="1" showInputMessage="1" showErrorMessage="1" sqref="AI52" xr:uid="{54A7DAE8-1984-4FCF-9226-21541993B67D}">
      <formula1>$AQ$2:$AQ$20</formula1>
    </dataValidation>
    <dataValidation type="list" allowBlank="1" showInputMessage="1" showErrorMessage="1" sqref="AM52" xr:uid="{CC811650-8791-4074-BA1A-C8608012D745}">
      <formula1>$AR$2:$AR$20</formula1>
    </dataValidation>
    <dataValidation type="list" allowBlank="1" showInputMessage="1" showErrorMessage="1" errorTitle="Invalid pouch type" error="Please select a pouch type from the dropdown list." promptTitle="Pouch Type" prompt="Choose one of the approved pouch type options." sqref="AE50 AM50 AI50" xr:uid="{376A4267-91E3-4969-A6B3-EE2ED1C82145}">
      <formula1>"Type of Pouches,Open Pouch,SUP,Open Flap Pouch,SUP with zipper,Side gusset pouch,Zipper pouch"</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76667C6F-3B19-43DA-8DC5-FD3D689B8B3C}">
          <x14:formula1>
            <xm:f>_xlfn.ANCHORARRAY(HELPER!$CB$2)</xm:f>
          </x14:formula1>
          <xm:sqref>AM51 AI51 AE51</xm:sqref>
        </x14:dataValidation>
        <x14:dataValidation type="list" allowBlank="1" showInputMessage="1" showErrorMessage="1" xr:uid="{89924C63-F548-4E2D-8BFA-CC7837640CEF}">
          <x14:formula1>
            <xm:f>HELPER!$X$2:$X$5</xm:f>
          </x14:formula1>
          <xm:sqref>AI59 AE59 AM59</xm:sqref>
        </x14:dataValidation>
        <x14:dataValidation type="list" allowBlank="1" showInputMessage="1" showErrorMessage="1" errorTitle="Invalid shipment route" error="Choose a shipment route from the dropdown list." promptTitle="Shipment route" prompt="Choose a shipment route from HELPER column AF." xr:uid="{DEF14B40-E0EF-4C4B-AEB8-F27A32E0EAC6}">
          <x14:formula1>
            <xm:f>HELPER!$AF$2:$AF$8</xm:f>
          </x14:formula1>
          <xm:sqref>AE62 AM62 AI62</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A252F-6A09-46E2-B2A1-7FD9040124C1}">
  <dimension ref="A1:DH256"/>
  <sheetViews>
    <sheetView workbookViewId="0">
      <selection activeCell="A20" sqref="A20"/>
    </sheetView>
  </sheetViews>
  <sheetFormatPr defaultRowHeight="15"/>
  <cols>
    <col min="1" max="2" width="22.7109375" bestFit="1" customWidth="1"/>
    <col min="3" max="3" width="22.7109375" style="2" bestFit="1" customWidth="1"/>
    <col min="4" max="4" width="22.7109375" bestFit="1" customWidth="1"/>
    <col min="5" max="5" width="15.140625" bestFit="1" customWidth="1"/>
    <col min="6" max="6" width="46.5703125" style="10" bestFit="1" customWidth="1"/>
    <col min="7" max="7" width="38.5703125" bestFit="1" customWidth="1"/>
    <col min="8" max="8" width="1.7109375" customWidth="1"/>
    <col min="9" max="9" width="12" bestFit="1" customWidth="1"/>
    <col min="10" max="10" width="1.140625" customWidth="1"/>
    <col min="11" max="11" width="7.42578125" bestFit="1" customWidth="1"/>
    <col min="12" max="12" width="0.85546875" customWidth="1"/>
    <col min="13" max="13" width="10.42578125" bestFit="1" customWidth="1"/>
    <col min="14" max="14" width="1.5703125" customWidth="1"/>
    <col min="15" max="15" width="10.42578125" bestFit="1" customWidth="1"/>
    <col min="16" max="16" width="21.5703125" bestFit="1" customWidth="1"/>
    <col min="17" max="17" width="19" customWidth="1"/>
    <col min="18" max="18" width="21.28515625" customWidth="1"/>
    <col min="19" max="19" width="36" customWidth="1"/>
    <col min="20" max="20" width="11" bestFit="1" customWidth="1"/>
    <col min="21" max="21" width="1.7109375" customWidth="1"/>
    <col min="22" max="22" width="10.42578125" customWidth="1"/>
    <col min="23" max="23" width="1.42578125" customWidth="1"/>
    <col min="24" max="24" width="15.5703125" bestFit="1" customWidth="1"/>
    <col min="25" max="25" width="1.140625" customWidth="1"/>
    <col min="26" max="26" width="19.42578125" bestFit="1" customWidth="1"/>
    <col min="27" max="27" width="1.7109375" customWidth="1"/>
    <col min="28" max="28" width="10.42578125" bestFit="1" customWidth="1"/>
    <col min="29" max="29" width="3" customWidth="1"/>
    <col min="30" max="30" width="8" bestFit="1" customWidth="1"/>
    <col min="31" max="31" width="3.140625" customWidth="1"/>
    <col min="32" max="32" width="15.85546875" bestFit="1" customWidth="1"/>
    <col min="33" max="33" width="18.140625" bestFit="1" customWidth="1"/>
    <col min="34" max="34" width="16.85546875" bestFit="1" customWidth="1"/>
    <col min="35" max="35" width="2.28515625" customWidth="1"/>
    <col min="36" max="36" width="5.5703125" bestFit="1" customWidth="1"/>
    <col min="37" max="37" width="4.85546875" bestFit="1" customWidth="1"/>
    <col min="38" max="38" width="3.42578125" customWidth="1"/>
    <col min="39" max="39" width="4.85546875" bestFit="1" customWidth="1"/>
    <col min="40" max="40" width="5.85546875" bestFit="1" customWidth="1"/>
    <col min="41" max="41" width="2.140625" customWidth="1"/>
    <col min="42" max="42" width="22.7109375" bestFit="1" customWidth="1"/>
    <col min="43" max="43" width="7.42578125" bestFit="1" customWidth="1"/>
    <col min="44" max="44" width="5.85546875" customWidth="1"/>
    <col min="45" max="45" width="13.7109375" bestFit="1" customWidth="1"/>
    <col min="46" max="46" width="9.28515625" bestFit="1" customWidth="1"/>
    <col min="48" max="48" width="12.28515625" style="2" bestFit="1" customWidth="1"/>
    <col min="49" max="49" width="21.7109375" style="2" bestFit="1" customWidth="1"/>
    <col min="50" max="50" width="25.28515625" style="2" bestFit="1" customWidth="1"/>
    <col min="51" max="51" width="22.140625" style="622" bestFit="1" customWidth="1"/>
    <col min="52" max="52" width="19.5703125" style="2" bestFit="1" customWidth="1"/>
    <col min="53" max="53" width="19.28515625" style="2" bestFit="1" customWidth="1"/>
    <col min="54" max="54" width="12" style="2" bestFit="1" customWidth="1"/>
    <col min="55" max="55" width="9.5703125" style="2" bestFit="1" customWidth="1"/>
    <col min="56" max="56" width="20" style="2" bestFit="1" customWidth="1"/>
    <col min="58" max="58" width="30" customWidth="1"/>
    <col min="59" max="59" width="13.28515625" customWidth="1"/>
    <col min="60" max="60" width="17.28515625" customWidth="1"/>
    <col min="61" max="61" width="11.85546875" customWidth="1"/>
    <col min="62" max="62" width="13.28515625" customWidth="1"/>
    <col min="63" max="63" width="16.42578125" customWidth="1"/>
    <col min="64" max="65" width="13.28515625" customWidth="1"/>
    <col min="66" max="66" width="20" customWidth="1"/>
    <col min="67" max="67" width="32.7109375" customWidth="1"/>
    <col min="68" max="68" width="13.28515625" customWidth="1"/>
    <col min="69" max="69" width="29.140625" customWidth="1"/>
    <col min="70" max="70" width="13.5703125" customWidth="1"/>
    <col min="71" max="72" width="13.28515625" customWidth="1"/>
    <col min="73" max="73" width="17.28515625" style="2" customWidth="1"/>
    <col min="74" max="74" width="19.140625" customWidth="1"/>
    <col min="75" max="75" width="30.85546875" customWidth="1"/>
    <col min="76" max="76" width="16.42578125" customWidth="1"/>
    <col min="77" max="77" width="17.28515625" customWidth="1"/>
    <col min="78" max="78" width="17.28515625" style="2" customWidth="1"/>
    <col min="80" max="80" width="20" customWidth="1"/>
    <col min="81" max="81" width="20.85546875" customWidth="1"/>
    <col min="82" max="84" width="21.85546875" customWidth="1"/>
    <col min="86" max="86" width="19.140625" bestFit="1" customWidth="1"/>
    <col min="87" max="87" width="29.7109375" bestFit="1" customWidth="1"/>
    <col min="89" max="89" width="13.42578125" bestFit="1" customWidth="1"/>
    <col min="90" max="90" width="12" bestFit="1" customWidth="1"/>
    <col min="91" max="91" width="10.42578125" bestFit="1" customWidth="1"/>
    <col min="92" max="92" width="15.28515625" bestFit="1" customWidth="1"/>
    <col min="93" max="93" width="12.28515625" bestFit="1" customWidth="1"/>
    <col min="94" max="94" width="62.42578125" bestFit="1" customWidth="1"/>
    <col min="96" max="96" width="11.5703125" bestFit="1" customWidth="1"/>
    <col min="97" max="97" width="8.85546875" bestFit="1" customWidth="1"/>
    <col min="98" max="98" width="9.28515625" bestFit="1" customWidth="1"/>
    <col min="99" max="99" width="11.85546875" bestFit="1" customWidth="1"/>
    <col min="100" max="100" width="45.85546875" bestFit="1" customWidth="1"/>
    <col min="107" max="107" width="11" bestFit="1" customWidth="1"/>
    <col min="109" max="109" width="19.85546875" bestFit="1" customWidth="1"/>
  </cols>
  <sheetData>
    <row r="1" spans="1:112" ht="30" customHeight="1">
      <c r="A1" s="36" t="s">
        <v>3</v>
      </c>
      <c r="B1" s="36" t="s">
        <v>22</v>
      </c>
      <c r="C1" s="37" t="s">
        <v>73</v>
      </c>
      <c r="D1" s="36" t="s">
        <v>21</v>
      </c>
      <c r="E1" s="36" t="s">
        <v>92</v>
      </c>
      <c r="G1" s="18" t="s">
        <v>50</v>
      </c>
      <c r="I1" s="18" t="s">
        <v>4</v>
      </c>
      <c r="K1" s="18" t="s">
        <v>58</v>
      </c>
      <c r="M1" s="18" t="s">
        <v>67</v>
      </c>
      <c r="O1" s="18" t="s">
        <v>61</v>
      </c>
      <c r="P1" s="18" t="s">
        <v>523</v>
      </c>
      <c r="Q1" s="18" t="s">
        <v>110</v>
      </c>
      <c r="T1" s="18" t="s">
        <v>116</v>
      </c>
      <c r="V1" s="18" t="s">
        <v>117</v>
      </c>
      <c r="X1" s="18" t="s">
        <v>118</v>
      </c>
      <c r="Z1" s="18" t="s">
        <v>143</v>
      </c>
      <c r="AB1" s="18" t="s">
        <v>144</v>
      </c>
      <c r="AD1" s="18" t="s">
        <v>125</v>
      </c>
      <c r="AF1" s="18" t="s">
        <v>570</v>
      </c>
      <c r="AG1" s="18" t="s">
        <v>581</v>
      </c>
      <c r="AH1" s="18" t="s">
        <v>149</v>
      </c>
      <c r="AJ1" s="978" t="s">
        <v>166</v>
      </c>
      <c r="AK1" s="979"/>
      <c r="AM1" s="978" t="s">
        <v>65</v>
      </c>
      <c r="AN1" s="979"/>
      <c r="AP1" s="18" t="s">
        <v>55</v>
      </c>
      <c r="AQ1" s="18" t="s">
        <v>58</v>
      </c>
      <c r="AS1" s="980" t="s">
        <v>177</v>
      </c>
      <c r="AT1" s="981"/>
      <c r="AV1" s="615" t="s">
        <v>180</v>
      </c>
      <c r="AW1" s="615" t="s">
        <v>1084</v>
      </c>
      <c r="AX1" s="615" t="s">
        <v>1085</v>
      </c>
      <c r="AY1" s="615" t="s">
        <v>1086</v>
      </c>
      <c r="AZ1" s="615" t="s">
        <v>1087</v>
      </c>
      <c r="BA1" s="615" t="s">
        <v>1088</v>
      </c>
      <c r="BB1" s="615" t="s">
        <v>91</v>
      </c>
      <c r="BC1" s="615" t="s">
        <v>1089</v>
      </c>
      <c r="BD1" s="616" t="s">
        <v>1096</v>
      </c>
      <c r="BF1" s="628" t="s">
        <v>1104</v>
      </c>
      <c r="BG1" s="629"/>
      <c r="BH1" s="982" t="s">
        <v>524</v>
      </c>
      <c r="BI1" s="982"/>
      <c r="BJ1" s="629"/>
      <c r="BK1" s="630" t="s">
        <v>583</v>
      </c>
      <c r="BL1" s="629"/>
      <c r="BM1" s="629"/>
      <c r="BN1" s="630" t="s">
        <v>586</v>
      </c>
      <c r="BO1" s="630" t="s">
        <v>587</v>
      </c>
      <c r="BP1" s="631"/>
      <c r="BQ1" s="632" t="s">
        <v>590</v>
      </c>
      <c r="BR1" s="632" t="s">
        <v>4</v>
      </c>
      <c r="BS1" s="631"/>
      <c r="BT1" s="631"/>
      <c r="BU1" s="633" t="s">
        <v>1091</v>
      </c>
      <c r="BV1" s="633" t="s">
        <v>1092</v>
      </c>
      <c r="BW1" s="633" t="s">
        <v>1085</v>
      </c>
      <c r="BX1" s="633" t="s">
        <v>1093</v>
      </c>
      <c r="BY1" s="633" t="s">
        <v>1087</v>
      </c>
      <c r="BZ1" s="633" t="s">
        <v>593</v>
      </c>
      <c r="CA1" s="633" t="s">
        <v>1094</v>
      </c>
      <c r="CB1" s="633" t="s">
        <v>611</v>
      </c>
      <c r="CC1" s="633" t="s">
        <v>613</v>
      </c>
      <c r="CD1" s="633" t="s">
        <v>1101</v>
      </c>
      <c r="CE1" s="633" t="s">
        <v>1102</v>
      </c>
      <c r="CF1" s="633" t="s">
        <v>1103</v>
      </c>
      <c r="CG1" s="633" t="s">
        <v>1094</v>
      </c>
      <c r="CH1" s="633" t="s">
        <v>1095</v>
      </c>
      <c r="CI1" s="545" t="s">
        <v>1173</v>
      </c>
      <c r="CJ1" s="545" t="s">
        <v>1174</v>
      </c>
      <c r="CK1" s="747" t="s">
        <v>289</v>
      </c>
      <c r="CL1" s="481" t="s">
        <v>1030</v>
      </c>
      <c r="CM1" s="481" t="s">
        <v>1027</v>
      </c>
      <c r="CN1" s="481" t="s">
        <v>1028</v>
      </c>
      <c r="CO1" s="481" t="s">
        <v>954</v>
      </c>
      <c r="CP1" s="481" t="s">
        <v>1029</v>
      </c>
      <c r="CR1" t="s">
        <v>180</v>
      </c>
      <c r="CS1" t="s">
        <v>1059</v>
      </c>
      <c r="CT1" t="s">
        <v>981</v>
      </c>
      <c r="CU1" t="s">
        <v>225</v>
      </c>
      <c r="CV1" t="s">
        <v>1060</v>
      </c>
      <c r="CW1" s="545" t="s">
        <v>1173</v>
      </c>
      <c r="CX1" s="545" t="s">
        <v>1174</v>
      </c>
      <c r="CY1" s="545" t="s">
        <v>1175</v>
      </c>
      <c r="DA1" s="845" t="s">
        <v>1249</v>
      </c>
      <c r="DB1" s="834">
        <v>300</v>
      </c>
      <c r="DC1" s="754"/>
      <c r="DE1" s="754" t="s">
        <v>1179</v>
      </c>
      <c r="DF1" t="s">
        <v>1321</v>
      </c>
      <c r="DG1" t="s">
        <v>1322</v>
      </c>
      <c r="DH1" t="s">
        <v>1323</v>
      </c>
    </row>
    <row r="2" spans="1:112" ht="48" customHeight="1">
      <c r="A2" s="19" t="s">
        <v>13</v>
      </c>
      <c r="B2" s="19" t="s">
        <v>74</v>
      </c>
      <c r="C2" s="19" t="s">
        <v>75</v>
      </c>
      <c r="D2" s="19" t="s">
        <v>33</v>
      </c>
      <c r="E2" s="19">
        <v>3.17</v>
      </c>
      <c r="G2" s="5">
        <v>0.2</v>
      </c>
      <c r="I2">
        <v>20</v>
      </c>
      <c r="K2">
        <v>1.25</v>
      </c>
      <c r="M2" s="5">
        <v>0.3</v>
      </c>
      <c r="O2" s="9">
        <v>0.15</v>
      </c>
      <c r="P2" s="117">
        <v>50000</v>
      </c>
      <c r="Q2" t="s">
        <v>130</v>
      </c>
      <c r="T2" t="s">
        <v>134</v>
      </c>
      <c r="V2" t="s">
        <v>138</v>
      </c>
      <c r="X2" s="194" t="s">
        <v>243</v>
      </c>
      <c r="Z2">
        <v>300</v>
      </c>
      <c r="AB2">
        <v>300</v>
      </c>
      <c r="AD2" s="42">
        <v>0.16900000000000001</v>
      </c>
      <c r="AF2" t="s">
        <v>573</v>
      </c>
      <c r="AG2" t="s">
        <v>580</v>
      </c>
      <c r="AH2" s="9">
        <v>4.3499999999999996</v>
      </c>
      <c r="AJ2" t="s">
        <v>165</v>
      </c>
      <c r="AK2">
        <v>1.1599999999999999</v>
      </c>
      <c r="AM2" s="34">
        <v>0</v>
      </c>
      <c r="AN2" s="77">
        <v>0.25</v>
      </c>
      <c r="AP2" s="5" t="str" cm="1">
        <f t="array" ref="AP2">IFERROR(INDEX(_xlfn._xlws.FILTER(Table3[Film],LEFT(Table3[Film],4)="TIPA"),1),"")</f>
        <v>TIPA 302FG</v>
      </c>
      <c r="AQ2">
        <v>1.25</v>
      </c>
      <c r="AS2" s="38" t="s">
        <v>172</v>
      </c>
      <c r="AT2" s="38" t="s">
        <v>173</v>
      </c>
      <c r="AV2" s="617">
        <v>608</v>
      </c>
      <c r="AW2" s="618">
        <v>100</v>
      </c>
      <c r="AX2" s="617" t="s">
        <v>190</v>
      </c>
      <c r="AY2" s="618">
        <v>23</v>
      </c>
      <c r="AZ2"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100</v>
      </c>
      <c r="BA2" s="617"/>
      <c r="BB2" s="617"/>
      <c r="BC2" s="617" t="s">
        <v>1090</v>
      </c>
      <c r="BD2" s="619">
        <v>0.103333333333333</v>
      </c>
      <c r="BF2" s="983" t="s">
        <v>1097</v>
      </c>
      <c r="BG2" s="984"/>
      <c r="BH2" s="984"/>
      <c r="BI2" s="984"/>
      <c r="BJ2" s="984"/>
      <c r="BK2" s="984"/>
      <c r="BL2" s="984"/>
      <c r="BM2" s="984"/>
      <c r="BN2" s="984"/>
      <c r="BO2" s="985"/>
      <c r="BP2" s="631"/>
      <c r="BQ2" s="634"/>
      <c r="BR2" s="635"/>
      <c r="BS2" s="631"/>
      <c r="BT2" s="631"/>
      <c r="BU2" s="636" cm="1">
        <f t="array" ref="BU2">IFERROR(_xlfn.LET(_xlpm.i,ROWS($BU$2:BU2),_xlpm.cur,INDEX(tblLaminateStructures[Laminate],_xlpm.i),_xlpm.prev,IF(_xlpm.i=1,"",INDEX(tblLaminateStructures[Laminate],_xlpm.i-1)),IF(_xlpm.cur&lt;&gt;_xlpm.prev,_xlpm.cur,"")),"")</f>
        <v>608</v>
      </c>
      <c r="BV2" s="637" cm="1">
        <f t="array" ref="BV2">IFERROR(_xlfn.LET(_xlpm.i,ROWS($BV$2:BV2),_xlpm.cur,INDEX(tblLaminateStructures[Total Thickness (µ)],_xlpm.i),_xlpm.prev,IF(_xlpm.i=1,"",INDEX(tblLaminateStructures[Total Thickness (µ)],_xlpm.i-1)),IF(OR(_xlpm.cur&lt;&gt;_xlpm.prev,BU2&lt;&gt;""),_xlpm.cur,"")),"")</f>
        <v>100</v>
      </c>
      <c r="BW2" s="638" t="str" cm="1">
        <f t="array" ref="BW2">IFERROR(INDEX(tblLaminateStructures[Material / Layer],ROWS($BW$2:BW2)),"")</f>
        <v>NK</v>
      </c>
      <c r="BX2" s="637" cm="1">
        <f t="array" ref="BX2">IFERROR(INDEX(tblLaminateStructures[Layer Thickness (µ)],ROWS($BX$2:BX2)),"")</f>
        <v>23</v>
      </c>
      <c r="BY2" s="637" cm="1">
        <f t="array" ref="BY2">IFERROR(INDEX(tblLaminateStructures[Structure Check],ROWS($BY$2:BY2)),"")</f>
        <v>100</v>
      </c>
      <c r="BZ2" s="638" cm="1">
        <f t="array" ref="BZ2">IFERROR(INDEX(tblLaminateStructures[Laminate],ROWS($BZ$2:BZ2)),"")</f>
        <v>608</v>
      </c>
      <c r="CA2" s="638"/>
      <c r="CB2" s="638" cm="1">
        <f t="array" ref="CB2:CB17">_xlfn._xlws.SORT(_xlfn.UNIQUE(_xlfn._xlws.FILTER(tblLaminateStructures[Laminate],tblLaminateStructures[Laminate]&lt;&gt;"")))</f>
        <v>120</v>
      </c>
      <c r="CC2" s="637" cm="1">
        <f t="array" ref="CC2">IFERROR(INDEX(tblLaminateStructures[Total Thickness (µ)],ROWS($CC$2:CC2)),"")</f>
        <v>100</v>
      </c>
      <c r="CD2" s="637" cm="1">
        <f t="array" ref="CD2">_xlfn._xlws.SORT(_xlfn.UNIQUE(_xlfn._xlws.FILTER(tblLaminateStructures[Total Thickness (µ)],(TEXT(tblLaminateStructures[Laminate],"0")=TEXT(Laminates!$AH$3,"0"))*(tblLaminateStructures[Total Thickness (µ)]&lt;&gt;""))))</f>
        <v>79</v>
      </c>
      <c r="CE2" s="637" cm="1">
        <f t="array" ref="CE2">_xlfn._xlws.SORT(_xlfn.UNIQUE(_xlfn._xlws.FILTER(tblLaminateStructures[Total Thickness (µ)],(TEXT(tblLaminateStructures[Laminate],"0")=TEXT(Laminates!$AL$3,"0"))*(tblLaminateStructures[Total Thickness (µ)]&lt;&gt;""))))</f>
        <v>51</v>
      </c>
      <c r="CF2" s="637" cm="1">
        <f t="array" ref="CF2">_xlfn._xlws.SORT(_xlfn.UNIQUE(_xlfn._xlws.FILTER(tblLaminateStructures[Total Thickness (µ)],(TEXT(tblLaminateStructures[Laminate],"0")=TEXT(Laminates!$AP$3,"0"))*(tblLaminateStructures[Total Thickness (µ)]&lt;&gt;""))))</f>
        <v>79</v>
      </c>
      <c r="CG2" s="638"/>
      <c r="CH2" s="639">
        <f>$BD$2</f>
        <v>0.103333333333333</v>
      </c>
      <c r="CI2" cm="1">
        <f t="array" ref="CI2:CI22">_xlfn._xlws.FILTER($CC$2:$CC$250,(TEXT($BZ$2:$BZ$250,"0")=TEXT(Pouches!AE51,"0"))*($CC$2:$CC$250&lt;&gt;""),"")</f>
        <v>51</v>
      </c>
      <c r="CJ2" cm="1">
        <f t="array" ref="CJ2:CJ4">_xlfn._xlws.FILTER($CC$2:$CC$250,(TEXT($BZ$2:$BZ$250,"0")=TEXT(Pouches!AI51,"0"))*($CC$2:$CC$250&lt;&gt;""),"")</f>
        <v>100</v>
      </c>
      <c r="CK2" t="s">
        <v>0</v>
      </c>
      <c r="CL2" s="288">
        <v>6.6535064000000004</v>
      </c>
      <c r="CN2" s="288" cm="1">
        <f t="array" ref="CN2">IF(CM2="",0,IFERROR(INDEX($E$2:$E$32,MATCH(TRUE,(TRIM($A$2:$A$32)=TRIM(CM2))+(TRIM($B$2:$B$32)=TRIM(CM2))+(TRIM($C$2:$C$32)=TRIM(CM2))+(TRIM($D$2:$D$32)=TRIM(CM2))&gt;0,0)),""))</f>
        <v>0</v>
      </c>
      <c r="CO2" s="288">
        <f t="shared" ref="CO2:CO8" si="0">IF(CK2="","",IF(CL2="","",CL2+IF(CN2="",0,CN2)))</f>
        <v>6.6535064000000004</v>
      </c>
      <c r="CP2" s="51" t="s">
        <v>1037</v>
      </c>
      <c r="CR2" t="str">
        <f>TRIM('Laminate for reels  - Sales (2)'!$C$36)</f>
        <v>Laminate819</v>
      </c>
      <c r="CS2" s="117">
        <v>500000</v>
      </c>
      <c r="CT2" s="117">
        <f>'Laminate for reels  - Sales (2)'!J45</f>
        <v>54999.999999999993</v>
      </c>
      <c r="CU2" s="117">
        <f>'Laminate for reels  - Sales (2)'!K45</f>
        <v>344.73599999999999</v>
      </c>
      <c r="CV2" s="51" t="s">
        <v>1061</v>
      </c>
      <c r="CW2" cm="1">
        <f t="array" ref="CW2">IF(OR(TRIM(Pouches!$AE$51&amp;"")="618",TRIM(Pouches!$AE$51&amp;"")="618 W"),106,IF(5=1,IFERROR(INDEX(_xlfn._xlws.FILTER(tblLaminateStructures[Total Thickness (µ)],(TRIM(tblLaminateStructures[Laminate]&amp;"")=TRIM(Pouches!$AE$51&amp;""))*(tblLaminateStructures[Total Thickness (µ)]&lt;&gt;"")),1),""),""))</f>
        <v>106</v>
      </c>
      <c r="CX2" t="str" cm="1">
        <f t="array" ref="CX2">IF(OR(TRIM(Pouches!$AI$51&amp;"")="618",TRIM(Pouches!$AI$51&amp;"")="618 W"),106,IF(5=1,IFERROR(INDEX(_xlfn._xlws.FILTER(tblLaminateStructures[Total Thickness (µ)],(TRIM(tblLaminateStructures[Laminate]&amp;"")=TRIM(Pouches!$AI$51&amp;""))*(tblLaminateStructures[Total Thickness (µ)]&lt;&gt;"")),1),""),""))</f>
        <v/>
      </c>
      <c r="CY2" t="str" cm="1">
        <f t="array" ref="CY2">IF(OR(TRIM(Pouches!$AM$51&amp;"")="618",TRIM(Pouches!$AM$51&amp;"")="618 W"),106,IF(5=1,IFERROR(INDEX(_xlfn._xlws.FILTER(tblLaminateStructures[Total Thickness (µ)],(TRIM(tblLaminateStructures[Laminate]&amp;"")=TRIM(Pouches!$AM$51&amp;""))*(tblLaminateStructures[Total Thickness (µ)]&lt;&gt;"")),1),""),""))</f>
        <v/>
      </c>
      <c r="DC2" s="755"/>
      <c r="DE2" s="777">
        <v>600</v>
      </c>
      <c r="DF2" cm="1">
        <f t="array" ref="DF2">_xlfn._xlws.SORT(_xlfn.UNIQUE(_xlfn._xlws.FILTER(tblLaminateStructures[Total Thickness (µ)],(TRIM(tblLaminateStructures[Laminate]&amp;"")=TRIM(Laminates!$AH$51&amp;""))*(tblLaminateStructures[Total Thickness (µ)]&lt;&gt;""),"")))</f>
        <v>121</v>
      </c>
      <c r="DG2" cm="1">
        <f t="array" ref="DG2">_xlfn._xlws.SORT(_xlfn.UNIQUE(_xlfn._xlws.FILTER(tblLaminateStructures[Total Thickness (µ)],(TRIM(tblLaminateStructures[Laminate]&amp;"")=TRIM(Laminates!$AL$51&amp;""))*(tblLaminateStructures[Total Thickness (µ)]&lt;&gt;""),"")))</f>
        <v>79</v>
      </c>
      <c r="DH2" cm="1">
        <f t="array" ref="DH2">_xlfn._xlws.SORT(_xlfn.UNIQUE(_xlfn._xlws.FILTER(tblLaminateStructures[Total Thickness (µ)],(TRIM(tblLaminateStructures[Laminate]&amp;"")=TRIM(Laminates!$AP$51&amp;""))*(tblLaminateStructures[Total Thickness (µ)]&lt;&gt;""),"")))</f>
        <v>121</v>
      </c>
    </row>
    <row r="3" spans="1:112" ht="45">
      <c r="A3" s="20" t="s">
        <v>13</v>
      </c>
      <c r="B3" s="20" t="s">
        <v>28</v>
      </c>
      <c r="C3" s="20" t="s">
        <v>76</v>
      </c>
      <c r="D3" s="20" t="s">
        <v>34</v>
      </c>
      <c r="E3" s="20">
        <v>3.17</v>
      </c>
      <c r="F3" s="190" t="s">
        <v>582</v>
      </c>
      <c r="G3" s="5">
        <v>0.6</v>
      </c>
      <c r="I3">
        <v>25</v>
      </c>
      <c r="O3" s="9">
        <v>1.1499999999999999</v>
      </c>
      <c r="Q3" t="s">
        <v>131</v>
      </c>
      <c r="T3" t="s">
        <v>135</v>
      </c>
      <c r="V3" t="s">
        <v>139</v>
      </c>
      <c r="X3" s="193" t="s">
        <v>618</v>
      </c>
      <c r="AF3" t="s">
        <v>572</v>
      </c>
      <c r="AG3" t="s">
        <v>580</v>
      </c>
      <c r="AH3" s="187">
        <v>0.2</v>
      </c>
      <c r="AJ3" t="s">
        <v>167</v>
      </c>
      <c r="AK3">
        <v>1</v>
      </c>
      <c r="AM3" s="34">
        <v>501</v>
      </c>
      <c r="AN3" s="78">
        <v>0.2</v>
      </c>
      <c r="AP3" s="5" t="str" cm="1">
        <f t="array" ref="AP3">IFERROR(INDEX(_xlfn._xlws.FILTER(Table3[Film],LEFT(Table3[Film],4)="TIPA"),2),"")</f>
        <v>TIPA 302FG W</v>
      </c>
      <c r="AQ3">
        <v>1.25</v>
      </c>
      <c r="AS3" s="96">
        <v>50000</v>
      </c>
      <c r="AT3" s="4">
        <v>1.7</v>
      </c>
      <c r="AV3" s="617">
        <v>608</v>
      </c>
      <c r="AW3" s="618">
        <v>100</v>
      </c>
      <c r="AX3" s="617" t="s">
        <v>0</v>
      </c>
      <c r="AY3" s="618">
        <v>60</v>
      </c>
      <c r="AZ3"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100</v>
      </c>
      <c r="BA3" s="617"/>
      <c r="BB3" s="617"/>
      <c r="BC3" s="617" t="s">
        <v>1090</v>
      </c>
      <c r="BD3" s="617"/>
      <c r="BF3" s="640" t="s">
        <v>262</v>
      </c>
      <c r="BG3" s="641"/>
      <c r="BH3" s="641">
        <v>0</v>
      </c>
      <c r="BI3" s="642">
        <v>7.4999999999999997E-2</v>
      </c>
      <c r="BJ3" s="641"/>
      <c r="BK3" s="641" t="s">
        <v>585</v>
      </c>
      <c r="BL3" s="641"/>
      <c r="BM3" s="641"/>
      <c r="BN3" s="641"/>
      <c r="BO3" s="643"/>
      <c r="BP3" s="631"/>
      <c r="BQ3" s="644" t="s">
        <v>0</v>
      </c>
      <c r="BR3" s="645">
        <v>25</v>
      </c>
      <c r="BS3" s="631"/>
      <c r="BT3" s="631"/>
      <c r="BU3" s="646" t="str" cm="1">
        <f t="array" ref="BU3">IFERROR(_xlfn.LET(_xlpm.i,ROWS($BU$2:BU3),_xlpm.cur,INDEX(tblLaminateStructures[Laminate],_xlpm.i),_xlpm.prev,IF(_xlpm.i=1,"",INDEX(tblLaminateStructures[Laminate],_xlpm.i-1)),IF(_xlpm.cur&lt;&gt;_xlpm.prev,_xlpm.cur,"")),"")</f>
        <v/>
      </c>
      <c r="BV3" s="647" t="str" cm="1">
        <f t="array" ref="BV3">IFERROR(_xlfn.LET(_xlpm.i,ROWS($BV$2:BV3),_xlpm.cur,INDEX(tblLaminateStructures[Total Thickness (µ)],_xlpm.i),_xlpm.prev,IF(_xlpm.i=1,"",INDEX(tblLaminateStructures[Total Thickness (µ)],_xlpm.i-1)),IF(OR(_xlpm.cur&lt;&gt;_xlpm.prev,BU3&lt;&gt;""),_xlpm.cur,"")),"")</f>
        <v/>
      </c>
      <c r="BW3" s="648" t="str" cm="1">
        <f t="array" ref="BW3">IFERROR(INDEX(tblLaminateStructures[Material / Layer],ROWS($BW$2:BW3)),"")</f>
        <v>TIPA 302FG</v>
      </c>
      <c r="BX3" s="647" cm="1">
        <f t="array" ref="BX3">IFERROR(INDEX(tblLaminateStructures[Layer Thickness (µ)],ROWS($BX$2:BX3)),"")</f>
        <v>60</v>
      </c>
      <c r="BY3" s="647" cm="1">
        <f t="array" ref="BY3">IFERROR(INDEX(tblLaminateStructures[Structure Check],ROWS($BY$2:BY3)),"")</f>
        <v>100</v>
      </c>
      <c r="BZ3" s="648" cm="1">
        <f t="array" ref="BZ3">IFERROR(INDEX(tblLaminateStructures[Laminate],ROWS($BZ$2:BZ3)),"")</f>
        <v>608</v>
      </c>
      <c r="CA3" s="648"/>
      <c r="CB3" s="648">
        <v>418</v>
      </c>
      <c r="CC3" s="647" cm="1">
        <f t="array" ref="CC3">IFERROR(INDEX(tblLaminateStructures[Total Thickness (µ)],ROWS($CC$2:CC3)),"")</f>
        <v>100</v>
      </c>
      <c r="CD3" s="647"/>
      <c r="CE3" s="647"/>
      <c r="CF3" s="647"/>
      <c r="CG3" s="648"/>
      <c r="CH3" s="649"/>
      <c r="CI3">
        <v>51</v>
      </c>
      <c r="CJ3">
        <v>100</v>
      </c>
      <c r="CK3" t="s">
        <v>43</v>
      </c>
      <c r="CL3" s="288">
        <v>7.2467043000000002</v>
      </c>
      <c r="CN3" s="288" cm="1">
        <f t="array" ref="CN3">IF(CM3="",0,IFERROR(INDEX($E$2:$E$32,MATCH(TRUE,(TRIM($A$2:$A$32)=TRIM(CM3))+(TRIM($B$2:$B$32)=TRIM(CM3))+(TRIM($C$2:$C$32)=TRIM(CM3))+(TRIM($D$2:$D$32)=TRIM(CM3))&gt;0,0)),""))</f>
        <v>0</v>
      </c>
      <c r="CO3" s="288">
        <f t="shared" si="0"/>
        <v>7.2467043000000002</v>
      </c>
      <c r="CP3" s="51" t="s">
        <v>1037</v>
      </c>
      <c r="CR3" t="str">
        <f>TRIM('Laminate for reels  - Sales (2)'!$C$36)</f>
        <v>Laminate819</v>
      </c>
      <c r="CS3" s="117">
        <v>1000000</v>
      </c>
      <c r="CT3" s="117">
        <f>'Laminate for reels  - Sales (2)'!J46</f>
        <v>109999.99999999999</v>
      </c>
      <c r="CU3" s="117">
        <f>'Laminate for reels  - Sales (2)'!K46</f>
        <v>344.73599999999999</v>
      </c>
      <c r="CV3" s="51" t="s">
        <v>1062</v>
      </c>
      <c r="CW3" cm="1">
        <f t="array" ref="CW3">IF(OR(TRIM(Pouches!$AE$51&amp;"")="618",TRIM(Pouches!$AE$51&amp;"")="618 W"),106,IF(5=1,IFERROR(INDEX(_xlfn._xlws.FILTER(tblLaminateStructures[Total Thickness (µ)],(TRIM(tblLaminateStructures[Laminate]&amp;"")=TRIM(Pouches!$AE$51&amp;""))*(tblLaminateStructures[Total Thickness (µ)]&lt;&gt;"")),1),""),""))</f>
        <v>106</v>
      </c>
      <c r="CX3" t="str" cm="1">
        <f t="array" ref="CX3">IF(OR(TRIM(Pouches!$AI$51&amp;"")="618",TRIM(Pouches!$AI$51&amp;"")="618 W"),106,IF(5=1,IFERROR(INDEX(_xlfn._xlws.FILTER(tblLaminateStructures[Total Thickness (µ)],(TRIM(tblLaminateStructures[Laminate]&amp;"")=TRIM(Pouches!$AI$51&amp;""))*(tblLaminateStructures[Total Thickness (µ)]&lt;&gt;"")),1),""),""))</f>
        <v/>
      </c>
      <c r="CY3" t="str" cm="1">
        <f t="array" ref="CY3">IF(OR(TRIM(Pouches!$AM$51&amp;"")="618",TRIM(Pouches!$AM$51&amp;"")="618 W"),106,IF(5=1,IFERROR(INDEX(_xlfn._xlws.FILTER(tblLaminateStructures[Total Thickness (µ)],(TRIM(tblLaminateStructures[Laminate]&amp;"")=TRIM(Pouches!$AM$51&amp;""))*(tblLaminateStructures[Total Thickness (µ)]&lt;&gt;"")),1),""),""))</f>
        <v/>
      </c>
    </row>
    <row r="4" spans="1:112" ht="45">
      <c r="A4" s="19" t="s">
        <v>14</v>
      </c>
      <c r="B4" s="19" t="s">
        <v>23</v>
      </c>
      <c r="C4" s="19" t="s">
        <v>77</v>
      </c>
      <c r="D4" s="19" t="s">
        <v>35</v>
      </c>
      <c r="E4" s="19">
        <v>1.81</v>
      </c>
      <c r="F4" s="10">
        <v>2.8</v>
      </c>
      <c r="I4">
        <v>30</v>
      </c>
      <c r="O4" s="9">
        <v>510</v>
      </c>
      <c r="Q4" t="s">
        <v>132</v>
      </c>
      <c r="X4" s="194" t="s">
        <v>137</v>
      </c>
      <c r="AF4" s="977" t="s">
        <v>571</v>
      </c>
      <c r="AG4" s="188">
        <v>1000</v>
      </c>
      <c r="AH4" s="187">
        <v>3448.2758620689701</v>
      </c>
      <c r="AM4" s="34">
        <v>1001</v>
      </c>
      <c r="AN4" s="77">
        <v>0.18</v>
      </c>
      <c r="AP4" s="5" t="str" cm="1">
        <f t="array" ref="AP4">IFERROR(INDEX(_xlfn._xlws.FILTER(Table3[Film],LEFT(Table3[Film],4)="TIPA"),3),"")</f>
        <v>TIPA 306M</v>
      </c>
      <c r="AQ4">
        <v>1.25</v>
      </c>
      <c r="AS4" s="96">
        <v>100000</v>
      </c>
      <c r="AT4" s="4">
        <v>1.5</v>
      </c>
      <c r="AV4" s="617">
        <v>608</v>
      </c>
      <c r="AW4" s="618">
        <v>100</v>
      </c>
      <c r="AX4" s="617" t="s">
        <v>14</v>
      </c>
      <c r="AY4" s="618">
        <v>17</v>
      </c>
      <c r="AZ4"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100</v>
      </c>
      <c r="BA4" s="617"/>
      <c r="BB4" s="617"/>
      <c r="BC4" s="617" t="s">
        <v>1090</v>
      </c>
      <c r="BD4" s="617"/>
      <c r="BF4" s="640"/>
      <c r="BG4" s="641"/>
      <c r="BH4" s="641">
        <v>26</v>
      </c>
      <c r="BI4" s="650">
        <v>0.05</v>
      </c>
      <c r="BJ4" s="641"/>
      <c r="BK4" s="641" t="s">
        <v>1070</v>
      </c>
      <c r="BL4" s="651"/>
      <c r="BM4" s="652"/>
      <c r="BN4" s="641"/>
      <c r="BO4" s="643"/>
      <c r="BP4" s="631"/>
      <c r="BQ4" s="644" t="s">
        <v>43</v>
      </c>
      <c r="BR4" s="645">
        <v>25</v>
      </c>
      <c r="BS4" s="631"/>
      <c r="BT4" s="631"/>
      <c r="BU4" s="646" t="str" cm="1">
        <f t="array" ref="BU4">IFERROR(_xlfn.LET(_xlpm.i,ROWS($BU$2:BU4),_xlpm.cur,INDEX(tblLaminateStructures[Laminate],_xlpm.i),_xlpm.prev,IF(_xlpm.i=1,"",INDEX(tblLaminateStructures[Laminate],_xlpm.i-1)),IF(_xlpm.cur&lt;&gt;_xlpm.prev,_xlpm.cur,"")),"")</f>
        <v/>
      </c>
      <c r="BV4" s="647" t="str" cm="1">
        <f t="array" ref="BV4">IFERROR(_xlfn.LET(_xlpm.i,ROWS($BV$2:BV4),_xlpm.cur,INDEX(tblLaminateStructures[Total Thickness (µ)],_xlpm.i),_xlpm.prev,IF(_xlpm.i=1,"",INDEX(tblLaminateStructures[Total Thickness (µ)],_xlpm.i-1)),IF(OR(_xlpm.cur&lt;&gt;_xlpm.prev,BU4&lt;&gt;""),_xlpm.cur,"")),"")</f>
        <v/>
      </c>
      <c r="BW4" s="648" t="str" cm="1">
        <f t="array" ref="BW4">IFERROR(INDEX(tblLaminateStructures[Material / Layer],ROWS($BW$2:BW4)),"")</f>
        <v>PBAT</v>
      </c>
      <c r="BX4" s="647" cm="1">
        <f t="array" ref="BX4">IFERROR(INDEX(tblLaminateStructures[Layer Thickness (µ)],ROWS($BX$2:BX4)),"")</f>
        <v>17</v>
      </c>
      <c r="BY4" s="647" cm="1">
        <f t="array" ref="BY4">IFERROR(INDEX(tblLaminateStructures[Structure Check],ROWS($BY$2:BY4)),"")</f>
        <v>100</v>
      </c>
      <c r="BZ4" s="648" cm="1">
        <f t="array" ref="BZ4">IFERROR(INDEX(tblLaminateStructures[Laminate],ROWS($BZ$2:BZ4)),"")</f>
        <v>608</v>
      </c>
      <c r="CA4" s="648"/>
      <c r="CB4" s="648">
        <v>428</v>
      </c>
      <c r="CC4" s="647" cm="1">
        <f t="array" ref="CC4">IFERROR(INDEX(tblLaminateStructures[Total Thickness (µ)],ROWS($CC$2:CC4)),"")</f>
        <v>100</v>
      </c>
      <c r="CD4" s="647"/>
      <c r="CE4" s="647"/>
      <c r="CF4" s="647"/>
      <c r="CG4" s="648"/>
      <c r="CI4">
        <v>51</v>
      </c>
      <c r="CJ4">
        <v>100</v>
      </c>
      <c r="CK4" t="s">
        <v>45</v>
      </c>
      <c r="CL4" s="288">
        <v>7.2316977500000004</v>
      </c>
      <c r="CN4" s="288" cm="1">
        <f t="array" ref="CN4">IF(CM4="",0,IFERROR(INDEX($E$2:$E$32,MATCH(TRUE,(TRIM($A$2:$A$32)=TRIM(CM4))+(TRIM($B$2:$B$32)=TRIM(CM4))+(TRIM($C$2:$C$32)=TRIM(CM4))+(TRIM($D$2:$D$32)=TRIM(CM4))&gt;0,0)),""))</f>
        <v>0</v>
      </c>
      <c r="CO4" s="288">
        <f t="shared" si="0"/>
        <v>7.2316977500000004</v>
      </c>
      <c r="CP4" s="51" t="s">
        <v>1037</v>
      </c>
      <c r="CR4" t="str">
        <f>TRIM('Laminate for reels  - Sales (2)'!$C$36)</f>
        <v>Laminate819</v>
      </c>
      <c r="CS4" s="117">
        <v>2000000</v>
      </c>
      <c r="CT4" s="117">
        <f>'Laminate for reels  - Sales (2)'!J47</f>
        <v>219999.99999999997</v>
      </c>
      <c r="CU4" s="117">
        <f>'Laminate for reels  - Sales (2)'!K47</f>
        <v>344.73599999999999</v>
      </c>
      <c r="CV4" s="51" t="s">
        <v>1062</v>
      </c>
      <c r="CW4" cm="1">
        <f t="array" ref="CW4">IF(OR(TRIM(Pouches!$AE$51&amp;"")="618",TRIM(Pouches!$AE$51&amp;"")="618 W"),106,IF(5=1,IFERROR(INDEX(_xlfn._xlws.FILTER(tblLaminateStructures[Total Thickness (µ)],(TRIM(tblLaminateStructures[Laminate]&amp;"")=TRIM(Pouches!$AE$51&amp;""))*(tblLaminateStructures[Total Thickness (µ)]&lt;&gt;"")),1),""),""))</f>
        <v>106</v>
      </c>
      <c r="CX4" t="str" cm="1">
        <f t="array" ref="CX4">IF(OR(TRIM(Pouches!$AI$51&amp;"")="618",TRIM(Pouches!$AI$51&amp;"")="618 W"),106,IF(5=1,IFERROR(INDEX(_xlfn._xlws.FILTER(tblLaminateStructures[Total Thickness (µ)],(TRIM(tblLaminateStructures[Laminate]&amp;"")=TRIM(Pouches!$AI$51&amp;""))*(tblLaminateStructures[Total Thickness (µ)]&lt;&gt;"")),1),""),""))</f>
        <v/>
      </c>
      <c r="CY4" t="str" cm="1">
        <f t="array" ref="CY4">IF(OR(TRIM(Pouches!$AM$51&amp;"")="618",TRIM(Pouches!$AM$51&amp;"")="618 W"),106,IF(5=1,IFERROR(INDEX(_xlfn._xlws.FILTER(tblLaminateStructures[Total Thickness (µ)],(TRIM(tblLaminateStructures[Laminate]&amp;"")=TRIM(Pouches!$AM$51&amp;""))*(tblLaminateStructures[Total Thickness (µ)]&lt;&gt;"")),1),""),""))</f>
        <v/>
      </c>
    </row>
    <row r="5" spans="1:112" ht="45">
      <c r="A5" s="273" t="s">
        <v>14</v>
      </c>
      <c r="B5" s="273" t="s">
        <v>27</v>
      </c>
      <c r="C5" s="273" t="s">
        <v>78</v>
      </c>
      <c r="D5" s="273" t="s">
        <v>36</v>
      </c>
      <c r="E5" s="273">
        <v>4.2</v>
      </c>
      <c r="F5" s="10" t="s">
        <v>242</v>
      </c>
      <c r="I5">
        <v>35</v>
      </c>
      <c r="O5" s="9"/>
      <c r="Q5" t="s">
        <v>108</v>
      </c>
      <c r="X5" s="193" t="s">
        <v>619</v>
      </c>
      <c r="AF5" s="977"/>
      <c r="AG5" s="188">
        <v>2000</v>
      </c>
      <c r="AH5" s="187">
        <v>5000</v>
      </c>
      <c r="AM5" s="34">
        <v>2001</v>
      </c>
      <c r="AN5" s="77">
        <v>0.15</v>
      </c>
      <c r="AP5" s="5" t="str" cm="1">
        <f t="array" ref="AP5">IFERROR(INDEX(_xlfn._xlws.FILTER(Table3[Film],LEFT(Table3[Film],4)="TIPA"),4),"")</f>
        <v>TIPA 306W</v>
      </c>
      <c r="AQ5">
        <v>1.25</v>
      </c>
      <c r="AS5" s="96">
        <v>200000</v>
      </c>
      <c r="AT5" s="4">
        <v>1.45</v>
      </c>
      <c r="AV5" s="617" t="s">
        <v>592</v>
      </c>
      <c r="AW5" s="618">
        <v>100</v>
      </c>
      <c r="AX5" s="617" t="s">
        <v>190</v>
      </c>
      <c r="AY5" s="618">
        <v>23</v>
      </c>
      <c r="AZ5"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100</v>
      </c>
      <c r="BA5" s="617"/>
      <c r="BB5" s="617"/>
      <c r="BC5" s="617" t="s">
        <v>1090</v>
      </c>
      <c r="BD5" s="617"/>
      <c r="BF5" s="640"/>
      <c r="BG5" s="641"/>
      <c r="BH5" s="641">
        <v>31</v>
      </c>
      <c r="BI5" s="641">
        <v>0</v>
      </c>
      <c r="BJ5" s="641"/>
      <c r="BK5" s="641"/>
      <c r="BL5" s="651"/>
      <c r="BM5" s="652"/>
      <c r="BN5" s="641"/>
      <c r="BO5" s="643"/>
      <c r="BP5" s="631"/>
      <c r="BQ5" s="644" t="s">
        <v>202</v>
      </c>
      <c r="BR5" s="645">
        <v>25</v>
      </c>
      <c r="BS5" s="631"/>
      <c r="BT5" s="631"/>
      <c r="BU5" s="646" t="str" cm="1">
        <f t="array" ref="BU5">IFERROR(_xlfn.LET(_xlpm.i,ROWS($BU$2:BU5),_xlpm.cur,INDEX(tblLaminateStructures[Laminate],_xlpm.i),_xlpm.prev,IF(_xlpm.i=1,"",INDEX(tblLaminateStructures[Laminate],_xlpm.i-1)),IF(_xlpm.cur&lt;&gt;_xlpm.prev,_xlpm.cur,"")),"")</f>
        <v>608 W</v>
      </c>
      <c r="BV5" s="647" cm="1">
        <f t="array" ref="BV5">IFERROR(_xlfn.LET(_xlpm.i,ROWS($BV$2:BV5),_xlpm.cur,INDEX(tblLaminateStructures[Total Thickness (µ)],_xlpm.i),_xlpm.prev,IF(_xlpm.i=1,"",INDEX(tblLaminateStructures[Total Thickness (µ)],_xlpm.i-1)),IF(OR(_xlpm.cur&lt;&gt;_xlpm.prev,BU5&lt;&gt;""),_xlpm.cur,"")),"")</f>
        <v>100</v>
      </c>
      <c r="BW5" s="648" t="str" cm="1">
        <f t="array" ref="BW5">IFERROR(INDEX(tblLaminateStructures[Material / Layer],ROWS($BW$2:BW5)),"")</f>
        <v>NK</v>
      </c>
      <c r="BX5" s="647" cm="1">
        <f t="array" ref="BX5">IFERROR(INDEX(tblLaminateStructures[Layer Thickness (µ)],ROWS($BX$2:BX5)),"")</f>
        <v>23</v>
      </c>
      <c r="BY5" s="647" cm="1">
        <f t="array" ref="BY5">IFERROR(INDEX(tblLaminateStructures[Structure Check],ROWS($BY$2:BY5)),"")</f>
        <v>100</v>
      </c>
      <c r="BZ5" s="648" t="str" cm="1">
        <f t="array" ref="BZ5">IFERROR(INDEX(tblLaminateStructures[Laminate],ROWS($BZ$2:BZ5)),"")</f>
        <v>608 W</v>
      </c>
      <c r="CA5" s="648"/>
      <c r="CB5" s="648">
        <v>608</v>
      </c>
      <c r="CC5" s="647" cm="1">
        <f t="array" ref="CC5">IFERROR(INDEX(tblLaminateStructures[Total Thickness (µ)],ROWS($CC$2:CC5)),"")</f>
        <v>100</v>
      </c>
      <c r="CD5" s="647"/>
      <c r="CE5" s="647"/>
      <c r="CF5" s="647"/>
      <c r="CG5" s="648"/>
      <c r="CH5" s="649"/>
      <c r="CI5">
        <v>56</v>
      </c>
      <c r="CK5" t="s">
        <v>46</v>
      </c>
      <c r="CL5" s="288">
        <v>8.4419841499999997</v>
      </c>
      <c r="CN5" s="288" cm="1">
        <f t="array" ref="CN5">IF(CM5="",0,IFERROR(INDEX($E$2:$E$32,MATCH(TRUE,(TRIM($A$2:$A$32)=TRIM(CM5))+(TRIM($B$2:$B$32)=TRIM(CM5))+(TRIM($C$2:$C$32)=TRIM(CM5))+(TRIM($D$2:$D$32)=TRIM(CM5))&gt;0,0)),""))</f>
        <v>0</v>
      </c>
      <c r="CO5" s="288">
        <f t="shared" si="0"/>
        <v>8.4419841499999997</v>
      </c>
      <c r="CP5" s="51" t="s">
        <v>1037</v>
      </c>
      <c r="CR5" t="str">
        <f>TRIM('Laminate for reels  - Sales (2)'!$C$36)</f>
        <v>Laminate819</v>
      </c>
      <c r="CS5" s="117">
        <v>3000000</v>
      </c>
      <c r="CT5" s="117">
        <f>'Laminate for reels  - Sales (2)'!J48</f>
        <v>329999.99999999994</v>
      </c>
      <c r="CU5" s="117">
        <f>'Laminate for reels  - Sales (2)'!K48</f>
        <v>532.02500000000009</v>
      </c>
      <c r="CV5" s="51" t="s">
        <v>1063</v>
      </c>
      <c r="CW5" cm="1">
        <f t="array" ref="CW5">IF(OR(TRIM(Pouches!$AE$51&amp;"")="618",TRIM(Pouches!$AE$51&amp;"")="618 W"),106,IF(5=1,IFERROR(INDEX(_xlfn._xlws.FILTER(tblLaminateStructures[Total Thickness (µ)],(TRIM(tblLaminateStructures[Laminate]&amp;"")=TRIM(Pouches!$AE$51&amp;""))*(tblLaminateStructures[Total Thickness (µ)]&lt;&gt;"")),1),""),""))</f>
        <v>106</v>
      </c>
      <c r="CX5" t="str" cm="1">
        <f t="array" ref="CX5">IF(OR(TRIM(Pouches!$AI$51&amp;"")="618",TRIM(Pouches!$AI$51&amp;"")="618 W"),106,IF(5=1,IFERROR(INDEX(_xlfn._xlws.FILTER(tblLaminateStructures[Total Thickness (µ)],(TRIM(tblLaminateStructures[Laminate]&amp;"")=TRIM(Pouches!$AI$51&amp;""))*(tblLaminateStructures[Total Thickness (µ)]&lt;&gt;"")),1),""),""))</f>
        <v/>
      </c>
      <c r="CY5" t="str" cm="1">
        <f t="array" ref="CY5">IF(OR(TRIM(Pouches!$AM$51&amp;"")="618",TRIM(Pouches!$AM$51&amp;"")="618 W"),106,IF(5=1,IFERROR(INDEX(_xlfn._xlws.FILTER(tblLaminateStructures[Total Thickness (µ)],(TRIM(tblLaminateStructures[Laminate]&amp;"")=TRIM(Pouches!$AM$51&amp;""))*(tblLaminateStructures[Total Thickness (µ)]&lt;&gt;"")),1),""),""))</f>
        <v/>
      </c>
    </row>
    <row r="6" spans="1:112" ht="45">
      <c r="A6" s="19" t="s">
        <v>14</v>
      </c>
      <c r="B6" s="19" t="s">
        <v>25</v>
      </c>
      <c r="C6" s="19" t="s">
        <v>79</v>
      </c>
      <c r="D6" s="19" t="s">
        <v>32</v>
      </c>
      <c r="E6" s="19">
        <v>1.81</v>
      </c>
      <c r="F6" s="190" t="s">
        <v>870</v>
      </c>
      <c r="I6">
        <v>40</v>
      </c>
      <c r="O6" s="9"/>
      <c r="Q6" t="s">
        <v>133</v>
      </c>
      <c r="X6" s="193" t="s">
        <v>620</v>
      </c>
      <c r="AF6" s="977"/>
      <c r="AG6" s="188">
        <v>3000</v>
      </c>
      <c r="AH6" s="187">
        <v>6637.93103448276</v>
      </c>
      <c r="AM6" s="34">
        <v>5001</v>
      </c>
      <c r="AN6" s="78">
        <v>0.125</v>
      </c>
      <c r="AP6" s="5" t="str" cm="1">
        <f t="array" ref="AP6">IFERROR(INDEX(_xlfn._xlws.FILTER(Table3[Film],LEFT(Table3[Film],4)="TIPA"),5),"")</f>
        <v>TIPA 312 MFG</v>
      </c>
      <c r="AQ6">
        <v>1.25</v>
      </c>
      <c r="AS6" s="96">
        <v>300000</v>
      </c>
      <c r="AT6" s="4">
        <v>1.25</v>
      </c>
      <c r="AV6" s="617" t="s">
        <v>592</v>
      </c>
      <c r="AW6" s="618">
        <v>100</v>
      </c>
      <c r="AX6" s="617" t="s">
        <v>43</v>
      </c>
      <c r="AY6" s="618">
        <v>60</v>
      </c>
      <c r="AZ6"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100</v>
      </c>
      <c r="BA6" s="617"/>
      <c r="BB6" s="617"/>
      <c r="BC6" s="617" t="s">
        <v>1090</v>
      </c>
      <c r="BD6" s="617"/>
      <c r="BF6" s="653"/>
      <c r="BG6" s="654"/>
      <c r="BH6" s="654"/>
      <c r="BI6" s="654"/>
      <c r="BJ6" s="654"/>
      <c r="BK6" s="654"/>
      <c r="BL6" s="654"/>
      <c r="BM6" s="654"/>
      <c r="BN6" s="654"/>
      <c r="BO6" s="655"/>
      <c r="BP6" s="631"/>
      <c r="BQ6" s="644" t="s">
        <v>201</v>
      </c>
      <c r="BR6" s="645">
        <v>25</v>
      </c>
      <c r="BS6" s="631"/>
      <c r="BT6" s="631"/>
      <c r="BU6" s="646" t="str" cm="1">
        <f t="array" ref="BU6">IFERROR(_xlfn.LET(_xlpm.i,ROWS($BU$2:BU6),_xlpm.cur,INDEX(tblLaminateStructures[Laminate],_xlpm.i),_xlpm.prev,IF(_xlpm.i=1,"",INDEX(tblLaminateStructures[Laminate],_xlpm.i-1)),IF(_xlpm.cur&lt;&gt;_xlpm.prev,_xlpm.cur,"")),"")</f>
        <v/>
      </c>
      <c r="BV6" s="647" t="str" cm="1">
        <f t="array" ref="BV6">IFERROR(_xlfn.LET(_xlpm.i,ROWS($BV$2:BV6),_xlpm.cur,INDEX(tblLaminateStructures[Total Thickness (µ)],_xlpm.i),_xlpm.prev,IF(_xlpm.i=1,"",INDEX(tblLaminateStructures[Total Thickness (µ)],_xlpm.i-1)),IF(OR(_xlpm.cur&lt;&gt;_xlpm.prev,BU6&lt;&gt;""),_xlpm.cur,"")),"")</f>
        <v/>
      </c>
      <c r="BW6" s="648" t="str" cm="1">
        <f t="array" ref="BW6">IFERROR(INDEX(tblLaminateStructures[Material / Layer],ROWS($BW$2:BW6)),"")</f>
        <v>TIPA 302FG W</v>
      </c>
      <c r="BX6" s="647" cm="1">
        <f t="array" ref="BX6">IFERROR(INDEX(tblLaminateStructures[Layer Thickness (µ)],ROWS($BX$2:BX6)),"")</f>
        <v>60</v>
      </c>
      <c r="BY6" s="647" cm="1">
        <f t="array" ref="BY6">IFERROR(INDEX(tblLaminateStructures[Structure Check],ROWS($BY$2:BY6)),"")</f>
        <v>100</v>
      </c>
      <c r="BZ6" s="648" t="str" cm="1">
        <f t="array" ref="BZ6">IFERROR(INDEX(tblLaminateStructures[Laminate],ROWS($BZ$2:BZ6)),"")</f>
        <v>608 W</v>
      </c>
      <c r="CA6" s="648"/>
      <c r="CB6" s="648">
        <v>618</v>
      </c>
      <c r="CC6" s="647" cm="1">
        <f t="array" ref="CC6">IFERROR(INDEX(tblLaminateStructures[Total Thickness (µ)],ROWS($CC$2:CC6)),"")</f>
        <v>100</v>
      </c>
      <c r="CD6" s="647"/>
      <c r="CE6" s="647"/>
      <c r="CF6" s="647"/>
      <c r="CG6" s="648"/>
      <c r="CH6" s="649"/>
      <c r="CI6">
        <v>56</v>
      </c>
      <c r="CK6" t="s">
        <v>201</v>
      </c>
      <c r="CL6" s="288">
        <v>6.1697202999999998</v>
      </c>
      <c r="CN6" s="288" cm="1">
        <f t="array" ref="CN6">IF(CM6="",0,IFERROR(INDEX($E$2:$E$32,MATCH(TRUE,(TRIM($A$2:$A$32)=TRIM(CM6))+(TRIM($B$2:$B$32)=TRIM(CM6))+(TRIM($C$2:$C$32)=TRIM(CM6))+(TRIM($D$2:$D$32)=TRIM(CM6))&gt;0,0)),""))</f>
        <v>0</v>
      </c>
      <c r="CO6" s="288">
        <f t="shared" si="0"/>
        <v>6.1697202999999998</v>
      </c>
      <c r="CP6" s="51" t="s">
        <v>1037</v>
      </c>
      <c r="CR6" t="str">
        <f>TRIM('Laminate for reels  - Sales (2)'!$C$36)</f>
        <v>Laminate819</v>
      </c>
      <c r="CS6" s="117">
        <v>4000000</v>
      </c>
      <c r="CT6" s="117">
        <f>'Laminate for reels  - Sales (2)'!J49</f>
        <v>439999.99999999994</v>
      </c>
      <c r="CU6" s="117">
        <f>'Laminate for reels  - Sales (2)'!K49</f>
        <v>344.73599999999999</v>
      </c>
      <c r="CV6" s="51" t="s">
        <v>1062</v>
      </c>
      <c r="CW6" cm="1">
        <f t="array" ref="CW6">IF(OR(TRIM(Pouches!$AE$51&amp;"")="618",TRIM(Pouches!$AE$51&amp;"")="618 W"),106,IF(5=1,IFERROR(INDEX(_xlfn._xlws.FILTER(tblLaminateStructures[Total Thickness (µ)],(TRIM(tblLaminateStructures[Laminate]&amp;"")=TRIM(Pouches!$AE$51&amp;""))*(tblLaminateStructures[Total Thickness (µ)]&lt;&gt;"")),1),""),""))</f>
        <v>106</v>
      </c>
      <c r="CX6" t="str" cm="1">
        <f t="array" ref="CX6">IF(OR(TRIM(Pouches!$AI$51&amp;"")="618",TRIM(Pouches!$AI$51&amp;"")="618 W"),106,IF(5=1,IFERROR(INDEX(_xlfn._xlws.FILTER(tblLaminateStructures[Total Thickness (µ)],(TRIM(tblLaminateStructures[Laminate]&amp;"")=TRIM(Pouches!$AI$51&amp;""))*(tblLaminateStructures[Total Thickness (µ)]&lt;&gt;"")),1),""),""))</f>
        <v/>
      </c>
      <c r="CY6" t="str" cm="1">
        <f t="array" ref="CY6">IF(OR(TRIM(Pouches!$AM$51&amp;"")="618",TRIM(Pouches!$AM$51&amp;"")="618 W"),106,IF(5=1,IFERROR(INDEX(_xlfn._xlws.FILTER(tblLaminateStructures[Total Thickness (µ)],(TRIM(tblLaminateStructures[Laminate]&amp;"")=TRIM(Pouches!$AM$51&amp;""))*(tblLaminateStructures[Total Thickness (µ)]&lt;&gt;"")),1),""),""))</f>
        <v/>
      </c>
    </row>
    <row r="7" spans="1:112" ht="45">
      <c r="A7" s="20" t="s">
        <v>20</v>
      </c>
      <c r="B7" s="20" t="s">
        <v>29</v>
      </c>
      <c r="C7" s="20" t="s">
        <v>86</v>
      </c>
      <c r="D7" s="20" t="s">
        <v>85</v>
      </c>
      <c r="E7" s="20">
        <v>7.62</v>
      </c>
      <c r="I7">
        <v>45</v>
      </c>
      <c r="O7" s="9"/>
      <c r="X7" s="193" t="s">
        <v>620</v>
      </c>
      <c r="AF7" s="977"/>
      <c r="AG7" s="188">
        <v>4000</v>
      </c>
      <c r="AH7" s="187">
        <v>8017.2413793103497</v>
      </c>
      <c r="AP7" s="5" t="str" cm="1">
        <f t="array" ref="AP7">IFERROR(INDEX(_xlfn._xlws.FILTER(Table3[Film],LEFT(Table3[Film],4)="TIPA"),6),"")</f>
        <v>TIPA 312MFGW</v>
      </c>
      <c r="AQ7">
        <v>1.25</v>
      </c>
      <c r="AS7" s="96">
        <v>999999999</v>
      </c>
      <c r="AT7" s="4">
        <v>1.1499999999999999</v>
      </c>
      <c r="AV7" s="617" t="s">
        <v>592</v>
      </c>
      <c r="AW7" s="618">
        <v>100</v>
      </c>
      <c r="AX7" s="617" t="s">
        <v>14</v>
      </c>
      <c r="AY7" s="618">
        <v>17</v>
      </c>
      <c r="AZ7"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100</v>
      </c>
      <c r="BA7" s="617"/>
      <c r="BB7" s="617"/>
      <c r="BC7" s="617" t="s">
        <v>1090</v>
      </c>
      <c r="BD7" s="617"/>
      <c r="BF7" s="631"/>
      <c r="BG7" s="631"/>
      <c r="BH7" s="631"/>
      <c r="BI7" s="631"/>
      <c r="BJ7" s="631"/>
      <c r="BK7" s="631"/>
      <c r="BL7" s="631"/>
      <c r="BM7" s="631"/>
      <c r="BN7" s="631"/>
      <c r="BO7" s="631"/>
      <c r="BP7" s="631"/>
      <c r="BQ7" s="644" t="s">
        <v>52</v>
      </c>
      <c r="BR7" s="645">
        <v>25</v>
      </c>
      <c r="BS7" s="631"/>
      <c r="BT7" s="631"/>
      <c r="BU7" s="646" t="str" cm="1">
        <f t="array" ref="BU7">IFERROR(_xlfn.LET(_xlpm.i,ROWS($BU$2:BU7),_xlpm.cur,INDEX(tblLaminateStructures[Laminate],_xlpm.i),_xlpm.prev,IF(_xlpm.i=1,"",INDEX(tblLaminateStructures[Laminate],_xlpm.i-1)),IF(_xlpm.cur&lt;&gt;_xlpm.prev,_xlpm.cur,"")),"")</f>
        <v/>
      </c>
      <c r="BV7" s="647" t="str" cm="1">
        <f t="array" ref="BV7">IFERROR(_xlfn.LET(_xlpm.i,ROWS($BV$2:BV7),_xlpm.cur,INDEX(tblLaminateStructures[Total Thickness (µ)],_xlpm.i),_xlpm.prev,IF(_xlpm.i=1,"",INDEX(tblLaminateStructures[Total Thickness (µ)],_xlpm.i-1)),IF(OR(_xlpm.cur&lt;&gt;_xlpm.prev,BU7&lt;&gt;""),_xlpm.cur,"")),"")</f>
        <v/>
      </c>
      <c r="BW7" s="648" t="str" cm="1">
        <f t="array" ref="BW7">IFERROR(INDEX(tblLaminateStructures[Material / Layer],ROWS($BW$2:BW7)),"")</f>
        <v>PBAT</v>
      </c>
      <c r="BX7" s="647" cm="1">
        <f t="array" ref="BX7">IFERROR(INDEX(tblLaminateStructures[Layer Thickness (µ)],ROWS($BX$2:BX7)),"")</f>
        <v>17</v>
      </c>
      <c r="BY7" s="647" cm="1">
        <f t="array" ref="BY7">IFERROR(INDEX(tblLaminateStructures[Structure Check],ROWS($BY$2:BY7)),"")</f>
        <v>100</v>
      </c>
      <c r="BZ7" s="648" t="str" cm="1">
        <f t="array" ref="BZ7">IFERROR(INDEX(tblLaminateStructures[Laminate],ROWS($BZ$2:BZ7)),"")</f>
        <v>608 W</v>
      </c>
      <c r="CA7" s="648"/>
      <c r="CB7" s="648">
        <v>648</v>
      </c>
      <c r="CC7" s="647" cm="1">
        <f t="array" ref="CC7">IFERROR(INDEX(tblLaminateStructures[Total Thickness (µ)],ROWS($CC$2:CC7)),"")</f>
        <v>100</v>
      </c>
      <c r="CD7" s="647"/>
      <c r="CE7" s="647"/>
      <c r="CF7" s="647"/>
      <c r="CG7" s="648"/>
      <c r="CH7" s="649"/>
      <c r="CI7">
        <v>56</v>
      </c>
      <c r="CK7" t="s">
        <v>52</v>
      </c>
      <c r="CL7" s="288">
        <v>6.7887103</v>
      </c>
      <c r="CN7" s="288" cm="1">
        <f t="array" ref="CN7">IF(CM7="",0,IFERROR(INDEX($E$2:$E$32,MATCH(TRUE,(TRIM($A$2:$A$32)=TRIM(CM7))+(TRIM($B$2:$B$32)=TRIM(CM7))+(TRIM($C$2:$C$32)=TRIM(CM7))+(TRIM($D$2:$D$32)=TRIM(CM7))&gt;0,0)),""))</f>
        <v>0</v>
      </c>
      <c r="CO7" s="288">
        <f t="shared" si="0"/>
        <v>6.7887103</v>
      </c>
      <c r="CP7" s="51" t="s">
        <v>1037</v>
      </c>
      <c r="CR7" t="str">
        <f>TRIM('Laminate for reels  - Sales (2)'!$C$36)</f>
        <v>Laminate819</v>
      </c>
      <c r="CS7" s="117"/>
      <c r="CT7" s="117">
        <f>'Laminate for reels  - Sales (2)'!J50</f>
        <v>0</v>
      </c>
      <c r="CU7" s="117">
        <f>'Laminate for reels  - Sales (2)'!K50</f>
        <v>0</v>
      </c>
      <c r="CV7" s="51"/>
      <c r="CW7" cm="1">
        <f t="array" ref="CW7">IF(OR(TRIM(Pouches!$AE$51&amp;"")="618",TRIM(Pouches!$AE$51&amp;"")="618 W"),106,IF(5=1,IFERROR(INDEX(_xlfn._xlws.FILTER(tblLaminateStructures[Total Thickness (µ)],(TRIM(tblLaminateStructures[Laminate]&amp;"")=TRIM(Pouches!$AE$51&amp;""))*(tblLaminateStructures[Total Thickness (µ)]&lt;&gt;"")),1),""),""))</f>
        <v>106</v>
      </c>
      <c r="CX7" t="str" cm="1">
        <f t="array" ref="CX7">IF(OR(TRIM(Pouches!$AI$51&amp;"")="618",TRIM(Pouches!$AI$51&amp;"")="618 W"),106,IF(5=1,IFERROR(INDEX(_xlfn._xlws.FILTER(tblLaminateStructures[Total Thickness (µ)],(TRIM(tblLaminateStructures[Laminate]&amp;"")=TRIM(Pouches!$AI$51&amp;""))*(tblLaminateStructures[Total Thickness (µ)]&lt;&gt;"")),1),""),""))</f>
        <v/>
      </c>
      <c r="CY7" t="str" cm="1">
        <f t="array" ref="CY7">IF(OR(TRIM(Pouches!$AM$51&amp;"")="618",TRIM(Pouches!$AM$51&amp;"")="618 W"),106,IF(5=1,IFERROR(INDEX(_xlfn._xlws.FILTER(tblLaminateStructures[Total Thickness (µ)],(TRIM(tblLaminateStructures[Laminate]&amp;"")=TRIM(Pouches!$AM$51&amp;""))*(tblLaminateStructures[Total Thickness (µ)]&lt;&gt;"")),1),""),""))</f>
        <v/>
      </c>
    </row>
    <row r="8" spans="1:112" ht="30">
      <c r="A8" s="19" t="s">
        <v>15</v>
      </c>
      <c r="B8" s="19" t="s">
        <v>24</v>
      </c>
      <c r="C8" s="19" t="s">
        <v>80</v>
      </c>
      <c r="D8" s="19" t="s">
        <v>37</v>
      </c>
      <c r="E8" s="19">
        <v>7.3</v>
      </c>
      <c r="I8">
        <v>50</v>
      </c>
      <c r="O8" s="9"/>
      <c r="AF8" s="977"/>
      <c r="AG8" s="188">
        <v>5000</v>
      </c>
      <c r="AH8" s="187">
        <v>9224.1379310344801</v>
      </c>
      <c r="AP8" s="5" t="s">
        <v>203</v>
      </c>
      <c r="AQ8">
        <v>1</v>
      </c>
      <c r="AV8" s="617">
        <v>618</v>
      </c>
      <c r="AW8" s="618">
        <v>51</v>
      </c>
      <c r="AX8" s="617" t="s">
        <v>190</v>
      </c>
      <c r="AY8" s="618">
        <v>23</v>
      </c>
      <c r="AZ8"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51</v>
      </c>
      <c r="BA8" s="617"/>
      <c r="BB8" s="617"/>
      <c r="BC8" s="617" t="s">
        <v>1090</v>
      </c>
      <c r="BD8" s="617"/>
      <c r="BF8" s="631"/>
      <c r="BG8" s="631"/>
      <c r="BH8" s="631"/>
      <c r="BI8" s="631"/>
      <c r="BJ8" s="631"/>
      <c r="BK8" s="631"/>
      <c r="BL8" s="631"/>
      <c r="BM8" s="631"/>
      <c r="BN8" s="631"/>
      <c r="BO8" s="631"/>
      <c r="BP8" s="631"/>
      <c r="BQ8" s="644" t="s">
        <v>45</v>
      </c>
      <c r="BR8" s="645">
        <v>25</v>
      </c>
      <c r="BS8" s="631"/>
      <c r="BT8" s="631"/>
      <c r="BU8" s="646" cm="1">
        <f t="array" ref="BU8">IFERROR(_xlfn.LET(_xlpm.i,ROWS($BU$2:BU8),_xlpm.cur,INDEX(tblLaminateStructures[Laminate],_xlpm.i),_xlpm.prev,IF(_xlpm.i=1,"",INDEX(tblLaminateStructures[Laminate],_xlpm.i-1)),IF(_xlpm.cur&lt;&gt;_xlpm.prev,_xlpm.cur,"")),"")</f>
        <v>618</v>
      </c>
      <c r="BV8" s="647" cm="1">
        <f t="array" ref="BV8">IFERROR(_xlfn.LET(_xlpm.i,ROWS($BV$2:BV8),_xlpm.cur,INDEX(tblLaminateStructures[Total Thickness (µ)],_xlpm.i),_xlpm.prev,IF(_xlpm.i=1,"",INDEX(tblLaminateStructures[Total Thickness (µ)],_xlpm.i-1)),IF(OR(_xlpm.cur&lt;&gt;_xlpm.prev,BU8&lt;&gt;""),_xlpm.cur,"")),"")</f>
        <v>51</v>
      </c>
      <c r="BW8" s="648" t="str" cm="1">
        <f t="array" ref="BW8">IFERROR(INDEX(tblLaminateStructures[Material / Layer],ROWS($BW$2:BW8)),"")</f>
        <v>NK</v>
      </c>
      <c r="BX8" s="647" cm="1">
        <f t="array" ref="BX8">IFERROR(INDEX(tblLaminateStructures[Layer Thickness (µ)],ROWS($BX$2:BX8)),"")</f>
        <v>23</v>
      </c>
      <c r="BY8" s="647" cm="1">
        <f t="array" ref="BY8">IFERROR(INDEX(tblLaminateStructures[Structure Check],ROWS($BY$2:BY8)),"")</f>
        <v>51</v>
      </c>
      <c r="BZ8" s="648" cm="1">
        <f t="array" ref="BZ8">IFERROR(INDEX(tblLaminateStructures[Laminate],ROWS($BZ$2:BZ8)),"")</f>
        <v>618</v>
      </c>
      <c r="CA8" s="648"/>
      <c r="CB8" s="648">
        <v>819</v>
      </c>
      <c r="CC8" s="647" cm="1">
        <f t="array" ref="CC8">IFERROR(INDEX(tblLaminateStructures[Total Thickness (µ)],ROWS($CC$2:CC8)),"")</f>
        <v>51</v>
      </c>
      <c r="CD8" s="647"/>
      <c r="CE8" s="647"/>
      <c r="CF8" s="647"/>
      <c r="CG8" s="648"/>
      <c r="CH8" s="649"/>
      <c r="CI8">
        <v>61</v>
      </c>
      <c r="CK8" t="s">
        <v>202</v>
      </c>
      <c r="CL8" s="288">
        <v>6.1697202999999998</v>
      </c>
      <c r="CM8" t="s">
        <v>1031</v>
      </c>
      <c r="CN8" s="288" cm="1">
        <f t="array" ref="CN8">IF(CM8="",0,IFERROR(INDEX($E$2:$E$32,MATCH(TRUE,(TRIM($A$2:$A$32)=TRIM(CM8))+(TRIM($B$2:$B$32)=TRIM(CM8))+(TRIM($C$2:$C$32)=TRIM(CM8))+(TRIM($D$2:$D$32)=TRIM(CM8))&gt;0,0)),""))</f>
        <v>2.02</v>
      </c>
      <c r="CO8" s="288">
        <f t="shared" si="0"/>
        <v>8.1897202999999994</v>
      </c>
      <c r="CP8" s="51" t="s">
        <v>1038</v>
      </c>
      <c r="CR8" t="str">
        <f>TRIM('Laminate for reels  - Sales (2)'!$C$36)</f>
        <v>Laminate819</v>
      </c>
      <c r="CS8" s="117"/>
      <c r="CT8" s="117">
        <f>'Laminate for reels  - Sales (2)'!J51</f>
        <v>0</v>
      </c>
      <c r="CU8" s="117">
        <f>'Laminate for reels  - Sales (2)'!K51</f>
        <v>0</v>
      </c>
      <c r="CV8" s="51"/>
      <c r="CW8" cm="1">
        <f t="array" ref="CW8">IF(OR(TRIM(Pouches!$AE$51&amp;"")="618",TRIM(Pouches!$AE$51&amp;"")="618 W"),106,IF(5=1,IFERROR(INDEX(_xlfn._xlws.FILTER(tblLaminateStructures[Total Thickness (µ)],(TRIM(tblLaminateStructures[Laminate]&amp;"")=TRIM(Pouches!$AE$51&amp;""))*(tblLaminateStructures[Total Thickness (µ)]&lt;&gt;"")),1),""),""))</f>
        <v>106</v>
      </c>
      <c r="CX8" t="str" cm="1">
        <f t="array" ref="CX8">IF(OR(TRIM(Pouches!$AI$51&amp;"")="618",TRIM(Pouches!$AI$51&amp;"")="618 W"),106,IF(5=1,IFERROR(INDEX(_xlfn._xlws.FILTER(tblLaminateStructures[Total Thickness (µ)],(TRIM(tblLaminateStructures[Laminate]&amp;"")=TRIM(Pouches!$AI$51&amp;""))*(tblLaminateStructures[Total Thickness (µ)]&lt;&gt;"")),1),""),""))</f>
        <v/>
      </c>
      <c r="CY8" t="str" cm="1">
        <f t="array" ref="CY8">IF(OR(TRIM(Pouches!$AM$51&amp;"")="618",TRIM(Pouches!$AM$51&amp;"")="618 W"),106,IF(5=1,IFERROR(INDEX(_xlfn._xlws.FILTER(tblLaminateStructures[Total Thickness (µ)],(TRIM(tblLaminateStructures[Laminate]&amp;"")=TRIM(Pouches!$AM$51&amp;""))*(tblLaminateStructures[Total Thickness (µ)]&lt;&gt;"")),1),""),""))</f>
        <v/>
      </c>
    </row>
    <row r="9" spans="1:112">
      <c r="A9" s="20" t="s">
        <v>16</v>
      </c>
      <c r="B9" s="20" t="s">
        <v>10</v>
      </c>
      <c r="C9" s="20" t="s">
        <v>81</v>
      </c>
      <c r="D9" s="20" t="s">
        <v>38</v>
      </c>
      <c r="E9" s="20">
        <v>16.16</v>
      </c>
      <c r="I9">
        <v>55</v>
      </c>
      <c r="O9" s="9"/>
      <c r="AP9" s="5" t="s">
        <v>190</v>
      </c>
      <c r="AQ9">
        <v>1.44</v>
      </c>
      <c r="AV9" s="617">
        <v>618</v>
      </c>
      <c r="AW9" s="618">
        <v>51</v>
      </c>
      <c r="AX9" s="617" t="s">
        <v>0</v>
      </c>
      <c r="AY9" s="618">
        <v>25</v>
      </c>
      <c r="AZ9"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51</v>
      </c>
      <c r="BA9" s="617"/>
      <c r="BB9" s="617"/>
      <c r="BC9" s="617" t="s">
        <v>1090</v>
      </c>
      <c r="BD9" s="617"/>
      <c r="BF9" s="631"/>
      <c r="BG9" s="631"/>
      <c r="BH9" s="631"/>
      <c r="BI9" s="631"/>
      <c r="BJ9" s="631"/>
      <c r="BK9" s="631"/>
      <c r="BL9" s="631"/>
      <c r="BM9" s="631"/>
      <c r="BN9" s="631"/>
      <c r="BO9" s="631"/>
      <c r="BP9" s="631"/>
      <c r="BQ9" s="644" t="s">
        <v>46</v>
      </c>
      <c r="BR9" s="645">
        <v>25</v>
      </c>
      <c r="BS9" s="631"/>
      <c r="BT9" s="631"/>
      <c r="BU9" s="646" t="str" cm="1">
        <f t="array" ref="BU9">IFERROR(_xlfn.LET(_xlpm.i,ROWS($BU$2:BU9),_xlpm.cur,INDEX(tblLaminateStructures[Laminate],_xlpm.i),_xlpm.prev,IF(_xlpm.i=1,"",INDEX(tblLaminateStructures[Laminate],_xlpm.i-1)),IF(_xlpm.cur&lt;&gt;_xlpm.prev,_xlpm.cur,"")),"")</f>
        <v/>
      </c>
      <c r="BV9" s="647" t="str" cm="1">
        <f t="array" ref="BV9">IFERROR(_xlfn.LET(_xlpm.i,ROWS($BV$2:BV9),_xlpm.cur,INDEX(tblLaminateStructures[Total Thickness (µ)],_xlpm.i),_xlpm.prev,IF(_xlpm.i=1,"",INDEX(tblLaminateStructures[Total Thickness (µ)],_xlpm.i-1)),IF(OR(_xlpm.cur&lt;&gt;_xlpm.prev,BU9&lt;&gt;""),_xlpm.cur,"")),"")</f>
        <v/>
      </c>
      <c r="BW9" s="648" t="str" cm="1">
        <f t="array" ref="BW9">IFERROR(INDEX(tblLaminateStructures[Material / Layer],ROWS($BW$2:BW9)),"")</f>
        <v>TIPA 302FG</v>
      </c>
      <c r="BX9" s="647" cm="1">
        <f t="array" ref="BX9">IFERROR(INDEX(tblLaminateStructures[Layer Thickness (µ)],ROWS($BX$2:BX9)),"")</f>
        <v>25</v>
      </c>
      <c r="BY9" s="647" cm="1">
        <f t="array" ref="BY9">IFERROR(INDEX(tblLaminateStructures[Structure Check],ROWS($BY$2:BY9)),"")</f>
        <v>51</v>
      </c>
      <c r="BZ9" s="648" cm="1">
        <f t="array" ref="BZ9">IFERROR(INDEX(tblLaminateStructures[Laminate],ROWS($BZ$2:BZ9)),"")</f>
        <v>618</v>
      </c>
      <c r="CA9" s="648"/>
      <c r="CB9" s="648">
        <v>823</v>
      </c>
      <c r="CC9" s="647" cm="1">
        <f t="array" ref="CC9">IFERROR(INDEX(tblLaminateStructures[Total Thickness (µ)],ROWS($CC$2:CC9)),"")</f>
        <v>51</v>
      </c>
      <c r="CD9" s="647"/>
      <c r="CE9" s="647"/>
      <c r="CF9" s="647"/>
      <c r="CG9" s="648"/>
      <c r="CH9" s="649"/>
      <c r="CI9">
        <v>61</v>
      </c>
      <c r="CR9" t="str">
        <f>TRIM('Laminate for reels  - Sales (2)'!$C$36)</f>
        <v>Laminate819</v>
      </c>
      <c r="CS9" s="117"/>
      <c r="CT9" s="117">
        <f>'Laminate for reels  - Sales (2)'!J52</f>
        <v>0</v>
      </c>
      <c r="CU9" s="117">
        <f>'Laminate for reels  - Sales (2)'!K52</f>
        <v>0</v>
      </c>
      <c r="CV9" s="51"/>
      <c r="CW9" cm="1">
        <f t="array" ref="CW9">IF(OR(TRIM(Pouches!$AE$51&amp;"")="618",TRIM(Pouches!$AE$51&amp;"")="618 W"),106,IF(5=1,IFERROR(INDEX(_xlfn._xlws.FILTER(tblLaminateStructures[Total Thickness (µ)],(TRIM(tblLaminateStructures[Laminate]&amp;"")=TRIM(Pouches!$AE$51&amp;""))*(tblLaminateStructures[Total Thickness (µ)]&lt;&gt;"")),1),""),""))</f>
        <v>106</v>
      </c>
      <c r="CX9" t="str" cm="1">
        <f t="array" ref="CX9">IF(OR(TRIM(Pouches!$AI$51&amp;"")="618",TRIM(Pouches!$AI$51&amp;"")="618 W"),106,IF(5=1,IFERROR(INDEX(_xlfn._xlws.FILTER(tblLaminateStructures[Total Thickness (µ)],(TRIM(tblLaminateStructures[Laminate]&amp;"")=TRIM(Pouches!$AI$51&amp;""))*(tblLaminateStructures[Total Thickness (µ)]&lt;&gt;"")),1),""),""))</f>
        <v/>
      </c>
      <c r="CY9" t="str" cm="1">
        <f t="array" ref="CY9">IF(OR(TRIM(Pouches!$AM$51&amp;"")="618",TRIM(Pouches!$AM$51&amp;"")="618 W"),106,IF(5=1,IFERROR(INDEX(_xlfn._xlws.FILTER(tblLaminateStructures[Total Thickness (µ)],(TRIM(tblLaminateStructures[Laminate]&amp;"")=TRIM(Pouches!$AM$51&amp;""))*(tblLaminateStructures[Total Thickness (µ)]&lt;&gt;"")),1),""),""))</f>
        <v/>
      </c>
    </row>
    <row r="10" spans="1:112">
      <c r="A10" s="19" t="s">
        <v>17</v>
      </c>
      <c r="B10" s="19" t="s">
        <v>11</v>
      </c>
      <c r="C10" s="19" t="s">
        <v>82</v>
      </c>
      <c r="D10" s="19" t="s">
        <v>39</v>
      </c>
      <c r="E10" s="19">
        <v>14.7</v>
      </c>
      <c r="I10">
        <v>60</v>
      </c>
      <c r="O10" s="9"/>
      <c r="AG10" s="9"/>
      <c r="AP10" s="5" t="s">
        <v>202</v>
      </c>
      <c r="AQ10">
        <v>1.25</v>
      </c>
      <c r="AV10" s="617">
        <v>618</v>
      </c>
      <c r="AW10" s="618">
        <v>51</v>
      </c>
      <c r="AX10" s="617" t="s">
        <v>199</v>
      </c>
      <c r="AY10" s="618">
        <v>3</v>
      </c>
      <c r="AZ10"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51</v>
      </c>
      <c r="BA10" s="617"/>
      <c r="BB10" s="617"/>
      <c r="BC10" s="617" t="s">
        <v>1090</v>
      </c>
      <c r="BD10" s="617"/>
      <c r="BF10" s="631"/>
      <c r="BG10" s="631"/>
      <c r="BH10" s="631"/>
      <c r="BI10" s="631"/>
      <c r="BJ10" s="631"/>
      <c r="BK10" s="631"/>
      <c r="BL10" s="631"/>
      <c r="BM10" s="631"/>
      <c r="BN10" s="631"/>
      <c r="BO10" s="631"/>
      <c r="BP10" s="631"/>
      <c r="BQ10" s="644" t="s">
        <v>199</v>
      </c>
      <c r="BR10" s="645">
        <v>3</v>
      </c>
      <c r="BS10" s="631"/>
      <c r="BT10" s="631"/>
      <c r="BU10" s="646" t="str" cm="1">
        <f t="array" ref="BU10">IFERROR(_xlfn.LET(_xlpm.i,ROWS($BU$2:BU10),_xlpm.cur,INDEX(tblLaminateStructures[Laminate],_xlpm.i),_xlpm.prev,IF(_xlpm.i=1,"",INDEX(tblLaminateStructures[Laminate],_xlpm.i-1)),IF(_xlpm.cur&lt;&gt;_xlpm.prev,_xlpm.cur,"")),"")</f>
        <v/>
      </c>
      <c r="BV10" s="647" t="str" cm="1">
        <f t="array" ref="BV10">IFERROR(_xlfn.LET(_xlpm.i,ROWS($BV$2:BV10),_xlpm.cur,INDEX(tblLaminateStructures[Total Thickness (µ)],_xlpm.i),_xlpm.prev,IF(_xlpm.i=1,"",INDEX(tblLaminateStructures[Total Thickness (µ)],_xlpm.i-1)),IF(OR(_xlpm.cur&lt;&gt;_xlpm.prev,BU10&lt;&gt;""),_xlpm.cur,"")),"")</f>
        <v/>
      </c>
      <c r="BW10" s="648" t="str" cm="1">
        <f t="array" ref="BW10">IFERROR(INDEX(tblLaminateStructures[Material / Layer],ROWS($BW$2:BW10)),"")</f>
        <v>RM G Epotal ECO 3675</v>
      </c>
      <c r="BX10" s="647" cm="1">
        <f t="array" ref="BX10">IFERROR(INDEX(tblLaminateStructures[Layer Thickness (µ)],ROWS($BX$2:BX10)),"")</f>
        <v>3</v>
      </c>
      <c r="BY10" s="647" cm="1">
        <f t="array" ref="BY10">IFERROR(INDEX(tblLaminateStructures[Structure Check],ROWS($BY$2:BY10)),"")</f>
        <v>51</v>
      </c>
      <c r="BZ10" s="648" cm="1">
        <f t="array" ref="BZ10">IFERROR(INDEX(tblLaminateStructures[Laminate],ROWS($BZ$2:BZ10)),"")</f>
        <v>618</v>
      </c>
      <c r="CA10" s="648"/>
      <c r="CB10" s="648">
        <v>918</v>
      </c>
      <c r="CC10" s="647" cm="1">
        <f t="array" ref="CC10">IFERROR(INDEX(tblLaminateStructures[Total Thickness (µ)],ROWS($CC$2:CC10)),"")</f>
        <v>51</v>
      </c>
      <c r="CD10" s="647"/>
      <c r="CE10" s="647"/>
      <c r="CF10" s="647"/>
      <c r="CG10" s="648"/>
      <c r="CH10" s="649"/>
      <c r="CI10">
        <v>61</v>
      </c>
      <c r="CR10" t="str">
        <f>TRIM('Laminate for reels  - Sales (2)'!$C$36)</f>
        <v>Laminate819</v>
      </c>
      <c r="CS10" s="117"/>
      <c r="CT10" s="117">
        <f>'Laminate for reels  - Sales (2)'!J53</f>
        <v>0</v>
      </c>
      <c r="CU10" s="117" t="str">
        <f>'Laminate for reels  - Sales (2)'!K53</f>
        <v>Per day</v>
      </c>
      <c r="CV10" s="51"/>
      <c r="CW10" cm="1">
        <f t="array" ref="CW10">IF(OR(TRIM(Pouches!$AE$51&amp;"")="618",TRIM(Pouches!$AE$51&amp;"")="618 W"),106,IF(5=1,IFERROR(INDEX(_xlfn._xlws.FILTER(tblLaminateStructures[Total Thickness (µ)],(TRIM(tblLaminateStructures[Laminate]&amp;"")=TRIM(Pouches!$AE$51&amp;""))*(tblLaminateStructures[Total Thickness (µ)]&lt;&gt;"")),1),""),""))</f>
        <v>106</v>
      </c>
      <c r="CX10" t="str" cm="1">
        <f t="array" ref="CX10">IF(OR(TRIM(Pouches!$AI$51&amp;"")="618",TRIM(Pouches!$AI$51&amp;"")="618 W"),106,IF(5=1,IFERROR(INDEX(_xlfn._xlws.FILTER(tblLaminateStructures[Total Thickness (µ)],(TRIM(tblLaminateStructures[Laminate]&amp;"")=TRIM(Pouches!$AI$51&amp;""))*(tblLaminateStructures[Total Thickness (µ)]&lt;&gt;"")),1),""),""))</f>
        <v/>
      </c>
      <c r="CY10" t="str" cm="1">
        <f t="array" ref="CY10">IF(OR(TRIM(Pouches!$AM$51&amp;"")="618",TRIM(Pouches!$AM$51&amp;"")="618 W"),106,IF(5=1,IFERROR(INDEX(_xlfn._xlws.FILTER(tblLaminateStructures[Total Thickness (µ)],(TRIM(tblLaminateStructures[Laminate]&amp;"")=TRIM(Pouches!$AM$51&amp;""))*(tblLaminateStructures[Total Thickness (µ)]&lt;&gt;"")),1),""),""))</f>
        <v/>
      </c>
    </row>
    <row r="11" spans="1:112">
      <c r="A11" s="20" t="s">
        <v>18</v>
      </c>
      <c r="B11" s="20" t="s">
        <v>9</v>
      </c>
      <c r="C11" s="20" t="s">
        <v>83</v>
      </c>
      <c r="D11" s="20" t="s">
        <v>40</v>
      </c>
      <c r="E11" s="20">
        <v>7.55</v>
      </c>
      <c r="I11">
        <v>65</v>
      </c>
      <c r="O11" s="9"/>
      <c r="AG11" s="9"/>
      <c r="AP11" s="5" t="s">
        <v>14</v>
      </c>
      <c r="AQ11">
        <v>1.25</v>
      </c>
      <c r="AV11" s="617">
        <v>618</v>
      </c>
      <c r="AW11" s="618">
        <v>56</v>
      </c>
      <c r="AX11" s="617" t="s">
        <v>190</v>
      </c>
      <c r="AY11" s="618">
        <v>23</v>
      </c>
      <c r="AZ11"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56</v>
      </c>
      <c r="BA11" s="617"/>
      <c r="BB11" s="617"/>
      <c r="BC11" s="617" t="s">
        <v>1090</v>
      </c>
      <c r="BD11" s="617"/>
      <c r="BF11" s="631"/>
      <c r="BG11" s="631"/>
      <c r="BH11" s="631"/>
      <c r="BI11" s="631"/>
      <c r="BJ11" s="631"/>
      <c r="BK11" s="631"/>
      <c r="BL11" s="631"/>
      <c r="BM11" s="631"/>
      <c r="BN11" s="631"/>
      <c r="BO11" s="631"/>
      <c r="BP11" s="631"/>
      <c r="BQ11" s="644" t="s">
        <v>195</v>
      </c>
      <c r="BR11" s="645">
        <v>3</v>
      </c>
      <c r="BS11" s="631"/>
      <c r="BT11" s="631"/>
      <c r="BU11" s="646" t="str" cm="1">
        <f t="array" ref="BU11">IFERROR(_xlfn.LET(_xlpm.i,ROWS($BU$2:BU11),_xlpm.cur,INDEX(tblLaminateStructures[Laminate],_xlpm.i),_xlpm.prev,IF(_xlpm.i=1,"",INDEX(tblLaminateStructures[Laminate],_xlpm.i-1)),IF(_xlpm.cur&lt;&gt;_xlpm.prev,_xlpm.cur,"")),"")</f>
        <v/>
      </c>
      <c r="BV11" s="647" cm="1">
        <f t="array" ref="BV11">IFERROR(_xlfn.LET(_xlpm.i,ROWS($BV$2:BV11),_xlpm.cur,INDEX(tblLaminateStructures[Total Thickness (µ)],_xlpm.i),_xlpm.prev,IF(_xlpm.i=1,"",INDEX(tblLaminateStructures[Total Thickness (µ)],_xlpm.i-1)),IF(OR(_xlpm.cur&lt;&gt;_xlpm.prev,BU11&lt;&gt;""),_xlpm.cur,"")),"")</f>
        <v>56</v>
      </c>
      <c r="BW11" s="648" t="str" cm="1">
        <f t="array" ref="BW11">IFERROR(INDEX(tblLaminateStructures[Material / Layer],ROWS($BW$2:BW11)),"")</f>
        <v>NK</v>
      </c>
      <c r="BX11" s="647" cm="1">
        <f t="array" ref="BX11">IFERROR(INDEX(tblLaminateStructures[Layer Thickness (µ)],ROWS($BX$2:BX11)),"")</f>
        <v>23</v>
      </c>
      <c r="BY11" s="647" cm="1">
        <f t="array" ref="BY11">IFERROR(INDEX(tblLaminateStructures[Structure Check],ROWS($BY$2:BY11)),"")</f>
        <v>56</v>
      </c>
      <c r="BZ11" s="648" cm="1">
        <f t="array" ref="BZ11">IFERROR(INDEX(tblLaminateStructures[Laminate],ROWS($BZ$2:BZ11)),"")</f>
        <v>618</v>
      </c>
      <c r="CA11" s="648"/>
      <c r="CB11" s="648">
        <v>919</v>
      </c>
      <c r="CC11" s="647" cm="1">
        <f t="array" ref="CC11">IFERROR(INDEX(tblLaminateStructures[Total Thickness (µ)],ROWS($CC$2:CC11)),"")</f>
        <v>56</v>
      </c>
      <c r="CD11" s="647"/>
      <c r="CE11" s="647"/>
      <c r="CF11" s="647"/>
      <c r="CG11" s="648"/>
      <c r="CH11" s="649"/>
      <c r="CI11">
        <v>66</v>
      </c>
      <c r="CR11" t="str">
        <f>TRIM('Laminate for reels  - Sales (2)'!$C$36)</f>
        <v>Laminate819</v>
      </c>
      <c r="CS11" s="117"/>
      <c r="CT11" s="117">
        <f>'Laminate for reels  - Sales (2)'!J54</f>
        <v>0</v>
      </c>
      <c r="CU11" s="117">
        <f>'Laminate for reels  - Sales (2)'!K54</f>
        <v>86400</v>
      </c>
      <c r="CV11" s="51"/>
      <c r="CW11" cm="1">
        <f t="array" ref="CW11">IF(OR(TRIM(Pouches!$AE$51&amp;"")="618",TRIM(Pouches!$AE$51&amp;"")="618 W"),106,IF(5=1,IFERROR(INDEX(_xlfn._xlws.FILTER(tblLaminateStructures[Total Thickness (µ)],(TRIM(tblLaminateStructures[Laminate]&amp;"")=TRIM(Pouches!$AE$51&amp;""))*(tblLaminateStructures[Total Thickness (µ)]&lt;&gt;"")),1),""),""))</f>
        <v>106</v>
      </c>
      <c r="CX11" t="str" cm="1">
        <f t="array" ref="CX11">IF(OR(TRIM(Pouches!$AI$51&amp;"")="618",TRIM(Pouches!$AI$51&amp;"")="618 W"),106,IF(5=1,IFERROR(INDEX(_xlfn._xlws.FILTER(tblLaminateStructures[Total Thickness (µ)],(TRIM(tblLaminateStructures[Laminate]&amp;"")=TRIM(Pouches!$AI$51&amp;""))*(tblLaminateStructures[Total Thickness (µ)]&lt;&gt;"")),1),""),""))</f>
        <v/>
      </c>
      <c r="CY11" t="str" cm="1">
        <f t="array" ref="CY11">IF(OR(TRIM(Pouches!$AM$51&amp;"")="618",TRIM(Pouches!$AM$51&amp;"")="618 W"),106,IF(5=1,IFERROR(INDEX(_xlfn._xlws.FILTER(tblLaminateStructures[Total Thickness (µ)],(TRIM(tblLaminateStructures[Laminate]&amp;"")=TRIM(Pouches!$AM$51&amp;""))*(tblLaminateStructures[Total Thickness (µ)]&lt;&gt;"")),1),""),""))</f>
        <v/>
      </c>
    </row>
    <row r="12" spans="1:112">
      <c r="A12" s="19" t="s">
        <v>19</v>
      </c>
      <c r="B12" s="19" t="s">
        <v>30</v>
      </c>
      <c r="C12" s="19" t="s">
        <v>30</v>
      </c>
      <c r="D12" s="19" t="s">
        <v>30</v>
      </c>
      <c r="E12" s="19">
        <v>18.5</v>
      </c>
      <c r="I12">
        <v>70</v>
      </c>
      <c r="O12" s="9"/>
      <c r="AP12" s="95" t="s">
        <v>195</v>
      </c>
      <c r="AQ12">
        <v>1</v>
      </c>
      <c r="AV12" s="617">
        <v>618</v>
      </c>
      <c r="AW12" s="618">
        <v>56</v>
      </c>
      <c r="AX12" s="617" t="s">
        <v>0</v>
      </c>
      <c r="AY12" s="618">
        <v>30</v>
      </c>
      <c r="AZ12"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56</v>
      </c>
      <c r="BA12" s="617"/>
      <c r="BB12" s="617"/>
      <c r="BC12" s="617" t="s">
        <v>1090</v>
      </c>
      <c r="BD12" s="617"/>
      <c r="BF12" s="631"/>
      <c r="BG12" s="631"/>
      <c r="BH12" s="631"/>
      <c r="BI12" s="631"/>
      <c r="BJ12" s="631"/>
      <c r="BK12" s="631"/>
      <c r="BL12" s="631"/>
      <c r="BM12" s="631"/>
      <c r="BN12" s="631"/>
      <c r="BO12" s="631"/>
      <c r="BP12" s="631"/>
      <c r="BQ12" s="644" t="s">
        <v>196</v>
      </c>
      <c r="BR12" s="645">
        <v>3</v>
      </c>
      <c r="BS12" s="631"/>
      <c r="BT12" s="631"/>
      <c r="BU12" s="646" t="str" cm="1">
        <f t="array" ref="BU12">IFERROR(_xlfn.LET(_xlpm.i,ROWS($BU$2:BU12),_xlpm.cur,INDEX(tblLaminateStructures[Laminate],_xlpm.i),_xlpm.prev,IF(_xlpm.i=1,"",INDEX(tblLaminateStructures[Laminate],_xlpm.i-1)),IF(_xlpm.cur&lt;&gt;_xlpm.prev,_xlpm.cur,"")),"")</f>
        <v/>
      </c>
      <c r="BV12" s="647" t="str" cm="1">
        <f t="array" ref="BV12">IFERROR(_xlfn.LET(_xlpm.i,ROWS($BV$2:BV12),_xlpm.cur,INDEX(tblLaminateStructures[Total Thickness (µ)],_xlpm.i),_xlpm.prev,IF(_xlpm.i=1,"",INDEX(tblLaminateStructures[Total Thickness (µ)],_xlpm.i-1)),IF(OR(_xlpm.cur&lt;&gt;_xlpm.prev,BU12&lt;&gt;""),_xlpm.cur,"")),"")</f>
        <v/>
      </c>
      <c r="BW12" s="648" t="str" cm="1">
        <f t="array" ref="BW12">IFERROR(INDEX(tblLaminateStructures[Material / Layer],ROWS($BW$2:BW12)),"")</f>
        <v>TIPA 302FG</v>
      </c>
      <c r="BX12" s="647" cm="1">
        <f t="array" ref="BX12">IFERROR(INDEX(tblLaminateStructures[Layer Thickness (µ)],ROWS($BX$2:BX12)),"")</f>
        <v>30</v>
      </c>
      <c r="BY12" s="647" cm="1">
        <f t="array" ref="BY12">IFERROR(INDEX(tblLaminateStructures[Structure Check],ROWS($BY$2:BY12)),"")</f>
        <v>56</v>
      </c>
      <c r="BZ12" s="648" cm="1">
        <f t="array" ref="BZ12">IFERROR(INDEX(tblLaminateStructures[Laminate],ROWS($BZ$2:BZ12)),"")</f>
        <v>618</v>
      </c>
      <c r="CA12" s="648"/>
      <c r="CB12" s="648">
        <v>923</v>
      </c>
      <c r="CC12" s="647" cm="1">
        <f t="array" ref="CC12">IFERROR(INDEX(tblLaminateStructures[Total Thickness (µ)],ROWS($CC$2:CC12)),"")</f>
        <v>56</v>
      </c>
      <c r="CD12" s="647"/>
      <c r="CE12" s="647"/>
      <c r="CF12" s="647"/>
      <c r="CG12" s="648"/>
      <c r="CH12" s="649"/>
      <c r="CI12">
        <v>66</v>
      </c>
      <c r="CR12" t="str">
        <f>TRIM('Laminate for reels  - Sales (2)'!$C$36)</f>
        <v>Laminate819</v>
      </c>
      <c r="CS12" s="117"/>
      <c r="CT12" s="117">
        <f>'Laminate for reels  - Sales (2)'!J55</f>
        <v>0</v>
      </c>
      <c r="CU12" s="117">
        <f>'Laminate for reels  - Sales (2)'!K55</f>
        <v>144000</v>
      </c>
      <c r="CV12" s="51"/>
      <c r="CW12" cm="1">
        <f t="array" ref="CW12">IF(OR(TRIM(Pouches!$AE$51&amp;"")="618",TRIM(Pouches!$AE$51&amp;"")="618 W"),106,IF(5=1,IFERROR(INDEX(_xlfn._xlws.FILTER(tblLaminateStructures[Total Thickness (µ)],(TRIM(tblLaminateStructures[Laminate]&amp;"")=TRIM(Pouches!$AE$51&amp;""))*(tblLaminateStructures[Total Thickness (µ)]&lt;&gt;"")),1),""),""))</f>
        <v>106</v>
      </c>
      <c r="CX12" t="str" cm="1">
        <f t="array" ref="CX12">IF(OR(TRIM(Pouches!$AI$51&amp;"")="618",TRIM(Pouches!$AI$51&amp;"")="618 W"),106,IF(5=1,IFERROR(INDEX(_xlfn._xlws.FILTER(tblLaminateStructures[Total Thickness (µ)],(TRIM(tblLaminateStructures[Laminate]&amp;"")=TRIM(Pouches!$AI$51&amp;""))*(tblLaminateStructures[Total Thickness (µ)]&lt;&gt;"")),1),""),""))</f>
        <v/>
      </c>
      <c r="CY12" t="str" cm="1">
        <f t="array" ref="CY12">IF(OR(TRIM(Pouches!$AM$51&amp;"")="618",TRIM(Pouches!$AM$51&amp;"")="618 W"),106,IF(5=1,IFERROR(INDEX(_xlfn._xlws.FILTER(tblLaminateStructures[Total Thickness (µ)],(TRIM(tblLaminateStructures[Laminate]&amp;"")=TRIM(Pouches!$AM$51&amp;""))*(tblLaminateStructures[Total Thickness (µ)]&lt;&gt;"")),1),""),""))</f>
        <v/>
      </c>
    </row>
    <row r="13" spans="1:112">
      <c r="A13" s="20" t="s">
        <v>12</v>
      </c>
      <c r="B13" s="20" t="s">
        <v>8</v>
      </c>
      <c r="C13" s="20" t="s">
        <v>84</v>
      </c>
      <c r="D13" s="20" t="s">
        <v>42</v>
      </c>
      <c r="E13" s="20">
        <v>6.75</v>
      </c>
      <c r="I13">
        <v>75</v>
      </c>
      <c r="AP13" s="5" t="s">
        <v>199</v>
      </c>
      <c r="AQ13">
        <v>1</v>
      </c>
      <c r="AV13" s="617">
        <v>618</v>
      </c>
      <c r="AW13" s="618">
        <v>56</v>
      </c>
      <c r="AX13" s="617" t="s">
        <v>199</v>
      </c>
      <c r="AY13" s="618">
        <v>3</v>
      </c>
      <c r="AZ13"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56</v>
      </c>
      <c r="BA13" s="617"/>
      <c r="BB13" s="617"/>
      <c r="BC13" s="617" t="s">
        <v>1090</v>
      </c>
      <c r="BD13" s="617"/>
      <c r="BF13" s="631"/>
      <c r="BG13" s="631"/>
      <c r="BH13" s="631"/>
      <c r="BI13" s="631"/>
      <c r="BJ13" s="631"/>
      <c r="BK13" s="631"/>
      <c r="BL13" s="631"/>
      <c r="BM13" s="631"/>
      <c r="BN13" s="631"/>
      <c r="BO13" s="631"/>
      <c r="BP13" s="631"/>
      <c r="BQ13" s="644" t="s">
        <v>203</v>
      </c>
      <c r="BR13" s="645">
        <v>40</v>
      </c>
      <c r="BS13" s="631"/>
      <c r="BT13" s="631"/>
      <c r="BU13" s="646" t="str" cm="1">
        <f t="array" ref="BU13">IFERROR(_xlfn.LET(_xlpm.i,ROWS($BU$2:BU13),_xlpm.cur,INDEX(tblLaminateStructures[Laminate],_xlpm.i),_xlpm.prev,IF(_xlpm.i=1,"",INDEX(tblLaminateStructures[Laminate],_xlpm.i-1)),IF(_xlpm.cur&lt;&gt;_xlpm.prev,_xlpm.cur,"")),"")</f>
        <v/>
      </c>
      <c r="BV13" s="647" t="str" cm="1">
        <f t="array" ref="BV13">IFERROR(_xlfn.LET(_xlpm.i,ROWS($BV$2:BV13),_xlpm.cur,INDEX(tblLaminateStructures[Total Thickness (µ)],_xlpm.i),_xlpm.prev,IF(_xlpm.i=1,"",INDEX(tblLaminateStructures[Total Thickness (µ)],_xlpm.i-1)),IF(OR(_xlpm.cur&lt;&gt;_xlpm.prev,BU13&lt;&gt;""),_xlpm.cur,"")),"")</f>
        <v/>
      </c>
      <c r="BW13" s="648" t="str" cm="1">
        <f t="array" ref="BW13">IFERROR(INDEX(tblLaminateStructures[Material / Layer],ROWS($BW$2:BW13)),"")</f>
        <v>RM G Epotal ECO 3675</v>
      </c>
      <c r="BX13" s="647" cm="1">
        <f t="array" ref="BX13">IFERROR(INDEX(tblLaminateStructures[Layer Thickness (µ)],ROWS($BX$2:BX13)),"")</f>
        <v>3</v>
      </c>
      <c r="BY13" s="647" cm="1">
        <f t="array" ref="BY13">IFERROR(INDEX(tblLaminateStructures[Structure Check],ROWS($BY$2:BY13)),"")</f>
        <v>56</v>
      </c>
      <c r="BZ13" s="648" cm="1">
        <f t="array" ref="BZ13">IFERROR(INDEX(tblLaminateStructures[Laminate],ROWS($BZ$2:BZ13)),"")</f>
        <v>618</v>
      </c>
      <c r="CA13" s="648"/>
      <c r="CB13" s="648">
        <v>928</v>
      </c>
      <c r="CC13" s="647" cm="1">
        <f t="array" ref="CC13">IFERROR(INDEX(tblLaminateStructures[Total Thickness (µ)],ROWS($CC$2:CC13)),"")</f>
        <v>56</v>
      </c>
      <c r="CD13" s="647"/>
      <c r="CE13" s="647"/>
      <c r="CF13" s="647"/>
      <c r="CG13" s="648"/>
      <c r="CH13" s="649"/>
      <c r="CI13">
        <v>66</v>
      </c>
      <c r="CR13" t="str">
        <f>TRIM('Laminate for reels  - Sales (2)'!$C$36)</f>
        <v>Laminate819</v>
      </c>
      <c r="CS13" s="117"/>
      <c r="CT13" s="117">
        <f>'Laminate for reels  - Sales (2)'!J56</f>
        <v>0</v>
      </c>
      <c r="CU13" s="117">
        <f>'Laminate for reels  - Sales (2)'!K56</f>
        <v>216000</v>
      </c>
      <c r="CV13" s="51"/>
      <c r="CW13" cm="1">
        <f t="array" ref="CW13">IF(OR(TRIM(Pouches!$AE$51&amp;"")="618",TRIM(Pouches!$AE$51&amp;"")="618 W"),106,IF(5=1,IFERROR(INDEX(_xlfn._xlws.FILTER(tblLaminateStructures[Total Thickness (µ)],(TRIM(tblLaminateStructures[Laminate]&amp;"")=TRIM(Pouches!$AE$51&amp;""))*(tblLaminateStructures[Total Thickness (µ)]&lt;&gt;"")),1),""),""))</f>
        <v>106</v>
      </c>
      <c r="CX13" t="str" cm="1">
        <f t="array" ref="CX13">IF(OR(TRIM(Pouches!$AI$51&amp;"")="618",TRIM(Pouches!$AI$51&amp;"")="618 W"),106,IF(5=1,IFERROR(INDEX(_xlfn._xlws.FILTER(tblLaminateStructures[Total Thickness (µ)],(TRIM(tblLaminateStructures[Laminate]&amp;"")=TRIM(Pouches!$AI$51&amp;""))*(tblLaminateStructures[Total Thickness (µ)]&lt;&gt;"")),1),""),""))</f>
        <v/>
      </c>
      <c r="CY13" t="str" cm="1">
        <f t="array" ref="CY13">IF(OR(TRIM(Pouches!$AM$51&amp;"")="618",TRIM(Pouches!$AM$51&amp;"")="618 W"),106,IF(5=1,IFERROR(INDEX(_xlfn._xlws.FILTER(tblLaminateStructures[Total Thickness (µ)],(TRIM(tblLaminateStructures[Laminate]&amp;"")=TRIM(Pouches!$AM$51&amp;""))*(tblLaminateStructures[Total Thickness (µ)]&lt;&gt;"")),1),""),""))</f>
        <v/>
      </c>
    </row>
    <row r="14" spans="1:112">
      <c r="A14" s="19" t="s">
        <v>41</v>
      </c>
      <c r="B14" s="19" t="s">
        <v>26</v>
      </c>
      <c r="C14" s="19" t="s">
        <v>26</v>
      </c>
      <c r="D14" s="19" t="s">
        <v>54</v>
      </c>
      <c r="E14" s="19">
        <v>6.15</v>
      </c>
      <c r="AP14" s="5" t="s">
        <v>196</v>
      </c>
      <c r="AQ14">
        <v>1</v>
      </c>
      <c r="AV14" s="617">
        <v>618</v>
      </c>
      <c r="AW14" s="618">
        <v>61</v>
      </c>
      <c r="AX14" s="617" t="s">
        <v>190</v>
      </c>
      <c r="AY14" s="618">
        <v>23</v>
      </c>
      <c r="AZ14"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61</v>
      </c>
      <c r="BA14" s="617"/>
      <c r="BB14" s="617"/>
      <c r="BC14" s="617" t="s">
        <v>1090</v>
      </c>
      <c r="BD14" s="617"/>
      <c r="BF14" s="631"/>
      <c r="BG14" s="631"/>
      <c r="BH14" s="631"/>
      <c r="BI14" s="631"/>
      <c r="BJ14" s="631"/>
      <c r="BK14" s="631"/>
      <c r="BL14" s="631"/>
      <c r="BM14" s="631"/>
      <c r="BN14" s="631"/>
      <c r="BO14" s="631"/>
      <c r="BP14" s="631"/>
      <c r="BQ14" s="644" t="s">
        <v>192</v>
      </c>
      <c r="BR14" s="645">
        <v>25</v>
      </c>
      <c r="BS14" s="631"/>
      <c r="BT14" s="631"/>
      <c r="BU14" s="646" t="str" cm="1">
        <f t="array" ref="BU14">IFERROR(_xlfn.LET(_xlpm.i,ROWS($BU$2:BU14),_xlpm.cur,INDEX(tblLaminateStructures[Laminate],_xlpm.i),_xlpm.prev,IF(_xlpm.i=1,"",INDEX(tblLaminateStructures[Laminate],_xlpm.i-1)),IF(_xlpm.cur&lt;&gt;_xlpm.prev,_xlpm.cur,"")),"")</f>
        <v/>
      </c>
      <c r="BV14" s="647" cm="1">
        <f t="array" ref="BV14">IFERROR(_xlfn.LET(_xlpm.i,ROWS($BV$2:BV14),_xlpm.cur,INDEX(tblLaminateStructures[Total Thickness (µ)],_xlpm.i),_xlpm.prev,IF(_xlpm.i=1,"",INDEX(tblLaminateStructures[Total Thickness (µ)],_xlpm.i-1)),IF(OR(_xlpm.cur&lt;&gt;_xlpm.prev,BU14&lt;&gt;""),_xlpm.cur,"")),"")</f>
        <v>61</v>
      </c>
      <c r="BW14" s="648" t="str" cm="1">
        <f t="array" ref="BW14">IFERROR(INDEX(tblLaminateStructures[Material / Layer],ROWS($BW$2:BW14)),"")</f>
        <v>NK</v>
      </c>
      <c r="BX14" s="647" cm="1">
        <f t="array" ref="BX14">IFERROR(INDEX(tblLaminateStructures[Layer Thickness (µ)],ROWS($BX$2:BX14)),"")</f>
        <v>23</v>
      </c>
      <c r="BY14" s="647" cm="1">
        <f t="array" ref="BY14">IFERROR(INDEX(tblLaminateStructures[Structure Check],ROWS($BY$2:BY14)),"")</f>
        <v>61</v>
      </c>
      <c r="BZ14" s="648" cm="1">
        <f t="array" ref="BZ14">IFERROR(INDEX(tblLaminateStructures[Laminate],ROWS($BZ$2:BZ14)),"")</f>
        <v>618</v>
      </c>
      <c r="CA14" s="648"/>
      <c r="CB14" s="648" t="str">
        <v>608 W</v>
      </c>
      <c r="CC14" s="647" cm="1">
        <f t="array" ref="CC14">IFERROR(INDEX(tblLaminateStructures[Total Thickness (µ)],ROWS($CC$2:CC14)),"")</f>
        <v>61</v>
      </c>
      <c r="CD14" s="647"/>
      <c r="CE14" s="647"/>
      <c r="CF14" s="647"/>
      <c r="CG14" s="648"/>
      <c r="CH14" s="649"/>
      <c r="CI14">
        <v>78</v>
      </c>
      <c r="CR14" t="str">
        <f>TRIM('Laminate for reels  - Sales (2)'!$C$36)</f>
        <v>Laminate819</v>
      </c>
      <c r="CS14" s="117"/>
      <c r="CT14" s="117">
        <f>'Laminate for reels  - Sales (2)'!J57</f>
        <v>0</v>
      </c>
      <c r="CU14" s="117">
        <f>'Laminate for reels  - Sales (2)'!K57</f>
        <v>0</v>
      </c>
      <c r="CV14" s="51"/>
      <c r="CW14" cm="1">
        <f t="array" ref="CW14">IF(OR(TRIM(Pouches!$AE$51&amp;"")="618",TRIM(Pouches!$AE$51&amp;"")="618 W"),106,IF(5=1,IFERROR(INDEX(_xlfn._xlws.FILTER(tblLaminateStructures[Total Thickness (µ)],(TRIM(tblLaminateStructures[Laminate]&amp;"")=TRIM(Pouches!$AE$51&amp;""))*(tblLaminateStructures[Total Thickness (µ)]&lt;&gt;"")),1),""),""))</f>
        <v>106</v>
      </c>
      <c r="CX14" t="str" cm="1">
        <f t="array" ref="CX14">IF(OR(TRIM(Pouches!$AI$51&amp;"")="618",TRIM(Pouches!$AI$51&amp;"")="618 W"),106,IF(5=1,IFERROR(INDEX(_xlfn._xlws.FILTER(tblLaminateStructures[Total Thickness (µ)],(TRIM(tblLaminateStructures[Laminate]&amp;"")=TRIM(Pouches!$AI$51&amp;""))*(tblLaminateStructures[Total Thickness (µ)]&lt;&gt;"")),1),""),""))</f>
        <v/>
      </c>
      <c r="CY14" t="str" cm="1">
        <f t="array" ref="CY14">IF(OR(TRIM(Pouches!$AM$51&amp;"")="618",TRIM(Pouches!$AM$51&amp;"")="618 W"),106,IF(5=1,IFERROR(INDEX(_xlfn._xlws.FILTER(tblLaminateStructures[Total Thickness (µ)],(TRIM(tblLaminateStructures[Laminate]&amp;"")=TRIM(Pouches!$AM$51&amp;""))*(tblLaminateStructures[Total Thickness (µ)]&lt;&gt;"")),1),""),""))</f>
        <v/>
      </c>
    </row>
    <row r="15" spans="1:112">
      <c r="A15" s="20" t="s">
        <v>14</v>
      </c>
      <c r="B15" s="20" t="s">
        <v>193</v>
      </c>
      <c r="C15" s="20" t="s">
        <v>192</v>
      </c>
      <c r="D15" s="20" t="s">
        <v>191</v>
      </c>
      <c r="E15" s="20">
        <v>5.5</v>
      </c>
      <c r="F15" s="10" t="s">
        <v>205</v>
      </c>
      <c r="AP15" s="5" t="s">
        <v>1224</v>
      </c>
      <c r="AQ15">
        <v>1.44</v>
      </c>
      <c r="AV15" s="617">
        <v>618</v>
      </c>
      <c r="AW15" s="618">
        <v>61</v>
      </c>
      <c r="AX15" s="617" t="s">
        <v>0</v>
      </c>
      <c r="AY15" s="618">
        <v>35</v>
      </c>
      <c r="AZ15"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61</v>
      </c>
      <c r="BA15" s="617"/>
      <c r="BB15" s="617"/>
      <c r="BC15" s="617" t="s">
        <v>1090</v>
      </c>
      <c r="BD15" s="617"/>
      <c r="BF15" s="631"/>
      <c r="BG15" s="631"/>
      <c r="BH15" s="631"/>
      <c r="BI15" s="631"/>
      <c r="BJ15" s="631"/>
      <c r="BK15" s="631"/>
      <c r="BL15" s="631"/>
      <c r="BM15" s="631"/>
      <c r="BN15" s="631"/>
      <c r="BO15" s="631"/>
      <c r="BP15" s="631"/>
      <c r="BQ15" s="656" t="s">
        <v>204</v>
      </c>
      <c r="BR15" s="657">
        <v>40</v>
      </c>
      <c r="BS15" s="631"/>
      <c r="BT15" s="631"/>
      <c r="BU15" s="646" t="str" cm="1">
        <f t="array" ref="BU15">IFERROR(_xlfn.LET(_xlpm.i,ROWS($BU$2:BU15),_xlpm.cur,INDEX(tblLaminateStructures[Laminate],_xlpm.i),_xlpm.prev,IF(_xlpm.i=1,"",INDEX(tblLaminateStructures[Laminate],_xlpm.i-1)),IF(_xlpm.cur&lt;&gt;_xlpm.prev,_xlpm.cur,"")),"")</f>
        <v/>
      </c>
      <c r="BV15" s="647" t="str" cm="1">
        <f t="array" ref="BV15">IFERROR(_xlfn.LET(_xlpm.i,ROWS($BV$2:BV15),_xlpm.cur,INDEX(tblLaminateStructures[Total Thickness (µ)],_xlpm.i),_xlpm.prev,IF(_xlpm.i=1,"",INDEX(tblLaminateStructures[Total Thickness (µ)],_xlpm.i-1)),IF(OR(_xlpm.cur&lt;&gt;_xlpm.prev,BU15&lt;&gt;""),_xlpm.cur,"")),"")</f>
        <v/>
      </c>
      <c r="BW15" s="648" t="str" cm="1">
        <f t="array" ref="BW15">IFERROR(INDEX(tblLaminateStructures[Material / Layer],ROWS($BW$2:BW15)),"")</f>
        <v>TIPA 302FG</v>
      </c>
      <c r="BX15" s="647" cm="1">
        <f t="array" ref="BX15">IFERROR(INDEX(tblLaminateStructures[Layer Thickness (µ)],ROWS($BX$2:BX15)),"")</f>
        <v>35</v>
      </c>
      <c r="BY15" s="647" cm="1">
        <f t="array" ref="BY15">IFERROR(INDEX(tblLaminateStructures[Structure Check],ROWS($BY$2:BY15)),"")</f>
        <v>61</v>
      </c>
      <c r="BZ15" s="648" cm="1">
        <f t="array" ref="BZ15">IFERROR(INDEX(tblLaminateStructures[Laminate],ROWS($BZ$2:BZ15)),"")</f>
        <v>618</v>
      </c>
      <c r="CA15" s="648"/>
      <c r="CB15" s="648" t="str">
        <v>618 W</v>
      </c>
      <c r="CC15" s="647" cm="1">
        <f t="array" ref="CC15">IFERROR(INDEX(tblLaminateStructures[Total Thickness (µ)],ROWS($CC$2:CC15)),"")</f>
        <v>61</v>
      </c>
      <c r="CD15" s="647"/>
      <c r="CE15" s="647"/>
      <c r="CF15" s="647"/>
      <c r="CG15" s="648"/>
      <c r="CH15" s="649"/>
      <c r="CI15">
        <v>78</v>
      </c>
      <c r="CR15" t="str">
        <f>TRIM('Laminate for reels  - Sales (2)'!$C$36)</f>
        <v>Laminate819</v>
      </c>
      <c r="CS15" s="117"/>
      <c r="CT15" s="117">
        <f>'Laminate for reels  - Sales (2)'!J58</f>
        <v>0</v>
      </c>
      <c r="CU15" s="117">
        <f>'Laminate for reels  - Sales (2)'!K58</f>
        <v>0</v>
      </c>
      <c r="CV15" s="51"/>
      <c r="CW15" cm="1">
        <f t="array" ref="CW15">IF(OR(TRIM(Pouches!$AE$51&amp;"")="618",TRIM(Pouches!$AE$51&amp;"")="618 W"),106,IF(5=1,IFERROR(INDEX(_xlfn._xlws.FILTER(tblLaminateStructures[Total Thickness (µ)],(TRIM(tblLaminateStructures[Laminate]&amp;"")=TRIM(Pouches!$AE$51&amp;""))*(tblLaminateStructures[Total Thickness (µ)]&lt;&gt;"")),1),""),""))</f>
        <v>106</v>
      </c>
      <c r="CX15" t="str" cm="1">
        <f t="array" ref="CX15">IF(OR(TRIM(Pouches!$AI$51&amp;"")="618",TRIM(Pouches!$AI$51&amp;"")="618 W"),106,IF(5=1,IFERROR(INDEX(_xlfn._xlws.FILTER(tblLaminateStructures[Total Thickness (µ)],(TRIM(tblLaminateStructures[Laminate]&amp;"")=TRIM(Pouches!$AI$51&amp;""))*(tblLaminateStructures[Total Thickness (µ)]&lt;&gt;"")),1),""),""))</f>
        <v/>
      </c>
      <c r="CY15" t="str" cm="1">
        <f t="array" ref="CY15">IF(OR(TRIM(Pouches!$AM$51&amp;"")="618",TRIM(Pouches!$AM$51&amp;"")="618 W"),106,IF(5=1,IFERROR(INDEX(_xlfn._xlws.FILTER(tblLaminateStructures[Total Thickness (µ)],(TRIM(tblLaminateStructures[Laminate]&amp;"")=TRIM(Pouches!$AM$51&amp;""))*(tblLaminateStructures[Total Thickness (µ)]&lt;&gt;"")),1),""),""))</f>
        <v/>
      </c>
    </row>
    <row r="16" spans="1:112">
      <c r="A16" s="19" t="s">
        <v>194</v>
      </c>
      <c r="B16" s="19"/>
      <c r="C16" s="19" t="s">
        <v>195</v>
      </c>
      <c r="D16" s="19"/>
      <c r="E16" s="19">
        <v>5.6</v>
      </c>
      <c r="F16" s="10" t="s">
        <v>205</v>
      </c>
      <c r="AP16" s="5" t="s">
        <v>1099</v>
      </c>
      <c r="AQ16">
        <v>1.44</v>
      </c>
      <c r="AV16" s="617">
        <v>618</v>
      </c>
      <c r="AW16" s="618">
        <v>61</v>
      </c>
      <c r="AX16" s="617" t="s">
        <v>199</v>
      </c>
      <c r="AY16" s="618">
        <v>3</v>
      </c>
      <c r="AZ16"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61</v>
      </c>
      <c r="BA16" s="617"/>
      <c r="BB16" s="617"/>
      <c r="BC16" s="617" t="s">
        <v>1090</v>
      </c>
      <c r="BD16" s="617"/>
      <c r="BF16" s="631"/>
      <c r="BG16" s="631"/>
      <c r="BH16" s="631"/>
      <c r="BI16" s="631"/>
      <c r="BJ16" s="631"/>
      <c r="BK16" s="631"/>
      <c r="BL16" s="631"/>
      <c r="BM16" s="631"/>
      <c r="BN16" s="631"/>
      <c r="BO16" s="631"/>
      <c r="BP16" s="631"/>
      <c r="BQ16" s="631"/>
      <c r="BR16" s="631"/>
      <c r="BS16" s="631"/>
      <c r="BT16" s="631"/>
      <c r="BU16" s="646" t="str" cm="1">
        <f t="array" ref="BU16">IFERROR(_xlfn.LET(_xlpm.i,ROWS($BU$2:BU16),_xlpm.cur,INDEX(tblLaminateStructures[Laminate],_xlpm.i),_xlpm.prev,IF(_xlpm.i=1,"",INDEX(tblLaminateStructures[Laminate],_xlpm.i-1)),IF(_xlpm.cur&lt;&gt;_xlpm.prev,_xlpm.cur,"")),"")</f>
        <v/>
      </c>
      <c r="BV16" s="647" t="str" cm="1">
        <f t="array" ref="BV16">IFERROR(_xlfn.LET(_xlpm.i,ROWS($BV$2:BV16),_xlpm.cur,INDEX(tblLaminateStructures[Total Thickness (µ)],_xlpm.i),_xlpm.prev,IF(_xlpm.i=1,"",INDEX(tblLaminateStructures[Total Thickness (µ)],_xlpm.i-1)),IF(OR(_xlpm.cur&lt;&gt;_xlpm.prev,BU16&lt;&gt;""),_xlpm.cur,"")),"")</f>
        <v/>
      </c>
      <c r="BW16" s="648" t="str" cm="1">
        <f t="array" ref="BW16">IFERROR(INDEX(tblLaminateStructures[Material / Layer],ROWS($BW$2:BW16)),"")</f>
        <v>RM G Epotal ECO 3675</v>
      </c>
      <c r="BX16" s="647" cm="1">
        <f t="array" ref="BX16">IFERROR(INDEX(tblLaminateStructures[Layer Thickness (µ)],ROWS($BX$2:BX16)),"")</f>
        <v>3</v>
      </c>
      <c r="BY16" s="647" cm="1">
        <f t="array" ref="BY16">IFERROR(INDEX(tblLaminateStructures[Structure Check],ROWS($BY$2:BY16)),"")</f>
        <v>61</v>
      </c>
      <c r="BZ16" s="648" cm="1">
        <f t="array" ref="BZ16">IFERROR(INDEX(tblLaminateStructures[Laminate],ROWS($BZ$2:BZ16)),"")</f>
        <v>618</v>
      </c>
      <c r="CA16" s="648"/>
      <c r="CB16" s="648" t="str">
        <v>648W</v>
      </c>
      <c r="CC16" s="647" cm="1">
        <f t="array" ref="CC16">IFERROR(INDEX(tblLaminateStructures[Total Thickness (µ)],ROWS($CC$2:CC16)),"")</f>
        <v>61</v>
      </c>
      <c r="CD16" s="647"/>
      <c r="CE16" s="647"/>
      <c r="CF16" s="647"/>
      <c r="CG16" s="648"/>
      <c r="CH16" s="649"/>
      <c r="CI16">
        <v>78</v>
      </c>
      <c r="CR16" t="str">
        <f>TRIM('Laminate for reels  - Sales (2)'!$C$36)</f>
        <v>Laminate819</v>
      </c>
      <c r="CS16" s="117"/>
      <c r="CT16" s="117" t="str">
        <f>'Laminate for reels  - Sales (2)'!J59</f>
        <v>ארה"ב (USD)</v>
      </c>
      <c r="CU16" s="117" t="str">
        <f>'Laminate for reels  - Sales (2)'!K59</f>
        <v>אירופה (EUR)</v>
      </c>
      <c r="CV16" s="51"/>
      <c r="CW16" cm="1">
        <f t="array" ref="CW16">IF(OR(TRIM(Pouches!$AE$51&amp;"")="618",TRIM(Pouches!$AE$51&amp;"")="618 W"),106,IF(5=1,IFERROR(INDEX(_xlfn._xlws.FILTER(tblLaminateStructures[Total Thickness (µ)],(TRIM(tblLaminateStructures[Laminate]&amp;"")=TRIM(Pouches!$AE$51&amp;""))*(tblLaminateStructures[Total Thickness (µ)]&lt;&gt;"")),1),""),""))</f>
        <v>106</v>
      </c>
      <c r="CX16" t="str" cm="1">
        <f t="array" ref="CX16">IF(OR(TRIM(Pouches!$AI$51&amp;"")="618",TRIM(Pouches!$AI$51&amp;"")="618 W"),106,IF(5=1,IFERROR(INDEX(_xlfn._xlws.FILTER(tblLaminateStructures[Total Thickness (µ)],(TRIM(tblLaminateStructures[Laminate]&amp;"")=TRIM(Pouches!$AI$51&amp;""))*(tblLaminateStructures[Total Thickness (µ)]&lt;&gt;"")),1),""),""))</f>
        <v/>
      </c>
      <c r="CY16" t="str" cm="1">
        <f t="array" ref="CY16">IF(OR(TRIM(Pouches!$AM$51&amp;"")="618",TRIM(Pouches!$AM$51&amp;"")="618 W"),106,IF(5=1,IFERROR(INDEX(_xlfn._xlws.FILTER(tblLaminateStructures[Total Thickness (µ)],(TRIM(tblLaminateStructures[Laminate]&amp;"")=TRIM(Pouches!$AM$51&amp;""))*(tblLaminateStructures[Total Thickness (µ)]&lt;&gt;"")),1),""),""))</f>
        <v/>
      </c>
    </row>
    <row r="17" spans="1:103">
      <c r="A17" s="20" t="s">
        <v>198</v>
      </c>
      <c r="B17" s="20"/>
      <c r="C17" s="20" t="s">
        <v>199</v>
      </c>
      <c r="D17" s="20"/>
      <c r="E17" s="20">
        <v>4.6500000000000004</v>
      </c>
      <c r="F17" s="10" t="s">
        <v>205</v>
      </c>
      <c r="AP17" t="s">
        <v>1105</v>
      </c>
      <c r="AQ17" s="668">
        <v>1</v>
      </c>
      <c r="AV17" s="617">
        <v>618</v>
      </c>
      <c r="AW17" s="618">
        <v>66</v>
      </c>
      <c r="AX17" s="617" t="s">
        <v>190</v>
      </c>
      <c r="AY17" s="618">
        <v>23</v>
      </c>
      <c r="AZ17"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66</v>
      </c>
      <c r="BA17" s="617"/>
      <c r="BB17" s="617"/>
      <c r="BC17" s="617" t="s">
        <v>1090</v>
      </c>
      <c r="BD17" s="617"/>
      <c r="BF17" s="631"/>
      <c r="BG17" s="631"/>
      <c r="BH17" s="631"/>
      <c r="BI17" s="631"/>
      <c r="BJ17" s="631"/>
      <c r="BK17" s="631"/>
      <c r="BL17" s="631"/>
      <c r="BM17" s="631"/>
      <c r="BN17" s="631"/>
      <c r="BO17" s="631"/>
      <c r="BP17" s="631"/>
      <c r="BQ17" s="631"/>
      <c r="BR17" s="631"/>
      <c r="BS17" s="631"/>
      <c r="BT17" s="631"/>
      <c r="BU17" s="646" t="str" cm="1">
        <f t="array" ref="BU17">IFERROR(_xlfn.LET(_xlpm.i,ROWS($BU$2:BU17),_xlpm.cur,INDEX(tblLaminateStructures[Laminate],_xlpm.i),_xlpm.prev,IF(_xlpm.i=1,"",INDEX(tblLaminateStructures[Laminate],_xlpm.i-1)),IF(_xlpm.cur&lt;&gt;_xlpm.prev,_xlpm.cur,"")),"")</f>
        <v/>
      </c>
      <c r="BV17" s="647" cm="1">
        <f t="array" ref="BV17">IFERROR(_xlfn.LET(_xlpm.i,ROWS($BV$2:BV17),_xlpm.cur,INDEX(tblLaminateStructures[Total Thickness (µ)],_xlpm.i),_xlpm.prev,IF(_xlpm.i=1,"",INDEX(tblLaminateStructures[Total Thickness (µ)],_xlpm.i-1)),IF(OR(_xlpm.cur&lt;&gt;_xlpm.prev,BU17&lt;&gt;""),_xlpm.cur,"")),"")</f>
        <v>66</v>
      </c>
      <c r="BW17" s="648" t="str" cm="1">
        <f t="array" ref="BW17">IFERROR(INDEX(tblLaminateStructures[Material / Layer],ROWS($BW$2:BW17)),"")</f>
        <v>NK</v>
      </c>
      <c r="BX17" s="647" cm="1">
        <f t="array" ref="BX17">IFERROR(INDEX(tblLaminateStructures[Layer Thickness (µ)],ROWS($BX$2:BX17)),"")</f>
        <v>23</v>
      </c>
      <c r="BY17" s="647" cm="1">
        <f t="array" ref="BY17">IFERROR(INDEX(tblLaminateStructures[Structure Check],ROWS($BY$2:BY17)),"")</f>
        <v>66</v>
      </c>
      <c r="BZ17" s="648" cm="1">
        <f t="array" ref="BZ17">IFERROR(INDEX(tblLaminateStructures[Laminate],ROWS($BZ$2:BZ17)),"")</f>
        <v>618</v>
      </c>
      <c r="CA17" s="648"/>
      <c r="CB17" s="648" t="str">
        <v>821M</v>
      </c>
      <c r="CC17" s="647" cm="1">
        <f t="array" ref="CC17">IFERROR(INDEX(tblLaminateStructures[Total Thickness (µ)],ROWS($CC$2:CC17)),"")</f>
        <v>66</v>
      </c>
      <c r="CD17" s="647"/>
      <c r="CE17" s="647"/>
      <c r="CF17" s="647"/>
      <c r="CG17" s="648"/>
      <c r="CH17" s="649"/>
      <c r="CI17">
        <v>86</v>
      </c>
      <c r="CR17" t="str">
        <f>TRIM('Laminate for reels  - Sales (2)'!$C$36)</f>
        <v>Laminate819</v>
      </c>
      <c r="CS17" s="117"/>
      <c r="CT17" s="117" t="str">
        <f>'Laminate for reels  - Sales (2)'!J60</f>
        <v>$450 - $600</v>
      </c>
      <c r="CU17" s="117" t="str">
        <f>'Laminate for reels  - Sales (2)'!K60</f>
        <v>€400 - €550</v>
      </c>
      <c r="CV17" s="51"/>
      <c r="CW17" cm="1">
        <f t="array" ref="CW17">IF(OR(TRIM(Pouches!$AE$51&amp;"")="618",TRIM(Pouches!$AE$51&amp;"")="618 W"),106,IF(5=1,IFERROR(INDEX(_xlfn._xlws.FILTER(tblLaminateStructures[Total Thickness (µ)],(TRIM(tblLaminateStructures[Laminate]&amp;"")=TRIM(Pouches!$AE$51&amp;""))*(tblLaminateStructures[Total Thickness (µ)]&lt;&gt;"")),1),""),""))</f>
        <v>106</v>
      </c>
      <c r="CX17" t="str" cm="1">
        <f t="array" ref="CX17">IF(OR(TRIM(Pouches!$AI$51&amp;"")="618",TRIM(Pouches!$AI$51&amp;"")="618 W"),106,IF(5=1,IFERROR(INDEX(_xlfn._xlws.FILTER(tblLaminateStructures[Total Thickness (µ)],(TRIM(tblLaminateStructures[Laminate]&amp;"")=TRIM(Pouches!$AI$51&amp;""))*(tblLaminateStructures[Total Thickness (µ)]&lt;&gt;"")),1),""),""))</f>
        <v/>
      </c>
      <c r="CY17" t="str" cm="1">
        <f t="array" ref="CY17">IF(OR(TRIM(Pouches!$AM$51&amp;"")="618",TRIM(Pouches!$AM$51&amp;"")="618 W"),106,IF(5=1,IFERROR(INDEX(_xlfn._xlws.FILTER(tblLaminateStructures[Total Thickness (µ)],(TRIM(tblLaminateStructures[Laminate]&amp;"")=TRIM(Pouches!$AM$51&amp;""))*(tblLaminateStructures[Total Thickness (µ)]&lt;&gt;"")),1),""),""))</f>
        <v/>
      </c>
    </row>
    <row r="18" spans="1:103">
      <c r="A18" s="19" t="s">
        <v>197</v>
      </c>
      <c r="B18" s="19"/>
      <c r="C18" s="19" t="s">
        <v>196</v>
      </c>
      <c r="D18" s="19"/>
      <c r="E18" s="19">
        <v>10.45</v>
      </c>
      <c r="F18" s="10" t="s">
        <v>205</v>
      </c>
      <c r="AV18" s="617">
        <v>618</v>
      </c>
      <c r="AW18" s="618">
        <v>66</v>
      </c>
      <c r="AX18" s="617" t="s">
        <v>0</v>
      </c>
      <c r="AY18" s="618">
        <v>40</v>
      </c>
      <c r="AZ18"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66</v>
      </c>
      <c r="BA18" s="617"/>
      <c r="BB18" s="617"/>
      <c r="BC18" s="617" t="s">
        <v>1090</v>
      </c>
      <c r="BD18" s="617"/>
      <c r="BF18" s="631"/>
      <c r="BG18" s="631"/>
      <c r="BH18" s="631"/>
      <c r="BI18" s="631"/>
      <c r="BJ18" s="631"/>
      <c r="BK18" s="631"/>
      <c r="BL18" s="631"/>
      <c r="BM18" s="631"/>
      <c r="BN18" s="631"/>
      <c r="BO18" s="631"/>
      <c r="BP18" s="631"/>
      <c r="BQ18" s="631"/>
      <c r="BR18" s="631"/>
      <c r="BS18" s="631"/>
      <c r="BT18" s="631"/>
      <c r="BU18" s="646" t="str" cm="1">
        <f t="array" ref="BU18">IFERROR(_xlfn.LET(_xlpm.i,ROWS($BU$2:BU18),_xlpm.cur,INDEX(tblLaminateStructures[Laminate],_xlpm.i),_xlpm.prev,IF(_xlpm.i=1,"",INDEX(tblLaminateStructures[Laminate],_xlpm.i-1)),IF(_xlpm.cur&lt;&gt;_xlpm.prev,_xlpm.cur,"")),"")</f>
        <v/>
      </c>
      <c r="BV18" s="647" t="str" cm="1">
        <f t="array" ref="BV18">IFERROR(_xlfn.LET(_xlpm.i,ROWS($BV$2:BV18),_xlpm.cur,INDEX(tblLaminateStructures[Total Thickness (µ)],_xlpm.i),_xlpm.prev,IF(_xlpm.i=1,"",INDEX(tblLaminateStructures[Total Thickness (µ)],_xlpm.i-1)),IF(OR(_xlpm.cur&lt;&gt;_xlpm.prev,BU18&lt;&gt;""),_xlpm.cur,"")),"")</f>
        <v/>
      </c>
      <c r="BW18" s="648" t="str" cm="1">
        <f t="array" ref="BW18">IFERROR(INDEX(tblLaminateStructures[Material / Layer],ROWS($BW$2:BW18)),"")</f>
        <v>TIPA 302FG</v>
      </c>
      <c r="BX18" s="647" cm="1">
        <f t="array" ref="BX18">IFERROR(INDEX(tblLaminateStructures[Layer Thickness (µ)],ROWS($BX$2:BX18)),"")</f>
        <v>40</v>
      </c>
      <c r="BY18" s="647" cm="1">
        <f t="array" ref="BY18">IFERROR(INDEX(tblLaminateStructures[Structure Check],ROWS($BY$2:BY18)),"")</f>
        <v>66</v>
      </c>
      <c r="BZ18" s="648" cm="1">
        <f t="array" ref="BZ18">IFERROR(INDEX(tblLaminateStructures[Laminate],ROWS($BZ$2:BZ18)),"")</f>
        <v>618</v>
      </c>
      <c r="CA18" s="648"/>
      <c r="CB18" s="648"/>
      <c r="CC18" s="647" cm="1">
        <f t="array" ref="CC18">IFERROR(INDEX(tblLaminateStructures[Total Thickness (µ)],ROWS($CC$2:CC18)),"")</f>
        <v>66</v>
      </c>
      <c r="CD18" s="647"/>
      <c r="CE18" s="647"/>
      <c r="CF18" s="647"/>
      <c r="CG18" s="648"/>
      <c r="CH18" s="649"/>
      <c r="CI18">
        <v>86</v>
      </c>
      <c r="CR18" t="str">
        <f>TRIM('Laminate for reels  - Sales (2)'!$C$36)</f>
        <v>Laminate819</v>
      </c>
      <c r="CS18" s="117"/>
      <c r="CT18" s="117" t="str">
        <f>'Laminate for reels  - Sales (2)'!J61</f>
        <v>$650 - $950</v>
      </c>
      <c r="CU18" s="117" t="str">
        <f>'Laminate for reels  - Sales (2)'!K61</f>
        <v>€600 - €850</v>
      </c>
      <c r="CV18" s="51"/>
      <c r="CW18" cm="1">
        <f t="array" ref="CW18">IF(OR(TRIM(Pouches!$AE$51&amp;"")="618",TRIM(Pouches!$AE$51&amp;"")="618 W"),106,IF(5=1,IFERROR(INDEX(_xlfn._xlws.FILTER(tblLaminateStructures[Total Thickness (µ)],(TRIM(tblLaminateStructures[Laminate]&amp;"")=TRIM(Pouches!$AE$51&amp;""))*(tblLaminateStructures[Total Thickness (µ)]&lt;&gt;"")),1),""),""))</f>
        <v>106</v>
      </c>
      <c r="CX18" t="str" cm="1">
        <f t="array" ref="CX18">IF(OR(TRIM(Pouches!$AI$51&amp;"")="618",TRIM(Pouches!$AI$51&amp;"")="618 W"),106,IF(5=1,IFERROR(INDEX(_xlfn._xlws.FILTER(tblLaminateStructures[Total Thickness (µ)],(TRIM(tblLaminateStructures[Laminate]&amp;"")=TRIM(Pouches!$AI$51&amp;""))*(tblLaminateStructures[Total Thickness (µ)]&lt;&gt;"")),1),""),""))</f>
        <v/>
      </c>
      <c r="CY18" t="str" cm="1">
        <f t="array" ref="CY18">IF(OR(TRIM(Pouches!$AM$51&amp;"")="618",TRIM(Pouches!$AM$51&amp;"")="618 W"),106,IF(5=1,IFERROR(INDEX(_xlfn._xlws.FILTER(tblLaminateStructures[Total Thickness (µ)],(TRIM(tblLaminateStructures[Laminate]&amp;"")=TRIM(Pouches!$AM$51&amp;""))*(tblLaminateStructures[Total Thickness (µ)]&lt;&gt;"")),1),""),""))</f>
        <v/>
      </c>
    </row>
    <row r="19" spans="1:103">
      <c r="A19" s="20" t="s">
        <v>190</v>
      </c>
      <c r="B19" s="20" t="s">
        <v>190</v>
      </c>
      <c r="C19" s="20" t="s">
        <v>190</v>
      </c>
      <c r="D19" s="20" t="s">
        <v>190</v>
      </c>
      <c r="E19" s="20">
        <v>7.95</v>
      </c>
      <c r="F19" s="10" t="s">
        <v>205</v>
      </c>
      <c r="AV19" s="617">
        <v>618</v>
      </c>
      <c r="AW19" s="618">
        <v>66</v>
      </c>
      <c r="AX19" s="617" t="s">
        <v>199</v>
      </c>
      <c r="AY19" s="618">
        <v>3</v>
      </c>
      <c r="AZ19"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66</v>
      </c>
      <c r="BA19" s="617"/>
      <c r="BB19" s="617"/>
      <c r="BC19" s="617" t="s">
        <v>1090</v>
      </c>
      <c r="BD19" s="617"/>
      <c r="BF19" s="631"/>
      <c r="BG19" s="631"/>
      <c r="BH19" s="631"/>
      <c r="BI19" s="631"/>
      <c r="BJ19" s="631"/>
      <c r="BK19" s="631"/>
      <c r="BL19" s="631"/>
      <c r="BM19" s="631"/>
      <c r="BN19" s="631"/>
      <c r="BO19" s="631"/>
      <c r="BP19" s="631"/>
      <c r="BQ19" s="631"/>
      <c r="BR19" s="631"/>
      <c r="BS19" s="631"/>
      <c r="BT19" s="631"/>
      <c r="BU19" s="646" t="str" cm="1">
        <f t="array" ref="BU19">IFERROR(_xlfn.LET(_xlpm.i,ROWS($BU$2:BU19),_xlpm.cur,INDEX(tblLaminateStructures[Laminate],_xlpm.i),_xlpm.prev,IF(_xlpm.i=1,"",INDEX(tblLaminateStructures[Laminate],_xlpm.i-1)),IF(_xlpm.cur&lt;&gt;_xlpm.prev,_xlpm.cur,"")),"")</f>
        <v/>
      </c>
      <c r="BV19" s="647" t="str" cm="1">
        <f t="array" ref="BV19">IFERROR(_xlfn.LET(_xlpm.i,ROWS($BV$2:BV19),_xlpm.cur,INDEX(tblLaminateStructures[Total Thickness (µ)],_xlpm.i),_xlpm.prev,IF(_xlpm.i=1,"",INDEX(tblLaminateStructures[Total Thickness (µ)],_xlpm.i-1)),IF(OR(_xlpm.cur&lt;&gt;_xlpm.prev,BU19&lt;&gt;""),_xlpm.cur,"")),"")</f>
        <v/>
      </c>
      <c r="BW19" s="648" t="str" cm="1">
        <f t="array" ref="BW19">IFERROR(INDEX(tblLaminateStructures[Material / Layer],ROWS($BW$2:BW19)),"")</f>
        <v>RM G Epotal ECO 3675</v>
      </c>
      <c r="BX19" s="647" cm="1">
        <f t="array" ref="BX19">IFERROR(INDEX(tblLaminateStructures[Layer Thickness (µ)],ROWS($BX$2:BX19)),"")</f>
        <v>3</v>
      </c>
      <c r="BY19" s="647" cm="1">
        <f t="array" ref="BY19">IFERROR(INDEX(tblLaminateStructures[Structure Check],ROWS($BY$2:BY19)),"")</f>
        <v>66</v>
      </c>
      <c r="BZ19" s="648" cm="1">
        <f t="array" ref="BZ19">IFERROR(INDEX(tblLaminateStructures[Laminate],ROWS($BZ$2:BZ19)),"")</f>
        <v>618</v>
      </c>
      <c r="CA19" s="648"/>
      <c r="CB19" s="648"/>
      <c r="CC19" s="647" cm="1">
        <f t="array" ref="CC19">IFERROR(INDEX(tblLaminateStructures[Total Thickness (µ)],ROWS($CC$2:CC19)),"")</f>
        <v>66</v>
      </c>
      <c r="CD19" s="647"/>
      <c r="CE19" s="647"/>
      <c r="CF19" s="647"/>
      <c r="CG19" s="648"/>
      <c r="CH19" s="649"/>
      <c r="CI19">
        <v>86</v>
      </c>
      <c r="CR19" t="str">
        <f>TRIM('Laminate for reels  - Sales (2)'!$C$36)</f>
        <v>Laminate819</v>
      </c>
      <c r="CS19" s="117"/>
      <c r="CT19" s="117" t="str">
        <f>'Laminate for reels  - Sales (2)'!J62</f>
        <v>$280 - $420</v>
      </c>
      <c r="CU19" s="117" t="str">
        <f>'Laminate for reels  - Sales (2)'!K62</f>
        <v>€250 - €380</v>
      </c>
      <c r="CV19" s="51"/>
      <c r="CW19" cm="1">
        <f t="array" ref="CW19">IF(OR(TRIM(Pouches!$AE$51&amp;"")="618",TRIM(Pouches!$AE$51&amp;"")="618 W"),106,IF(5=1,IFERROR(INDEX(_xlfn._xlws.FILTER(tblLaminateStructures[Total Thickness (µ)],(TRIM(tblLaminateStructures[Laminate]&amp;"")=TRIM(Pouches!$AE$51&amp;""))*(tblLaminateStructures[Total Thickness (µ)]&lt;&gt;"")),1),""),""))</f>
        <v>106</v>
      </c>
      <c r="CX19" t="str" cm="1">
        <f t="array" ref="CX19">IF(OR(TRIM(Pouches!$AI$51&amp;"")="618",TRIM(Pouches!$AI$51&amp;"")="618 W"),106,IF(5=1,IFERROR(INDEX(_xlfn._xlws.FILTER(tblLaminateStructures[Total Thickness (µ)],(TRIM(tblLaminateStructures[Laminate]&amp;"")=TRIM(Pouches!$AI$51&amp;""))*(tblLaminateStructures[Total Thickness (µ)]&lt;&gt;"")),1),""),""))</f>
        <v/>
      </c>
      <c r="CY19" t="str" cm="1">
        <f t="array" ref="CY19">IF(OR(TRIM(Pouches!$AM$51&amp;"")="618",TRIM(Pouches!$AM$51&amp;"")="618 W"),106,IF(5=1,IFERROR(INDEX(_xlfn._xlws.FILTER(tblLaminateStructures[Total Thickness (µ)],(TRIM(tblLaminateStructures[Laminate]&amp;"")=TRIM(Pouches!$AM$51&amp;""))*(tblLaminateStructures[Total Thickness (µ)]&lt;&gt;"")),1),""),""))</f>
        <v/>
      </c>
    </row>
    <row r="20" spans="1:103">
      <c r="A20" s="19" t="s">
        <v>285</v>
      </c>
      <c r="B20" s="19" t="s">
        <v>285</v>
      </c>
      <c r="C20" s="19" t="s">
        <v>285</v>
      </c>
      <c r="D20" s="19" t="s">
        <v>285</v>
      </c>
      <c r="E20" s="19">
        <v>2.02</v>
      </c>
      <c r="F20" s="871" t="s">
        <v>286</v>
      </c>
      <c r="AP20" s="5" t="str" cm="1">
        <f t="array" ref="AP20">IFERROR(INDEX(_xlfn._xlws.FILTER(BOM!$Q$2:$Q$20,(LEFT(BOM!$Q$2:$Q$20,4)&lt;&gt;"TIPA")*(BOM!$Q$2:$Q$20&lt;&gt;"")*(BOM!$Q$2:$Q$20&lt;&gt;0)),4),"")</f>
        <v/>
      </c>
      <c r="AV20" s="617">
        <v>618</v>
      </c>
      <c r="AW20" s="618">
        <v>78</v>
      </c>
      <c r="AX20" s="617" t="s">
        <v>190</v>
      </c>
      <c r="AY20" s="618">
        <v>23</v>
      </c>
      <c r="AZ20"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78</v>
      </c>
      <c r="BA20" s="617"/>
      <c r="BB20" s="617"/>
      <c r="BC20" s="617" t="s">
        <v>1090</v>
      </c>
      <c r="BD20" s="617"/>
      <c r="BF20" s="631"/>
      <c r="BG20" s="631"/>
      <c r="BH20" s="631"/>
      <c r="BI20" s="631"/>
      <c r="BJ20" s="631"/>
      <c r="BK20" s="631"/>
      <c r="BL20" s="631"/>
      <c r="BM20" s="631"/>
      <c r="BN20" s="631"/>
      <c r="BO20" s="631"/>
      <c r="BP20" s="631"/>
      <c r="BQ20" s="631"/>
      <c r="BR20" s="631"/>
      <c r="BS20" s="631"/>
      <c r="BT20" s="631"/>
      <c r="BU20" s="646" t="str" cm="1">
        <f t="array" ref="BU20">IFERROR(_xlfn.LET(_xlpm.i,ROWS($BU$2:BU20),_xlpm.cur,INDEX(tblLaminateStructures[Laminate],_xlpm.i),_xlpm.prev,IF(_xlpm.i=1,"",INDEX(tblLaminateStructures[Laminate],_xlpm.i-1)),IF(_xlpm.cur&lt;&gt;_xlpm.prev,_xlpm.cur,"")),"")</f>
        <v/>
      </c>
      <c r="BV20" s="647" cm="1">
        <f t="array" ref="BV20">IFERROR(_xlfn.LET(_xlpm.i,ROWS($BV$2:BV20),_xlpm.cur,INDEX(tblLaminateStructures[Total Thickness (µ)],_xlpm.i),_xlpm.prev,IF(_xlpm.i=1,"",INDEX(tblLaminateStructures[Total Thickness (µ)],_xlpm.i-1)),IF(OR(_xlpm.cur&lt;&gt;_xlpm.prev,BU20&lt;&gt;""),_xlpm.cur,"")),"")</f>
        <v>78</v>
      </c>
      <c r="BW20" s="648" t="str" cm="1">
        <f t="array" ref="BW20">IFERROR(INDEX(tblLaminateStructures[Material / Layer],ROWS($BW$2:BW20)),"")</f>
        <v>NK</v>
      </c>
      <c r="BX20" s="647" cm="1">
        <f t="array" ref="BX20">IFERROR(INDEX(tblLaminateStructures[Layer Thickness (µ)],ROWS($BX$2:BX20)),"")</f>
        <v>23</v>
      </c>
      <c r="BY20" s="647" cm="1">
        <f t="array" ref="BY20">IFERROR(INDEX(tblLaminateStructures[Structure Check],ROWS($BY$2:BY20)),"")</f>
        <v>78</v>
      </c>
      <c r="BZ20" s="648" cm="1">
        <f t="array" ref="BZ20">IFERROR(INDEX(tblLaminateStructures[Laminate],ROWS($BZ$2:BZ20)),"")</f>
        <v>618</v>
      </c>
      <c r="CA20" s="648"/>
      <c r="CB20" s="648"/>
      <c r="CC20" s="647" cm="1">
        <f t="array" ref="CC20">IFERROR(INDEX(tblLaminateStructures[Total Thickness (µ)],ROWS($CC$2:CC20)),"")</f>
        <v>78</v>
      </c>
      <c r="CD20" s="647"/>
      <c r="CE20" s="647"/>
      <c r="CF20" s="647"/>
      <c r="CG20" s="648"/>
      <c r="CH20" s="649"/>
      <c r="CI20">
        <v>106</v>
      </c>
      <c r="CR20" t="str">
        <f>TRIM('Laminate for reels  - Sales (2)'!$C$36)</f>
        <v>Laminate819</v>
      </c>
      <c r="CS20" s="117"/>
      <c r="CT20" s="117" t="str">
        <f>'Laminate for reels  - Sales (2)'!J63</f>
        <v>$200 - $320</v>
      </c>
      <c r="CU20" s="117" t="str">
        <f>'Laminate for reels  - Sales (2)'!K63</f>
        <v>€180 - €290</v>
      </c>
      <c r="CV20" s="51"/>
      <c r="CW20" cm="1">
        <f t="array" ref="CW20">IF(OR(TRIM(Pouches!$AE$51&amp;"")="618",TRIM(Pouches!$AE$51&amp;"")="618 W"),106,IF(5=1,IFERROR(INDEX(_xlfn._xlws.FILTER(tblLaminateStructures[Total Thickness (µ)],(TRIM(tblLaminateStructures[Laminate]&amp;"")=TRIM(Pouches!$AE$51&amp;""))*(tblLaminateStructures[Total Thickness (µ)]&lt;&gt;"")),1),""),""))</f>
        <v>106</v>
      </c>
      <c r="CX20" t="str" cm="1">
        <f t="array" ref="CX20">IF(OR(TRIM(Pouches!$AI$51&amp;"")="618",TRIM(Pouches!$AI$51&amp;"")="618 W"),106,IF(5=1,IFERROR(INDEX(_xlfn._xlws.FILTER(tblLaminateStructures[Total Thickness (µ)],(TRIM(tblLaminateStructures[Laminate]&amp;"")=TRIM(Pouches!$AI$51&amp;""))*(tblLaminateStructures[Total Thickness (µ)]&lt;&gt;"")),1),""),""))</f>
        <v/>
      </c>
      <c r="CY20" t="str" cm="1">
        <f t="array" ref="CY20">IF(OR(TRIM(Pouches!$AM$51&amp;"")="618",TRIM(Pouches!$AM$51&amp;"")="618 W"),106,IF(5=1,IFERROR(INDEX(_xlfn._xlws.FILTER(tblLaminateStructures[Total Thickness (µ)],(TRIM(tblLaminateStructures[Laminate]&amp;"")=TRIM(Pouches!$AM$51&amp;""))*(tblLaminateStructures[Total Thickness (µ)]&lt;&gt;"")),1),""),""))</f>
        <v/>
      </c>
    </row>
    <row r="21" spans="1:103">
      <c r="A21" s="20" t="s">
        <v>203</v>
      </c>
      <c r="B21" s="20" t="s">
        <v>203</v>
      </c>
      <c r="C21" s="20" t="s">
        <v>203</v>
      </c>
      <c r="D21" s="20" t="s">
        <v>203</v>
      </c>
      <c r="E21" s="20">
        <v>1.31</v>
      </c>
      <c r="AV21" s="617">
        <v>618</v>
      </c>
      <c r="AW21" s="618">
        <v>78</v>
      </c>
      <c r="AX21" s="617" t="s">
        <v>0</v>
      </c>
      <c r="AY21" s="618">
        <v>52</v>
      </c>
      <c r="AZ21"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78</v>
      </c>
      <c r="BA21" s="617"/>
      <c r="BB21" s="617"/>
      <c r="BC21" s="617" t="s">
        <v>1090</v>
      </c>
      <c r="BD21" s="617"/>
      <c r="BF21" s="631"/>
      <c r="BG21" s="631"/>
      <c r="BH21" s="631"/>
      <c r="BI21" s="631"/>
      <c r="BJ21" s="631"/>
      <c r="BK21" s="631"/>
      <c r="BL21" s="631"/>
      <c r="BM21" s="631"/>
      <c r="BN21" s="631"/>
      <c r="BO21" s="631"/>
      <c r="BP21" s="631"/>
      <c r="BQ21" s="631"/>
      <c r="BR21" s="631"/>
      <c r="BS21" s="631"/>
      <c r="BT21" s="631"/>
      <c r="BU21" s="646" t="str" cm="1">
        <f t="array" ref="BU21">IFERROR(_xlfn.LET(_xlpm.i,ROWS($BU$2:BU21),_xlpm.cur,INDEX(tblLaminateStructures[Laminate],_xlpm.i),_xlpm.prev,IF(_xlpm.i=1,"",INDEX(tblLaminateStructures[Laminate],_xlpm.i-1)),IF(_xlpm.cur&lt;&gt;_xlpm.prev,_xlpm.cur,"")),"")</f>
        <v/>
      </c>
      <c r="BV21" s="647" t="str" cm="1">
        <f t="array" ref="BV21">IFERROR(_xlfn.LET(_xlpm.i,ROWS($BV$2:BV21),_xlpm.cur,INDEX(tblLaminateStructures[Total Thickness (µ)],_xlpm.i),_xlpm.prev,IF(_xlpm.i=1,"",INDEX(tblLaminateStructures[Total Thickness (µ)],_xlpm.i-1)),IF(OR(_xlpm.cur&lt;&gt;_xlpm.prev,BU21&lt;&gt;""),_xlpm.cur,"")),"")</f>
        <v/>
      </c>
      <c r="BW21" s="648" t="str" cm="1">
        <f t="array" ref="BW21">IFERROR(INDEX(tblLaminateStructures[Material / Layer],ROWS($BW$2:BW21)),"")</f>
        <v>TIPA 302FG</v>
      </c>
      <c r="BX21" s="647" cm="1">
        <f t="array" ref="BX21">IFERROR(INDEX(tblLaminateStructures[Layer Thickness (µ)],ROWS($BX$2:BX21)),"")</f>
        <v>52</v>
      </c>
      <c r="BY21" s="647" cm="1">
        <f t="array" ref="BY21">IFERROR(INDEX(tblLaminateStructures[Structure Check],ROWS($BY$2:BY21)),"")</f>
        <v>78</v>
      </c>
      <c r="BZ21" s="648" cm="1">
        <f t="array" ref="BZ21">IFERROR(INDEX(tblLaminateStructures[Laminate],ROWS($BZ$2:BZ21)),"")</f>
        <v>618</v>
      </c>
      <c r="CA21" s="648"/>
      <c r="CB21" s="648"/>
      <c r="CC21" s="647" cm="1">
        <f t="array" ref="CC21">IFERROR(INDEX(tblLaminateStructures[Total Thickness (µ)],ROWS($CC$2:CC21)),"")</f>
        <v>78</v>
      </c>
      <c r="CD21" s="647"/>
      <c r="CE21" s="647"/>
      <c r="CF21" s="647"/>
      <c r="CG21" s="648"/>
      <c r="CH21" s="649"/>
      <c r="CI21">
        <v>106</v>
      </c>
    </row>
    <row r="22" spans="1:103">
      <c r="A22" s="19" t="s">
        <v>1224</v>
      </c>
      <c r="B22" s="19" t="s">
        <v>1224</v>
      </c>
      <c r="C22" s="19" t="s">
        <v>1224</v>
      </c>
      <c r="D22" s="19" t="s">
        <v>1224</v>
      </c>
      <c r="E22" s="19">
        <v>8.52</v>
      </c>
      <c r="F22" s="10" t="s">
        <v>1100</v>
      </c>
      <c r="AV22" s="617">
        <v>618</v>
      </c>
      <c r="AW22" s="618">
        <v>78</v>
      </c>
      <c r="AX22" s="617" t="s">
        <v>199</v>
      </c>
      <c r="AY22" s="618">
        <v>3</v>
      </c>
      <c r="AZ22"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78</v>
      </c>
      <c r="BA22" s="617"/>
      <c r="BB22" s="617"/>
      <c r="BC22" s="617" t="s">
        <v>1090</v>
      </c>
      <c r="BD22" s="617"/>
      <c r="BF22" s="631"/>
      <c r="BG22" s="631"/>
      <c r="BH22" s="631"/>
      <c r="BI22" s="631"/>
      <c r="BJ22" s="631"/>
      <c r="BK22" s="631"/>
      <c r="BL22" s="631"/>
      <c r="BM22" s="631"/>
      <c r="BN22" s="631"/>
      <c r="BO22" s="631"/>
      <c r="BP22" s="631"/>
      <c r="BQ22" s="631"/>
      <c r="BR22" s="631"/>
      <c r="BS22" s="631"/>
      <c r="BT22" s="631"/>
      <c r="BU22" s="646" t="str" cm="1">
        <f t="array" ref="BU22">IFERROR(_xlfn.LET(_xlpm.i,ROWS($BU$2:BU22),_xlpm.cur,INDEX(tblLaminateStructures[Laminate],_xlpm.i),_xlpm.prev,IF(_xlpm.i=1,"",INDEX(tblLaminateStructures[Laminate],_xlpm.i-1)),IF(_xlpm.cur&lt;&gt;_xlpm.prev,_xlpm.cur,"")),"")</f>
        <v/>
      </c>
      <c r="BV22" s="647" t="str" cm="1">
        <f t="array" ref="BV22">IFERROR(_xlfn.LET(_xlpm.i,ROWS($BV$2:BV22),_xlpm.cur,INDEX(tblLaminateStructures[Total Thickness (µ)],_xlpm.i),_xlpm.prev,IF(_xlpm.i=1,"",INDEX(tblLaminateStructures[Total Thickness (µ)],_xlpm.i-1)),IF(OR(_xlpm.cur&lt;&gt;_xlpm.prev,BU22&lt;&gt;""),_xlpm.cur,"")),"")</f>
        <v/>
      </c>
      <c r="BW22" s="648" t="str" cm="1">
        <f t="array" ref="BW22">IFERROR(INDEX(tblLaminateStructures[Material / Layer],ROWS($BW$2:BW22)),"")</f>
        <v>RM G Epotal ECO 3675</v>
      </c>
      <c r="BX22" s="647" cm="1">
        <f t="array" ref="BX22">IFERROR(INDEX(tblLaminateStructures[Layer Thickness (µ)],ROWS($BX$2:BX22)),"")</f>
        <v>3</v>
      </c>
      <c r="BY22" s="647" cm="1">
        <f t="array" ref="BY22">IFERROR(INDEX(tblLaminateStructures[Structure Check],ROWS($BY$2:BY22)),"")</f>
        <v>78</v>
      </c>
      <c r="BZ22" s="648" cm="1">
        <f t="array" ref="BZ22">IFERROR(INDEX(tblLaminateStructures[Laminate],ROWS($BZ$2:BZ22)),"")</f>
        <v>618</v>
      </c>
      <c r="CA22" s="648"/>
      <c r="CB22" s="648"/>
      <c r="CC22" s="647" cm="1">
        <f t="array" ref="CC22">IFERROR(INDEX(tblLaminateStructures[Total Thickness (µ)],ROWS($CC$2:CC22)),"")</f>
        <v>78</v>
      </c>
      <c r="CD22" s="647"/>
      <c r="CE22" s="647"/>
      <c r="CF22" s="647"/>
      <c r="CG22" s="648"/>
      <c r="CH22" s="649"/>
      <c r="CI22">
        <v>106</v>
      </c>
    </row>
    <row r="23" spans="1:103">
      <c r="A23" s="20" t="s">
        <v>1099</v>
      </c>
      <c r="B23" s="20" t="s">
        <v>1099</v>
      </c>
      <c r="C23" s="20" t="s">
        <v>1099</v>
      </c>
      <c r="D23" s="20" t="s">
        <v>1099</v>
      </c>
      <c r="E23" s="20">
        <v>9.52</v>
      </c>
      <c r="F23" s="10" t="s">
        <v>1100</v>
      </c>
      <c r="AV23" s="617">
        <v>618</v>
      </c>
      <c r="AW23" s="618">
        <v>86</v>
      </c>
      <c r="AX23" s="617" t="s">
        <v>190</v>
      </c>
      <c r="AY23" s="618">
        <v>23</v>
      </c>
      <c r="AZ23"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86</v>
      </c>
      <c r="BA23" s="617"/>
      <c r="BB23" s="617"/>
      <c r="BC23" s="617" t="s">
        <v>1090</v>
      </c>
      <c r="BD23" s="617"/>
      <c r="BF23" s="631"/>
      <c r="BG23" s="631"/>
      <c r="BH23" s="631"/>
      <c r="BI23" s="631"/>
      <c r="BJ23" s="631"/>
      <c r="BK23" s="631"/>
      <c r="BL23" s="631"/>
      <c r="BM23" s="631"/>
      <c r="BN23" s="631"/>
      <c r="BO23" s="631"/>
      <c r="BP23" s="631"/>
      <c r="BQ23" s="631"/>
      <c r="BR23" s="631"/>
      <c r="BS23" s="631"/>
      <c r="BT23" s="631"/>
      <c r="BU23" s="646" t="str" cm="1">
        <f t="array" ref="BU23">IFERROR(_xlfn.LET(_xlpm.i,ROWS($BU$2:BU23),_xlpm.cur,INDEX(tblLaminateStructures[Laminate],_xlpm.i),_xlpm.prev,IF(_xlpm.i=1,"",INDEX(tblLaminateStructures[Laminate],_xlpm.i-1)),IF(_xlpm.cur&lt;&gt;_xlpm.prev,_xlpm.cur,"")),"")</f>
        <v/>
      </c>
      <c r="BV23" s="647" cm="1">
        <f t="array" ref="BV23">IFERROR(_xlfn.LET(_xlpm.i,ROWS($BV$2:BV23),_xlpm.cur,INDEX(tblLaminateStructures[Total Thickness (µ)],_xlpm.i),_xlpm.prev,IF(_xlpm.i=1,"",INDEX(tblLaminateStructures[Total Thickness (µ)],_xlpm.i-1)),IF(OR(_xlpm.cur&lt;&gt;_xlpm.prev,BU23&lt;&gt;""),_xlpm.cur,"")),"")</f>
        <v>86</v>
      </c>
      <c r="BW23" s="648" t="str" cm="1">
        <f t="array" ref="BW23">IFERROR(INDEX(tblLaminateStructures[Material / Layer],ROWS($BW$2:BW23)),"")</f>
        <v>NK</v>
      </c>
      <c r="BX23" s="647" cm="1">
        <f t="array" ref="BX23">IFERROR(INDEX(tblLaminateStructures[Layer Thickness (µ)],ROWS($BX$2:BX23)),"")</f>
        <v>23</v>
      </c>
      <c r="BY23" s="647" cm="1">
        <f t="array" ref="BY23">IFERROR(INDEX(tblLaminateStructures[Structure Check],ROWS($BY$2:BY23)),"")</f>
        <v>86</v>
      </c>
      <c r="BZ23" s="648" cm="1">
        <f t="array" ref="BZ23">IFERROR(INDEX(tblLaminateStructures[Laminate],ROWS($BZ$2:BZ23)),"")</f>
        <v>618</v>
      </c>
      <c r="CA23" s="648"/>
      <c r="CB23" s="648"/>
      <c r="CC23" s="647" cm="1">
        <f t="array" ref="CC23">IFERROR(INDEX(tblLaminateStructures[Total Thickness (µ)],ROWS($CC$2:CC23)),"")</f>
        <v>86</v>
      </c>
      <c r="CD23" s="647"/>
      <c r="CE23" s="647"/>
      <c r="CF23" s="647"/>
      <c r="CG23" s="648"/>
      <c r="CH23" s="649"/>
    </row>
    <row r="24" spans="1:103">
      <c r="A24" s="19" t="s">
        <v>1105</v>
      </c>
      <c r="B24" s="19" t="s">
        <v>1105</v>
      </c>
      <c r="C24" s="19" t="s">
        <v>1105</v>
      </c>
      <c r="D24" s="19" t="s">
        <v>1105</v>
      </c>
      <c r="E24" s="19">
        <v>9.1999999999999993</v>
      </c>
      <c r="F24" s="10" t="s">
        <v>1100</v>
      </c>
      <c r="AV24" s="617">
        <v>618</v>
      </c>
      <c r="AW24" s="618">
        <v>86</v>
      </c>
      <c r="AX24" s="617" t="s">
        <v>0</v>
      </c>
      <c r="AY24" s="618">
        <v>60</v>
      </c>
      <c r="AZ24"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86</v>
      </c>
      <c r="BA24" s="617"/>
      <c r="BB24" s="617"/>
      <c r="BC24" s="617" t="s">
        <v>1090</v>
      </c>
      <c r="BD24" s="617"/>
      <c r="BF24" s="631"/>
      <c r="BG24" s="631"/>
      <c r="BH24" s="631"/>
      <c r="BI24" s="631"/>
      <c r="BJ24" s="631"/>
      <c r="BK24" s="631"/>
      <c r="BL24" s="631"/>
      <c r="BM24" s="631"/>
      <c r="BN24" s="631"/>
      <c r="BO24" s="631"/>
      <c r="BP24" s="631"/>
      <c r="BQ24" s="631"/>
      <c r="BR24" s="631"/>
      <c r="BS24" s="631"/>
      <c r="BT24" s="631"/>
      <c r="BU24" s="646" t="str" cm="1">
        <f t="array" ref="BU24">IFERROR(_xlfn.LET(_xlpm.i,ROWS($BU$2:BU24),_xlpm.cur,INDEX(tblLaminateStructures[Laminate],_xlpm.i),_xlpm.prev,IF(_xlpm.i=1,"",INDEX(tblLaminateStructures[Laminate],_xlpm.i-1)),IF(_xlpm.cur&lt;&gt;_xlpm.prev,_xlpm.cur,"")),"")</f>
        <v/>
      </c>
      <c r="BV24" s="647" t="str" cm="1">
        <f t="array" ref="BV24">IFERROR(_xlfn.LET(_xlpm.i,ROWS($BV$2:BV24),_xlpm.cur,INDEX(tblLaminateStructures[Total Thickness (µ)],_xlpm.i),_xlpm.prev,IF(_xlpm.i=1,"",INDEX(tblLaminateStructures[Total Thickness (µ)],_xlpm.i-1)),IF(OR(_xlpm.cur&lt;&gt;_xlpm.prev,BU24&lt;&gt;""),_xlpm.cur,"")),"")</f>
        <v/>
      </c>
      <c r="BW24" s="648" t="str" cm="1">
        <f t="array" ref="BW24">IFERROR(INDEX(tblLaminateStructures[Material / Layer],ROWS($BW$2:BW24)),"")</f>
        <v>TIPA 302FG</v>
      </c>
      <c r="BX24" s="647" cm="1">
        <f t="array" ref="BX24">IFERROR(INDEX(tblLaminateStructures[Layer Thickness (µ)],ROWS($BX$2:BX24)),"")</f>
        <v>60</v>
      </c>
      <c r="BY24" s="647" cm="1">
        <f t="array" ref="BY24">IFERROR(INDEX(tblLaminateStructures[Structure Check],ROWS($BY$2:BY24)),"")</f>
        <v>86</v>
      </c>
      <c r="BZ24" s="648" cm="1">
        <f t="array" ref="BZ24">IFERROR(INDEX(tblLaminateStructures[Laminate],ROWS($BZ$2:BZ24)),"")</f>
        <v>618</v>
      </c>
      <c r="CA24" s="648"/>
      <c r="CB24" s="648"/>
      <c r="CC24" s="647" cm="1">
        <f t="array" ref="CC24">IFERROR(INDEX(tblLaminateStructures[Total Thickness (µ)],ROWS($CC$2:CC24)),"")</f>
        <v>86</v>
      </c>
      <c r="CD24" s="647"/>
      <c r="CE24" s="647"/>
      <c r="CF24" s="647"/>
      <c r="CG24" s="648"/>
      <c r="CH24" s="649"/>
    </row>
    <row r="25" spans="1:103">
      <c r="A25" s="20"/>
      <c r="B25" s="20"/>
      <c r="C25" s="20"/>
      <c r="D25" s="20"/>
      <c r="E25" s="20"/>
      <c r="AV25" s="617">
        <v>618</v>
      </c>
      <c r="AW25" s="618">
        <v>86</v>
      </c>
      <c r="AX25" s="617" t="s">
        <v>199</v>
      </c>
      <c r="AY25" s="618">
        <v>3</v>
      </c>
      <c r="AZ25"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86</v>
      </c>
      <c r="BA25" s="617"/>
      <c r="BB25" s="617"/>
      <c r="BC25" s="617" t="s">
        <v>1090</v>
      </c>
      <c r="BD25" s="617"/>
      <c r="BF25" s="631"/>
      <c r="BG25" s="631"/>
      <c r="BH25" s="631"/>
      <c r="BI25" s="631"/>
      <c r="BJ25" s="631"/>
      <c r="BK25" s="631"/>
      <c r="BL25" s="631"/>
      <c r="BM25" s="631"/>
      <c r="BN25" s="631"/>
      <c r="BO25" s="631"/>
      <c r="BP25" s="631"/>
      <c r="BQ25" s="631"/>
      <c r="BR25" s="631"/>
      <c r="BS25" s="631"/>
      <c r="BT25" s="631"/>
      <c r="BU25" s="646" t="str" cm="1">
        <f t="array" ref="BU25">IFERROR(_xlfn.LET(_xlpm.i,ROWS($BU$2:BU25),_xlpm.cur,INDEX(tblLaminateStructures[Laminate],_xlpm.i),_xlpm.prev,IF(_xlpm.i=1,"",INDEX(tblLaminateStructures[Laminate],_xlpm.i-1)),IF(_xlpm.cur&lt;&gt;_xlpm.prev,_xlpm.cur,"")),"")</f>
        <v/>
      </c>
      <c r="BV25" s="647" t="str" cm="1">
        <f t="array" ref="BV25">IFERROR(_xlfn.LET(_xlpm.i,ROWS($BV$2:BV25),_xlpm.cur,INDEX(tblLaminateStructures[Total Thickness (µ)],_xlpm.i),_xlpm.prev,IF(_xlpm.i=1,"",INDEX(tblLaminateStructures[Total Thickness (µ)],_xlpm.i-1)),IF(OR(_xlpm.cur&lt;&gt;_xlpm.prev,BU25&lt;&gt;""),_xlpm.cur,"")),"")</f>
        <v/>
      </c>
      <c r="BW25" s="648" t="str" cm="1">
        <f t="array" ref="BW25">IFERROR(INDEX(tblLaminateStructures[Material / Layer],ROWS($BW$2:BW25)),"")</f>
        <v>RM G Epotal ECO 3675</v>
      </c>
      <c r="BX25" s="647" cm="1">
        <f t="array" ref="BX25">IFERROR(INDEX(tblLaminateStructures[Layer Thickness (µ)],ROWS($BX$2:BX25)),"")</f>
        <v>3</v>
      </c>
      <c r="BY25" s="647" cm="1">
        <f t="array" ref="BY25">IFERROR(INDEX(tblLaminateStructures[Structure Check],ROWS($BY$2:BY25)),"")</f>
        <v>86</v>
      </c>
      <c r="BZ25" s="648" cm="1">
        <f t="array" ref="BZ25">IFERROR(INDEX(tblLaminateStructures[Laminate],ROWS($BZ$2:BZ25)),"")</f>
        <v>618</v>
      </c>
      <c r="CA25" s="648"/>
      <c r="CB25" s="648"/>
      <c r="CC25" s="647" cm="1">
        <f t="array" ref="CC25">IFERROR(INDEX(tblLaminateStructures[Total Thickness (µ)],ROWS($CC$2:CC25)),"")</f>
        <v>86</v>
      </c>
      <c r="CD25" s="647"/>
      <c r="CE25" s="647"/>
      <c r="CF25" s="647"/>
      <c r="CG25" s="648"/>
      <c r="CH25" s="649"/>
    </row>
    <row r="26" spans="1:103">
      <c r="A26" s="19"/>
      <c r="B26" s="19"/>
      <c r="C26" s="19"/>
      <c r="D26" s="19"/>
      <c r="E26" s="19"/>
      <c r="AV26" s="617">
        <v>618</v>
      </c>
      <c r="AW26" s="618">
        <v>106</v>
      </c>
      <c r="AX26" s="617" t="s">
        <v>190</v>
      </c>
      <c r="AY26" s="618">
        <v>23</v>
      </c>
      <c r="AZ26"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106</v>
      </c>
      <c r="BA26" s="617"/>
      <c r="BB26" s="617"/>
      <c r="BC26" s="617" t="s">
        <v>1090</v>
      </c>
      <c r="BD26" s="617"/>
      <c r="BF26" s="631"/>
      <c r="BG26" s="631"/>
      <c r="BH26" s="631"/>
      <c r="BI26" s="631"/>
      <c r="BJ26" s="631"/>
      <c r="BK26" s="631"/>
      <c r="BL26" s="631"/>
      <c r="BM26" s="631"/>
      <c r="BN26" s="631"/>
      <c r="BO26" s="631"/>
      <c r="BP26" s="631"/>
      <c r="BQ26" s="631"/>
      <c r="BR26" s="631"/>
      <c r="BS26" s="631"/>
      <c r="BT26" s="631"/>
      <c r="BU26" s="646" t="str" cm="1">
        <f t="array" ref="BU26">IFERROR(_xlfn.LET(_xlpm.i,ROWS($BU$2:BU26),_xlpm.cur,INDEX(tblLaminateStructures[Laminate],_xlpm.i),_xlpm.prev,IF(_xlpm.i=1,"",INDEX(tblLaminateStructures[Laminate],_xlpm.i-1)),IF(_xlpm.cur&lt;&gt;_xlpm.prev,_xlpm.cur,"")),"")</f>
        <v/>
      </c>
      <c r="BV26" s="647" cm="1">
        <f t="array" ref="BV26">IFERROR(_xlfn.LET(_xlpm.i,ROWS($BV$2:BV26),_xlpm.cur,INDEX(tblLaminateStructures[Total Thickness (µ)],_xlpm.i),_xlpm.prev,IF(_xlpm.i=1,"",INDEX(tblLaminateStructures[Total Thickness (µ)],_xlpm.i-1)),IF(OR(_xlpm.cur&lt;&gt;_xlpm.prev,BU26&lt;&gt;""),_xlpm.cur,"")),"")</f>
        <v>106</v>
      </c>
      <c r="BW26" s="648" t="str" cm="1">
        <f t="array" ref="BW26">IFERROR(INDEX(tblLaminateStructures[Material / Layer],ROWS($BW$2:BW26)),"")</f>
        <v>NK</v>
      </c>
      <c r="BX26" s="647" cm="1">
        <f t="array" ref="BX26">IFERROR(INDEX(tblLaminateStructures[Layer Thickness (µ)],ROWS($BX$2:BX26)),"")</f>
        <v>23</v>
      </c>
      <c r="BY26" s="647" cm="1">
        <f t="array" ref="BY26">IFERROR(INDEX(tblLaminateStructures[Structure Check],ROWS($BY$2:BY26)),"")</f>
        <v>106</v>
      </c>
      <c r="BZ26" s="648" cm="1">
        <f t="array" ref="BZ26">IFERROR(INDEX(tblLaminateStructures[Laminate],ROWS($BZ$2:BZ26)),"")</f>
        <v>618</v>
      </c>
      <c r="CA26" s="648"/>
      <c r="CB26" s="648"/>
      <c r="CC26" s="647" cm="1">
        <f t="array" ref="CC26">IFERROR(INDEX(tblLaminateStructures[Total Thickness (µ)],ROWS($CC$2:CC26)),"")</f>
        <v>106</v>
      </c>
      <c r="CD26" s="647"/>
      <c r="CE26" s="647"/>
      <c r="CF26" s="647"/>
      <c r="CG26" s="648"/>
      <c r="CH26" s="649"/>
    </row>
    <row r="27" spans="1:103">
      <c r="A27" s="20"/>
      <c r="B27" s="20"/>
      <c r="C27" s="20"/>
      <c r="D27" s="20"/>
      <c r="E27" s="20"/>
      <c r="AV27" s="617">
        <v>618</v>
      </c>
      <c r="AW27" s="618">
        <v>106</v>
      </c>
      <c r="AX27" s="617" t="s">
        <v>0</v>
      </c>
      <c r="AY27" s="618">
        <v>80</v>
      </c>
      <c r="AZ27"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106</v>
      </c>
      <c r="BA27" s="617"/>
      <c r="BB27" s="617"/>
      <c r="BC27" s="617" t="s">
        <v>1090</v>
      </c>
      <c r="BD27" s="617"/>
      <c r="BF27" s="631"/>
      <c r="BG27" s="631"/>
      <c r="BH27" s="631"/>
      <c r="BI27" s="631"/>
      <c r="BJ27" s="631"/>
      <c r="BK27" s="631"/>
      <c r="BL27" s="631"/>
      <c r="BM27" s="631"/>
      <c r="BN27" s="631"/>
      <c r="BO27" s="631"/>
      <c r="BP27" s="631"/>
      <c r="BQ27" s="631"/>
      <c r="BR27" s="631"/>
      <c r="BS27" s="631"/>
      <c r="BT27" s="631"/>
      <c r="BU27" s="646" t="str" cm="1">
        <f t="array" ref="BU27">IFERROR(_xlfn.LET(_xlpm.i,ROWS($BU$2:BU27),_xlpm.cur,INDEX(tblLaminateStructures[Laminate],_xlpm.i),_xlpm.prev,IF(_xlpm.i=1,"",INDEX(tblLaminateStructures[Laminate],_xlpm.i-1)),IF(_xlpm.cur&lt;&gt;_xlpm.prev,_xlpm.cur,"")),"")</f>
        <v/>
      </c>
      <c r="BV27" s="647" t="str" cm="1">
        <f t="array" ref="BV27">IFERROR(_xlfn.LET(_xlpm.i,ROWS($BV$2:BV27),_xlpm.cur,INDEX(tblLaminateStructures[Total Thickness (µ)],_xlpm.i),_xlpm.prev,IF(_xlpm.i=1,"",INDEX(tblLaminateStructures[Total Thickness (µ)],_xlpm.i-1)),IF(OR(_xlpm.cur&lt;&gt;_xlpm.prev,BU27&lt;&gt;""),_xlpm.cur,"")),"")</f>
        <v/>
      </c>
      <c r="BW27" s="648" t="str" cm="1">
        <f t="array" ref="BW27">IFERROR(INDEX(tblLaminateStructures[Material / Layer],ROWS($BW$2:BW27)),"")</f>
        <v>TIPA 302FG</v>
      </c>
      <c r="BX27" s="647" cm="1">
        <f t="array" ref="BX27">IFERROR(INDEX(tblLaminateStructures[Layer Thickness (µ)],ROWS($BX$2:BX27)),"")</f>
        <v>80</v>
      </c>
      <c r="BY27" s="647" cm="1">
        <f t="array" ref="BY27">IFERROR(INDEX(tblLaminateStructures[Structure Check],ROWS($BY$2:BY27)),"")</f>
        <v>106</v>
      </c>
      <c r="BZ27" s="648" cm="1">
        <f t="array" ref="BZ27">IFERROR(INDEX(tblLaminateStructures[Laminate],ROWS($BZ$2:BZ27)),"")</f>
        <v>618</v>
      </c>
      <c r="CA27" s="648"/>
      <c r="CB27" s="648"/>
      <c r="CC27" s="647" cm="1">
        <f t="array" ref="CC27">IFERROR(INDEX(tblLaminateStructures[Total Thickness (µ)],ROWS($CC$2:CC27)),"")</f>
        <v>106</v>
      </c>
      <c r="CD27" s="647"/>
      <c r="CE27" s="647"/>
      <c r="CF27" s="647"/>
      <c r="CG27" s="648"/>
      <c r="CH27" s="649"/>
    </row>
    <row r="28" spans="1:103">
      <c r="A28" s="19"/>
      <c r="B28" s="19"/>
      <c r="C28" s="19"/>
      <c r="D28" s="19"/>
      <c r="E28" s="19"/>
      <c r="AV28" s="617">
        <v>618</v>
      </c>
      <c r="AW28" s="618">
        <v>106</v>
      </c>
      <c r="AX28" s="617" t="s">
        <v>199</v>
      </c>
      <c r="AY28" s="618">
        <v>3</v>
      </c>
      <c r="AZ28"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106</v>
      </c>
      <c r="BA28" s="617"/>
      <c r="BB28" s="617"/>
      <c r="BC28" s="617" t="s">
        <v>1090</v>
      </c>
      <c r="BD28" s="617"/>
      <c r="BF28" s="631"/>
      <c r="BG28" s="631"/>
      <c r="BH28" s="631"/>
      <c r="BI28" s="631"/>
      <c r="BJ28" s="631"/>
      <c r="BK28" s="631"/>
      <c r="BL28" s="631"/>
      <c r="BM28" s="631"/>
      <c r="BN28" s="631"/>
      <c r="BO28" s="631"/>
      <c r="BP28" s="631"/>
      <c r="BQ28" s="631"/>
      <c r="BR28" s="631"/>
      <c r="BS28" s="631"/>
      <c r="BT28" s="631"/>
      <c r="BU28" s="646" t="str" cm="1">
        <f t="array" ref="BU28">IFERROR(_xlfn.LET(_xlpm.i,ROWS($BU$2:BU28),_xlpm.cur,INDEX(tblLaminateStructures[Laminate],_xlpm.i),_xlpm.prev,IF(_xlpm.i=1,"",INDEX(tblLaminateStructures[Laminate],_xlpm.i-1)),IF(_xlpm.cur&lt;&gt;_xlpm.prev,_xlpm.cur,"")),"")</f>
        <v/>
      </c>
      <c r="BV28" s="647" t="str" cm="1">
        <f t="array" ref="BV28">IFERROR(_xlfn.LET(_xlpm.i,ROWS($BV$2:BV28),_xlpm.cur,INDEX(tblLaminateStructures[Total Thickness (µ)],_xlpm.i),_xlpm.prev,IF(_xlpm.i=1,"",INDEX(tblLaminateStructures[Total Thickness (µ)],_xlpm.i-1)),IF(OR(_xlpm.cur&lt;&gt;_xlpm.prev,BU28&lt;&gt;""),_xlpm.cur,"")),"")</f>
        <v/>
      </c>
      <c r="BW28" s="648" t="str" cm="1">
        <f t="array" ref="BW28">IFERROR(INDEX(tblLaminateStructures[Material / Layer],ROWS($BW$2:BW28)),"")</f>
        <v>RM G Epotal ECO 3675</v>
      </c>
      <c r="BX28" s="647" cm="1">
        <f t="array" ref="BX28">IFERROR(INDEX(tblLaminateStructures[Layer Thickness (µ)],ROWS($BX$2:BX28)),"")</f>
        <v>3</v>
      </c>
      <c r="BY28" s="647" cm="1">
        <f t="array" ref="BY28">IFERROR(INDEX(tblLaminateStructures[Structure Check],ROWS($BY$2:BY28)),"")</f>
        <v>106</v>
      </c>
      <c r="BZ28" s="648" cm="1">
        <f t="array" ref="BZ28">IFERROR(INDEX(tblLaminateStructures[Laminate],ROWS($BZ$2:BZ28)),"")</f>
        <v>618</v>
      </c>
      <c r="CA28" s="648"/>
      <c r="CB28" s="648"/>
      <c r="CC28" s="647" cm="1">
        <f t="array" ref="CC28">IFERROR(INDEX(tblLaminateStructures[Total Thickness (µ)],ROWS($CC$2:CC28)),"")</f>
        <v>106</v>
      </c>
      <c r="CD28" s="647"/>
      <c r="CE28" s="647"/>
      <c r="CF28" s="647"/>
      <c r="CG28" s="648"/>
      <c r="CH28" s="649"/>
    </row>
    <row r="29" spans="1:103">
      <c r="A29" s="20"/>
      <c r="B29" s="20"/>
      <c r="C29" s="20"/>
      <c r="D29" s="20"/>
      <c r="E29" s="20"/>
      <c r="AV29" s="617" t="s">
        <v>591</v>
      </c>
      <c r="AW29" s="618">
        <v>51</v>
      </c>
      <c r="AX29" s="617" t="s">
        <v>190</v>
      </c>
      <c r="AY29" s="618">
        <v>23</v>
      </c>
      <c r="AZ29"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51</v>
      </c>
      <c r="BA29" s="617"/>
      <c r="BB29" s="617"/>
      <c r="BC29" s="617" t="s">
        <v>1090</v>
      </c>
      <c r="BD29" s="617"/>
      <c r="BF29" s="631"/>
      <c r="BG29" s="631"/>
      <c r="BH29" s="631"/>
      <c r="BI29" s="631"/>
      <c r="BJ29" s="631"/>
      <c r="BK29" s="631"/>
      <c r="BL29" s="631"/>
      <c r="BM29" s="631"/>
      <c r="BN29" s="631"/>
      <c r="BO29" s="631"/>
      <c r="BP29" s="631"/>
      <c r="BQ29" s="631"/>
      <c r="BR29" s="631"/>
      <c r="BS29" s="631"/>
      <c r="BT29" s="631"/>
      <c r="BU29" s="646" t="str" cm="1">
        <f t="array" ref="BU29">IFERROR(_xlfn.LET(_xlpm.i,ROWS($BU$2:BU29),_xlpm.cur,INDEX(tblLaminateStructures[Laminate],_xlpm.i),_xlpm.prev,IF(_xlpm.i=1,"",INDEX(tblLaminateStructures[Laminate],_xlpm.i-1)),IF(_xlpm.cur&lt;&gt;_xlpm.prev,_xlpm.cur,"")),"")</f>
        <v>618 W</v>
      </c>
      <c r="BV29" s="647" cm="1">
        <f t="array" ref="BV29">IFERROR(_xlfn.LET(_xlpm.i,ROWS($BV$2:BV29),_xlpm.cur,INDEX(tblLaminateStructures[Total Thickness (µ)],_xlpm.i),_xlpm.prev,IF(_xlpm.i=1,"",INDEX(tblLaminateStructures[Total Thickness (µ)],_xlpm.i-1)),IF(OR(_xlpm.cur&lt;&gt;_xlpm.prev,BU29&lt;&gt;""),_xlpm.cur,"")),"")</f>
        <v>51</v>
      </c>
      <c r="BW29" s="648" t="str" cm="1">
        <f t="array" ref="BW29">IFERROR(INDEX(tblLaminateStructures[Material / Layer],ROWS($BW$2:BW29)),"")</f>
        <v>NK</v>
      </c>
      <c r="BX29" s="647" cm="1">
        <f t="array" ref="BX29">IFERROR(INDEX(tblLaminateStructures[Layer Thickness (µ)],ROWS($BX$2:BX29)),"")</f>
        <v>23</v>
      </c>
      <c r="BY29" s="647" cm="1">
        <f t="array" ref="BY29">IFERROR(INDEX(tblLaminateStructures[Structure Check],ROWS($BY$2:BY29)),"")</f>
        <v>51</v>
      </c>
      <c r="BZ29" s="648" t="str" cm="1">
        <f t="array" ref="BZ29">IFERROR(INDEX(tblLaminateStructures[Laminate],ROWS($BZ$2:BZ29)),"")</f>
        <v>618 W</v>
      </c>
      <c r="CA29" s="648"/>
      <c r="CB29" s="648"/>
      <c r="CC29" s="647" cm="1">
        <f t="array" ref="CC29">IFERROR(INDEX(tblLaminateStructures[Total Thickness (µ)],ROWS($CC$2:CC29)),"")</f>
        <v>51</v>
      </c>
      <c r="CD29" s="647"/>
      <c r="CE29" s="647"/>
      <c r="CF29" s="647"/>
      <c r="CG29" s="648"/>
      <c r="CH29" s="649"/>
    </row>
    <row r="30" spans="1:103">
      <c r="A30" s="19"/>
      <c r="B30" s="19"/>
      <c r="C30" s="19"/>
      <c r="D30" s="19"/>
      <c r="E30" s="19"/>
      <c r="AV30" s="617" t="s">
        <v>591</v>
      </c>
      <c r="AW30" s="618">
        <v>51</v>
      </c>
      <c r="AX30" s="617" t="s">
        <v>43</v>
      </c>
      <c r="AY30" s="618">
        <v>25</v>
      </c>
      <c r="AZ30"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51</v>
      </c>
      <c r="BA30" s="617"/>
      <c r="BB30" s="617"/>
      <c r="BC30" s="617" t="s">
        <v>1090</v>
      </c>
      <c r="BD30" s="617"/>
      <c r="BF30" s="631"/>
      <c r="BG30" s="631"/>
      <c r="BH30" s="631"/>
      <c r="BI30" s="631"/>
      <c r="BJ30" s="631"/>
      <c r="BK30" s="631"/>
      <c r="BL30" s="631"/>
      <c r="BM30" s="631"/>
      <c r="BN30" s="631"/>
      <c r="BO30" s="631"/>
      <c r="BP30" s="631"/>
      <c r="BQ30" s="631"/>
      <c r="BR30" s="631"/>
      <c r="BS30" s="631"/>
      <c r="BT30" s="631"/>
      <c r="BU30" s="646" t="str" cm="1">
        <f t="array" ref="BU30">IFERROR(_xlfn.LET(_xlpm.i,ROWS($BU$2:BU30),_xlpm.cur,INDEX(tblLaminateStructures[Laminate],_xlpm.i),_xlpm.prev,IF(_xlpm.i=1,"",INDEX(tblLaminateStructures[Laminate],_xlpm.i-1)),IF(_xlpm.cur&lt;&gt;_xlpm.prev,_xlpm.cur,"")),"")</f>
        <v/>
      </c>
      <c r="BV30" s="647" t="str" cm="1">
        <f t="array" ref="BV30">IFERROR(_xlfn.LET(_xlpm.i,ROWS($BV$2:BV30),_xlpm.cur,INDEX(tblLaminateStructures[Total Thickness (µ)],_xlpm.i),_xlpm.prev,IF(_xlpm.i=1,"",INDEX(tblLaminateStructures[Total Thickness (µ)],_xlpm.i-1)),IF(OR(_xlpm.cur&lt;&gt;_xlpm.prev,BU30&lt;&gt;""),_xlpm.cur,"")),"")</f>
        <v/>
      </c>
      <c r="BW30" s="648" t="str" cm="1">
        <f t="array" ref="BW30">IFERROR(INDEX(tblLaminateStructures[Material / Layer],ROWS($BW$2:BW30)),"")</f>
        <v>TIPA 302FG W</v>
      </c>
      <c r="BX30" s="647" cm="1">
        <f t="array" ref="BX30">IFERROR(INDEX(tblLaminateStructures[Layer Thickness (µ)],ROWS($BX$2:BX30)),"")</f>
        <v>25</v>
      </c>
      <c r="BY30" s="647" cm="1">
        <f t="array" ref="BY30">IFERROR(INDEX(tblLaminateStructures[Structure Check],ROWS($BY$2:BY30)),"")</f>
        <v>51</v>
      </c>
      <c r="BZ30" s="648" t="str" cm="1">
        <f t="array" ref="BZ30">IFERROR(INDEX(tblLaminateStructures[Laminate],ROWS($BZ$2:BZ30)),"")</f>
        <v>618 W</v>
      </c>
      <c r="CA30" s="648"/>
      <c r="CB30" s="648"/>
      <c r="CC30" s="647" cm="1">
        <f t="array" ref="CC30">IFERROR(INDEX(tblLaminateStructures[Total Thickness (µ)],ROWS($CC$2:CC30)),"")</f>
        <v>51</v>
      </c>
      <c r="CD30" s="647"/>
      <c r="CE30" s="647"/>
      <c r="CF30" s="647"/>
      <c r="CG30" s="648"/>
      <c r="CH30" s="649"/>
    </row>
    <row r="31" spans="1:103">
      <c r="A31" s="20"/>
      <c r="B31" s="20"/>
      <c r="C31" s="20"/>
      <c r="D31" s="20"/>
      <c r="E31" s="20"/>
      <c r="AV31" s="617" t="s">
        <v>591</v>
      </c>
      <c r="AW31" s="618">
        <v>51</v>
      </c>
      <c r="AX31" s="617" t="s">
        <v>199</v>
      </c>
      <c r="AY31" s="618">
        <v>3</v>
      </c>
      <c r="AZ31"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51</v>
      </c>
      <c r="BA31" s="617"/>
      <c r="BB31" s="617"/>
      <c r="BC31" s="617" t="s">
        <v>1090</v>
      </c>
      <c r="BD31" s="617"/>
      <c r="BF31" s="631"/>
      <c r="BG31" s="631"/>
      <c r="BH31" s="631"/>
      <c r="BI31" s="631"/>
      <c r="BJ31" s="631"/>
      <c r="BK31" s="631"/>
      <c r="BL31" s="631"/>
      <c r="BM31" s="631"/>
      <c r="BN31" s="631"/>
      <c r="BO31" s="631"/>
      <c r="BP31" s="631"/>
      <c r="BQ31" s="631"/>
      <c r="BR31" s="631"/>
      <c r="BS31" s="631"/>
      <c r="BT31" s="631"/>
      <c r="BU31" s="646" t="str" cm="1">
        <f t="array" ref="BU31">IFERROR(_xlfn.LET(_xlpm.i,ROWS($BU$2:BU31),_xlpm.cur,INDEX(tblLaminateStructures[Laminate],_xlpm.i),_xlpm.prev,IF(_xlpm.i=1,"",INDEX(tblLaminateStructures[Laminate],_xlpm.i-1)),IF(_xlpm.cur&lt;&gt;_xlpm.prev,_xlpm.cur,"")),"")</f>
        <v/>
      </c>
      <c r="BV31" s="647" t="str" cm="1">
        <f t="array" ref="BV31">IFERROR(_xlfn.LET(_xlpm.i,ROWS($BV$2:BV31),_xlpm.cur,INDEX(tblLaminateStructures[Total Thickness (µ)],_xlpm.i),_xlpm.prev,IF(_xlpm.i=1,"",INDEX(tblLaminateStructures[Total Thickness (µ)],_xlpm.i-1)),IF(OR(_xlpm.cur&lt;&gt;_xlpm.prev,BU31&lt;&gt;""),_xlpm.cur,"")),"")</f>
        <v/>
      </c>
      <c r="BW31" s="648" t="str" cm="1">
        <f t="array" ref="BW31">IFERROR(INDEX(tblLaminateStructures[Material / Layer],ROWS($BW$2:BW31)),"")</f>
        <v>RM G Epotal ECO 3675</v>
      </c>
      <c r="BX31" s="647" cm="1">
        <f t="array" ref="BX31">IFERROR(INDEX(tblLaminateStructures[Layer Thickness (µ)],ROWS($BX$2:BX31)),"")</f>
        <v>3</v>
      </c>
      <c r="BY31" s="647" cm="1">
        <f t="array" ref="BY31">IFERROR(INDEX(tblLaminateStructures[Structure Check],ROWS($BY$2:BY31)),"")</f>
        <v>51</v>
      </c>
      <c r="BZ31" s="648" t="str" cm="1">
        <f t="array" ref="BZ31">IFERROR(INDEX(tblLaminateStructures[Laminate],ROWS($BZ$2:BZ31)),"")</f>
        <v>618 W</v>
      </c>
      <c r="CA31" s="648"/>
      <c r="CB31" s="648"/>
      <c r="CC31" s="647" cm="1">
        <f t="array" ref="CC31">IFERROR(INDEX(tblLaminateStructures[Total Thickness (µ)],ROWS($CC$2:CC31)),"")</f>
        <v>51</v>
      </c>
      <c r="CD31" s="647"/>
      <c r="CE31" s="647"/>
      <c r="CF31" s="647"/>
      <c r="CG31" s="648"/>
      <c r="CH31" s="649"/>
    </row>
    <row r="32" spans="1:103">
      <c r="A32" s="19"/>
      <c r="B32" s="19"/>
      <c r="C32" s="19"/>
      <c r="D32" s="19"/>
      <c r="E32" s="19"/>
      <c r="AV32" s="617" t="s">
        <v>591</v>
      </c>
      <c r="AW32" s="618">
        <v>56</v>
      </c>
      <c r="AX32" s="617" t="s">
        <v>190</v>
      </c>
      <c r="AY32" s="618">
        <v>23</v>
      </c>
      <c r="AZ32"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56</v>
      </c>
      <c r="BA32" s="617"/>
      <c r="BB32" s="617"/>
      <c r="BC32" s="617" t="s">
        <v>1090</v>
      </c>
      <c r="BD32" s="617"/>
      <c r="BF32" s="631"/>
      <c r="BG32" s="631"/>
      <c r="BH32" s="631"/>
      <c r="BI32" s="631"/>
      <c r="BJ32" s="631"/>
      <c r="BK32" s="631"/>
      <c r="BL32" s="631"/>
      <c r="BM32" s="631"/>
      <c r="BN32" s="631"/>
      <c r="BO32" s="631"/>
      <c r="BP32" s="631"/>
      <c r="BQ32" s="631"/>
      <c r="BR32" s="631"/>
      <c r="BS32" s="631"/>
      <c r="BT32" s="631"/>
      <c r="BU32" s="646" t="str" cm="1">
        <f t="array" ref="BU32">IFERROR(_xlfn.LET(_xlpm.i,ROWS($BU$2:BU32),_xlpm.cur,INDEX(tblLaminateStructures[Laminate],_xlpm.i),_xlpm.prev,IF(_xlpm.i=1,"",INDEX(tblLaminateStructures[Laminate],_xlpm.i-1)),IF(_xlpm.cur&lt;&gt;_xlpm.prev,_xlpm.cur,"")),"")</f>
        <v/>
      </c>
      <c r="BV32" s="647" cm="1">
        <f t="array" ref="BV32">IFERROR(_xlfn.LET(_xlpm.i,ROWS($BV$2:BV32),_xlpm.cur,INDEX(tblLaminateStructures[Total Thickness (µ)],_xlpm.i),_xlpm.prev,IF(_xlpm.i=1,"",INDEX(tblLaminateStructures[Total Thickness (µ)],_xlpm.i-1)),IF(OR(_xlpm.cur&lt;&gt;_xlpm.prev,BU32&lt;&gt;""),_xlpm.cur,"")),"")</f>
        <v>56</v>
      </c>
      <c r="BW32" s="648" t="str" cm="1">
        <f t="array" ref="BW32">IFERROR(INDEX(tblLaminateStructures[Material / Layer],ROWS($BW$2:BW32)),"")</f>
        <v>NK</v>
      </c>
      <c r="BX32" s="647" cm="1">
        <f t="array" ref="BX32">IFERROR(INDEX(tblLaminateStructures[Layer Thickness (µ)],ROWS($BX$2:BX32)),"")</f>
        <v>23</v>
      </c>
      <c r="BY32" s="647" cm="1">
        <f t="array" ref="BY32">IFERROR(INDEX(tblLaminateStructures[Structure Check],ROWS($BY$2:BY32)),"")</f>
        <v>56</v>
      </c>
      <c r="BZ32" s="648" t="str" cm="1">
        <f t="array" ref="BZ32">IFERROR(INDEX(tblLaminateStructures[Laminate],ROWS($BZ$2:BZ32)),"")</f>
        <v>618 W</v>
      </c>
      <c r="CA32" s="648"/>
      <c r="CB32" s="648"/>
      <c r="CC32" s="647" cm="1">
        <f t="array" ref="CC32">IFERROR(INDEX(tblLaminateStructures[Total Thickness (µ)],ROWS($CC$2:CC32)),"")</f>
        <v>56</v>
      </c>
      <c r="CD32" s="647"/>
      <c r="CE32" s="647"/>
      <c r="CF32" s="647"/>
      <c r="CG32" s="648"/>
      <c r="CH32" s="649"/>
    </row>
    <row r="33" spans="46:86">
      <c r="AV33" s="617" t="s">
        <v>591</v>
      </c>
      <c r="AW33" s="618">
        <v>56</v>
      </c>
      <c r="AX33" s="617" t="s">
        <v>43</v>
      </c>
      <c r="AY33" s="618">
        <v>30</v>
      </c>
      <c r="AZ33"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56</v>
      </c>
      <c r="BA33" s="617"/>
      <c r="BB33" s="617"/>
      <c r="BC33" s="617" t="s">
        <v>1090</v>
      </c>
      <c r="BD33" s="617"/>
      <c r="BF33" s="631"/>
      <c r="BG33" s="631"/>
      <c r="BH33" s="631"/>
      <c r="BI33" s="631"/>
      <c r="BJ33" s="631"/>
      <c r="BK33" s="631"/>
      <c r="BL33" s="631"/>
      <c r="BM33" s="631"/>
      <c r="BN33" s="631"/>
      <c r="BO33" s="631"/>
      <c r="BP33" s="631"/>
      <c r="BQ33" s="631"/>
      <c r="BR33" s="631"/>
      <c r="BS33" s="631"/>
      <c r="BT33" s="631"/>
      <c r="BU33" s="646" t="str" cm="1">
        <f t="array" ref="BU33">IFERROR(_xlfn.LET(_xlpm.i,ROWS($BU$2:BU33),_xlpm.cur,INDEX(tblLaminateStructures[Laminate],_xlpm.i),_xlpm.prev,IF(_xlpm.i=1,"",INDEX(tblLaminateStructures[Laminate],_xlpm.i-1)),IF(_xlpm.cur&lt;&gt;_xlpm.prev,_xlpm.cur,"")),"")</f>
        <v/>
      </c>
      <c r="BV33" s="647" t="str" cm="1">
        <f t="array" ref="BV33">IFERROR(_xlfn.LET(_xlpm.i,ROWS($BV$2:BV33),_xlpm.cur,INDEX(tblLaminateStructures[Total Thickness (µ)],_xlpm.i),_xlpm.prev,IF(_xlpm.i=1,"",INDEX(tblLaminateStructures[Total Thickness (µ)],_xlpm.i-1)),IF(OR(_xlpm.cur&lt;&gt;_xlpm.prev,BU33&lt;&gt;""),_xlpm.cur,"")),"")</f>
        <v/>
      </c>
      <c r="BW33" s="648" t="str" cm="1">
        <f t="array" ref="BW33">IFERROR(INDEX(tblLaminateStructures[Material / Layer],ROWS($BW$2:BW33)),"")</f>
        <v>TIPA 302FG W</v>
      </c>
      <c r="BX33" s="647" cm="1">
        <f t="array" ref="BX33">IFERROR(INDEX(tblLaminateStructures[Layer Thickness (µ)],ROWS($BX$2:BX33)),"")</f>
        <v>30</v>
      </c>
      <c r="BY33" s="647" cm="1">
        <f t="array" ref="BY33">IFERROR(INDEX(tblLaminateStructures[Structure Check],ROWS($BY$2:BY33)),"")</f>
        <v>56</v>
      </c>
      <c r="BZ33" s="648" t="str" cm="1">
        <f t="array" ref="BZ33">IFERROR(INDEX(tblLaminateStructures[Laminate],ROWS($BZ$2:BZ33)),"")</f>
        <v>618 W</v>
      </c>
      <c r="CA33" s="648"/>
      <c r="CB33" s="648"/>
      <c r="CC33" s="647" cm="1">
        <f t="array" ref="CC33">IFERROR(INDEX(tblLaminateStructures[Total Thickness (µ)],ROWS($CC$2:CC33)),"")</f>
        <v>56</v>
      </c>
      <c r="CD33" s="647"/>
      <c r="CE33" s="647"/>
      <c r="CF33" s="647"/>
      <c r="CG33" s="648"/>
      <c r="CH33" s="649"/>
    </row>
    <row r="34" spans="46:86">
      <c r="AV34" s="617" t="s">
        <v>591</v>
      </c>
      <c r="AW34" s="618">
        <v>56</v>
      </c>
      <c r="AX34" s="617" t="s">
        <v>199</v>
      </c>
      <c r="AY34" s="618">
        <v>3</v>
      </c>
      <c r="AZ34"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56</v>
      </c>
      <c r="BA34" s="617"/>
      <c r="BB34" s="617"/>
      <c r="BC34" s="617" t="s">
        <v>1090</v>
      </c>
      <c r="BD34" s="617"/>
      <c r="BF34" s="631"/>
      <c r="BG34" s="631"/>
      <c r="BH34" s="631"/>
      <c r="BI34" s="631"/>
      <c r="BJ34" s="631"/>
      <c r="BK34" s="631"/>
      <c r="BL34" s="631"/>
      <c r="BM34" s="631"/>
      <c r="BN34" s="631"/>
      <c r="BO34" s="631"/>
      <c r="BP34" s="631"/>
      <c r="BQ34" s="631"/>
      <c r="BR34" s="631"/>
      <c r="BS34" s="631"/>
      <c r="BT34" s="631"/>
      <c r="BU34" s="646" t="str" cm="1">
        <f t="array" ref="BU34">IFERROR(_xlfn.LET(_xlpm.i,ROWS($BU$2:BU34),_xlpm.cur,INDEX(tblLaminateStructures[Laminate],_xlpm.i),_xlpm.prev,IF(_xlpm.i=1,"",INDEX(tblLaminateStructures[Laminate],_xlpm.i-1)),IF(_xlpm.cur&lt;&gt;_xlpm.prev,_xlpm.cur,"")),"")</f>
        <v/>
      </c>
      <c r="BV34" s="647" t="str" cm="1">
        <f t="array" ref="BV34">IFERROR(_xlfn.LET(_xlpm.i,ROWS($BV$2:BV34),_xlpm.cur,INDEX(tblLaminateStructures[Total Thickness (µ)],_xlpm.i),_xlpm.prev,IF(_xlpm.i=1,"",INDEX(tblLaminateStructures[Total Thickness (µ)],_xlpm.i-1)),IF(OR(_xlpm.cur&lt;&gt;_xlpm.prev,BU34&lt;&gt;""),_xlpm.cur,"")),"")</f>
        <v/>
      </c>
      <c r="BW34" s="648" t="str" cm="1">
        <f t="array" ref="BW34">IFERROR(INDEX(tblLaminateStructures[Material / Layer],ROWS($BW$2:BW34)),"")</f>
        <v>RM G Epotal ECO 3675</v>
      </c>
      <c r="BX34" s="647" cm="1">
        <f t="array" ref="BX34">IFERROR(INDEX(tblLaminateStructures[Layer Thickness (µ)],ROWS($BX$2:BX34)),"")</f>
        <v>3</v>
      </c>
      <c r="BY34" s="647" cm="1">
        <f t="array" ref="BY34">IFERROR(INDEX(tblLaminateStructures[Structure Check],ROWS($BY$2:BY34)),"")</f>
        <v>56</v>
      </c>
      <c r="BZ34" s="648" t="str" cm="1">
        <f t="array" ref="BZ34">IFERROR(INDEX(tblLaminateStructures[Laminate],ROWS($BZ$2:BZ34)),"")</f>
        <v>618 W</v>
      </c>
      <c r="CA34" s="648"/>
      <c r="CB34" s="648"/>
      <c r="CC34" s="647" cm="1">
        <f t="array" ref="CC34">IFERROR(INDEX(tblLaminateStructures[Total Thickness (µ)],ROWS($CC$2:CC34)),"")</f>
        <v>56</v>
      </c>
      <c r="CD34" s="647"/>
      <c r="CE34" s="647"/>
      <c r="CF34" s="647"/>
      <c r="CG34" s="648"/>
      <c r="CH34" s="649"/>
    </row>
    <row r="35" spans="46:86">
      <c r="AV35" s="617" t="s">
        <v>591</v>
      </c>
      <c r="AW35" s="618">
        <v>61</v>
      </c>
      <c r="AX35" s="617" t="s">
        <v>190</v>
      </c>
      <c r="AY35" s="618">
        <v>23</v>
      </c>
      <c r="AZ35"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61</v>
      </c>
      <c r="BA35" s="617"/>
      <c r="BB35" s="617"/>
      <c r="BC35" s="617" t="s">
        <v>1090</v>
      </c>
      <c r="BD35" s="617"/>
      <c r="BF35" s="631"/>
      <c r="BG35" s="631"/>
      <c r="BH35" s="631"/>
      <c r="BI35" s="631"/>
      <c r="BJ35" s="631"/>
      <c r="BK35" s="631"/>
      <c r="BL35" s="631"/>
      <c r="BM35" s="631"/>
      <c r="BN35" s="631"/>
      <c r="BO35" s="631"/>
      <c r="BP35" s="631"/>
      <c r="BQ35" s="631"/>
      <c r="BR35" s="631"/>
      <c r="BS35" s="631"/>
      <c r="BT35" s="631"/>
      <c r="BU35" s="646" t="str" cm="1">
        <f t="array" ref="BU35">IFERROR(_xlfn.LET(_xlpm.i,ROWS($BU$2:BU35),_xlpm.cur,INDEX(tblLaminateStructures[Laminate],_xlpm.i),_xlpm.prev,IF(_xlpm.i=1,"",INDEX(tblLaminateStructures[Laminate],_xlpm.i-1)),IF(_xlpm.cur&lt;&gt;_xlpm.prev,_xlpm.cur,"")),"")</f>
        <v/>
      </c>
      <c r="BV35" s="647" cm="1">
        <f t="array" ref="BV35">IFERROR(_xlfn.LET(_xlpm.i,ROWS($BV$2:BV35),_xlpm.cur,INDEX(tblLaminateStructures[Total Thickness (µ)],_xlpm.i),_xlpm.prev,IF(_xlpm.i=1,"",INDEX(tblLaminateStructures[Total Thickness (µ)],_xlpm.i-1)),IF(OR(_xlpm.cur&lt;&gt;_xlpm.prev,BU35&lt;&gt;""),_xlpm.cur,"")),"")</f>
        <v>61</v>
      </c>
      <c r="BW35" s="648" t="str" cm="1">
        <f t="array" ref="BW35">IFERROR(INDEX(tblLaminateStructures[Material / Layer],ROWS($BW$2:BW35)),"")</f>
        <v>NK</v>
      </c>
      <c r="BX35" s="647" cm="1">
        <f t="array" ref="BX35">IFERROR(INDEX(tblLaminateStructures[Layer Thickness (µ)],ROWS($BX$2:BX35)),"")</f>
        <v>23</v>
      </c>
      <c r="BY35" s="647" cm="1">
        <f t="array" ref="BY35">IFERROR(INDEX(tblLaminateStructures[Structure Check],ROWS($BY$2:BY35)),"")</f>
        <v>61</v>
      </c>
      <c r="BZ35" s="648" t="str" cm="1">
        <f t="array" ref="BZ35">IFERROR(INDEX(tblLaminateStructures[Laminate],ROWS($BZ$2:BZ35)),"")</f>
        <v>618 W</v>
      </c>
      <c r="CA35" s="648"/>
      <c r="CB35" s="648"/>
      <c r="CC35" s="647" cm="1">
        <f t="array" ref="CC35">IFERROR(INDEX(tblLaminateStructures[Total Thickness (µ)],ROWS($CC$2:CC35)),"")</f>
        <v>61</v>
      </c>
      <c r="CD35" s="647"/>
      <c r="CE35" s="647"/>
      <c r="CF35" s="647"/>
      <c r="CG35" s="648"/>
      <c r="CH35" s="649"/>
    </row>
    <row r="36" spans="46:86">
      <c r="AT36" s="10"/>
      <c r="AV36" s="617" t="s">
        <v>591</v>
      </c>
      <c r="AW36" s="618">
        <v>61</v>
      </c>
      <c r="AX36" s="617" t="s">
        <v>43</v>
      </c>
      <c r="AY36" s="618">
        <v>35</v>
      </c>
      <c r="AZ36"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61</v>
      </c>
      <c r="BA36" s="617"/>
      <c r="BB36" s="617"/>
      <c r="BC36" s="617" t="s">
        <v>1090</v>
      </c>
      <c r="BD36" s="617"/>
      <c r="BF36" s="631"/>
      <c r="BG36" s="631"/>
      <c r="BH36" s="631"/>
      <c r="BI36" s="631"/>
      <c r="BJ36" s="631"/>
      <c r="BK36" s="631"/>
      <c r="BL36" s="631"/>
      <c r="BM36" s="631"/>
      <c r="BN36" s="631"/>
      <c r="BO36" s="631"/>
      <c r="BP36" s="631"/>
      <c r="BQ36" s="631"/>
      <c r="BR36" s="631"/>
      <c r="BS36" s="631"/>
      <c r="BT36" s="631"/>
      <c r="BU36" s="646" t="str" cm="1">
        <f t="array" ref="BU36">IFERROR(_xlfn.LET(_xlpm.i,ROWS($BU$2:BU36),_xlpm.cur,INDEX(tblLaminateStructures[Laminate],_xlpm.i),_xlpm.prev,IF(_xlpm.i=1,"",INDEX(tblLaminateStructures[Laminate],_xlpm.i-1)),IF(_xlpm.cur&lt;&gt;_xlpm.prev,_xlpm.cur,"")),"")</f>
        <v/>
      </c>
      <c r="BV36" s="647" t="str" cm="1">
        <f t="array" ref="BV36">IFERROR(_xlfn.LET(_xlpm.i,ROWS($BV$2:BV36),_xlpm.cur,INDEX(tblLaminateStructures[Total Thickness (µ)],_xlpm.i),_xlpm.prev,IF(_xlpm.i=1,"",INDEX(tblLaminateStructures[Total Thickness (µ)],_xlpm.i-1)),IF(OR(_xlpm.cur&lt;&gt;_xlpm.prev,BU36&lt;&gt;""),_xlpm.cur,"")),"")</f>
        <v/>
      </c>
      <c r="BW36" s="648" t="str" cm="1">
        <f t="array" ref="BW36">IFERROR(INDEX(tblLaminateStructures[Material / Layer],ROWS($BW$2:BW36)),"")</f>
        <v>TIPA 302FG W</v>
      </c>
      <c r="BX36" s="647" cm="1">
        <f t="array" ref="BX36">IFERROR(INDEX(tblLaminateStructures[Layer Thickness (µ)],ROWS($BX$2:BX36)),"")</f>
        <v>35</v>
      </c>
      <c r="BY36" s="647" cm="1">
        <f t="array" ref="BY36">IFERROR(INDEX(tblLaminateStructures[Structure Check],ROWS($BY$2:BY36)),"")</f>
        <v>61</v>
      </c>
      <c r="BZ36" s="648" t="str" cm="1">
        <f t="array" ref="BZ36">IFERROR(INDEX(tblLaminateStructures[Laminate],ROWS($BZ$2:BZ36)),"")</f>
        <v>618 W</v>
      </c>
      <c r="CA36" s="648"/>
      <c r="CB36" s="648"/>
      <c r="CC36" s="647" cm="1">
        <f t="array" ref="CC36">IFERROR(INDEX(tblLaminateStructures[Total Thickness (µ)],ROWS($CC$2:CC36)),"")</f>
        <v>61</v>
      </c>
      <c r="CD36" s="647"/>
      <c r="CE36" s="647"/>
      <c r="CF36" s="647"/>
      <c r="CG36" s="648"/>
      <c r="CH36" s="649"/>
    </row>
    <row r="37" spans="46:86">
      <c r="AT37" s="10"/>
      <c r="AV37" s="617" t="s">
        <v>591</v>
      </c>
      <c r="AW37" s="618">
        <v>61</v>
      </c>
      <c r="AX37" s="617" t="s">
        <v>199</v>
      </c>
      <c r="AY37" s="618">
        <v>3</v>
      </c>
      <c r="AZ37"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61</v>
      </c>
      <c r="BA37" s="617"/>
      <c r="BB37" s="617"/>
      <c r="BC37" s="617" t="s">
        <v>1090</v>
      </c>
      <c r="BD37" s="617"/>
      <c r="BF37" s="631"/>
      <c r="BG37" s="631"/>
      <c r="BH37" s="631"/>
      <c r="BI37" s="631"/>
      <c r="BJ37" s="631"/>
      <c r="BK37" s="631"/>
      <c r="BL37" s="631"/>
      <c r="BM37" s="631"/>
      <c r="BN37" s="631"/>
      <c r="BO37" s="631"/>
      <c r="BP37" s="631"/>
      <c r="BQ37" s="631"/>
      <c r="BR37" s="631"/>
      <c r="BS37" s="631"/>
      <c r="BT37" s="631"/>
      <c r="BU37" s="646" t="str" cm="1">
        <f t="array" ref="BU37">IFERROR(_xlfn.LET(_xlpm.i,ROWS($BU$2:BU37),_xlpm.cur,INDEX(tblLaminateStructures[Laminate],_xlpm.i),_xlpm.prev,IF(_xlpm.i=1,"",INDEX(tblLaminateStructures[Laminate],_xlpm.i-1)),IF(_xlpm.cur&lt;&gt;_xlpm.prev,_xlpm.cur,"")),"")</f>
        <v/>
      </c>
      <c r="BV37" s="647" t="str" cm="1">
        <f t="array" ref="BV37">IFERROR(_xlfn.LET(_xlpm.i,ROWS($BV$2:BV37),_xlpm.cur,INDEX(tblLaminateStructures[Total Thickness (µ)],_xlpm.i),_xlpm.prev,IF(_xlpm.i=1,"",INDEX(tblLaminateStructures[Total Thickness (µ)],_xlpm.i-1)),IF(OR(_xlpm.cur&lt;&gt;_xlpm.prev,BU37&lt;&gt;""),_xlpm.cur,"")),"")</f>
        <v/>
      </c>
      <c r="BW37" s="648" t="str" cm="1">
        <f t="array" ref="BW37">IFERROR(INDEX(tblLaminateStructures[Material / Layer],ROWS($BW$2:BW37)),"")</f>
        <v>RM G Epotal ECO 3675</v>
      </c>
      <c r="BX37" s="647" cm="1">
        <f t="array" ref="BX37">IFERROR(INDEX(tblLaminateStructures[Layer Thickness (µ)],ROWS($BX$2:BX37)),"")</f>
        <v>3</v>
      </c>
      <c r="BY37" s="647" cm="1">
        <f t="array" ref="BY37">IFERROR(INDEX(tblLaminateStructures[Structure Check],ROWS($BY$2:BY37)),"")</f>
        <v>61</v>
      </c>
      <c r="BZ37" s="648" t="str" cm="1">
        <f t="array" ref="BZ37">IFERROR(INDEX(tblLaminateStructures[Laminate],ROWS($BZ$2:BZ37)),"")</f>
        <v>618 W</v>
      </c>
      <c r="CA37" s="648"/>
      <c r="CB37" s="648"/>
      <c r="CC37" s="647" cm="1">
        <f t="array" ref="CC37">IFERROR(INDEX(tblLaminateStructures[Total Thickness (µ)],ROWS($CC$2:CC37)),"")</f>
        <v>61</v>
      </c>
      <c r="CD37" s="647"/>
      <c r="CE37" s="647"/>
      <c r="CF37" s="647"/>
      <c r="CG37" s="648"/>
      <c r="CH37" s="649"/>
    </row>
    <row r="38" spans="46:86">
      <c r="AT38" s="10"/>
      <c r="AV38" s="617" t="s">
        <v>591</v>
      </c>
      <c r="AW38" s="618">
        <v>66</v>
      </c>
      <c r="AX38" s="617" t="s">
        <v>190</v>
      </c>
      <c r="AY38" s="618">
        <v>23</v>
      </c>
      <c r="AZ38"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66</v>
      </c>
      <c r="BA38" s="617"/>
      <c r="BB38" s="617"/>
      <c r="BC38" s="617" t="s">
        <v>1090</v>
      </c>
      <c r="BD38" s="617"/>
      <c r="BF38" s="631"/>
      <c r="BG38" s="631"/>
      <c r="BH38" s="631"/>
      <c r="BI38" s="631"/>
      <c r="BJ38" s="631"/>
      <c r="BK38" s="631"/>
      <c r="BL38" s="631"/>
      <c r="BM38" s="631"/>
      <c r="BN38" s="631"/>
      <c r="BO38" s="631"/>
      <c r="BP38" s="631"/>
      <c r="BQ38" s="631"/>
      <c r="BR38" s="631"/>
      <c r="BS38" s="631"/>
      <c r="BT38" s="631"/>
      <c r="BU38" s="646" t="str" cm="1">
        <f t="array" ref="BU38">IFERROR(_xlfn.LET(_xlpm.i,ROWS($BU$2:BU38),_xlpm.cur,INDEX(tblLaminateStructures[Laminate],_xlpm.i),_xlpm.prev,IF(_xlpm.i=1,"",INDEX(tblLaminateStructures[Laminate],_xlpm.i-1)),IF(_xlpm.cur&lt;&gt;_xlpm.prev,_xlpm.cur,"")),"")</f>
        <v/>
      </c>
      <c r="BV38" s="647" cm="1">
        <f t="array" ref="BV38">IFERROR(_xlfn.LET(_xlpm.i,ROWS($BV$2:BV38),_xlpm.cur,INDEX(tblLaminateStructures[Total Thickness (µ)],_xlpm.i),_xlpm.prev,IF(_xlpm.i=1,"",INDEX(tblLaminateStructures[Total Thickness (µ)],_xlpm.i-1)),IF(OR(_xlpm.cur&lt;&gt;_xlpm.prev,BU38&lt;&gt;""),_xlpm.cur,"")),"")</f>
        <v>66</v>
      </c>
      <c r="BW38" s="648" t="str" cm="1">
        <f t="array" ref="BW38">IFERROR(INDEX(tblLaminateStructures[Material / Layer],ROWS($BW$2:BW38)),"")</f>
        <v>NK</v>
      </c>
      <c r="BX38" s="647" cm="1">
        <f t="array" ref="BX38">IFERROR(INDEX(tblLaminateStructures[Layer Thickness (µ)],ROWS($BX$2:BX38)),"")</f>
        <v>23</v>
      </c>
      <c r="BY38" s="647" cm="1">
        <f t="array" ref="BY38">IFERROR(INDEX(tblLaminateStructures[Structure Check],ROWS($BY$2:BY38)),"")</f>
        <v>66</v>
      </c>
      <c r="BZ38" s="648" t="str" cm="1">
        <f t="array" ref="BZ38">IFERROR(INDEX(tblLaminateStructures[Laminate],ROWS($BZ$2:BZ38)),"")</f>
        <v>618 W</v>
      </c>
      <c r="CA38" s="648"/>
      <c r="CB38" s="648"/>
      <c r="CC38" s="647" cm="1">
        <f t="array" ref="CC38">IFERROR(INDEX(tblLaminateStructures[Total Thickness (µ)],ROWS($CC$2:CC38)),"")</f>
        <v>66</v>
      </c>
      <c r="CD38" s="647"/>
      <c r="CE38" s="647"/>
      <c r="CF38" s="647"/>
      <c r="CG38" s="648"/>
      <c r="CH38" s="649"/>
    </row>
    <row r="39" spans="46:86">
      <c r="AT39" s="10"/>
      <c r="AV39" s="617" t="s">
        <v>591</v>
      </c>
      <c r="AW39" s="618">
        <v>66</v>
      </c>
      <c r="AX39" s="617" t="s">
        <v>43</v>
      </c>
      <c r="AY39" s="618">
        <v>40</v>
      </c>
      <c r="AZ39"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66</v>
      </c>
      <c r="BA39" s="617"/>
      <c r="BB39" s="617"/>
      <c r="BC39" s="617" t="s">
        <v>1090</v>
      </c>
      <c r="BD39" s="617"/>
      <c r="BF39" s="631"/>
      <c r="BG39" s="631"/>
      <c r="BH39" s="631"/>
      <c r="BI39" s="631"/>
      <c r="BJ39" s="631"/>
      <c r="BK39" s="631"/>
      <c r="BL39" s="631"/>
      <c r="BM39" s="631"/>
      <c r="BN39" s="631"/>
      <c r="BO39" s="631"/>
      <c r="BP39" s="631"/>
      <c r="BQ39" s="631"/>
      <c r="BR39" s="631"/>
      <c r="BS39" s="631"/>
      <c r="BT39" s="631"/>
      <c r="BU39" s="646" t="str" cm="1">
        <f t="array" ref="BU39">IFERROR(_xlfn.LET(_xlpm.i,ROWS($BU$2:BU39),_xlpm.cur,INDEX(tblLaminateStructures[Laminate],_xlpm.i),_xlpm.prev,IF(_xlpm.i=1,"",INDEX(tblLaminateStructures[Laminate],_xlpm.i-1)),IF(_xlpm.cur&lt;&gt;_xlpm.prev,_xlpm.cur,"")),"")</f>
        <v/>
      </c>
      <c r="BV39" s="647" t="str" cm="1">
        <f t="array" ref="BV39">IFERROR(_xlfn.LET(_xlpm.i,ROWS($BV$2:BV39),_xlpm.cur,INDEX(tblLaminateStructures[Total Thickness (µ)],_xlpm.i),_xlpm.prev,IF(_xlpm.i=1,"",INDEX(tblLaminateStructures[Total Thickness (µ)],_xlpm.i-1)),IF(OR(_xlpm.cur&lt;&gt;_xlpm.prev,BU39&lt;&gt;""),_xlpm.cur,"")),"")</f>
        <v/>
      </c>
      <c r="BW39" s="648" t="str" cm="1">
        <f t="array" ref="BW39">IFERROR(INDEX(tblLaminateStructures[Material / Layer],ROWS($BW$2:BW39)),"")</f>
        <v>TIPA 302FG W</v>
      </c>
      <c r="BX39" s="647" cm="1">
        <f t="array" ref="BX39">IFERROR(INDEX(tblLaminateStructures[Layer Thickness (µ)],ROWS($BX$2:BX39)),"")</f>
        <v>40</v>
      </c>
      <c r="BY39" s="647" cm="1">
        <f t="array" ref="BY39">IFERROR(INDEX(tblLaminateStructures[Structure Check],ROWS($BY$2:BY39)),"")</f>
        <v>66</v>
      </c>
      <c r="BZ39" s="648" t="str" cm="1">
        <f t="array" ref="BZ39">IFERROR(INDEX(tblLaminateStructures[Laminate],ROWS($BZ$2:BZ39)),"")</f>
        <v>618 W</v>
      </c>
      <c r="CA39" s="648"/>
      <c r="CB39" s="648"/>
      <c r="CC39" s="647" cm="1">
        <f t="array" ref="CC39">IFERROR(INDEX(tblLaminateStructures[Total Thickness (µ)],ROWS($CC$2:CC39)),"")</f>
        <v>66</v>
      </c>
      <c r="CD39" s="647"/>
      <c r="CE39" s="647"/>
      <c r="CF39" s="647"/>
      <c r="CG39" s="648"/>
      <c r="CH39" s="649"/>
    </row>
    <row r="40" spans="46:86">
      <c r="AV40" s="617" t="s">
        <v>591</v>
      </c>
      <c r="AW40" s="618">
        <v>66</v>
      </c>
      <c r="AX40" s="617" t="s">
        <v>199</v>
      </c>
      <c r="AY40" s="618">
        <v>3</v>
      </c>
      <c r="AZ40"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66</v>
      </c>
      <c r="BA40" s="617"/>
      <c r="BB40" s="617"/>
      <c r="BC40" s="617" t="s">
        <v>1090</v>
      </c>
      <c r="BD40" s="617"/>
      <c r="BF40" s="631"/>
      <c r="BG40" s="631"/>
      <c r="BH40" s="631"/>
      <c r="BI40" s="631"/>
      <c r="BJ40" s="631"/>
      <c r="BK40" s="631"/>
      <c r="BL40" s="631"/>
      <c r="BM40" s="631"/>
      <c r="BN40" s="631"/>
      <c r="BO40" s="631"/>
      <c r="BP40" s="631"/>
      <c r="BQ40" s="631"/>
      <c r="BR40" s="631"/>
      <c r="BS40" s="631"/>
      <c r="BT40" s="631"/>
      <c r="BU40" s="646" t="str" cm="1">
        <f t="array" ref="BU40">IFERROR(_xlfn.LET(_xlpm.i,ROWS($BU$2:BU40),_xlpm.cur,INDEX(tblLaminateStructures[Laminate],_xlpm.i),_xlpm.prev,IF(_xlpm.i=1,"",INDEX(tblLaminateStructures[Laminate],_xlpm.i-1)),IF(_xlpm.cur&lt;&gt;_xlpm.prev,_xlpm.cur,"")),"")</f>
        <v/>
      </c>
      <c r="BV40" s="647" t="str" cm="1">
        <f t="array" ref="BV40">IFERROR(_xlfn.LET(_xlpm.i,ROWS($BV$2:BV40),_xlpm.cur,INDEX(tblLaminateStructures[Total Thickness (µ)],_xlpm.i),_xlpm.prev,IF(_xlpm.i=1,"",INDEX(tblLaminateStructures[Total Thickness (µ)],_xlpm.i-1)),IF(OR(_xlpm.cur&lt;&gt;_xlpm.prev,BU40&lt;&gt;""),_xlpm.cur,"")),"")</f>
        <v/>
      </c>
      <c r="BW40" s="648" t="str" cm="1">
        <f t="array" ref="BW40">IFERROR(INDEX(tblLaminateStructures[Material / Layer],ROWS($BW$2:BW40)),"")</f>
        <v>RM G Epotal ECO 3675</v>
      </c>
      <c r="BX40" s="647" cm="1">
        <f t="array" ref="BX40">IFERROR(INDEX(tblLaminateStructures[Layer Thickness (µ)],ROWS($BX$2:BX40)),"")</f>
        <v>3</v>
      </c>
      <c r="BY40" s="647" cm="1">
        <f t="array" ref="BY40">IFERROR(INDEX(tblLaminateStructures[Structure Check],ROWS($BY$2:BY40)),"")</f>
        <v>66</v>
      </c>
      <c r="BZ40" s="648" t="str" cm="1">
        <f t="array" ref="BZ40">IFERROR(INDEX(tblLaminateStructures[Laminate],ROWS($BZ$2:BZ40)),"")</f>
        <v>618 W</v>
      </c>
      <c r="CA40" s="648"/>
      <c r="CB40" s="648"/>
      <c r="CC40" s="647" cm="1">
        <f t="array" ref="CC40">IFERROR(INDEX(tblLaminateStructures[Total Thickness (µ)],ROWS($CC$2:CC40)),"")</f>
        <v>66</v>
      </c>
      <c r="CD40" s="647"/>
      <c r="CE40" s="647"/>
      <c r="CF40" s="647"/>
      <c r="CG40" s="648"/>
      <c r="CH40" s="649"/>
    </row>
    <row r="41" spans="46:86">
      <c r="AV41" s="617" t="s">
        <v>591</v>
      </c>
      <c r="AW41" s="618">
        <v>78</v>
      </c>
      <c r="AX41" s="617" t="s">
        <v>190</v>
      </c>
      <c r="AY41" s="618">
        <v>23</v>
      </c>
      <c r="AZ41"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78</v>
      </c>
      <c r="BA41" s="617"/>
      <c r="BB41" s="617"/>
      <c r="BC41" s="617" t="s">
        <v>1090</v>
      </c>
      <c r="BD41" s="617"/>
      <c r="BF41" s="631"/>
      <c r="BG41" s="631"/>
      <c r="BH41" s="631"/>
      <c r="BI41" s="631"/>
      <c r="BJ41" s="631"/>
      <c r="BK41" s="631"/>
      <c r="BL41" s="631"/>
      <c r="BM41" s="631"/>
      <c r="BN41" s="631"/>
      <c r="BO41" s="631"/>
      <c r="BP41" s="631"/>
      <c r="BQ41" s="631"/>
      <c r="BR41" s="631"/>
      <c r="BS41" s="631"/>
      <c r="BT41" s="631"/>
      <c r="BU41" s="646" t="str" cm="1">
        <f t="array" ref="BU41">IFERROR(_xlfn.LET(_xlpm.i,ROWS($BU$2:BU41),_xlpm.cur,INDEX(tblLaminateStructures[Laminate],_xlpm.i),_xlpm.prev,IF(_xlpm.i=1,"",INDEX(tblLaminateStructures[Laminate],_xlpm.i-1)),IF(_xlpm.cur&lt;&gt;_xlpm.prev,_xlpm.cur,"")),"")</f>
        <v/>
      </c>
      <c r="BV41" s="647" cm="1">
        <f t="array" ref="BV41">IFERROR(_xlfn.LET(_xlpm.i,ROWS($BV$2:BV41),_xlpm.cur,INDEX(tblLaminateStructures[Total Thickness (µ)],_xlpm.i),_xlpm.prev,IF(_xlpm.i=1,"",INDEX(tblLaminateStructures[Total Thickness (µ)],_xlpm.i-1)),IF(OR(_xlpm.cur&lt;&gt;_xlpm.prev,BU41&lt;&gt;""),_xlpm.cur,"")),"")</f>
        <v>78</v>
      </c>
      <c r="BW41" s="648" t="str" cm="1">
        <f t="array" ref="BW41">IFERROR(INDEX(tblLaminateStructures[Material / Layer],ROWS($BW$2:BW41)),"")</f>
        <v>NK</v>
      </c>
      <c r="BX41" s="647" cm="1">
        <f t="array" ref="BX41">IFERROR(INDEX(tblLaminateStructures[Layer Thickness (µ)],ROWS($BX$2:BX41)),"")</f>
        <v>23</v>
      </c>
      <c r="BY41" s="647" cm="1">
        <f t="array" ref="BY41">IFERROR(INDEX(tblLaminateStructures[Structure Check],ROWS($BY$2:BY41)),"")</f>
        <v>78</v>
      </c>
      <c r="BZ41" s="648" t="str" cm="1">
        <f t="array" ref="BZ41">IFERROR(INDEX(tblLaminateStructures[Laminate],ROWS($BZ$2:BZ41)),"")</f>
        <v>618 W</v>
      </c>
      <c r="CA41" s="648"/>
      <c r="CB41" s="648"/>
      <c r="CC41" s="647" cm="1">
        <f t="array" ref="CC41">IFERROR(INDEX(tblLaminateStructures[Total Thickness (µ)],ROWS($CC$2:CC41)),"")</f>
        <v>78</v>
      </c>
      <c r="CD41" s="647"/>
      <c r="CE41" s="647"/>
      <c r="CF41" s="647"/>
      <c r="CG41" s="648"/>
      <c r="CH41" s="649"/>
    </row>
    <row r="42" spans="46:86">
      <c r="AV42" s="617" t="s">
        <v>591</v>
      </c>
      <c r="AW42" s="618">
        <v>78</v>
      </c>
      <c r="AX42" s="617" t="s">
        <v>43</v>
      </c>
      <c r="AY42" s="618">
        <v>52</v>
      </c>
      <c r="AZ42"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78</v>
      </c>
      <c r="BA42" s="617"/>
      <c r="BB42" s="617"/>
      <c r="BC42" s="617" t="s">
        <v>1090</v>
      </c>
      <c r="BD42" s="617"/>
      <c r="BF42" s="631"/>
      <c r="BG42" s="631"/>
      <c r="BH42" s="631"/>
      <c r="BI42" s="631"/>
      <c r="BJ42" s="631"/>
      <c r="BK42" s="631"/>
      <c r="BL42" s="631"/>
      <c r="BM42" s="631"/>
      <c r="BN42" s="631"/>
      <c r="BO42" s="631"/>
      <c r="BP42" s="631"/>
      <c r="BQ42" s="631"/>
      <c r="BR42" s="631"/>
      <c r="BS42" s="631"/>
      <c r="BT42" s="631"/>
      <c r="BU42" s="646" t="str" cm="1">
        <f t="array" ref="BU42">IFERROR(_xlfn.LET(_xlpm.i,ROWS($BU$2:BU42),_xlpm.cur,INDEX(tblLaminateStructures[Laminate],_xlpm.i),_xlpm.prev,IF(_xlpm.i=1,"",INDEX(tblLaminateStructures[Laminate],_xlpm.i-1)),IF(_xlpm.cur&lt;&gt;_xlpm.prev,_xlpm.cur,"")),"")</f>
        <v/>
      </c>
      <c r="BV42" s="647" t="str" cm="1">
        <f t="array" ref="BV42">IFERROR(_xlfn.LET(_xlpm.i,ROWS($BV$2:BV42),_xlpm.cur,INDEX(tblLaminateStructures[Total Thickness (µ)],_xlpm.i),_xlpm.prev,IF(_xlpm.i=1,"",INDEX(tblLaminateStructures[Total Thickness (µ)],_xlpm.i-1)),IF(OR(_xlpm.cur&lt;&gt;_xlpm.prev,BU42&lt;&gt;""),_xlpm.cur,"")),"")</f>
        <v/>
      </c>
      <c r="BW42" s="648" t="str" cm="1">
        <f t="array" ref="BW42">IFERROR(INDEX(tblLaminateStructures[Material / Layer],ROWS($BW$2:BW42)),"")</f>
        <v>TIPA 302FG W</v>
      </c>
      <c r="BX42" s="647" cm="1">
        <f t="array" ref="BX42">IFERROR(INDEX(tblLaminateStructures[Layer Thickness (µ)],ROWS($BX$2:BX42)),"")</f>
        <v>52</v>
      </c>
      <c r="BY42" s="647" cm="1">
        <f t="array" ref="BY42">IFERROR(INDEX(tblLaminateStructures[Structure Check],ROWS($BY$2:BY42)),"")</f>
        <v>78</v>
      </c>
      <c r="BZ42" s="648" t="str" cm="1">
        <f t="array" ref="BZ42">IFERROR(INDEX(tblLaminateStructures[Laminate],ROWS($BZ$2:BZ42)),"")</f>
        <v>618 W</v>
      </c>
      <c r="CA42" s="648"/>
      <c r="CB42" s="648"/>
      <c r="CC42" s="647" cm="1">
        <f t="array" ref="CC42">IFERROR(INDEX(tblLaminateStructures[Total Thickness (µ)],ROWS($CC$2:CC42)),"")</f>
        <v>78</v>
      </c>
      <c r="CD42" s="647"/>
      <c r="CE42" s="647"/>
      <c r="CF42" s="647"/>
      <c r="CG42" s="648"/>
      <c r="CH42" s="649"/>
    </row>
    <row r="43" spans="46:86">
      <c r="AV43" s="617" t="s">
        <v>591</v>
      </c>
      <c r="AW43" s="618">
        <v>78</v>
      </c>
      <c r="AX43" s="617" t="s">
        <v>199</v>
      </c>
      <c r="AY43" s="618">
        <v>3</v>
      </c>
      <c r="AZ43"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78</v>
      </c>
      <c r="BA43" s="617"/>
      <c r="BB43" s="617"/>
      <c r="BC43" s="617" t="s">
        <v>1090</v>
      </c>
      <c r="BD43" s="617"/>
      <c r="BF43" s="631"/>
      <c r="BG43" s="631"/>
      <c r="BH43" s="631"/>
      <c r="BI43" s="631"/>
      <c r="BJ43" s="631"/>
      <c r="BK43" s="631"/>
      <c r="BL43" s="631"/>
      <c r="BM43" s="631"/>
      <c r="BN43" s="631"/>
      <c r="BO43" s="631"/>
      <c r="BP43" s="631"/>
      <c r="BQ43" s="631"/>
      <c r="BR43" s="631"/>
      <c r="BS43" s="631"/>
      <c r="BT43" s="631"/>
      <c r="BU43" s="646" t="str" cm="1">
        <f t="array" ref="BU43">IFERROR(_xlfn.LET(_xlpm.i,ROWS($BU$2:BU43),_xlpm.cur,INDEX(tblLaminateStructures[Laminate],_xlpm.i),_xlpm.prev,IF(_xlpm.i=1,"",INDEX(tblLaminateStructures[Laminate],_xlpm.i-1)),IF(_xlpm.cur&lt;&gt;_xlpm.prev,_xlpm.cur,"")),"")</f>
        <v/>
      </c>
      <c r="BV43" s="647" t="str" cm="1">
        <f t="array" ref="BV43">IFERROR(_xlfn.LET(_xlpm.i,ROWS($BV$2:BV43),_xlpm.cur,INDEX(tblLaminateStructures[Total Thickness (µ)],_xlpm.i),_xlpm.prev,IF(_xlpm.i=1,"",INDEX(tblLaminateStructures[Total Thickness (µ)],_xlpm.i-1)),IF(OR(_xlpm.cur&lt;&gt;_xlpm.prev,BU43&lt;&gt;""),_xlpm.cur,"")),"")</f>
        <v/>
      </c>
      <c r="BW43" s="648" t="str" cm="1">
        <f t="array" ref="BW43">IFERROR(INDEX(tblLaminateStructures[Material / Layer],ROWS($BW$2:BW43)),"")</f>
        <v>RM G Epotal ECO 3675</v>
      </c>
      <c r="BX43" s="647" cm="1">
        <f t="array" ref="BX43">IFERROR(INDEX(tblLaminateStructures[Layer Thickness (µ)],ROWS($BX$2:BX43)),"")</f>
        <v>3</v>
      </c>
      <c r="BY43" s="647" cm="1">
        <f t="array" ref="BY43">IFERROR(INDEX(tblLaminateStructures[Structure Check],ROWS($BY$2:BY43)),"")</f>
        <v>78</v>
      </c>
      <c r="BZ43" s="648" t="str" cm="1">
        <f t="array" ref="BZ43">IFERROR(INDEX(tblLaminateStructures[Laminate],ROWS($BZ$2:BZ43)),"")</f>
        <v>618 W</v>
      </c>
      <c r="CA43" s="648"/>
      <c r="CB43" s="648"/>
      <c r="CC43" s="647" cm="1">
        <f t="array" ref="CC43">IFERROR(INDEX(tblLaminateStructures[Total Thickness (µ)],ROWS($CC$2:CC43)),"")</f>
        <v>78</v>
      </c>
      <c r="CD43" s="647"/>
      <c r="CE43" s="647"/>
      <c r="CF43" s="647"/>
      <c r="CG43" s="648"/>
      <c r="CH43" s="649"/>
    </row>
    <row r="44" spans="46:86">
      <c r="AV44" s="617" t="s">
        <v>591</v>
      </c>
      <c r="AW44" s="618">
        <v>86</v>
      </c>
      <c r="AX44" s="617" t="s">
        <v>190</v>
      </c>
      <c r="AY44" s="826">
        <v>23</v>
      </c>
      <c r="AZ44"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86</v>
      </c>
      <c r="BA44" s="617"/>
      <c r="BB44" s="617"/>
      <c r="BC44" s="617" t="s">
        <v>1090</v>
      </c>
      <c r="BD44" s="617"/>
      <c r="BF44" s="631"/>
      <c r="BG44" s="631"/>
      <c r="BH44" s="631"/>
      <c r="BI44" s="631"/>
      <c r="BJ44" s="631"/>
      <c r="BK44" s="631"/>
      <c r="BL44" s="631"/>
      <c r="BM44" s="631"/>
      <c r="BN44" s="631"/>
      <c r="BO44" s="631"/>
      <c r="BP44" s="631"/>
      <c r="BQ44" s="631"/>
      <c r="BR44" s="631"/>
      <c r="BS44" s="631"/>
      <c r="BT44" s="631"/>
      <c r="BU44" s="646" t="str" cm="1">
        <f t="array" ref="BU44">IFERROR(_xlfn.LET(_xlpm.i,ROWS($BU$2:BU44),_xlpm.cur,INDEX(tblLaminateStructures[Laminate],_xlpm.i),_xlpm.prev,IF(_xlpm.i=1,"",INDEX(tblLaminateStructures[Laminate],_xlpm.i-1)),IF(_xlpm.cur&lt;&gt;_xlpm.prev,_xlpm.cur,"")),"")</f>
        <v/>
      </c>
      <c r="BV44" s="647" cm="1">
        <f t="array" ref="BV44">IFERROR(_xlfn.LET(_xlpm.i,ROWS($BV$2:BV44),_xlpm.cur,INDEX(tblLaminateStructures[Total Thickness (µ)],_xlpm.i),_xlpm.prev,IF(_xlpm.i=1,"",INDEX(tblLaminateStructures[Total Thickness (µ)],_xlpm.i-1)),IF(OR(_xlpm.cur&lt;&gt;_xlpm.prev,BU44&lt;&gt;""),_xlpm.cur,"")),"")</f>
        <v>86</v>
      </c>
      <c r="BW44" s="648" t="str" cm="1">
        <f t="array" ref="BW44">IFERROR(INDEX(tblLaminateStructures[Material / Layer],ROWS($BW$2:BW44)),"")</f>
        <v>NK</v>
      </c>
      <c r="BX44" s="647" cm="1">
        <f t="array" ref="BX44">IFERROR(INDEX(tblLaminateStructures[Layer Thickness (µ)],ROWS($BX$2:BX44)),"")</f>
        <v>23</v>
      </c>
      <c r="BY44" s="647" cm="1">
        <f t="array" ref="BY44">IFERROR(INDEX(tblLaminateStructures[Structure Check],ROWS($BY$2:BY44)),"")</f>
        <v>86</v>
      </c>
      <c r="BZ44" s="648" t="str" cm="1">
        <f t="array" ref="BZ44">IFERROR(INDEX(tblLaminateStructures[Laminate],ROWS($BZ$2:BZ44)),"")</f>
        <v>618 W</v>
      </c>
      <c r="CA44" s="648"/>
      <c r="CB44" s="648"/>
      <c r="CC44" s="647" cm="1">
        <f t="array" ref="CC44">IFERROR(INDEX(tblLaminateStructures[Total Thickness (µ)],ROWS($CC$2:CC44)),"")</f>
        <v>86</v>
      </c>
      <c r="CD44" s="647"/>
      <c r="CE44" s="647"/>
      <c r="CF44" s="647"/>
      <c r="CG44" s="648"/>
      <c r="CH44" s="649"/>
    </row>
    <row r="45" spans="46:86">
      <c r="AV45" s="821" t="s">
        <v>591</v>
      </c>
      <c r="AW45" s="822">
        <v>86</v>
      </c>
      <c r="AX45" s="617" t="s">
        <v>43</v>
      </c>
      <c r="AY45" s="822">
        <v>60</v>
      </c>
      <c r="AZ45" s="822">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86</v>
      </c>
      <c r="BA45" s="821"/>
      <c r="BB45" s="821"/>
      <c r="BC45" s="821" t="s">
        <v>1090</v>
      </c>
      <c r="BD45" s="821"/>
      <c r="BF45" s="631"/>
      <c r="BG45" s="631"/>
      <c r="BH45" s="631"/>
      <c r="BI45" s="631"/>
      <c r="BJ45" s="631"/>
      <c r="BK45" s="631"/>
      <c r="BL45" s="631"/>
      <c r="BM45" s="631"/>
      <c r="BN45" s="631"/>
      <c r="BO45" s="631"/>
      <c r="BP45" s="631"/>
      <c r="BQ45" s="631"/>
      <c r="BR45" s="631"/>
      <c r="BS45" s="631"/>
      <c r="BT45" s="631"/>
      <c r="BU45" s="646"/>
      <c r="BV45" s="647"/>
      <c r="BW45" s="648" t="str" cm="1">
        <f t="array" ref="BW45">IFERROR(INDEX(tblLaminateStructures[Material / Layer],ROWS($BW$2:BW45)),"")</f>
        <v>TIPA 302FG W</v>
      </c>
      <c r="BX45" s="647" cm="1">
        <f t="array" ref="BX45">IFERROR(INDEX(tblLaminateStructures[Layer Thickness (µ)],ROWS($BX$2:BX45)),"")</f>
        <v>60</v>
      </c>
      <c r="BY45" s="647" cm="1">
        <f t="array" ref="BY45">IFERROR(INDEX(tblLaminateStructures[Structure Check],ROWS($BY$2:BY45)),"")</f>
        <v>86</v>
      </c>
      <c r="BZ45" s="648" t="str" cm="1">
        <f t="array" ref="BZ45">IFERROR(INDEX(tblLaminateStructures[Laminate],ROWS($BZ$2:BZ45)),"")</f>
        <v>618 W</v>
      </c>
      <c r="CA45" s="648"/>
      <c r="CB45" s="648"/>
      <c r="CC45" s="647" cm="1">
        <f t="array" ref="CC45">IFERROR(INDEX(tblLaminateStructures[Total Thickness (µ)],ROWS($CC$2:CC45)),"")</f>
        <v>86</v>
      </c>
      <c r="CD45" s="647"/>
      <c r="CE45" s="647"/>
      <c r="CF45" s="647"/>
      <c r="CG45" s="648"/>
      <c r="CH45" s="649"/>
    </row>
    <row r="46" spans="46:86">
      <c r="AV46" s="821" t="s">
        <v>591</v>
      </c>
      <c r="AW46" s="822">
        <v>86</v>
      </c>
      <c r="AX46" s="617" t="s">
        <v>199</v>
      </c>
      <c r="AY46" s="822">
        <v>3</v>
      </c>
      <c r="AZ46" s="822">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86</v>
      </c>
      <c r="BA46" s="821"/>
      <c r="BB46" s="821"/>
      <c r="BC46" s="821" t="s">
        <v>1090</v>
      </c>
      <c r="BD46" s="821"/>
      <c r="BF46" s="631"/>
      <c r="BG46" s="631"/>
      <c r="BH46" s="631"/>
      <c r="BI46" s="631"/>
      <c r="BJ46" s="631"/>
      <c r="BK46" s="631"/>
      <c r="BL46" s="631"/>
      <c r="BM46" s="631"/>
      <c r="BN46" s="631"/>
      <c r="BO46" s="631"/>
      <c r="BP46" s="631"/>
      <c r="BQ46" s="631"/>
      <c r="BR46" s="631"/>
      <c r="BS46" s="631"/>
      <c r="BT46" s="631"/>
      <c r="BU46" s="646"/>
      <c r="BV46" s="647"/>
      <c r="BW46" s="648" t="str" cm="1">
        <f t="array" ref="BW46">IFERROR(INDEX(tblLaminateStructures[Material / Layer],ROWS($BW$2:BW46)),"")</f>
        <v>RM G Epotal ECO 3675</v>
      </c>
      <c r="BX46" s="647" cm="1">
        <f t="array" ref="BX46">IFERROR(INDEX(tblLaminateStructures[Layer Thickness (µ)],ROWS($BX$2:BX46)),"")</f>
        <v>3</v>
      </c>
      <c r="BY46" s="647" cm="1">
        <f t="array" ref="BY46">IFERROR(INDEX(tblLaminateStructures[Structure Check],ROWS($BY$2:BY46)),"")</f>
        <v>86</v>
      </c>
      <c r="BZ46" s="648" t="str" cm="1">
        <f t="array" ref="BZ46">IFERROR(INDEX(tblLaminateStructures[Laminate],ROWS($BZ$2:BZ46)),"")</f>
        <v>618 W</v>
      </c>
      <c r="CA46" s="648"/>
      <c r="CB46" s="648"/>
      <c r="CC46" s="647" cm="1">
        <f t="array" ref="CC46">IFERROR(INDEX(tblLaminateStructures[Total Thickness (µ)],ROWS($CC$2:CC46)),"")</f>
        <v>86</v>
      </c>
      <c r="CD46" s="647"/>
      <c r="CE46" s="647"/>
      <c r="CF46" s="647"/>
      <c r="CG46" s="648"/>
      <c r="CH46" s="649"/>
    </row>
    <row r="47" spans="46:86">
      <c r="AV47" s="821" t="s">
        <v>591</v>
      </c>
      <c r="AW47" s="822">
        <v>106</v>
      </c>
      <c r="AX47" s="617" t="s">
        <v>190</v>
      </c>
      <c r="AY47" s="618">
        <v>23</v>
      </c>
      <c r="AZ47" s="822">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106</v>
      </c>
      <c r="BA47" s="821"/>
      <c r="BB47" s="821"/>
      <c r="BC47" s="821" t="s">
        <v>1090</v>
      </c>
      <c r="BD47" s="821"/>
      <c r="BF47" s="631"/>
      <c r="BG47" s="631"/>
      <c r="BH47" s="631"/>
      <c r="BI47" s="631"/>
      <c r="BJ47" s="631"/>
      <c r="BK47" s="631"/>
      <c r="BL47" s="631"/>
      <c r="BM47" s="631"/>
      <c r="BN47" s="631"/>
      <c r="BO47" s="631"/>
      <c r="BP47" s="631"/>
      <c r="BQ47" s="631"/>
      <c r="BR47" s="631"/>
      <c r="BS47" s="631"/>
      <c r="BT47" s="631"/>
      <c r="BU47" s="646"/>
      <c r="BV47" s="647"/>
      <c r="BW47" s="648" t="str" cm="1">
        <f t="array" ref="BW47">IFERROR(INDEX(tblLaminateStructures[Material / Layer],ROWS($BW$2:BW47)),"")</f>
        <v>NK</v>
      </c>
      <c r="BX47" s="647" cm="1">
        <f t="array" ref="BX47">IFERROR(INDEX(tblLaminateStructures[Layer Thickness (µ)],ROWS($BX$2:BX47)),"")</f>
        <v>23</v>
      </c>
      <c r="BY47" s="647" cm="1">
        <f t="array" ref="BY47">IFERROR(INDEX(tblLaminateStructures[Structure Check],ROWS($BY$2:BY47)),"")</f>
        <v>106</v>
      </c>
      <c r="BZ47" s="648" t="str" cm="1">
        <f t="array" ref="BZ47">IFERROR(INDEX(tblLaminateStructures[Laminate],ROWS($BZ$2:BZ47)),"")</f>
        <v>618 W</v>
      </c>
      <c r="CA47" s="648"/>
      <c r="CB47" s="648"/>
      <c r="CC47" s="647" cm="1">
        <f t="array" ref="CC47">IFERROR(INDEX(tblLaminateStructures[Total Thickness (µ)],ROWS($CC$2:CC47)),"")</f>
        <v>106</v>
      </c>
      <c r="CD47" s="647"/>
      <c r="CE47" s="647"/>
      <c r="CF47" s="647"/>
      <c r="CG47" s="648"/>
      <c r="CH47" s="649"/>
    </row>
    <row r="48" spans="46:86">
      <c r="AV48" s="821" t="s">
        <v>591</v>
      </c>
      <c r="AW48" s="822">
        <v>106</v>
      </c>
      <c r="AX48" s="617" t="s">
        <v>43</v>
      </c>
      <c r="AY48" s="826">
        <v>80</v>
      </c>
      <c r="AZ48" s="822">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106</v>
      </c>
      <c r="BA48" s="821"/>
      <c r="BB48" s="821"/>
      <c r="BC48" s="821" t="s">
        <v>1090</v>
      </c>
      <c r="BD48" s="821"/>
      <c r="BF48" s="631"/>
      <c r="BG48" s="631"/>
      <c r="BH48" s="631"/>
      <c r="BI48" s="631"/>
      <c r="BJ48" s="631"/>
      <c r="BK48" s="631"/>
      <c r="BL48" s="631"/>
      <c r="BM48" s="631"/>
      <c r="BN48" s="631"/>
      <c r="BO48" s="631"/>
      <c r="BP48" s="631"/>
      <c r="BQ48" s="631"/>
      <c r="BR48" s="631"/>
      <c r="BS48" s="631"/>
      <c r="BT48" s="631"/>
      <c r="BU48" s="646"/>
      <c r="BV48" s="647"/>
      <c r="BW48" s="648" t="str" cm="1">
        <f t="array" ref="BW48">IFERROR(INDEX(tblLaminateStructures[Material / Layer],ROWS($BW$2:BW48)),"")</f>
        <v>TIPA 302FG W</v>
      </c>
      <c r="BX48" s="647" cm="1">
        <f t="array" ref="BX48">IFERROR(INDEX(tblLaminateStructures[Layer Thickness (µ)],ROWS($BX$2:BX48)),"")</f>
        <v>80</v>
      </c>
      <c r="BY48" s="647" cm="1">
        <f t="array" ref="BY48">IFERROR(INDEX(tblLaminateStructures[Structure Check],ROWS($BY$2:BY48)),"")</f>
        <v>106</v>
      </c>
      <c r="BZ48" s="648" t="str" cm="1">
        <f t="array" ref="BZ48">IFERROR(INDEX(tblLaminateStructures[Laminate],ROWS($BZ$2:BZ48)),"")</f>
        <v>618 W</v>
      </c>
      <c r="CA48" s="648"/>
      <c r="CB48" s="648"/>
      <c r="CC48" s="647" cm="1">
        <f t="array" ref="CC48">IFERROR(INDEX(tblLaminateStructures[Total Thickness (µ)],ROWS($CC$2:CC48)),"")</f>
        <v>106</v>
      </c>
      <c r="CD48" s="647"/>
      <c r="CE48" s="647"/>
      <c r="CF48" s="647"/>
      <c r="CG48" s="648"/>
      <c r="CH48" s="649"/>
    </row>
    <row r="49" spans="48:86">
      <c r="AV49" s="617" t="s">
        <v>591</v>
      </c>
      <c r="AW49" s="618">
        <v>106</v>
      </c>
      <c r="AX49" s="617" t="s">
        <v>199</v>
      </c>
      <c r="AY49" s="618">
        <v>3</v>
      </c>
      <c r="AZ49"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106</v>
      </c>
      <c r="BA49" s="617"/>
      <c r="BB49" s="617"/>
      <c r="BC49" s="617" t="s">
        <v>1090</v>
      </c>
      <c r="BD49" s="617"/>
      <c r="BF49" s="631"/>
      <c r="BG49" s="631"/>
      <c r="BH49" s="631"/>
      <c r="BI49" s="631"/>
      <c r="BJ49" s="631"/>
      <c r="BK49" s="631"/>
      <c r="BL49" s="631"/>
      <c r="BM49" s="631"/>
      <c r="BN49" s="631"/>
      <c r="BO49" s="631"/>
      <c r="BP49" s="631"/>
      <c r="BQ49" s="631"/>
      <c r="BR49" s="631"/>
      <c r="BS49" s="631"/>
      <c r="BT49" s="631"/>
      <c r="BU49" s="646" t="str" cm="1">
        <f t="array" ref="BU49">IFERROR(_xlfn.LET(_xlpm.i,ROWS($BU$2:BU49),_xlpm.cur,INDEX(tblLaminateStructures[Laminate],_xlpm.i),_xlpm.prev,IF(_xlpm.i=1,"",INDEX(tblLaminateStructures[Laminate],_xlpm.i-1)),IF(_xlpm.cur&lt;&gt;_xlpm.prev,_xlpm.cur,"")),"")</f>
        <v/>
      </c>
      <c r="BV49" s="647" t="str" cm="1">
        <f t="array" ref="BV49">IFERROR(_xlfn.LET(_xlpm.i,ROWS($BV$2:BV49),_xlpm.cur,INDEX(tblLaminateStructures[Total Thickness (µ)],_xlpm.i),_xlpm.prev,IF(_xlpm.i=1,"",INDEX(tblLaminateStructures[Total Thickness (µ)],_xlpm.i-1)),IF(OR(_xlpm.cur&lt;&gt;_xlpm.prev,BU49&lt;&gt;""),_xlpm.cur,"")),"")</f>
        <v/>
      </c>
      <c r="BW49" s="648" t="str" cm="1">
        <f t="array" ref="BW49">IFERROR(INDEX(tblLaminateStructures[Material / Layer],ROWS($BW$2:BW49)),"")</f>
        <v>RM G Epotal ECO 3675</v>
      </c>
      <c r="BX49" s="647" cm="1">
        <f t="array" ref="BX49">IFERROR(INDEX(tblLaminateStructures[Layer Thickness (µ)],ROWS($BX$2:BX49)),"")</f>
        <v>3</v>
      </c>
      <c r="BY49" s="647" cm="1">
        <f t="array" ref="BY49">IFERROR(INDEX(tblLaminateStructures[Structure Check],ROWS($BY$2:BY49)),"")</f>
        <v>106</v>
      </c>
      <c r="BZ49" s="648" t="str" cm="1">
        <f t="array" ref="BZ49">IFERROR(INDEX(tblLaminateStructures[Laminate],ROWS($BZ$2:BZ49)),"")</f>
        <v>618 W</v>
      </c>
      <c r="CA49" s="648"/>
      <c r="CB49" s="648"/>
      <c r="CC49" s="647" cm="1">
        <f t="array" ref="CC49">IFERROR(INDEX(tblLaminateStructures[Total Thickness (µ)],ROWS($CC$2:CC49)),"")</f>
        <v>106</v>
      </c>
      <c r="CD49" s="647"/>
      <c r="CE49" s="647"/>
      <c r="CF49" s="647"/>
      <c r="CG49" s="648"/>
      <c r="CH49" s="649"/>
    </row>
    <row r="50" spans="48:86">
      <c r="AV50" s="617">
        <v>418</v>
      </c>
      <c r="AW50" s="618">
        <v>51</v>
      </c>
      <c r="AX50" s="617" t="s">
        <v>190</v>
      </c>
      <c r="AY50" s="618">
        <v>23</v>
      </c>
      <c r="AZ50"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51</v>
      </c>
      <c r="BA50" s="617"/>
      <c r="BB50" s="617"/>
      <c r="BC50" s="617" t="s">
        <v>1090</v>
      </c>
      <c r="BD50" s="617"/>
      <c r="BF50" s="631"/>
      <c r="BG50" s="631"/>
      <c r="BH50" s="631"/>
      <c r="BI50" s="631"/>
      <c r="BJ50" s="631"/>
      <c r="BK50" s="631"/>
      <c r="BL50" s="631"/>
      <c r="BM50" s="631"/>
      <c r="BN50" s="631"/>
      <c r="BO50" s="631"/>
      <c r="BP50" s="631"/>
      <c r="BQ50" s="631"/>
      <c r="BR50" s="631"/>
      <c r="BS50" s="631"/>
      <c r="BT50" s="631"/>
      <c r="BU50" s="646" cm="1">
        <f t="array" ref="BU50">IFERROR(_xlfn.LET(_xlpm.i,ROWS($BU$2:BU50),_xlpm.cur,INDEX(tblLaminateStructures[Laminate],_xlpm.i),_xlpm.prev,IF(_xlpm.i=1,"",INDEX(tblLaminateStructures[Laminate],_xlpm.i-1)),IF(_xlpm.cur&lt;&gt;_xlpm.prev,_xlpm.cur,"")),"")</f>
        <v>418</v>
      </c>
      <c r="BV50" s="647" cm="1">
        <f t="array" ref="BV50">IFERROR(_xlfn.LET(_xlpm.i,ROWS($BV$2:BV50),_xlpm.cur,INDEX(tblLaminateStructures[Total Thickness (µ)],_xlpm.i),_xlpm.prev,IF(_xlpm.i=1,"",INDEX(tblLaminateStructures[Total Thickness (µ)],_xlpm.i-1)),IF(OR(_xlpm.cur&lt;&gt;_xlpm.prev,BU50&lt;&gt;""),_xlpm.cur,"")),"")</f>
        <v>51</v>
      </c>
      <c r="BW50" s="648" t="str" cm="1">
        <f t="array" ref="BW50">IFERROR(INDEX(tblLaminateStructures[Material / Layer],ROWS($BW$2:BW50)),"")</f>
        <v>NK</v>
      </c>
      <c r="BX50" s="647" cm="1">
        <f t="array" ref="BX50">IFERROR(INDEX(tblLaminateStructures[Layer Thickness (µ)],ROWS($BX$2:BX50)),"")</f>
        <v>23</v>
      </c>
      <c r="BY50" s="647" cm="1">
        <f t="array" ref="BY50">IFERROR(INDEX(tblLaminateStructures[Structure Check],ROWS($BY$2:BY50)),"")</f>
        <v>51</v>
      </c>
      <c r="BZ50" s="648" cm="1">
        <f t="array" ref="BZ50">IFERROR(INDEX(tblLaminateStructures[Laminate],ROWS($BZ$2:BZ50)),"")</f>
        <v>418</v>
      </c>
      <c r="CA50" s="648"/>
      <c r="CB50" s="648"/>
      <c r="CC50" s="647" cm="1">
        <f t="array" ref="CC50">IFERROR(INDEX(tblLaminateStructures[Total Thickness (µ)],ROWS($CC$2:CC50)),"")</f>
        <v>51</v>
      </c>
      <c r="CD50" s="647"/>
      <c r="CE50" s="647"/>
      <c r="CF50" s="647"/>
      <c r="CG50" s="648"/>
      <c r="CH50" s="649"/>
    </row>
    <row r="51" spans="48:86">
      <c r="AV51" s="821">
        <v>418</v>
      </c>
      <c r="AW51" s="822">
        <v>51</v>
      </c>
      <c r="AX51" s="617" t="s">
        <v>202</v>
      </c>
      <c r="AY51" s="822">
        <v>25</v>
      </c>
      <c r="AZ51" s="822">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51</v>
      </c>
      <c r="BA51" s="821"/>
      <c r="BB51" s="821"/>
      <c r="BC51" s="617" t="s">
        <v>1090</v>
      </c>
      <c r="BD51" s="821"/>
      <c r="BF51" s="631"/>
      <c r="BG51" s="631"/>
      <c r="BH51" s="631"/>
      <c r="BI51" s="631"/>
      <c r="BJ51" s="631"/>
      <c r="BK51" s="631"/>
      <c r="BL51" s="631"/>
      <c r="BM51" s="631"/>
      <c r="BN51" s="631"/>
      <c r="BO51" s="631"/>
      <c r="BP51" s="631"/>
      <c r="BQ51" s="631"/>
      <c r="BR51" s="631"/>
      <c r="BS51" s="631"/>
      <c r="BT51" s="631"/>
      <c r="BU51" s="646"/>
      <c r="BV51" s="647"/>
      <c r="BW51" s="648" t="str" cm="1">
        <f t="array" ref="BW51">IFERROR(INDEX(tblLaminateStructures[Material / Layer],ROWS($BW$2:BW51)),"")</f>
        <v>TIPA 312 MET</v>
      </c>
      <c r="BX51" s="647" cm="1">
        <f t="array" ref="BX51">IFERROR(INDEX(tblLaminateStructures[Layer Thickness (µ)],ROWS($BX$2:BX51)),"")</f>
        <v>25</v>
      </c>
      <c r="BY51" s="647" cm="1">
        <f t="array" ref="BY51">IFERROR(INDEX(tblLaminateStructures[Total Thickness (µ)],ROWS($BY$2:BY51)),"")</f>
        <v>51</v>
      </c>
      <c r="BZ51" s="648" cm="1">
        <f t="array" ref="BZ51">IFERROR(INDEX(tblLaminateStructures[Laminate],ROWS($BZ$2:BZ51)),"")</f>
        <v>418</v>
      </c>
      <c r="CA51" s="648"/>
      <c r="CB51" s="648"/>
      <c r="CC51" s="647" cm="1">
        <f t="array" ref="CC51">IFERROR(INDEX(tblLaminateStructures[Structure Check],ROWS($CC$2:CC51)),"")</f>
        <v>51</v>
      </c>
      <c r="CD51" s="647"/>
      <c r="CE51" s="647"/>
      <c r="CF51" s="647"/>
      <c r="CG51" s="648"/>
      <c r="CH51" s="649"/>
    </row>
    <row r="52" spans="48:86">
      <c r="AV52" s="617">
        <v>418</v>
      </c>
      <c r="AW52" s="618">
        <v>51</v>
      </c>
      <c r="AX52" s="617" t="s">
        <v>199</v>
      </c>
      <c r="AY52" s="618">
        <v>3</v>
      </c>
      <c r="AZ52"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51</v>
      </c>
      <c r="BA52" s="617"/>
      <c r="BB52" s="617"/>
      <c r="BC52" s="617" t="s">
        <v>1090</v>
      </c>
      <c r="BD52" s="617"/>
      <c r="BF52" s="631"/>
      <c r="BG52" s="631"/>
      <c r="BH52" s="631"/>
      <c r="BI52" s="631"/>
      <c r="BJ52" s="631"/>
      <c r="BK52" s="631"/>
      <c r="BL52" s="631"/>
      <c r="BM52" s="631"/>
      <c r="BN52" s="631"/>
      <c r="BO52" s="631"/>
      <c r="BP52" s="631"/>
      <c r="BQ52" s="631"/>
      <c r="BR52" s="631"/>
      <c r="BS52" s="631"/>
      <c r="BT52" s="631"/>
      <c r="BU52" s="646" t="str" cm="1">
        <f t="array" ref="BU52">IFERROR(_xlfn.LET(_xlpm.i,ROWS($BU$2:BU52),_xlpm.cur,INDEX(tblLaminateStructures[Laminate],_xlpm.i),_xlpm.prev,IF(_xlpm.i=1,"",INDEX(tblLaminateStructures[Laminate],_xlpm.i-1)),IF(_xlpm.cur&lt;&gt;_xlpm.prev,_xlpm.cur,"")),"")</f>
        <v/>
      </c>
      <c r="BV52" s="647" t="str" cm="1">
        <f t="array" ref="BV52">IFERROR(_xlfn.LET(_xlpm.i,ROWS($BV$2:BV52),_xlpm.cur,INDEX(tblLaminateStructures[Total Thickness (µ)],_xlpm.i),_xlpm.prev,IF(_xlpm.i=1,"",INDEX(tblLaminateStructures[Total Thickness (µ)],_xlpm.i-1)),IF(OR(_xlpm.cur&lt;&gt;_xlpm.prev,BU52&lt;&gt;""),_xlpm.cur,"")),"")</f>
        <v/>
      </c>
      <c r="BW52" s="648" t="str" cm="1">
        <f t="array" ref="BW52">IFERROR(INDEX(tblLaminateStructures[Material / Layer],ROWS($BW$2:BW52)),"")</f>
        <v>RM G Epotal ECO 3675</v>
      </c>
      <c r="BX52" s="647" cm="1">
        <f t="array" ref="BX52">IFERROR(INDEX(tblLaminateStructures[Layer Thickness (µ)],ROWS($BX$2:BX52)),"")</f>
        <v>3</v>
      </c>
      <c r="BY52" s="647" cm="1">
        <f t="array" ref="BY52">IFERROR(INDEX(tblLaminateStructures[Structure Check],ROWS($BY$2:BY52)),"")</f>
        <v>51</v>
      </c>
      <c r="BZ52" s="648" cm="1">
        <f t="array" ref="BZ52">IFERROR(INDEX(tblLaminateStructures[Laminate],ROWS($BZ$2:BZ52)),"")</f>
        <v>418</v>
      </c>
      <c r="CA52" s="648"/>
      <c r="CB52" s="648"/>
      <c r="CC52" s="647" cm="1">
        <f t="array" ref="CC52">IFERROR(INDEX(tblLaminateStructures[Total Thickness (µ)],ROWS($CC$2:CC52)),"")</f>
        <v>51</v>
      </c>
      <c r="CD52" s="647"/>
      <c r="CE52" s="647"/>
      <c r="CF52" s="647"/>
      <c r="CG52" s="648"/>
      <c r="CH52" s="649"/>
    </row>
    <row r="53" spans="48:86">
      <c r="AV53" s="617">
        <v>648</v>
      </c>
      <c r="AW53" s="618">
        <v>106</v>
      </c>
      <c r="AX53" s="617" t="s">
        <v>190</v>
      </c>
      <c r="AY53" s="618">
        <v>23</v>
      </c>
      <c r="AZ53"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106</v>
      </c>
      <c r="BA53" s="617"/>
      <c r="BB53" s="617"/>
      <c r="BC53" s="617" t="s">
        <v>1090</v>
      </c>
      <c r="BD53" s="617"/>
      <c r="BF53" s="631"/>
      <c r="BG53" s="631"/>
      <c r="BH53" s="631"/>
      <c r="BI53" s="631"/>
      <c r="BJ53" s="631"/>
      <c r="BK53" s="631"/>
      <c r="BL53" s="631"/>
      <c r="BM53" s="631"/>
      <c r="BN53" s="631"/>
      <c r="BO53" s="631"/>
      <c r="BP53" s="631"/>
      <c r="BQ53" s="631"/>
      <c r="BR53" s="631"/>
      <c r="BS53" s="631"/>
      <c r="BT53" s="631"/>
      <c r="BU53" s="646" cm="1">
        <f t="array" ref="BU53">IFERROR(_xlfn.LET(_xlpm.i,ROWS($BU$2:BU53),_xlpm.cur,INDEX(tblLaminateStructures[Laminate],_xlpm.i),_xlpm.prev,IF(_xlpm.i=1,"",INDEX(tblLaminateStructures[Laminate],_xlpm.i-1)),IF(_xlpm.cur&lt;&gt;_xlpm.prev,_xlpm.cur,"")),"")</f>
        <v>648</v>
      </c>
      <c r="BV53" s="647" cm="1">
        <f t="array" ref="BV53">IFERROR(_xlfn.LET(_xlpm.i,ROWS($BV$2:BV53),_xlpm.cur,INDEX(tblLaminateStructures[Total Thickness (µ)],_xlpm.i),_xlpm.prev,IF(_xlpm.i=1,"",INDEX(tblLaminateStructures[Total Thickness (µ)],_xlpm.i-1)),IF(OR(_xlpm.cur&lt;&gt;_xlpm.prev,BU53&lt;&gt;""),_xlpm.cur,"")),"")</f>
        <v>106</v>
      </c>
      <c r="BW53" s="648" t="str" cm="1">
        <f t="array" ref="BW53">IFERROR(INDEX(tblLaminateStructures[Material / Layer],ROWS($BW$2:BW53)),"")</f>
        <v>NK</v>
      </c>
      <c r="BX53" s="647" cm="1">
        <f t="array" ref="BX53">IFERROR(INDEX(tblLaminateStructures[Layer Thickness (µ)],ROWS($BX$2:BX53)),"")</f>
        <v>23</v>
      </c>
      <c r="BY53" s="647" cm="1">
        <f t="array" ref="BY53">IFERROR(INDEX(tblLaminateStructures[Structure Check],ROWS($BY$2:BY53)),"")</f>
        <v>106</v>
      </c>
      <c r="BZ53" s="648" cm="1">
        <f t="array" ref="BZ53">IFERROR(INDEX(tblLaminateStructures[Laminate],ROWS($BZ$2:BZ53)),"")</f>
        <v>648</v>
      </c>
      <c r="CA53" s="648"/>
      <c r="CB53" s="648"/>
      <c r="CC53" s="647" cm="1">
        <f t="array" ref="CC53">IFERROR(INDEX(tblLaminateStructures[Total Thickness (µ)],ROWS($CC$2:CC53)),"")</f>
        <v>106</v>
      </c>
      <c r="CD53" s="647"/>
      <c r="CE53" s="647"/>
      <c r="CF53" s="647"/>
      <c r="CG53" s="648"/>
      <c r="CH53" s="649"/>
    </row>
    <row r="54" spans="48:86">
      <c r="AV54" s="617">
        <v>648</v>
      </c>
      <c r="AW54" s="618">
        <v>106</v>
      </c>
      <c r="AX54" s="617" t="s">
        <v>0</v>
      </c>
      <c r="AY54" s="618">
        <v>80</v>
      </c>
      <c r="AZ54"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106</v>
      </c>
      <c r="BA54" s="617"/>
      <c r="BB54" s="617"/>
      <c r="BC54" s="617" t="s">
        <v>1090</v>
      </c>
      <c r="BD54" s="617"/>
      <c r="BF54" s="631"/>
      <c r="BG54" s="631"/>
      <c r="BH54" s="631"/>
      <c r="BI54" s="631"/>
      <c r="BJ54" s="631"/>
      <c r="BK54" s="631"/>
      <c r="BL54" s="631"/>
      <c r="BM54" s="631"/>
      <c r="BN54" s="631"/>
      <c r="BO54" s="631"/>
      <c r="BP54" s="631"/>
      <c r="BQ54" s="631"/>
      <c r="BR54" s="631"/>
      <c r="BS54" s="631"/>
      <c r="BT54" s="631"/>
      <c r="BU54" s="646" t="str" cm="1">
        <f t="array" ref="BU54">IFERROR(_xlfn.LET(_xlpm.i,ROWS($BU$2:BU54),_xlpm.cur,INDEX(tblLaminateStructures[Laminate],_xlpm.i),_xlpm.prev,IF(_xlpm.i=1,"",INDEX(tblLaminateStructures[Laminate],_xlpm.i-1)),IF(_xlpm.cur&lt;&gt;_xlpm.prev,_xlpm.cur,"")),"")</f>
        <v/>
      </c>
      <c r="BV54" s="647" t="str" cm="1">
        <f t="array" ref="BV54">IFERROR(_xlfn.LET(_xlpm.i,ROWS($BV$2:BV54),_xlpm.cur,INDEX(tblLaminateStructures[Total Thickness (µ)],_xlpm.i),_xlpm.prev,IF(_xlpm.i=1,"",INDEX(tblLaminateStructures[Total Thickness (µ)],_xlpm.i-1)),IF(OR(_xlpm.cur&lt;&gt;_xlpm.prev,BU54&lt;&gt;""),_xlpm.cur,"")),"")</f>
        <v/>
      </c>
      <c r="BW54" s="648" t="str" cm="1">
        <f t="array" ref="BW54">IFERROR(INDEX(tblLaminateStructures[Material / Layer],ROWS($BW$2:BW54)),"")</f>
        <v>TIPA 302FG</v>
      </c>
      <c r="BX54" s="647" cm="1">
        <f t="array" ref="BX54">IFERROR(INDEX(tblLaminateStructures[Layer Thickness (µ)],ROWS($BX$2:BX54)),"")</f>
        <v>80</v>
      </c>
      <c r="BY54" s="647" cm="1">
        <f t="array" ref="BY54">IFERROR(INDEX(tblLaminateStructures[Structure Check],ROWS($BY$2:BY54)),"")</f>
        <v>106</v>
      </c>
      <c r="BZ54" s="648" cm="1">
        <f t="array" ref="BZ54">IFERROR(INDEX(tblLaminateStructures[Laminate],ROWS($BZ$2:BZ54)),"")</f>
        <v>648</v>
      </c>
      <c r="CA54" s="648"/>
      <c r="CB54" s="648"/>
      <c r="CC54" s="647" cm="1">
        <f t="array" ref="CC54">IFERROR(INDEX(tblLaminateStructures[Total Thickness (µ)],ROWS($CC$2:CC54)),"")</f>
        <v>106</v>
      </c>
      <c r="CD54" s="647"/>
      <c r="CE54" s="647"/>
      <c r="CF54" s="647"/>
      <c r="CG54" s="648"/>
      <c r="CH54" s="649"/>
    </row>
    <row r="55" spans="48:86">
      <c r="AV55" s="617">
        <v>648</v>
      </c>
      <c r="AW55" s="618">
        <v>106</v>
      </c>
      <c r="AX55" s="617" t="s">
        <v>195</v>
      </c>
      <c r="AY55" s="618">
        <v>2.91</v>
      </c>
      <c r="AZ55"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106</v>
      </c>
      <c r="BA55" s="617"/>
      <c r="BB55" s="617"/>
      <c r="BC55" s="617" t="s">
        <v>1090</v>
      </c>
      <c r="BD55" s="617"/>
      <c r="BF55" s="631"/>
      <c r="BG55" s="631"/>
      <c r="BH55" s="631"/>
      <c r="BI55" s="631"/>
      <c r="BJ55" s="631"/>
      <c r="BK55" s="631"/>
      <c r="BL55" s="631"/>
      <c r="BM55" s="631"/>
      <c r="BN55" s="631"/>
      <c r="BO55" s="631"/>
      <c r="BP55" s="631"/>
      <c r="BQ55" s="631"/>
      <c r="BR55" s="658"/>
      <c r="BS55" s="631"/>
      <c r="BT55" s="631"/>
      <c r="BU55" s="646" t="str" cm="1">
        <f t="array" ref="BU55">IFERROR(_xlfn.LET(_xlpm.i,ROWS($BU$2:BU55),_xlpm.cur,INDEX(tblLaminateStructures[Laminate],_xlpm.i),_xlpm.prev,IF(_xlpm.i=1,"",INDEX(tblLaminateStructures[Laminate],_xlpm.i-1)),IF(_xlpm.cur&lt;&gt;_xlpm.prev,_xlpm.cur,"")),"")</f>
        <v/>
      </c>
      <c r="BV55" s="647" t="str" cm="1">
        <f t="array" ref="BV55">IFERROR(_xlfn.LET(_xlpm.i,ROWS($BV$2:BV55),_xlpm.cur,INDEX(tblLaminateStructures[Total Thickness (µ)],_xlpm.i),_xlpm.prev,IF(_xlpm.i=1,"",INDEX(tblLaminateStructures[Total Thickness (µ)],_xlpm.i-1)),IF(OR(_xlpm.cur&lt;&gt;_xlpm.prev,BU55&lt;&gt;""),_xlpm.cur,"")),"")</f>
        <v/>
      </c>
      <c r="BW55" s="648" t="str" cm="1">
        <f t="array" ref="BW55">IFERROR(INDEX(tblLaminateStructures[Material / Layer],ROWS($BW$2:BW55)),"")</f>
        <v>RM G Epotal Eco 3702</v>
      </c>
      <c r="BX55" s="647" cm="1">
        <f t="array" ref="BX55">IFERROR(INDEX(tblLaminateStructures[Layer Thickness (µ)],ROWS($BX$2:BX55)),"")</f>
        <v>2.91</v>
      </c>
      <c r="BY55" s="647" cm="1">
        <f t="array" ref="BY55">IFERROR(INDEX(tblLaminateStructures[Structure Check],ROWS($BY$2:BY55)),"")</f>
        <v>106</v>
      </c>
      <c r="BZ55" s="648" cm="1">
        <f t="array" ref="BZ55">IFERROR(INDEX(tblLaminateStructures[Laminate],ROWS($BZ$2:BZ55)),"")</f>
        <v>648</v>
      </c>
      <c r="CA55" s="648"/>
      <c r="CB55" s="648"/>
      <c r="CC55" s="647" cm="1">
        <f t="array" ref="CC55">IFERROR(INDEX(tblLaminateStructures[Total Thickness (µ)],ROWS($CC$2:CC55)),"")</f>
        <v>106</v>
      </c>
      <c r="CD55" s="647"/>
      <c r="CE55" s="647"/>
      <c r="CF55" s="647"/>
      <c r="CG55" s="648"/>
      <c r="CH55" s="649"/>
    </row>
    <row r="56" spans="48:86">
      <c r="AV56" s="617">
        <v>648</v>
      </c>
      <c r="AW56" s="618">
        <v>106</v>
      </c>
      <c r="AX56" s="617" t="s">
        <v>196</v>
      </c>
      <c r="AY56" s="618">
        <v>8.99999999999999E-2</v>
      </c>
      <c r="AZ56"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106</v>
      </c>
      <c r="BA56" s="617"/>
      <c r="BB56" s="617"/>
      <c r="BC56" s="617" t="s">
        <v>1090</v>
      </c>
      <c r="BD56" s="617"/>
      <c r="BF56" s="631"/>
      <c r="BG56" s="631"/>
      <c r="BH56" s="631"/>
      <c r="BI56" s="631"/>
      <c r="BJ56" s="631"/>
      <c r="BK56" s="631"/>
      <c r="BL56" s="631"/>
      <c r="BM56" s="631"/>
      <c r="BN56" s="631"/>
      <c r="BO56" s="631"/>
      <c r="BP56" s="631"/>
      <c r="BQ56" s="631"/>
      <c r="BR56" s="631"/>
      <c r="BS56" s="631"/>
      <c r="BT56" s="631"/>
      <c r="BU56" s="646" t="str" cm="1">
        <f t="array" ref="BU56">IFERROR(_xlfn.LET(_xlpm.i,ROWS($BU$2:BU56),_xlpm.cur,INDEX(tblLaminateStructures[Laminate],_xlpm.i),_xlpm.prev,IF(_xlpm.i=1,"",INDEX(tblLaminateStructures[Laminate],_xlpm.i-1)),IF(_xlpm.cur&lt;&gt;_xlpm.prev,_xlpm.cur,"")),"")</f>
        <v/>
      </c>
      <c r="BV56" s="647" t="str" cm="1">
        <f t="array" ref="BV56">IFERROR(_xlfn.LET(_xlpm.i,ROWS($BV$2:BV56),_xlpm.cur,INDEX(tblLaminateStructures[Total Thickness (µ)],_xlpm.i),_xlpm.prev,IF(_xlpm.i=1,"",INDEX(tblLaminateStructures[Total Thickness (µ)],_xlpm.i-1)),IF(OR(_xlpm.cur&lt;&gt;_xlpm.prev,BU56&lt;&gt;""),_xlpm.cur,"")),"")</f>
        <v/>
      </c>
      <c r="BW56" s="648" t="str" cm="1">
        <f t="array" ref="BW56">IFERROR(INDEX(tblLaminateStructures[Material / Layer],ROWS($BW$2:BW56)),"")</f>
        <v>RM G Basonat HW 2270</v>
      </c>
      <c r="BX56" s="647" cm="1">
        <f t="array" ref="BX56">IFERROR(INDEX(tblLaminateStructures[Layer Thickness (µ)],ROWS($BX$2:BX56)),"")</f>
        <v>8.99999999999999E-2</v>
      </c>
      <c r="BY56" s="647" cm="1">
        <f t="array" ref="BY56">IFERROR(INDEX(tblLaminateStructures[Structure Check],ROWS($BY$2:BY56)),"")</f>
        <v>106</v>
      </c>
      <c r="BZ56" s="648" cm="1">
        <f t="array" ref="BZ56">IFERROR(INDEX(tblLaminateStructures[Laminate],ROWS($BZ$2:BZ56)),"")</f>
        <v>648</v>
      </c>
      <c r="CA56" s="648"/>
      <c r="CB56" s="648"/>
      <c r="CC56" s="647" cm="1">
        <f t="array" ref="CC56">IFERROR(INDEX(tblLaminateStructures[Total Thickness (µ)],ROWS($CC$2:CC56)),"")</f>
        <v>106</v>
      </c>
      <c r="CD56" s="647"/>
      <c r="CE56" s="647"/>
      <c r="CF56" s="647"/>
      <c r="CG56" s="648"/>
      <c r="CH56" s="649"/>
    </row>
    <row r="57" spans="48:86">
      <c r="AV57" s="617">
        <v>648</v>
      </c>
      <c r="AW57" s="618">
        <v>63</v>
      </c>
      <c r="AX57" s="617" t="s">
        <v>190</v>
      </c>
      <c r="AY57" s="618">
        <v>23</v>
      </c>
      <c r="AZ57"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63.09</v>
      </c>
      <c r="BA57" s="617"/>
      <c r="BB57" s="617"/>
      <c r="BC57" s="617" t="s">
        <v>1090</v>
      </c>
      <c r="BD57" s="617"/>
      <c r="BF57" s="631"/>
      <c r="BG57" s="631"/>
      <c r="BH57" s="631"/>
      <c r="BI57" s="631"/>
      <c r="BJ57" s="631"/>
      <c r="BK57" s="631"/>
      <c r="BL57" s="631"/>
      <c r="BM57" s="631"/>
      <c r="BN57" s="631"/>
      <c r="BO57" s="631"/>
      <c r="BP57" s="631"/>
      <c r="BQ57" s="631"/>
      <c r="BR57" s="631"/>
      <c r="BS57" s="631"/>
      <c r="BT57" s="631"/>
      <c r="BU57" s="646" t="str" cm="1">
        <f t="array" ref="BU57">IFERROR(_xlfn.LET(_xlpm.i,ROWS($BU$2:BU57),_xlpm.cur,INDEX(tblLaminateStructures[Laminate],_xlpm.i),_xlpm.prev,IF(_xlpm.i=1,"",INDEX(tblLaminateStructures[Laminate],_xlpm.i-1)),IF(_xlpm.cur&lt;&gt;_xlpm.prev,_xlpm.cur,"")),"")</f>
        <v/>
      </c>
      <c r="BV57" s="647" cm="1">
        <f t="array" ref="BV57">IFERROR(_xlfn.LET(_xlpm.i,ROWS($BV$2:BV57),_xlpm.cur,INDEX(tblLaminateStructures[Total Thickness (µ)],_xlpm.i),_xlpm.prev,IF(_xlpm.i=1,"",INDEX(tblLaminateStructures[Total Thickness (µ)],_xlpm.i-1)),IF(OR(_xlpm.cur&lt;&gt;_xlpm.prev,BU57&lt;&gt;""),_xlpm.cur,"")),"")</f>
        <v>63</v>
      </c>
      <c r="BW57" s="648" t="str" cm="1">
        <f t="array" ref="BW57">IFERROR(INDEX(tblLaminateStructures[Material / Layer],ROWS($BW$2:BW57)),"")</f>
        <v>NK</v>
      </c>
      <c r="BX57" s="647" cm="1">
        <f t="array" ref="BX57">IFERROR(INDEX(tblLaminateStructures[Layer Thickness (µ)],ROWS($BX$2:BX57)),"")</f>
        <v>23</v>
      </c>
      <c r="BY57" s="647" cm="1">
        <f t="array" ref="BY57">IFERROR(INDEX(tblLaminateStructures[Structure Check],ROWS($BY$2:BY57)),"")</f>
        <v>63.09</v>
      </c>
      <c r="BZ57" s="648" cm="1">
        <f t="array" ref="BZ57">IFERROR(INDEX(tblLaminateStructures[Laminate],ROWS($BZ$2:BZ57)),"")</f>
        <v>648</v>
      </c>
      <c r="CA57" s="648"/>
      <c r="CB57" s="648"/>
      <c r="CC57" s="647" cm="1">
        <f t="array" ref="CC57">IFERROR(INDEX(tblLaminateStructures[Total Thickness (µ)],ROWS($CC$2:CC57)),"")</f>
        <v>63</v>
      </c>
      <c r="CD57" s="647"/>
      <c r="CE57" s="647"/>
      <c r="CF57" s="647"/>
      <c r="CG57" s="648"/>
      <c r="CH57" s="649"/>
    </row>
    <row r="58" spans="48:86">
      <c r="AV58" s="617">
        <v>648</v>
      </c>
      <c r="AW58" s="618">
        <v>63</v>
      </c>
      <c r="AX58" s="617" t="s">
        <v>0</v>
      </c>
      <c r="AY58" s="618">
        <v>35</v>
      </c>
      <c r="AZ58"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63.09</v>
      </c>
      <c r="BA58" s="617"/>
      <c r="BB58" s="617"/>
      <c r="BC58" s="617" t="s">
        <v>1090</v>
      </c>
      <c r="BD58" s="617"/>
      <c r="BF58" s="631"/>
      <c r="BG58" s="631"/>
      <c r="BH58" s="631"/>
      <c r="BI58" s="631"/>
      <c r="BJ58" s="631"/>
      <c r="BK58" s="631"/>
      <c r="BL58" s="631"/>
      <c r="BM58" s="631"/>
      <c r="BN58" s="631"/>
      <c r="BO58" s="631"/>
      <c r="BP58" s="631"/>
      <c r="BQ58" s="631"/>
      <c r="BR58" s="631"/>
      <c r="BS58" s="631"/>
      <c r="BT58" s="631"/>
      <c r="BU58" s="646" t="str" cm="1">
        <f t="array" ref="BU58">IFERROR(_xlfn.LET(_xlpm.i,ROWS($BU$2:BU58),_xlpm.cur,INDEX(tblLaminateStructures[Laminate],_xlpm.i),_xlpm.prev,IF(_xlpm.i=1,"",INDEX(tblLaminateStructures[Laminate],_xlpm.i-1)),IF(_xlpm.cur&lt;&gt;_xlpm.prev,_xlpm.cur,"")),"")</f>
        <v/>
      </c>
      <c r="BV58" s="647" t="str" cm="1">
        <f t="array" ref="BV58">IFERROR(_xlfn.LET(_xlpm.i,ROWS($BV$2:BV58),_xlpm.cur,INDEX(tblLaminateStructures[Total Thickness (µ)],_xlpm.i),_xlpm.prev,IF(_xlpm.i=1,"",INDEX(tblLaminateStructures[Total Thickness (µ)],_xlpm.i-1)),IF(OR(_xlpm.cur&lt;&gt;_xlpm.prev,BU58&lt;&gt;""),_xlpm.cur,"")),"")</f>
        <v/>
      </c>
      <c r="BW58" s="648" t="str" cm="1">
        <f t="array" ref="BW58">IFERROR(INDEX(tblLaminateStructures[Material / Layer],ROWS($BW$2:BW58)),"")</f>
        <v>TIPA 302FG</v>
      </c>
      <c r="BX58" s="647" cm="1">
        <f t="array" ref="BX58">IFERROR(INDEX(tblLaminateStructures[Layer Thickness (µ)],ROWS($BX$2:BX58)),"")</f>
        <v>35</v>
      </c>
      <c r="BY58" s="647" cm="1">
        <f t="array" ref="BY58">IFERROR(INDEX(tblLaminateStructures[Structure Check],ROWS($BY$2:BY58)),"")</f>
        <v>63.09</v>
      </c>
      <c r="BZ58" s="648" cm="1">
        <f t="array" ref="BZ58">IFERROR(INDEX(tblLaminateStructures[Laminate],ROWS($BZ$2:BZ58)),"")</f>
        <v>648</v>
      </c>
      <c r="CA58" s="648"/>
      <c r="CB58" s="648"/>
      <c r="CC58" s="647" cm="1">
        <f t="array" ref="CC58">IFERROR(INDEX(tblLaminateStructures[Total Thickness (µ)],ROWS($CC$2:CC58)),"")</f>
        <v>63</v>
      </c>
      <c r="CD58" s="647"/>
      <c r="CE58" s="647"/>
      <c r="CF58" s="647"/>
      <c r="CG58" s="648"/>
      <c r="CH58" s="649"/>
    </row>
    <row r="59" spans="48:86">
      <c r="AV59" s="617">
        <v>648</v>
      </c>
      <c r="AW59" s="618">
        <v>63</v>
      </c>
      <c r="AX59" s="617" t="s">
        <v>195</v>
      </c>
      <c r="AY59" s="618">
        <v>5</v>
      </c>
      <c r="AZ59"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63.09</v>
      </c>
      <c r="BA59" s="617"/>
      <c r="BB59" s="617"/>
      <c r="BC59" s="617" t="s">
        <v>1090</v>
      </c>
      <c r="BD59" s="617"/>
      <c r="BF59" s="631"/>
      <c r="BG59" s="631"/>
      <c r="BH59" s="631"/>
      <c r="BI59" s="631"/>
      <c r="BJ59" s="631"/>
      <c r="BK59" s="631"/>
      <c r="BL59" s="631"/>
      <c r="BM59" s="631"/>
      <c r="BN59" s="631"/>
      <c r="BO59" s="631"/>
      <c r="BP59" s="631"/>
      <c r="BQ59" s="631"/>
      <c r="BR59" s="631"/>
      <c r="BS59" s="631"/>
      <c r="BT59" s="631"/>
      <c r="BU59" s="646" t="str" cm="1">
        <f t="array" ref="BU59">IFERROR(_xlfn.LET(_xlpm.i,ROWS($BU$2:BU59),_xlpm.cur,INDEX(tblLaminateStructures[Laminate],_xlpm.i),_xlpm.prev,IF(_xlpm.i=1,"",INDEX(tblLaminateStructures[Laminate],_xlpm.i-1)),IF(_xlpm.cur&lt;&gt;_xlpm.prev,_xlpm.cur,"")),"")</f>
        <v/>
      </c>
      <c r="BV59" s="647" t="str" cm="1">
        <f t="array" ref="BV59">IFERROR(_xlfn.LET(_xlpm.i,ROWS($BV$2:BV59),_xlpm.cur,INDEX(tblLaminateStructures[Total Thickness (µ)],_xlpm.i),_xlpm.prev,IF(_xlpm.i=1,"",INDEX(tblLaminateStructures[Total Thickness (µ)],_xlpm.i-1)),IF(OR(_xlpm.cur&lt;&gt;_xlpm.prev,BU59&lt;&gt;""),_xlpm.cur,"")),"")</f>
        <v/>
      </c>
      <c r="BW59" s="648" t="str" cm="1">
        <f t="array" ref="BW59">IFERROR(INDEX(tblLaminateStructures[Material / Layer],ROWS($BW$2:BW59)),"")</f>
        <v>RM G Epotal Eco 3702</v>
      </c>
      <c r="BX59" s="647" cm="1">
        <f t="array" ref="BX59">IFERROR(INDEX(tblLaminateStructures[Layer Thickness (µ)],ROWS($BX$2:BX59)),"")</f>
        <v>5</v>
      </c>
      <c r="BY59" s="647" cm="1">
        <f t="array" ref="BY59">IFERROR(INDEX(tblLaminateStructures[Structure Check],ROWS($BY$2:BY59)),"")</f>
        <v>63.09</v>
      </c>
      <c r="BZ59" s="648" cm="1">
        <f t="array" ref="BZ59">IFERROR(INDEX(tblLaminateStructures[Laminate],ROWS($BZ$2:BZ59)),"")</f>
        <v>648</v>
      </c>
      <c r="CA59" s="648"/>
      <c r="CB59" s="648"/>
      <c r="CC59" s="647" cm="1">
        <f t="array" ref="CC59">IFERROR(INDEX(tblLaminateStructures[Total Thickness (µ)],ROWS($CC$2:CC59)),"")</f>
        <v>63</v>
      </c>
      <c r="CD59" s="647"/>
      <c r="CE59" s="647"/>
      <c r="CF59" s="647"/>
      <c r="CG59" s="648"/>
      <c r="CH59" s="649"/>
    </row>
    <row r="60" spans="48:86">
      <c r="AV60" s="617">
        <v>648</v>
      </c>
      <c r="AW60" s="618">
        <v>63</v>
      </c>
      <c r="AX60" s="617" t="s">
        <v>196</v>
      </c>
      <c r="AY60" s="618">
        <v>8.99999999999999E-2</v>
      </c>
      <c r="AZ60"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63.09</v>
      </c>
      <c r="BA60" s="617"/>
      <c r="BB60" s="617"/>
      <c r="BC60" s="617" t="s">
        <v>1090</v>
      </c>
      <c r="BD60" s="617"/>
      <c r="BF60" s="631"/>
      <c r="BG60" s="631"/>
      <c r="BH60" s="631"/>
      <c r="BI60" s="631"/>
      <c r="BJ60" s="631"/>
      <c r="BK60" s="631"/>
      <c r="BL60" s="631"/>
      <c r="BM60" s="631"/>
      <c r="BN60" s="631"/>
      <c r="BO60" s="631"/>
      <c r="BP60" s="631"/>
      <c r="BQ60" s="631"/>
      <c r="BR60" s="631"/>
      <c r="BS60" s="631"/>
      <c r="BT60" s="631"/>
      <c r="BU60" s="646" t="str" cm="1">
        <f t="array" ref="BU60">IFERROR(_xlfn.LET(_xlpm.i,ROWS($BU$2:BU60),_xlpm.cur,INDEX(tblLaminateStructures[Laminate],_xlpm.i),_xlpm.prev,IF(_xlpm.i=1,"",INDEX(tblLaminateStructures[Laminate],_xlpm.i-1)),IF(_xlpm.cur&lt;&gt;_xlpm.prev,_xlpm.cur,"")),"")</f>
        <v/>
      </c>
      <c r="BV60" s="647" t="str" cm="1">
        <f t="array" ref="BV60">IFERROR(_xlfn.LET(_xlpm.i,ROWS($BV$2:BV60),_xlpm.cur,INDEX(tblLaminateStructures[Total Thickness (µ)],_xlpm.i),_xlpm.prev,IF(_xlpm.i=1,"",INDEX(tblLaminateStructures[Total Thickness (µ)],_xlpm.i-1)),IF(OR(_xlpm.cur&lt;&gt;_xlpm.prev,BU60&lt;&gt;""),_xlpm.cur,"")),"")</f>
        <v/>
      </c>
      <c r="BW60" s="648" t="str" cm="1">
        <f t="array" ref="BW60">IFERROR(INDEX(tblLaminateStructures[Material / Layer],ROWS($BW$2:BW60)),"")</f>
        <v>RM G Basonat HW 2270</v>
      </c>
      <c r="BX60" s="647" cm="1">
        <f t="array" ref="BX60">IFERROR(INDEX(tblLaminateStructures[Layer Thickness (µ)],ROWS($BX$2:BX60)),"")</f>
        <v>8.99999999999999E-2</v>
      </c>
      <c r="BY60" s="647" cm="1">
        <f t="array" ref="BY60">IFERROR(INDEX(tblLaminateStructures[Structure Check],ROWS($BY$2:BY60)),"")</f>
        <v>63.09</v>
      </c>
      <c r="BZ60" s="648" cm="1">
        <f t="array" ref="BZ60">IFERROR(INDEX(tblLaminateStructures[Laminate],ROWS($BZ$2:BZ60)),"")</f>
        <v>648</v>
      </c>
      <c r="CA60" s="648"/>
      <c r="CB60" s="648"/>
      <c r="CC60" s="647" cm="1">
        <f t="array" ref="CC60">IFERROR(INDEX(tblLaminateStructures[Total Thickness (µ)],ROWS($CC$2:CC60)),"")</f>
        <v>63</v>
      </c>
      <c r="CD60" s="647"/>
      <c r="CE60" s="647"/>
      <c r="CF60" s="647"/>
      <c r="CG60" s="648"/>
      <c r="CH60" s="649"/>
    </row>
    <row r="61" spans="48:86">
      <c r="AV61" s="617">
        <v>428</v>
      </c>
      <c r="AW61" s="618">
        <v>79</v>
      </c>
      <c r="AX61" s="617" t="s">
        <v>190</v>
      </c>
      <c r="AY61" s="618">
        <v>23</v>
      </c>
      <c r="AZ61"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79</v>
      </c>
      <c r="BA61" s="617"/>
      <c r="BB61" s="617"/>
      <c r="BC61" s="617" t="s">
        <v>1090</v>
      </c>
      <c r="BD61" s="617"/>
      <c r="BF61" s="631"/>
      <c r="BG61" s="631"/>
      <c r="BH61" s="631"/>
      <c r="BI61" s="631"/>
      <c r="BJ61" s="631"/>
      <c r="BK61" s="631"/>
      <c r="BL61" s="631"/>
      <c r="BM61" s="631"/>
      <c r="BN61" s="631"/>
      <c r="BO61" s="631"/>
      <c r="BP61" s="631"/>
      <c r="BQ61" s="631"/>
      <c r="BR61" s="631"/>
      <c r="BS61" s="631"/>
      <c r="BT61" s="631"/>
      <c r="BU61" s="646" cm="1">
        <f t="array" ref="BU61">IFERROR(_xlfn.LET(_xlpm.i,ROWS($BU$2:BU61),_xlpm.cur,INDEX(tblLaminateStructures[Laminate],_xlpm.i),_xlpm.prev,IF(_xlpm.i=1,"",INDEX(tblLaminateStructures[Laminate],_xlpm.i-1)),IF(_xlpm.cur&lt;&gt;_xlpm.prev,_xlpm.cur,"")),"")</f>
        <v>428</v>
      </c>
      <c r="BV61" s="647" cm="1">
        <f t="array" ref="BV61">IFERROR(_xlfn.LET(_xlpm.i,ROWS($BV$2:BV61),_xlpm.cur,INDEX(tblLaminateStructures[Total Thickness (µ)],_xlpm.i),_xlpm.prev,IF(_xlpm.i=1,"",INDEX(tblLaminateStructures[Total Thickness (µ)],_xlpm.i-1)),IF(OR(_xlpm.cur&lt;&gt;_xlpm.prev,BU61&lt;&gt;""),_xlpm.cur,"")),"")</f>
        <v>79</v>
      </c>
      <c r="BW61" s="648" t="str" cm="1">
        <f t="array" ref="BW61">IFERROR(INDEX(tblLaminateStructures[Material / Layer],ROWS($BW$2:BW61)),"")</f>
        <v>NK</v>
      </c>
      <c r="BX61" s="647" cm="1">
        <f t="array" ref="BX61">IFERROR(INDEX(tblLaminateStructures[Layer Thickness (µ)],ROWS($BX$2:BX61)),"")</f>
        <v>23</v>
      </c>
      <c r="BY61" s="647" cm="1">
        <f t="array" ref="BY61">IFERROR(INDEX(tblLaminateStructures[Structure Check],ROWS($BY$2:BY61)),"")</f>
        <v>79</v>
      </c>
      <c r="BZ61" s="648" cm="1">
        <f t="array" ref="BZ61">IFERROR(INDEX(tblLaminateStructures[Laminate],ROWS($BZ$2:BZ61)),"")</f>
        <v>428</v>
      </c>
      <c r="CA61" s="648"/>
      <c r="CB61" s="648"/>
      <c r="CC61" s="647" cm="1">
        <f t="array" ref="CC61">IFERROR(INDEX(tblLaminateStructures[Total Thickness (µ)],ROWS($CC$2:CC61)),"")</f>
        <v>79</v>
      </c>
      <c r="CD61" s="647"/>
      <c r="CE61" s="647"/>
      <c r="CF61" s="647"/>
      <c r="CG61" s="648"/>
      <c r="CH61" s="649"/>
    </row>
    <row r="62" spans="48:86">
      <c r="AV62" s="617">
        <v>428</v>
      </c>
      <c r="AW62" s="618">
        <v>79</v>
      </c>
      <c r="AX62" s="617" t="s">
        <v>202</v>
      </c>
      <c r="AY62" s="618">
        <v>25</v>
      </c>
      <c r="AZ62"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79</v>
      </c>
      <c r="BA62" s="617"/>
      <c r="BB62" s="617"/>
      <c r="BC62" s="617" t="s">
        <v>1090</v>
      </c>
      <c r="BD62" s="617"/>
      <c r="BF62" s="631"/>
      <c r="BG62" s="631"/>
      <c r="BH62" s="631"/>
      <c r="BI62" s="631"/>
      <c r="BJ62" s="631"/>
      <c r="BK62" s="631"/>
      <c r="BL62" s="631"/>
      <c r="BM62" s="631"/>
      <c r="BN62" s="631"/>
      <c r="BO62" s="631"/>
      <c r="BP62" s="631"/>
      <c r="BQ62" s="631"/>
      <c r="BR62" s="631"/>
      <c r="BS62" s="631"/>
      <c r="BT62" s="631"/>
      <c r="BU62" s="646" t="str" cm="1">
        <f t="array" ref="BU62">IFERROR(_xlfn.LET(_xlpm.i,ROWS($BU$2:BU62),_xlpm.cur,INDEX(tblLaminateStructures[Laminate],_xlpm.i),_xlpm.prev,IF(_xlpm.i=1,"",INDEX(tblLaminateStructures[Laminate],_xlpm.i-1)),IF(_xlpm.cur&lt;&gt;_xlpm.prev,_xlpm.cur,"")),"")</f>
        <v/>
      </c>
      <c r="BV62" s="647" t="str" cm="1">
        <f t="array" ref="BV62">IFERROR(_xlfn.LET(_xlpm.i,ROWS($BV$2:BV62),_xlpm.cur,INDEX(tblLaminateStructures[Total Thickness (µ)],_xlpm.i),_xlpm.prev,IF(_xlpm.i=1,"",INDEX(tblLaminateStructures[Total Thickness (µ)],_xlpm.i-1)),IF(OR(_xlpm.cur&lt;&gt;_xlpm.prev,BU62&lt;&gt;""),_xlpm.cur,"")),"")</f>
        <v/>
      </c>
      <c r="BW62" s="648" t="str" cm="1">
        <f t="array" ref="BW62">IFERROR(INDEX(tblLaminateStructures[Material / Layer],ROWS($BW$2:BW62)),"")</f>
        <v>TIPA 312 MET</v>
      </c>
      <c r="BX62" s="647" cm="1">
        <f t="array" ref="BX62">IFERROR(INDEX(tblLaminateStructures[Layer Thickness (µ)],ROWS($BX$2:BX62)),"")</f>
        <v>25</v>
      </c>
      <c r="BY62" s="647" cm="1">
        <f t="array" ref="BY62">IFERROR(INDEX(tblLaminateStructures[Structure Check],ROWS($BY$2:BY62)),"")</f>
        <v>79</v>
      </c>
      <c r="BZ62" s="648" cm="1">
        <f t="array" ref="BZ62">IFERROR(INDEX(tblLaminateStructures[Laminate],ROWS($BZ$2:BZ62)),"")</f>
        <v>428</v>
      </c>
      <c r="CA62" s="648"/>
      <c r="CB62" s="648"/>
      <c r="CC62" s="647" cm="1">
        <f t="array" ref="CC62">IFERROR(INDEX(tblLaminateStructures[Total Thickness (µ)],ROWS($CC$2:CC62)),"")</f>
        <v>79</v>
      </c>
      <c r="CD62" s="647"/>
      <c r="CE62" s="647"/>
      <c r="CF62" s="647"/>
      <c r="CG62" s="648"/>
      <c r="CH62" s="649"/>
    </row>
    <row r="63" spans="48:86">
      <c r="AV63" s="617">
        <v>428</v>
      </c>
      <c r="AW63" s="618">
        <v>79</v>
      </c>
      <c r="AX63" s="617" t="s">
        <v>202</v>
      </c>
      <c r="AY63" s="618">
        <v>25</v>
      </c>
      <c r="AZ63"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79</v>
      </c>
      <c r="BA63" s="617"/>
      <c r="BB63" s="617"/>
      <c r="BC63" s="617" t="s">
        <v>1090</v>
      </c>
      <c r="BD63" s="617"/>
      <c r="BF63" s="631"/>
      <c r="BG63" s="631"/>
      <c r="BH63" s="631"/>
      <c r="BI63" s="631"/>
      <c r="BJ63" s="631"/>
      <c r="BK63" s="631"/>
      <c r="BL63" s="631"/>
      <c r="BM63" s="631"/>
      <c r="BN63" s="631"/>
      <c r="BO63" s="631"/>
      <c r="BP63" s="631"/>
      <c r="BQ63" s="631"/>
      <c r="BR63" s="631"/>
      <c r="BS63" s="631"/>
      <c r="BT63" s="631"/>
      <c r="BU63" s="646" t="str" cm="1">
        <f t="array" ref="BU63">IFERROR(_xlfn.LET(_xlpm.i,ROWS($BU$2:BU63),_xlpm.cur,INDEX(tblLaminateStructures[Laminate],_xlpm.i),_xlpm.prev,IF(_xlpm.i=1,"",INDEX(tblLaminateStructures[Laminate],_xlpm.i-1)),IF(_xlpm.cur&lt;&gt;_xlpm.prev,_xlpm.cur,"")),"")</f>
        <v/>
      </c>
      <c r="BV63" s="647" t="str" cm="1">
        <f t="array" ref="BV63">IFERROR(_xlfn.LET(_xlpm.i,ROWS($BV$2:BV63),_xlpm.cur,INDEX(tblLaminateStructures[Total Thickness (µ)],_xlpm.i),_xlpm.prev,IF(_xlpm.i=1,"",INDEX(tblLaminateStructures[Total Thickness (µ)],_xlpm.i-1)),IF(OR(_xlpm.cur&lt;&gt;_xlpm.prev,BU63&lt;&gt;""),_xlpm.cur,"")),"")</f>
        <v/>
      </c>
      <c r="BW63" s="648" t="str" cm="1">
        <f t="array" ref="BW63">IFERROR(INDEX(tblLaminateStructures[Material / Layer],ROWS($BW$2:BW63)),"")</f>
        <v>TIPA 312 MET</v>
      </c>
      <c r="BX63" s="647" cm="1">
        <f t="array" ref="BX63">IFERROR(INDEX(tblLaminateStructures[Layer Thickness (µ)],ROWS($BX$2:BX63)),"")</f>
        <v>25</v>
      </c>
      <c r="BY63" s="647" cm="1">
        <f t="array" ref="BY63">IFERROR(INDEX(tblLaminateStructures[Structure Check],ROWS($BY$2:BY63)),"")</f>
        <v>79</v>
      </c>
      <c r="BZ63" s="648" cm="1">
        <f t="array" ref="BZ63">IFERROR(INDEX(tblLaminateStructures[Laminate],ROWS($BZ$2:BZ63)),"")</f>
        <v>428</v>
      </c>
      <c r="CA63" s="648"/>
      <c r="CB63" s="648"/>
      <c r="CC63" s="647" cm="1">
        <f t="array" ref="CC63">IFERROR(INDEX(tblLaminateStructures[Total Thickness (µ)],ROWS($CC$2:CC63)),"")</f>
        <v>79</v>
      </c>
      <c r="CD63" s="647"/>
      <c r="CE63" s="647"/>
      <c r="CF63" s="647"/>
      <c r="CG63" s="648"/>
      <c r="CH63" s="649"/>
    </row>
    <row r="64" spans="48:86">
      <c r="AV64" s="617">
        <v>428</v>
      </c>
      <c r="AW64" s="618">
        <v>79</v>
      </c>
      <c r="AX64" s="617" t="s">
        <v>199</v>
      </c>
      <c r="AY64" s="618">
        <v>6</v>
      </c>
      <c r="AZ64"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79</v>
      </c>
      <c r="BA64" s="617"/>
      <c r="BB64" s="617"/>
      <c r="BC64" s="617" t="s">
        <v>1090</v>
      </c>
      <c r="BD64" s="617"/>
      <c r="BF64" s="631"/>
      <c r="BG64" s="631"/>
      <c r="BH64" s="631"/>
      <c r="BI64" s="631"/>
      <c r="BJ64" s="631"/>
      <c r="BK64" s="631"/>
      <c r="BL64" s="631"/>
      <c r="BM64" s="631"/>
      <c r="BN64" s="631"/>
      <c r="BO64" s="631"/>
      <c r="BP64" s="631"/>
      <c r="BQ64" s="631"/>
      <c r="BR64" s="631"/>
      <c r="BS64" s="631"/>
      <c r="BT64" s="631"/>
      <c r="BU64" s="646" t="str" cm="1">
        <f t="array" ref="BU64">IFERROR(_xlfn.LET(_xlpm.i,ROWS($BU$2:BU64),_xlpm.cur,INDEX(tblLaminateStructures[Laminate],_xlpm.i),_xlpm.prev,IF(_xlpm.i=1,"",INDEX(tblLaminateStructures[Laminate],_xlpm.i-1)),IF(_xlpm.cur&lt;&gt;_xlpm.prev,_xlpm.cur,"")),"")</f>
        <v/>
      </c>
      <c r="BV64" s="647" t="str" cm="1">
        <f t="array" ref="BV64">IFERROR(_xlfn.LET(_xlpm.i,ROWS($BV$2:BV64),_xlpm.cur,INDEX(tblLaminateStructures[Total Thickness (µ)],_xlpm.i),_xlpm.prev,IF(_xlpm.i=1,"",INDEX(tblLaminateStructures[Total Thickness (µ)],_xlpm.i-1)),IF(OR(_xlpm.cur&lt;&gt;_xlpm.prev,BU64&lt;&gt;""),_xlpm.cur,"")),"")</f>
        <v/>
      </c>
      <c r="BW64" s="648" t="str" cm="1">
        <f t="array" ref="BW64">IFERROR(INDEX(tblLaminateStructures[Material / Layer],ROWS($BW$2:BW64)),"")</f>
        <v>RM G Epotal ECO 3675</v>
      </c>
      <c r="BX64" s="647" cm="1">
        <f t="array" ref="BX64">IFERROR(INDEX(tblLaminateStructures[Layer Thickness (µ)],ROWS($BX$2:BX64)),"")</f>
        <v>6</v>
      </c>
      <c r="BY64" s="647" cm="1">
        <f t="array" ref="BY64">IFERROR(INDEX(tblLaminateStructures[Structure Check],ROWS($BY$2:BY64)),"")</f>
        <v>79</v>
      </c>
      <c r="BZ64" s="648" cm="1">
        <f t="array" ref="BZ64">IFERROR(INDEX(tblLaminateStructures[Laminate],ROWS($BZ$2:BZ64)),"")</f>
        <v>428</v>
      </c>
      <c r="CA64" s="648"/>
      <c r="CB64" s="648"/>
      <c r="CC64" s="647" cm="1">
        <f t="array" ref="CC64">IFERROR(INDEX(tblLaminateStructures[Total Thickness (µ)],ROWS($CC$2:CC64)),"")</f>
        <v>79</v>
      </c>
      <c r="CD64" s="647"/>
      <c r="CE64" s="647"/>
      <c r="CF64" s="647"/>
      <c r="CG64" s="648"/>
      <c r="CH64" s="649"/>
    </row>
    <row r="65" spans="48:86">
      <c r="AV65" s="617">
        <v>918</v>
      </c>
      <c r="AW65" s="618">
        <v>51</v>
      </c>
      <c r="AX65" s="617" t="s">
        <v>190</v>
      </c>
      <c r="AY65" s="618">
        <v>23</v>
      </c>
      <c r="AZ65"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51</v>
      </c>
      <c r="BA65" s="617"/>
      <c r="BB65" s="617"/>
      <c r="BC65" s="617" t="s">
        <v>1090</v>
      </c>
      <c r="BD65" s="617"/>
      <c r="BF65" s="631"/>
      <c r="BG65" s="631"/>
      <c r="BH65" s="631"/>
      <c r="BI65" s="631"/>
      <c r="BJ65" s="631"/>
      <c r="BK65" s="631"/>
      <c r="BL65" s="631"/>
      <c r="BM65" s="631"/>
      <c r="BN65" s="631"/>
      <c r="BO65" s="631"/>
      <c r="BP65" s="631"/>
      <c r="BQ65" s="631"/>
      <c r="BR65" s="631"/>
      <c r="BS65" s="631"/>
      <c r="BT65" s="631"/>
      <c r="BU65" s="646" cm="1">
        <f t="array" ref="BU65">IFERROR(_xlfn.LET(_xlpm.i,ROWS($BU$2:BU65),_xlpm.cur,INDEX(tblLaminateStructures[Laminate],_xlpm.i),_xlpm.prev,IF(_xlpm.i=1,"",INDEX(tblLaminateStructures[Laminate],_xlpm.i-1)),IF(_xlpm.cur&lt;&gt;_xlpm.prev,_xlpm.cur,"")),"")</f>
        <v>918</v>
      </c>
      <c r="BV65" s="647" cm="1">
        <f t="array" ref="BV65">IFERROR(_xlfn.LET(_xlpm.i,ROWS($BV$2:BV65),_xlpm.cur,INDEX(tblLaminateStructures[Total Thickness (µ)],_xlpm.i),_xlpm.prev,IF(_xlpm.i=1,"",INDEX(tblLaminateStructures[Total Thickness (µ)],_xlpm.i-1)),IF(OR(_xlpm.cur&lt;&gt;_xlpm.prev,BU65&lt;&gt;""),_xlpm.cur,"")),"")</f>
        <v>51</v>
      </c>
      <c r="BW65" s="648" t="str" cm="1">
        <f t="array" ref="BW65">IFERROR(INDEX(tblLaminateStructures[Material / Layer],ROWS($BW$2:BW65)),"")</f>
        <v>NK</v>
      </c>
      <c r="BX65" s="647" cm="1">
        <f t="array" ref="BX65">IFERROR(INDEX(tblLaminateStructures[Layer Thickness (µ)],ROWS($BX$2:BX65)),"")</f>
        <v>23</v>
      </c>
      <c r="BY65" s="647" cm="1">
        <f t="array" ref="BY65">IFERROR(INDEX(tblLaminateStructures[Structure Check],ROWS($BY$2:BY65)),"")</f>
        <v>51</v>
      </c>
      <c r="BZ65" s="648" cm="1">
        <f t="array" ref="BZ65">IFERROR(INDEX(tblLaminateStructures[Laminate],ROWS($BZ$2:BZ65)),"")</f>
        <v>918</v>
      </c>
      <c r="CA65" s="648"/>
      <c r="CB65" s="648"/>
      <c r="CC65" s="647" cm="1">
        <f t="array" ref="CC65">IFERROR(INDEX(tblLaminateStructures[Total Thickness (µ)],ROWS($CC$2:CC65)),"")</f>
        <v>51</v>
      </c>
      <c r="CD65" s="647"/>
      <c r="CE65" s="647"/>
      <c r="CF65" s="647"/>
      <c r="CG65" s="648"/>
      <c r="CH65" s="649"/>
    </row>
    <row r="66" spans="48:86">
      <c r="AV66" s="617">
        <v>918</v>
      </c>
      <c r="AW66" s="618">
        <v>51</v>
      </c>
      <c r="AX66" s="617" t="s">
        <v>202</v>
      </c>
      <c r="AY66" s="618">
        <v>25</v>
      </c>
      <c r="AZ66"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51</v>
      </c>
      <c r="BA66" s="617"/>
      <c r="BB66" s="617"/>
      <c r="BC66" s="617" t="s">
        <v>1090</v>
      </c>
      <c r="BD66" s="617"/>
      <c r="BF66" s="631"/>
      <c r="BG66" s="631"/>
      <c r="BH66" s="631"/>
      <c r="BI66" s="631"/>
      <c r="BJ66" s="631"/>
      <c r="BK66" s="631"/>
      <c r="BL66" s="631"/>
      <c r="BM66" s="631"/>
      <c r="BN66" s="631"/>
      <c r="BO66" s="631"/>
      <c r="BP66" s="631"/>
      <c r="BQ66" s="631"/>
      <c r="BR66" s="631"/>
      <c r="BS66" s="631"/>
      <c r="BT66" s="631"/>
      <c r="BU66" s="646" t="str" cm="1">
        <f t="array" ref="BU66">IFERROR(_xlfn.LET(_xlpm.i,ROWS($BU$2:BU66),_xlpm.cur,INDEX(tblLaminateStructures[Laminate],_xlpm.i),_xlpm.prev,IF(_xlpm.i=1,"",INDEX(tblLaminateStructures[Laminate],_xlpm.i-1)),IF(_xlpm.cur&lt;&gt;_xlpm.prev,_xlpm.cur,"")),"")</f>
        <v/>
      </c>
      <c r="BV66" s="647" t="str" cm="1">
        <f t="array" ref="BV66">IFERROR(_xlfn.LET(_xlpm.i,ROWS($BV$2:BV66),_xlpm.cur,INDEX(tblLaminateStructures[Total Thickness (µ)],_xlpm.i),_xlpm.prev,IF(_xlpm.i=1,"",INDEX(tblLaminateStructures[Total Thickness (µ)],_xlpm.i-1)),IF(OR(_xlpm.cur&lt;&gt;_xlpm.prev,BU66&lt;&gt;""),_xlpm.cur,"")),"")</f>
        <v/>
      </c>
      <c r="BW66" s="648" t="str" cm="1">
        <f t="array" ref="BW66">IFERROR(INDEX(tblLaminateStructures[Material / Layer],ROWS($BW$2:BW66)),"")</f>
        <v>TIPA 312 MET</v>
      </c>
      <c r="BX66" s="647" cm="1">
        <f t="array" ref="BX66">IFERROR(INDEX(tblLaminateStructures[Layer Thickness (µ)],ROWS($BX$2:BX66)),"")</f>
        <v>25</v>
      </c>
      <c r="BY66" s="647" cm="1">
        <f t="array" ref="BY66">IFERROR(INDEX(tblLaminateStructures[Structure Check],ROWS($BY$2:BY66)),"")</f>
        <v>51</v>
      </c>
      <c r="BZ66" s="648" cm="1">
        <f t="array" ref="BZ66">IFERROR(INDEX(tblLaminateStructures[Laminate],ROWS($BZ$2:BZ66)),"")</f>
        <v>918</v>
      </c>
      <c r="CA66" s="648"/>
      <c r="CB66" s="648"/>
      <c r="CC66" s="647" cm="1">
        <f t="array" ref="CC66">IFERROR(INDEX(tblLaminateStructures[Total Thickness (µ)],ROWS($CC$2:CC66)),"")</f>
        <v>51</v>
      </c>
      <c r="CD66" s="647"/>
      <c r="CE66" s="647"/>
      <c r="CF66" s="647"/>
      <c r="CG66" s="648"/>
      <c r="CH66" s="649"/>
    </row>
    <row r="67" spans="48:86">
      <c r="AV67" s="617">
        <v>918</v>
      </c>
      <c r="AW67" s="618">
        <v>51</v>
      </c>
      <c r="AX67" s="617" t="s">
        <v>195</v>
      </c>
      <c r="AY67" s="618">
        <v>2.91</v>
      </c>
      <c r="AZ67"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51</v>
      </c>
      <c r="BA67" s="617"/>
      <c r="BB67" s="617"/>
      <c r="BC67" s="617" t="s">
        <v>1090</v>
      </c>
      <c r="BD67" s="617"/>
      <c r="BF67" s="631"/>
      <c r="BG67" s="631"/>
      <c r="BH67" s="631"/>
      <c r="BI67" s="631"/>
      <c r="BJ67" s="631"/>
      <c r="BK67" s="631"/>
      <c r="BL67" s="631"/>
      <c r="BM67" s="631"/>
      <c r="BN67" s="631"/>
      <c r="BO67" s="631"/>
      <c r="BP67" s="631"/>
      <c r="BQ67" s="631"/>
      <c r="BR67" s="631"/>
      <c r="BS67" s="631"/>
      <c r="BT67" s="631"/>
      <c r="BU67" s="646" t="str" cm="1">
        <f t="array" ref="BU67">IFERROR(_xlfn.LET(_xlpm.i,ROWS($BU$2:BU67),_xlpm.cur,INDEX(tblLaminateStructures[Laminate],_xlpm.i),_xlpm.prev,IF(_xlpm.i=1,"",INDEX(tblLaminateStructures[Laminate],_xlpm.i-1)),IF(_xlpm.cur&lt;&gt;_xlpm.prev,_xlpm.cur,"")),"")</f>
        <v/>
      </c>
      <c r="BV67" s="647" t="str" cm="1">
        <f t="array" ref="BV67">IFERROR(_xlfn.LET(_xlpm.i,ROWS($BV$2:BV67),_xlpm.cur,INDEX(tblLaminateStructures[Total Thickness (µ)],_xlpm.i),_xlpm.prev,IF(_xlpm.i=1,"",INDEX(tblLaminateStructures[Total Thickness (µ)],_xlpm.i-1)),IF(OR(_xlpm.cur&lt;&gt;_xlpm.prev,BU67&lt;&gt;""),_xlpm.cur,"")),"")</f>
        <v/>
      </c>
      <c r="BW67" s="648" t="str" cm="1">
        <f t="array" ref="BW67">IFERROR(INDEX(tblLaminateStructures[Material / Layer],ROWS($BW$2:BW67)),"")</f>
        <v>RM G Epotal Eco 3702</v>
      </c>
      <c r="BX67" s="647" cm="1">
        <f t="array" ref="BX67">IFERROR(INDEX(tblLaminateStructures[Layer Thickness (µ)],ROWS($BX$2:BX67)),"")</f>
        <v>2.91</v>
      </c>
      <c r="BY67" s="647" cm="1">
        <f t="array" ref="BY67">IFERROR(INDEX(tblLaminateStructures[Structure Check],ROWS($BY$2:BY67)),"")</f>
        <v>51</v>
      </c>
      <c r="BZ67" s="648" cm="1">
        <f t="array" ref="BZ67">IFERROR(INDEX(tblLaminateStructures[Laminate],ROWS($BZ$2:BZ67)),"")</f>
        <v>918</v>
      </c>
      <c r="CA67" s="648"/>
      <c r="CB67" s="648"/>
      <c r="CC67" s="647" cm="1">
        <f t="array" ref="CC67">IFERROR(INDEX(tblLaminateStructures[Total Thickness (µ)],ROWS($CC$2:CC67)),"")</f>
        <v>51</v>
      </c>
      <c r="CD67" s="647"/>
      <c r="CE67" s="647"/>
      <c r="CF67" s="647"/>
      <c r="CG67" s="648"/>
      <c r="CH67" s="649"/>
    </row>
    <row r="68" spans="48:86">
      <c r="AV68" s="617">
        <v>918</v>
      </c>
      <c r="AW68" s="618">
        <v>51</v>
      </c>
      <c r="AX68" s="617" t="s">
        <v>196</v>
      </c>
      <c r="AY68" s="618">
        <v>0.09</v>
      </c>
      <c r="AZ68"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51</v>
      </c>
      <c r="BA68" s="617"/>
      <c r="BB68" s="617"/>
      <c r="BC68" s="617" t="s">
        <v>1090</v>
      </c>
      <c r="BD68" s="617"/>
      <c r="BF68" s="631"/>
      <c r="BG68" s="631"/>
      <c r="BH68" s="631"/>
      <c r="BI68" s="631"/>
      <c r="BJ68" s="631"/>
      <c r="BK68" s="631"/>
      <c r="BL68" s="631"/>
      <c r="BM68" s="631"/>
      <c r="BN68" s="631"/>
      <c r="BO68" s="631"/>
      <c r="BP68" s="631"/>
      <c r="BQ68" s="631"/>
      <c r="BR68" s="631"/>
      <c r="BS68" s="631"/>
      <c r="BT68" s="631"/>
      <c r="BU68" s="646" t="str" cm="1">
        <f t="array" ref="BU68">IFERROR(_xlfn.LET(_xlpm.i,ROWS($BU$2:BU68),_xlpm.cur,INDEX(tblLaminateStructures[Laminate],_xlpm.i),_xlpm.prev,IF(_xlpm.i=1,"",INDEX(tblLaminateStructures[Laminate],_xlpm.i-1)),IF(_xlpm.cur&lt;&gt;_xlpm.prev,_xlpm.cur,"")),"")</f>
        <v/>
      </c>
      <c r="BV68" s="647" t="str" cm="1">
        <f t="array" ref="BV68">IFERROR(_xlfn.LET(_xlpm.i,ROWS($BV$2:BV68),_xlpm.cur,INDEX(tblLaminateStructures[Total Thickness (µ)],_xlpm.i),_xlpm.prev,IF(_xlpm.i=1,"",INDEX(tblLaminateStructures[Total Thickness (µ)],_xlpm.i-1)),IF(OR(_xlpm.cur&lt;&gt;_xlpm.prev,BU68&lt;&gt;""),_xlpm.cur,"")),"")</f>
        <v/>
      </c>
      <c r="BW68" s="648" t="str" cm="1">
        <f t="array" ref="BW68">IFERROR(INDEX(tblLaminateStructures[Material / Layer],ROWS($BW$2:BW68)),"")</f>
        <v>RM G Basonat HW 2270</v>
      </c>
      <c r="BX68" s="647" cm="1">
        <f t="array" ref="BX68">IFERROR(INDEX(tblLaminateStructures[Layer Thickness (µ)],ROWS($BX$2:BX68)),"")</f>
        <v>0.09</v>
      </c>
      <c r="BY68" s="647" cm="1">
        <f t="array" ref="BY68">IFERROR(INDEX(tblLaminateStructures[Structure Check],ROWS($BY$2:BY68)),"")</f>
        <v>51</v>
      </c>
      <c r="BZ68" s="648" cm="1">
        <f t="array" ref="BZ68">IFERROR(INDEX(tblLaminateStructures[Laminate],ROWS($BZ$2:BZ68)),"")</f>
        <v>918</v>
      </c>
      <c r="CA68" s="648"/>
      <c r="CB68" s="648"/>
      <c r="CC68" s="647" cm="1">
        <f t="array" ref="CC68">IFERROR(INDEX(tblLaminateStructures[Total Thickness (µ)],ROWS($CC$2:CC68)),"")</f>
        <v>51</v>
      </c>
      <c r="CD68" s="647"/>
      <c r="CE68" s="647"/>
      <c r="CF68" s="647"/>
      <c r="CG68" s="648"/>
      <c r="CH68" s="649"/>
    </row>
    <row r="69" spans="48:86">
      <c r="AV69" s="617">
        <v>928</v>
      </c>
      <c r="AW69" s="618">
        <v>79</v>
      </c>
      <c r="AX69" s="617" t="s">
        <v>190</v>
      </c>
      <c r="AY69" s="618">
        <v>23</v>
      </c>
      <c r="AZ69"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54</v>
      </c>
      <c r="BA69" s="617"/>
      <c r="BB69" s="617"/>
      <c r="BC69" s="617" t="s">
        <v>1090</v>
      </c>
      <c r="BD69" s="617"/>
      <c r="BF69" s="631"/>
      <c r="BG69" s="631"/>
      <c r="BH69" s="631"/>
      <c r="BI69" s="631"/>
      <c r="BJ69" s="631"/>
      <c r="BK69" s="631"/>
      <c r="BL69" s="631"/>
      <c r="BM69" s="631"/>
      <c r="BN69" s="631"/>
      <c r="BO69" s="631"/>
      <c r="BP69" s="631"/>
      <c r="BQ69" s="631"/>
      <c r="BR69" s="631"/>
      <c r="BS69" s="631"/>
      <c r="BT69" s="631"/>
      <c r="BU69" s="646" cm="1">
        <f t="array" ref="BU69">IFERROR(_xlfn.LET(_xlpm.i,ROWS($BU$2:BU69),_xlpm.cur,INDEX(tblLaminateStructures[Laminate],_xlpm.i),_xlpm.prev,IF(_xlpm.i=1,"",INDEX(tblLaminateStructures[Laminate],_xlpm.i-1)),IF(_xlpm.cur&lt;&gt;_xlpm.prev,_xlpm.cur,"")),"")</f>
        <v>928</v>
      </c>
      <c r="BV69" s="647" cm="1">
        <f t="array" ref="BV69">IFERROR(_xlfn.LET(_xlpm.i,ROWS($BV$2:BV69),_xlpm.cur,INDEX(tblLaminateStructures[Total Thickness (µ)],_xlpm.i),_xlpm.prev,IF(_xlpm.i=1,"",INDEX(tblLaminateStructures[Total Thickness (µ)],_xlpm.i-1)),IF(OR(_xlpm.cur&lt;&gt;_xlpm.prev,BU69&lt;&gt;""),_xlpm.cur,"")),"")</f>
        <v>79</v>
      </c>
      <c r="BW69" s="648" t="str" cm="1">
        <f t="array" ref="BW69">IFERROR(INDEX(tblLaminateStructures[Material / Layer],ROWS($BW$2:BW69)),"")</f>
        <v>NK</v>
      </c>
      <c r="BX69" s="647" cm="1">
        <f t="array" ref="BX69">IFERROR(INDEX(tblLaminateStructures[Layer Thickness (µ)],ROWS($BX$2:BX69)),"")</f>
        <v>23</v>
      </c>
      <c r="BY69" s="647" cm="1">
        <f t="array" ref="BY69">IFERROR(INDEX(tblLaminateStructures[Structure Check],ROWS($BY$2:BY69)),"")</f>
        <v>54</v>
      </c>
      <c r="BZ69" s="648" cm="1">
        <f t="array" ref="BZ69">IFERROR(INDEX(tblLaminateStructures[Laminate],ROWS($BZ$2:BZ69)),"")</f>
        <v>928</v>
      </c>
      <c r="CA69" s="648"/>
      <c r="CB69" s="648"/>
      <c r="CC69" s="647" cm="1">
        <f t="array" ref="CC69">IFERROR(INDEX(tblLaminateStructures[Total Thickness (µ)],ROWS($CC$2:CC69)),"")</f>
        <v>79</v>
      </c>
      <c r="CD69" s="647"/>
      <c r="CE69" s="647"/>
      <c r="CF69" s="647"/>
      <c r="CG69" s="648"/>
      <c r="CH69" s="649"/>
    </row>
    <row r="70" spans="48:86">
      <c r="AV70" s="617">
        <v>928</v>
      </c>
      <c r="AW70" s="618">
        <v>79</v>
      </c>
      <c r="AX70" s="617" t="s">
        <v>202</v>
      </c>
      <c r="AY70" s="618">
        <v>25</v>
      </c>
      <c r="AZ70"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54</v>
      </c>
      <c r="BA70" s="617"/>
      <c r="BB70" s="617"/>
      <c r="BC70" s="617" t="s">
        <v>1090</v>
      </c>
      <c r="BD70" s="617"/>
      <c r="BF70" s="631"/>
      <c r="BG70" s="631"/>
      <c r="BH70" s="631"/>
      <c r="BI70" s="631"/>
      <c r="BJ70" s="631"/>
      <c r="BK70" s="631"/>
      <c r="BL70" s="631"/>
      <c r="BM70" s="631"/>
      <c r="BN70" s="631"/>
      <c r="BO70" s="631"/>
      <c r="BP70" s="631"/>
      <c r="BQ70" s="631"/>
      <c r="BR70" s="631"/>
      <c r="BS70" s="631"/>
      <c r="BT70" s="631"/>
      <c r="BU70" s="646" t="str" cm="1">
        <f t="array" ref="BU70">IFERROR(_xlfn.LET(_xlpm.i,ROWS($BU$2:BU70),_xlpm.cur,INDEX(tblLaminateStructures[Laminate],_xlpm.i),_xlpm.prev,IF(_xlpm.i=1,"",INDEX(tblLaminateStructures[Laminate],_xlpm.i-1)),IF(_xlpm.cur&lt;&gt;_xlpm.prev,_xlpm.cur,"")),"")</f>
        <v/>
      </c>
      <c r="BV70" s="647" t="str" cm="1">
        <f t="array" ref="BV70">IFERROR(_xlfn.LET(_xlpm.i,ROWS($BV$2:BV70),_xlpm.cur,INDEX(tblLaminateStructures[Total Thickness (µ)],_xlpm.i),_xlpm.prev,IF(_xlpm.i=1,"",INDEX(tblLaminateStructures[Total Thickness (µ)],_xlpm.i-1)),IF(OR(_xlpm.cur&lt;&gt;_xlpm.prev,BU70&lt;&gt;""),_xlpm.cur,"")),"")</f>
        <v/>
      </c>
      <c r="BW70" s="648" t="str" cm="1">
        <f t="array" ref="BW70">IFERROR(INDEX(tblLaminateStructures[Material / Layer],ROWS($BW$2:BW70)),"")</f>
        <v>TIPA 312 MET</v>
      </c>
      <c r="BX70" s="647" cm="1">
        <f t="array" ref="BX70">IFERROR(INDEX(tblLaminateStructures[Layer Thickness (µ)],ROWS($BX$2:BX70)),"")</f>
        <v>25</v>
      </c>
      <c r="BY70" s="647" cm="1">
        <f t="array" ref="BY70">IFERROR(INDEX(tblLaminateStructures[Structure Check],ROWS($BY$2:BY70)),"")</f>
        <v>54</v>
      </c>
      <c r="BZ70" s="648" cm="1">
        <f t="array" ref="BZ70">IFERROR(INDEX(tblLaminateStructures[Laminate],ROWS($BZ$2:BZ70)),"")</f>
        <v>928</v>
      </c>
      <c r="CA70" s="648"/>
      <c r="CB70" s="648"/>
      <c r="CC70" s="647" cm="1">
        <f t="array" ref="CC70">IFERROR(INDEX(tblLaminateStructures[Total Thickness (µ)],ROWS($CC$2:CC70)),"")</f>
        <v>79</v>
      </c>
      <c r="CD70" s="647"/>
      <c r="CE70" s="647"/>
      <c r="CF70" s="647"/>
      <c r="CG70" s="648"/>
      <c r="CH70" s="649"/>
    </row>
    <row r="71" spans="48:86">
      <c r="AV71" s="617">
        <v>928</v>
      </c>
      <c r="AW71" s="618">
        <v>79</v>
      </c>
      <c r="AX71" s="617" t="s">
        <v>195</v>
      </c>
      <c r="AY71" s="618">
        <v>5.82</v>
      </c>
      <c r="AZ71"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54</v>
      </c>
      <c r="BA71" s="617"/>
      <c r="BB71" s="617"/>
      <c r="BC71" s="617" t="s">
        <v>1090</v>
      </c>
      <c r="BD71" s="617"/>
      <c r="BF71" s="631"/>
      <c r="BG71" s="631"/>
      <c r="BH71" s="631"/>
      <c r="BI71" s="631"/>
      <c r="BJ71" s="631"/>
      <c r="BK71" s="631"/>
      <c r="BL71" s="631"/>
      <c r="BM71" s="631"/>
      <c r="BN71" s="631"/>
      <c r="BO71" s="631"/>
      <c r="BP71" s="631"/>
      <c r="BQ71" s="631"/>
      <c r="BR71" s="631"/>
      <c r="BS71" s="631"/>
      <c r="BT71" s="631"/>
      <c r="BU71" s="646" t="str" cm="1">
        <f t="array" ref="BU71">IFERROR(_xlfn.LET(_xlpm.i,ROWS($BU$2:BU71),_xlpm.cur,INDEX(tblLaminateStructures[Laminate],_xlpm.i),_xlpm.prev,IF(_xlpm.i=1,"",INDEX(tblLaminateStructures[Laminate],_xlpm.i-1)),IF(_xlpm.cur&lt;&gt;_xlpm.prev,_xlpm.cur,"")),"")</f>
        <v/>
      </c>
      <c r="BV71" s="647" t="str" cm="1">
        <f t="array" ref="BV71">IFERROR(_xlfn.LET(_xlpm.i,ROWS($BV$2:BV71),_xlpm.cur,INDEX(tblLaminateStructures[Total Thickness (µ)],_xlpm.i),_xlpm.prev,IF(_xlpm.i=1,"",INDEX(tblLaminateStructures[Total Thickness (µ)],_xlpm.i-1)),IF(OR(_xlpm.cur&lt;&gt;_xlpm.prev,BU71&lt;&gt;""),_xlpm.cur,"")),"")</f>
        <v/>
      </c>
      <c r="BW71" s="648" t="str" cm="1">
        <f t="array" ref="BW71">IFERROR(INDEX(tblLaminateStructures[Material / Layer],ROWS($BW$2:BW71)),"")</f>
        <v>RM G Epotal Eco 3702</v>
      </c>
      <c r="BX71" s="647" cm="1">
        <f t="array" ref="BX71">IFERROR(INDEX(tblLaminateStructures[Layer Thickness (µ)],ROWS($BX$2:BX71)),"")</f>
        <v>5.82</v>
      </c>
      <c r="BY71" s="647" cm="1">
        <f t="array" ref="BY71">IFERROR(INDEX(tblLaminateStructures[Structure Check],ROWS($BY$2:BY71)),"")</f>
        <v>54</v>
      </c>
      <c r="BZ71" s="648" cm="1">
        <f t="array" ref="BZ71">IFERROR(INDEX(tblLaminateStructures[Laminate],ROWS($BZ$2:BZ71)),"")</f>
        <v>928</v>
      </c>
      <c r="CA71" s="648"/>
      <c r="CB71" s="648"/>
      <c r="CC71" s="647" cm="1">
        <f t="array" ref="CC71">IFERROR(INDEX(tblLaminateStructures[Total Thickness (µ)],ROWS($CC$2:CC71)),"")</f>
        <v>79</v>
      </c>
      <c r="CD71" s="647"/>
      <c r="CE71" s="647"/>
      <c r="CF71" s="647"/>
      <c r="CG71" s="648"/>
      <c r="CH71" s="649"/>
    </row>
    <row r="72" spans="48:86">
      <c r="AV72" s="617">
        <v>928</v>
      </c>
      <c r="AW72" s="618">
        <v>79</v>
      </c>
      <c r="AX72" s="617" t="s">
        <v>196</v>
      </c>
      <c r="AY72" s="618">
        <v>0.18</v>
      </c>
      <c r="AZ72"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54</v>
      </c>
      <c r="BA72" s="617"/>
      <c r="BB72" s="617"/>
      <c r="BC72" s="617" t="s">
        <v>1090</v>
      </c>
      <c r="BD72" s="617"/>
      <c r="BF72" s="631"/>
      <c r="BG72" s="631"/>
      <c r="BH72" s="631"/>
      <c r="BI72" s="631"/>
      <c r="BJ72" s="631"/>
      <c r="BK72" s="631"/>
      <c r="BL72" s="631"/>
      <c r="BM72" s="631"/>
      <c r="BN72" s="631"/>
      <c r="BO72" s="631"/>
      <c r="BP72" s="631"/>
      <c r="BQ72" s="631"/>
      <c r="BR72" s="631"/>
      <c r="BS72" s="631"/>
      <c r="BT72" s="631"/>
      <c r="BU72" s="646" t="str" cm="1">
        <f t="array" ref="BU72">IFERROR(_xlfn.LET(_xlpm.i,ROWS($BU$2:BU72),_xlpm.cur,INDEX(tblLaminateStructures[Laminate],_xlpm.i),_xlpm.prev,IF(_xlpm.i=1,"",INDEX(tblLaminateStructures[Laminate],_xlpm.i-1)),IF(_xlpm.cur&lt;&gt;_xlpm.prev,_xlpm.cur,"")),"")</f>
        <v/>
      </c>
      <c r="BV72" s="647" t="str" cm="1">
        <f t="array" ref="BV72">IFERROR(_xlfn.LET(_xlpm.i,ROWS($BV$2:BV72),_xlpm.cur,INDEX(tblLaminateStructures[Total Thickness (µ)],_xlpm.i),_xlpm.prev,IF(_xlpm.i=1,"",INDEX(tblLaminateStructures[Total Thickness (µ)],_xlpm.i-1)),IF(OR(_xlpm.cur&lt;&gt;_xlpm.prev,BU72&lt;&gt;""),_xlpm.cur,"")),"")</f>
        <v/>
      </c>
      <c r="BW72" s="648" t="str" cm="1">
        <f t="array" ref="BW72">IFERROR(INDEX(tblLaminateStructures[Material / Layer],ROWS($BW$2:BW72)),"")</f>
        <v>RM G Basonat HW 2270</v>
      </c>
      <c r="BX72" s="647" cm="1">
        <f t="array" ref="BX72">IFERROR(INDEX(tblLaminateStructures[Layer Thickness (µ)],ROWS($BX$2:BX72)),"")</f>
        <v>0.18</v>
      </c>
      <c r="BY72" s="647" cm="1">
        <f t="array" ref="BY72">IFERROR(INDEX(tblLaminateStructures[Structure Check],ROWS($BY$2:BY72)),"")</f>
        <v>54</v>
      </c>
      <c r="BZ72" s="648" cm="1">
        <f t="array" ref="BZ72">IFERROR(INDEX(tblLaminateStructures[Laminate],ROWS($BZ$2:BZ72)),"")</f>
        <v>928</v>
      </c>
      <c r="CA72" s="648"/>
      <c r="CB72" s="648"/>
      <c r="CC72" s="647" cm="1">
        <f t="array" ref="CC72">IFERROR(INDEX(tblLaminateStructures[Total Thickness (µ)],ROWS($CC$2:CC72)),"")</f>
        <v>79</v>
      </c>
      <c r="CD72" s="647"/>
      <c r="CE72" s="647"/>
      <c r="CF72" s="647"/>
      <c r="CG72" s="648"/>
      <c r="CH72" s="649"/>
    </row>
    <row r="73" spans="48:86">
      <c r="AV73" s="617">
        <v>819</v>
      </c>
      <c r="AW73" s="618">
        <v>121</v>
      </c>
      <c r="AX73" s="617" t="s">
        <v>190</v>
      </c>
      <c r="AY73" s="618">
        <v>23</v>
      </c>
      <c r="AZ73"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73" s="617"/>
      <c r="BB73" s="617"/>
      <c r="BC73" s="617" t="s">
        <v>1090</v>
      </c>
      <c r="BD73" s="617"/>
      <c r="BF73" s="631"/>
      <c r="BG73" s="631"/>
      <c r="BH73" s="631"/>
      <c r="BI73" s="631"/>
      <c r="BJ73" s="631"/>
      <c r="BK73" s="631"/>
      <c r="BL73" s="631"/>
      <c r="BM73" s="631"/>
      <c r="BN73" s="631"/>
      <c r="BO73" s="631"/>
      <c r="BP73" s="631"/>
      <c r="BQ73" s="631"/>
      <c r="BR73" s="631"/>
      <c r="BS73" s="631"/>
      <c r="BT73" s="631"/>
      <c r="BU73" s="646" cm="1">
        <f t="array" ref="BU73">IFERROR(_xlfn.LET(_xlpm.i,ROWS($BU$2:BU73),_xlpm.cur,INDEX(tblLaminateStructures[Laminate],_xlpm.i),_xlpm.prev,IF(_xlpm.i=1,"",INDEX(tblLaminateStructures[Laminate],_xlpm.i-1)),IF(_xlpm.cur&lt;&gt;_xlpm.prev,_xlpm.cur,"")),"")</f>
        <v>819</v>
      </c>
      <c r="BV73" s="647" cm="1">
        <f t="array" ref="BV73">IFERROR(_xlfn.LET(_xlpm.i,ROWS($BV$2:BV73),_xlpm.cur,INDEX(tblLaminateStructures[Total Thickness (µ)],_xlpm.i),_xlpm.prev,IF(_xlpm.i=1,"",INDEX(tblLaminateStructures[Total Thickness (µ)],_xlpm.i-1)),IF(OR(_xlpm.cur&lt;&gt;_xlpm.prev,BU73&lt;&gt;""),_xlpm.cur,"")),"")</f>
        <v>121</v>
      </c>
      <c r="BW73" s="648" t="str" cm="1">
        <f t="array" ref="BW73">IFERROR(INDEX(tblLaminateStructures[Material / Layer],ROWS($BW$2:BW73)),"")</f>
        <v>NK</v>
      </c>
      <c r="BX73" s="647" cm="1">
        <f t="array" ref="BX73">IFERROR(INDEX(tblLaminateStructures[Layer Thickness (µ)],ROWS($BX$2:BX73)),"")</f>
        <v>23</v>
      </c>
      <c r="BY73" s="647" cm="1">
        <f t="array" ref="BY73">IFERROR(INDEX(tblLaminateStructures[Structure Check],ROWS($BY$2:BY73)),"")</f>
        <v>121</v>
      </c>
      <c r="BZ73" s="648" cm="1">
        <f t="array" ref="BZ73">IFERROR(INDEX(tblLaminateStructures[Laminate],ROWS($BZ$2:BZ73)),"")</f>
        <v>819</v>
      </c>
      <c r="CA73" s="648"/>
      <c r="CB73" s="648"/>
      <c r="CC73" s="647" cm="1">
        <f t="array" ref="CC73">IFERROR(INDEX(tblLaminateStructures[Total Thickness (µ)],ROWS($CC$2:CC73)),"")</f>
        <v>121</v>
      </c>
      <c r="CD73" s="647"/>
      <c r="CE73" s="647"/>
      <c r="CF73" s="647"/>
      <c r="CG73" s="648"/>
      <c r="CH73" s="649"/>
    </row>
    <row r="74" spans="48:86">
      <c r="AV74" s="617">
        <v>819</v>
      </c>
      <c r="AW74" s="618">
        <v>121</v>
      </c>
      <c r="AX74" s="617" t="s">
        <v>0</v>
      </c>
      <c r="AY74" s="618">
        <v>25</v>
      </c>
      <c r="AZ74"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74" s="617"/>
      <c r="BB74" s="617"/>
      <c r="BC74" s="617" t="s">
        <v>1090</v>
      </c>
      <c r="BD74" s="617"/>
      <c r="BF74" s="631"/>
      <c r="BG74" s="631"/>
      <c r="BH74" s="631"/>
      <c r="BI74" s="631"/>
      <c r="BJ74" s="631"/>
      <c r="BK74" s="631"/>
      <c r="BL74" s="631"/>
      <c r="BM74" s="631"/>
      <c r="BN74" s="631"/>
      <c r="BO74" s="631"/>
      <c r="BP74" s="631"/>
      <c r="BQ74" s="631"/>
      <c r="BR74" s="631"/>
      <c r="BS74" s="631"/>
      <c r="BT74" s="631"/>
      <c r="BU74" s="646" t="str" cm="1">
        <f t="array" ref="BU74">IFERROR(_xlfn.LET(_xlpm.i,ROWS($BU$2:BU74),_xlpm.cur,INDEX(tblLaminateStructures[Laminate],_xlpm.i),_xlpm.prev,IF(_xlpm.i=1,"",INDEX(tblLaminateStructures[Laminate],_xlpm.i-1)),IF(_xlpm.cur&lt;&gt;_xlpm.prev,_xlpm.cur,"")),"")</f>
        <v/>
      </c>
      <c r="BV74" s="647" t="str" cm="1">
        <f t="array" ref="BV74">IFERROR(_xlfn.LET(_xlpm.i,ROWS($BV$2:BV74),_xlpm.cur,INDEX(tblLaminateStructures[Total Thickness (µ)],_xlpm.i),_xlpm.prev,IF(_xlpm.i=1,"",INDEX(tblLaminateStructures[Total Thickness (µ)],_xlpm.i-1)),IF(OR(_xlpm.cur&lt;&gt;_xlpm.prev,BU74&lt;&gt;""),_xlpm.cur,"")),"")</f>
        <v/>
      </c>
      <c r="BW74" s="648" t="str" cm="1">
        <f t="array" ref="BW74">IFERROR(INDEX(tblLaminateStructures[Material / Layer],ROWS($BW$2:BW74)),"")</f>
        <v>TIPA 302FG</v>
      </c>
      <c r="BX74" s="647" cm="1">
        <f t="array" ref="BX74">IFERROR(INDEX(tblLaminateStructures[Layer Thickness (µ)],ROWS($BX$2:BX74)),"")</f>
        <v>25</v>
      </c>
      <c r="BY74" s="647" cm="1">
        <f t="array" ref="BY74">IFERROR(INDEX(tblLaminateStructures[Structure Check],ROWS($BY$2:BY74)),"")</f>
        <v>121</v>
      </c>
      <c r="BZ74" s="648" cm="1">
        <f t="array" ref="BZ74">IFERROR(INDEX(tblLaminateStructures[Laminate],ROWS($BZ$2:BZ74)),"")</f>
        <v>819</v>
      </c>
      <c r="CA74" s="648"/>
      <c r="CB74" s="648"/>
      <c r="CC74" s="647" cm="1">
        <f t="array" ref="CC74">IFERROR(INDEX(tblLaminateStructures[Total Thickness (µ)],ROWS($CC$2:CC74)),"")</f>
        <v>121</v>
      </c>
      <c r="CD74" s="647"/>
      <c r="CE74" s="647"/>
      <c r="CF74" s="647"/>
      <c r="CG74" s="648"/>
      <c r="CH74" s="649"/>
    </row>
    <row r="75" spans="48:86">
      <c r="AV75" s="617">
        <v>819</v>
      </c>
      <c r="AW75" s="618">
        <v>121</v>
      </c>
      <c r="AX75" s="617" t="s">
        <v>203</v>
      </c>
      <c r="AY75" s="618">
        <v>67</v>
      </c>
      <c r="AZ75"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75" s="617"/>
      <c r="BB75" s="617"/>
      <c r="BC75" s="617" t="s">
        <v>1090</v>
      </c>
      <c r="BD75" s="617"/>
      <c r="BF75" s="631"/>
      <c r="BG75" s="631"/>
      <c r="BH75" s="631"/>
      <c r="BI75" s="631"/>
      <c r="BJ75" s="631"/>
      <c r="BK75" s="631"/>
      <c r="BL75" s="631"/>
      <c r="BM75" s="631"/>
      <c r="BN75" s="631"/>
      <c r="BO75" s="631"/>
      <c r="BP75" s="631"/>
      <c r="BQ75" s="631"/>
      <c r="BR75" s="631"/>
      <c r="BS75" s="631"/>
      <c r="BT75" s="631"/>
      <c r="BU75" s="646" t="str" cm="1">
        <f t="array" ref="BU75">IFERROR(_xlfn.LET(_xlpm.i,ROWS($BU$2:BU75),_xlpm.cur,INDEX(tblLaminateStructures[Laminate],_xlpm.i),_xlpm.prev,IF(_xlpm.i=1,"",INDEX(tblLaminateStructures[Laminate],_xlpm.i-1)),IF(_xlpm.cur&lt;&gt;_xlpm.prev,_xlpm.cur,"")),"")</f>
        <v/>
      </c>
      <c r="BV75" s="647" t="str" cm="1">
        <f t="array" ref="BV75">IFERROR(_xlfn.LET(_xlpm.i,ROWS($BV$2:BV75),_xlpm.cur,INDEX(tblLaminateStructures[Total Thickness (µ)],_xlpm.i),_xlpm.prev,IF(_xlpm.i=1,"",INDEX(tblLaminateStructures[Total Thickness (µ)],_xlpm.i-1)),IF(OR(_xlpm.cur&lt;&gt;_xlpm.prev,BU75&lt;&gt;""),_xlpm.cur,"")),"")</f>
        <v/>
      </c>
      <c r="BW75" s="648" t="str" cm="1">
        <f t="array" ref="BW75">IFERROR(INDEX(tblLaminateStructures[Material / Layer],ROWS($BW$2:BW75)),"")</f>
        <v>Billerud Kraft White Paper</v>
      </c>
      <c r="BX75" s="647" cm="1">
        <f t="array" ref="BX75">IFERROR(INDEX(tblLaminateStructures[Layer Thickness (µ)],ROWS($BX$2:BX75)),"")</f>
        <v>67</v>
      </c>
      <c r="BY75" s="647" cm="1">
        <f t="array" ref="BY75">IFERROR(INDEX(tblLaminateStructures[Structure Check],ROWS($BY$2:BY75)),"")</f>
        <v>121</v>
      </c>
      <c r="BZ75" s="648" cm="1">
        <f t="array" ref="BZ75">IFERROR(INDEX(tblLaminateStructures[Laminate],ROWS($BZ$2:BZ75)),"")</f>
        <v>819</v>
      </c>
      <c r="CA75" s="648"/>
      <c r="CB75" s="648"/>
      <c r="CC75" s="647" cm="1">
        <f t="array" ref="CC75">IFERROR(INDEX(tblLaminateStructures[Total Thickness (µ)],ROWS($CC$2:CC75)),"")</f>
        <v>121</v>
      </c>
      <c r="CD75" s="647"/>
      <c r="CE75" s="647"/>
      <c r="CF75" s="647"/>
      <c r="CG75" s="648"/>
      <c r="CH75" s="649"/>
    </row>
    <row r="76" spans="48:86">
      <c r="AV76" s="617">
        <v>819</v>
      </c>
      <c r="AW76" s="618">
        <v>121</v>
      </c>
      <c r="AX76" s="617" t="s">
        <v>199</v>
      </c>
      <c r="AY76" s="618">
        <v>6</v>
      </c>
      <c r="AZ76"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76" s="617"/>
      <c r="BB76" s="617"/>
      <c r="BC76" s="617" t="s">
        <v>1090</v>
      </c>
      <c r="BD76" s="617"/>
      <c r="BF76" s="631"/>
      <c r="BG76" s="631"/>
      <c r="BH76" s="631"/>
      <c r="BI76" s="631"/>
      <c r="BJ76" s="631"/>
      <c r="BK76" s="631"/>
      <c r="BL76" s="631"/>
      <c r="BM76" s="631"/>
      <c r="BN76" s="631"/>
      <c r="BO76" s="631"/>
      <c r="BP76" s="631"/>
      <c r="BQ76" s="631"/>
      <c r="BR76" s="631"/>
      <c r="BS76" s="631"/>
      <c r="BT76" s="631"/>
      <c r="BU76" s="646" t="str" cm="1">
        <f t="array" ref="BU76">IFERROR(_xlfn.LET(_xlpm.i,ROWS($BU$2:BU76),_xlpm.cur,INDEX(tblLaminateStructures[Laminate],_xlpm.i),_xlpm.prev,IF(_xlpm.i=1,"",INDEX(tblLaminateStructures[Laminate],_xlpm.i-1)),IF(_xlpm.cur&lt;&gt;_xlpm.prev,_xlpm.cur,"")),"")</f>
        <v/>
      </c>
      <c r="BV76" s="647" t="str" cm="1">
        <f t="array" ref="BV76">IFERROR(_xlfn.LET(_xlpm.i,ROWS($BV$2:BV76),_xlpm.cur,INDEX(tblLaminateStructures[Total Thickness (µ)],_xlpm.i),_xlpm.prev,IF(_xlpm.i=1,"",INDEX(tblLaminateStructures[Total Thickness (µ)],_xlpm.i-1)),IF(OR(_xlpm.cur&lt;&gt;_xlpm.prev,BU76&lt;&gt;""),_xlpm.cur,"")),"")</f>
        <v/>
      </c>
      <c r="BW76" s="648" t="str" cm="1">
        <f t="array" ref="BW76">IFERROR(INDEX(tblLaminateStructures[Material / Layer],ROWS($BW$2:BW76)),"")</f>
        <v>RM G Epotal ECO 3675</v>
      </c>
      <c r="BX76" s="647" cm="1">
        <f t="array" ref="BX76">IFERROR(INDEX(tblLaminateStructures[Layer Thickness (µ)],ROWS($BX$2:BX76)),"")</f>
        <v>6</v>
      </c>
      <c r="BY76" s="647" cm="1">
        <f t="array" ref="BY76">IFERROR(INDEX(tblLaminateStructures[Structure Check],ROWS($BY$2:BY76)),"")</f>
        <v>121</v>
      </c>
      <c r="BZ76" s="648" cm="1">
        <f t="array" ref="BZ76">IFERROR(INDEX(tblLaminateStructures[Laminate],ROWS($BZ$2:BZ76)),"")</f>
        <v>819</v>
      </c>
      <c r="CA76" s="648"/>
      <c r="CB76" s="648"/>
      <c r="CC76" s="647" cm="1">
        <f t="array" ref="CC76">IFERROR(INDEX(tblLaminateStructures[Total Thickness (µ)],ROWS($CC$2:CC76)),"")</f>
        <v>121</v>
      </c>
      <c r="CD76" s="647"/>
      <c r="CE76" s="647"/>
      <c r="CF76" s="647"/>
      <c r="CG76" s="648"/>
      <c r="CH76" s="649"/>
    </row>
    <row r="77" spans="48:86">
      <c r="AV77" s="617">
        <v>919</v>
      </c>
      <c r="AW77" s="618">
        <v>121</v>
      </c>
      <c r="AX77" s="617" t="s">
        <v>190</v>
      </c>
      <c r="AY77" s="618">
        <v>23</v>
      </c>
      <c r="AZ77"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77" s="617"/>
      <c r="BB77" s="617"/>
      <c r="BC77" s="617" t="s">
        <v>1090</v>
      </c>
      <c r="BD77" s="617"/>
      <c r="BF77" s="631"/>
      <c r="BG77" s="631"/>
      <c r="BH77" s="631"/>
      <c r="BI77" s="631"/>
      <c r="BJ77" s="631"/>
      <c r="BK77" s="631"/>
      <c r="BL77" s="631"/>
      <c r="BM77" s="631"/>
      <c r="BN77" s="631"/>
      <c r="BO77" s="631"/>
      <c r="BP77" s="631"/>
      <c r="BQ77" s="631"/>
      <c r="BR77" s="631"/>
      <c r="BS77" s="631"/>
      <c r="BT77" s="631"/>
      <c r="BU77" s="646" cm="1">
        <f t="array" ref="BU77">IFERROR(_xlfn.LET(_xlpm.i,ROWS($BU$2:BU77),_xlpm.cur,INDEX(tblLaminateStructures[Laminate],_xlpm.i),_xlpm.prev,IF(_xlpm.i=1,"",INDEX(tblLaminateStructures[Laminate],_xlpm.i-1)),IF(_xlpm.cur&lt;&gt;_xlpm.prev,_xlpm.cur,"")),"")</f>
        <v>919</v>
      </c>
      <c r="BV77" s="647" cm="1">
        <f t="array" ref="BV77">IFERROR(_xlfn.LET(_xlpm.i,ROWS($BV$2:BV77),_xlpm.cur,INDEX(tblLaminateStructures[Total Thickness (µ)],_xlpm.i),_xlpm.prev,IF(_xlpm.i=1,"",INDEX(tblLaminateStructures[Total Thickness (µ)],_xlpm.i-1)),IF(OR(_xlpm.cur&lt;&gt;_xlpm.prev,BU77&lt;&gt;""),_xlpm.cur,"")),"")</f>
        <v>121</v>
      </c>
      <c r="BW77" s="648" t="str" cm="1">
        <f t="array" ref="BW77">IFERROR(INDEX(tblLaminateStructures[Material / Layer],ROWS($BW$2:BW77)),"")</f>
        <v>NK</v>
      </c>
      <c r="BX77" s="647" cm="1">
        <f t="array" ref="BX77">IFERROR(INDEX(tblLaminateStructures[Layer Thickness (µ)],ROWS($BX$2:BX77)),"")</f>
        <v>23</v>
      </c>
      <c r="BY77" s="647" cm="1">
        <f t="array" ref="BY77">IFERROR(INDEX(tblLaminateStructures[Structure Check],ROWS($BY$2:BY77)),"")</f>
        <v>121</v>
      </c>
      <c r="BZ77" s="648" cm="1">
        <f t="array" ref="BZ77">IFERROR(INDEX(tblLaminateStructures[Laminate],ROWS($BZ$2:BZ77)),"")</f>
        <v>919</v>
      </c>
      <c r="CA77" s="648"/>
      <c r="CB77" s="648"/>
      <c r="CC77" s="647" cm="1">
        <f t="array" ref="CC77">IFERROR(INDEX(tblLaminateStructures[Total Thickness (µ)],ROWS($CC$2:CC77)),"")</f>
        <v>121</v>
      </c>
      <c r="CD77" s="647"/>
      <c r="CE77" s="647"/>
      <c r="CF77" s="647"/>
      <c r="CG77" s="648"/>
      <c r="CH77" s="649"/>
    </row>
    <row r="78" spans="48:86">
      <c r="AV78" s="617">
        <v>919</v>
      </c>
      <c r="AW78" s="618">
        <v>121</v>
      </c>
      <c r="AX78" s="617" t="s">
        <v>0</v>
      </c>
      <c r="AY78" s="618">
        <v>25</v>
      </c>
      <c r="AZ78"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78" s="617"/>
      <c r="BB78" s="617"/>
      <c r="BC78" s="617" t="s">
        <v>1090</v>
      </c>
      <c r="BD78" s="617"/>
      <c r="BF78" s="631"/>
      <c r="BG78" s="631"/>
      <c r="BH78" s="631"/>
      <c r="BI78" s="631"/>
      <c r="BJ78" s="631"/>
      <c r="BK78" s="631"/>
      <c r="BL78" s="631"/>
      <c r="BM78" s="631"/>
      <c r="BN78" s="631"/>
      <c r="BO78" s="631"/>
      <c r="BP78" s="631"/>
      <c r="BQ78" s="631"/>
      <c r="BR78" s="631"/>
      <c r="BS78" s="631"/>
      <c r="BT78" s="631"/>
      <c r="BU78" s="646" t="str" cm="1">
        <f t="array" ref="BU78">IFERROR(_xlfn.LET(_xlpm.i,ROWS($BU$2:BU78),_xlpm.cur,INDEX(tblLaminateStructures[Laminate],_xlpm.i),_xlpm.prev,IF(_xlpm.i=1,"",INDEX(tblLaminateStructures[Laminate],_xlpm.i-1)),IF(_xlpm.cur&lt;&gt;_xlpm.prev,_xlpm.cur,"")),"")</f>
        <v/>
      </c>
      <c r="BV78" s="647" t="str" cm="1">
        <f t="array" ref="BV78">IFERROR(_xlfn.LET(_xlpm.i,ROWS($BV$2:BV78),_xlpm.cur,INDEX(tblLaminateStructures[Total Thickness (µ)],_xlpm.i),_xlpm.prev,IF(_xlpm.i=1,"",INDEX(tblLaminateStructures[Total Thickness (µ)],_xlpm.i-1)),IF(OR(_xlpm.cur&lt;&gt;_xlpm.prev,BU78&lt;&gt;""),_xlpm.cur,"")),"")</f>
        <v/>
      </c>
      <c r="BW78" s="648" t="str" cm="1">
        <f t="array" ref="BW78">IFERROR(INDEX(tblLaminateStructures[Material / Layer],ROWS($BW$2:BW78)),"")</f>
        <v>TIPA 302FG</v>
      </c>
      <c r="BX78" s="647" cm="1">
        <f t="array" ref="BX78">IFERROR(INDEX(tblLaminateStructures[Layer Thickness (µ)],ROWS($BX$2:BX78)),"")</f>
        <v>25</v>
      </c>
      <c r="BY78" s="647" cm="1">
        <f t="array" ref="BY78">IFERROR(INDEX(tblLaminateStructures[Structure Check],ROWS($BY$2:BY78)),"")</f>
        <v>121</v>
      </c>
      <c r="BZ78" s="648" cm="1">
        <f t="array" ref="BZ78">IFERROR(INDEX(tblLaminateStructures[Laminate],ROWS($BZ$2:BZ78)),"")</f>
        <v>919</v>
      </c>
      <c r="CA78" s="648"/>
      <c r="CB78" s="648"/>
      <c r="CC78" s="647" cm="1">
        <f t="array" ref="CC78">IFERROR(INDEX(tblLaminateStructures[Total Thickness (µ)],ROWS($CC$2:CC78)),"")</f>
        <v>121</v>
      </c>
      <c r="CD78" s="647"/>
      <c r="CE78" s="647"/>
      <c r="CF78" s="647"/>
      <c r="CG78" s="648"/>
      <c r="CH78" s="649"/>
    </row>
    <row r="79" spans="48:86">
      <c r="AV79" s="617">
        <v>919</v>
      </c>
      <c r="AW79" s="618">
        <v>121</v>
      </c>
      <c r="AX79" s="617" t="s">
        <v>203</v>
      </c>
      <c r="AY79" s="618">
        <v>67</v>
      </c>
      <c r="AZ79"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79" s="617"/>
      <c r="BB79" s="617"/>
      <c r="BC79" s="617" t="s">
        <v>1090</v>
      </c>
      <c r="BD79" s="617"/>
      <c r="BF79" s="631"/>
      <c r="BG79" s="631"/>
      <c r="BH79" s="631"/>
      <c r="BI79" s="631"/>
      <c r="BJ79" s="631"/>
      <c r="BK79" s="631"/>
      <c r="BL79" s="631"/>
      <c r="BM79" s="631"/>
      <c r="BN79" s="631"/>
      <c r="BO79" s="631"/>
      <c r="BP79" s="631"/>
      <c r="BQ79" s="631"/>
      <c r="BR79" s="631"/>
      <c r="BS79" s="631"/>
      <c r="BT79" s="631"/>
      <c r="BU79" s="646" t="str" cm="1">
        <f t="array" ref="BU79">IFERROR(_xlfn.LET(_xlpm.i,ROWS($BU$2:BU79),_xlpm.cur,INDEX(tblLaminateStructures[Laminate],_xlpm.i),_xlpm.prev,IF(_xlpm.i=1,"",INDEX(tblLaminateStructures[Laminate],_xlpm.i-1)),IF(_xlpm.cur&lt;&gt;_xlpm.prev,_xlpm.cur,"")),"")</f>
        <v/>
      </c>
      <c r="BV79" s="647" t="str" cm="1">
        <f t="array" ref="BV79">IFERROR(_xlfn.LET(_xlpm.i,ROWS($BV$2:BV79),_xlpm.cur,INDEX(tblLaminateStructures[Total Thickness (µ)],_xlpm.i),_xlpm.prev,IF(_xlpm.i=1,"",INDEX(tblLaminateStructures[Total Thickness (µ)],_xlpm.i-1)),IF(OR(_xlpm.cur&lt;&gt;_xlpm.prev,BU79&lt;&gt;""),_xlpm.cur,"")),"")</f>
        <v/>
      </c>
      <c r="BW79" s="648" t="str" cm="1">
        <f t="array" ref="BW79">IFERROR(INDEX(tblLaminateStructures[Material / Layer],ROWS($BW$2:BW79)),"")</f>
        <v>Billerud Kraft White Paper</v>
      </c>
      <c r="BX79" s="647" cm="1">
        <f t="array" ref="BX79">IFERROR(INDEX(tblLaminateStructures[Layer Thickness (µ)],ROWS($BX$2:BX79)),"")</f>
        <v>67</v>
      </c>
      <c r="BY79" s="647" cm="1">
        <f t="array" ref="BY79">IFERROR(INDEX(tblLaminateStructures[Structure Check],ROWS($BY$2:BY79)),"")</f>
        <v>121</v>
      </c>
      <c r="BZ79" s="648" cm="1">
        <f t="array" ref="BZ79">IFERROR(INDEX(tblLaminateStructures[Laminate],ROWS($BZ$2:BZ79)),"")</f>
        <v>919</v>
      </c>
      <c r="CA79" s="648"/>
      <c r="CB79" s="648"/>
      <c r="CC79" s="647" cm="1">
        <f t="array" ref="CC79">IFERROR(INDEX(tblLaminateStructures[Total Thickness (µ)],ROWS($CC$2:CC79)),"")</f>
        <v>121</v>
      </c>
      <c r="CD79" s="647"/>
      <c r="CE79" s="647"/>
      <c r="CF79" s="647"/>
      <c r="CG79" s="648"/>
      <c r="CH79" s="649"/>
    </row>
    <row r="80" spans="48:86">
      <c r="AV80" s="617">
        <v>919</v>
      </c>
      <c r="AW80" s="618">
        <v>121</v>
      </c>
      <c r="AX80" s="617" t="s">
        <v>195</v>
      </c>
      <c r="AY80" s="618">
        <v>5.82</v>
      </c>
      <c r="AZ80"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80" s="617"/>
      <c r="BB80" s="617"/>
      <c r="BC80" s="617" t="s">
        <v>1090</v>
      </c>
      <c r="BD80" s="617"/>
      <c r="BF80" s="631"/>
      <c r="BG80" s="631"/>
      <c r="BH80" s="631"/>
      <c r="BI80" s="631"/>
      <c r="BJ80" s="631"/>
      <c r="BK80" s="631"/>
      <c r="BL80" s="631"/>
      <c r="BM80" s="631"/>
      <c r="BN80" s="631"/>
      <c r="BO80" s="631"/>
      <c r="BP80" s="631"/>
      <c r="BQ80" s="631"/>
      <c r="BR80" s="631"/>
      <c r="BS80" s="631"/>
      <c r="BT80" s="631"/>
      <c r="BU80" s="646" t="str" cm="1">
        <f t="array" ref="BU80">IFERROR(_xlfn.LET(_xlpm.i,ROWS($BU$2:BU80),_xlpm.cur,INDEX(tblLaminateStructures[Laminate],_xlpm.i),_xlpm.prev,IF(_xlpm.i=1,"",INDEX(tblLaminateStructures[Laminate],_xlpm.i-1)),IF(_xlpm.cur&lt;&gt;_xlpm.prev,_xlpm.cur,"")),"")</f>
        <v/>
      </c>
      <c r="BV80" s="647" t="str" cm="1">
        <f t="array" ref="BV80">IFERROR(_xlfn.LET(_xlpm.i,ROWS($BV$2:BV80),_xlpm.cur,INDEX(tblLaminateStructures[Total Thickness (µ)],_xlpm.i),_xlpm.prev,IF(_xlpm.i=1,"",INDEX(tblLaminateStructures[Total Thickness (µ)],_xlpm.i-1)),IF(OR(_xlpm.cur&lt;&gt;_xlpm.prev,BU80&lt;&gt;""),_xlpm.cur,"")),"")</f>
        <v/>
      </c>
      <c r="BW80" s="648" t="str" cm="1">
        <f t="array" ref="BW80">IFERROR(INDEX(tblLaminateStructures[Material / Layer],ROWS($BW$2:BW80)),"")</f>
        <v>RM G Epotal Eco 3702</v>
      </c>
      <c r="BX80" s="647" cm="1">
        <f t="array" ref="BX80">IFERROR(INDEX(tblLaminateStructures[Layer Thickness (µ)],ROWS($BX$2:BX80)),"")</f>
        <v>5.82</v>
      </c>
      <c r="BY80" s="647" cm="1">
        <f t="array" ref="BY80">IFERROR(INDEX(tblLaminateStructures[Structure Check],ROWS($BY$2:BY80)),"")</f>
        <v>121</v>
      </c>
      <c r="BZ80" s="648" cm="1">
        <f t="array" ref="BZ80">IFERROR(INDEX(tblLaminateStructures[Laminate],ROWS($BZ$2:BZ80)),"")</f>
        <v>919</v>
      </c>
      <c r="CA80" s="648"/>
      <c r="CB80" s="648"/>
      <c r="CC80" s="647" cm="1">
        <f t="array" ref="CC80">IFERROR(INDEX(tblLaminateStructures[Total Thickness (µ)],ROWS($CC$2:CC80)),"")</f>
        <v>121</v>
      </c>
      <c r="CD80" s="647"/>
      <c r="CE80" s="647"/>
      <c r="CF80" s="647"/>
      <c r="CG80" s="648"/>
      <c r="CH80" s="649"/>
    </row>
    <row r="81" spans="48:86">
      <c r="AV81" s="617">
        <v>919</v>
      </c>
      <c r="AW81" s="618">
        <v>121</v>
      </c>
      <c r="AX81" s="617" t="s">
        <v>196</v>
      </c>
      <c r="AY81" s="618">
        <v>0.18</v>
      </c>
      <c r="AZ81"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81" s="617"/>
      <c r="BB81" s="617"/>
      <c r="BC81" s="617" t="s">
        <v>1090</v>
      </c>
      <c r="BD81" s="617"/>
      <c r="BF81" s="631"/>
      <c r="BG81" s="631"/>
      <c r="BH81" s="631"/>
      <c r="BI81" s="631"/>
      <c r="BJ81" s="631"/>
      <c r="BK81" s="631"/>
      <c r="BL81" s="631"/>
      <c r="BM81" s="631"/>
      <c r="BN81" s="631"/>
      <c r="BO81" s="631"/>
      <c r="BP81" s="631"/>
      <c r="BQ81" s="631"/>
      <c r="BR81" s="631"/>
      <c r="BS81" s="631"/>
      <c r="BT81" s="631"/>
      <c r="BU81" s="646" t="str" cm="1">
        <f t="array" ref="BU81">IFERROR(_xlfn.LET(_xlpm.i,ROWS($BU$2:BU81),_xlpm.cur,INDEX(tblLaminateStructures[Laminate],_xlpm.i),_xlpm.prev,IF(_xlpm.i=1,"",INDEX(tblLaminateStructures[Laminate],_xlpm.i-1)),IF(_xlpm.cur&lt;&gt;_xlpm.prev,_xlpm.cur,"")),"")</f>
        <v/>
      </c>
      <c r="BV81" s="647" t="str" cm="1">
        <f t="array" ref="BV81">IFERROR(_xlfn.LET(_xlpm.i,ROWS($BV$2:BV81),_xlpm.cur,INDEX(tblLaminateStructures[Total Thickness (µ)],_xlpm.i),_xlpm.prev,IF(_xlpm.i=1,"",INDEX(tblLaminateStructures[Total Thickness (µ)],_xlpm.i-1)),IF(OR(_xlpm.cur&lt;&gt;_xlpm.prev,BU81&lt;&gt;""),_xlpm.cur,"")),"")</f>
        <v/>
      </c>
      <c r="BW81" s="648" t="str" cm="1">
        <f t="array" ref="BW81">IFERROR(INDEX(tblLaminateStructures[Material / Layer],ROWS($BW$2:BW81)),"")</f>
        <v>RM G Basonat HW 2270</v>
      </c>
      <c r="BX81" s="647" cm="1">
        <f t="array" ref="BX81">IFERROR(INDEX(tblLaminateStructures[Layer Thickness (µ)],ROWS($BX$2:BX81)),"")</f>
        <v>0.18</v>
      </c>
      <c r="BY81" s="647" cm="1">
        <f t="array" ref="BY81">IFERROR(INDEX(tblLaminateStructures[Structure Check],ROWS($BY$2:BY81)),"")</f>
        <v>121</v>
      </c>
      <c r="BZ81" s="648" cm="1">
        <f t="array" ref="BZ81">IFERROR(INDEX(tblLaminateStructures[Laminate],ROWS($BZ$2:BZ81)),"")</f>
        <v>919</v>
      </c>
      <c r="CA81" s="648"/>
      <c r="CB81" s="648"/>
      <c r="CC81" s="647" cm="1">
        <f t="array" ref="CC81">IFERROR(INDEX(tblLaminateStructures[Total Thickness (µ)],ROWS($CC$2:CC81)),"")</f>
        <v>121</v>
      </c>
      <c r="CD81" s="647"/>
      <c r="CE81" s="647"/>
      <c r="CF81" s="647"/>
      <c r="CG81" s="648"/>
      <c r="CH81" s="649"/>
    </row>
    <row r="82" spans="48:86">
      <c r="AV82" s="617">
        <v>823</v>
      </c>
      <c r="AW82" s="618">
        <v>121</v>
      </c>
      <c r="AX82" s="617" t="s">
        <v>190</v>
      </c>
      <c r="AY82" s="618">
        <v>23</v>
      </c>
      <c r="AZ82"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82" s="617"/>
      <c r="BB82" s="617"/>
      <c r="BC82" s="617" t="s">
        <v>1090</v>
      </c>
      <c r="BD82" s="617"/>
      <c r="BF82" s="631"/>
      <c r="BG82" s="631"/>
      <c r="BH82" s="631"/>
      <c r="BI82" s="631"/>
      <c r="BJ82" s="631"/>
      <c r="BK82" s="631"/>
      <c r="BL82" s="631"/>
      <c r="BM82" s="631"/>
      <c r="BN82" s="631"/>
      <c r="BO82" s="631"/>
      <c r="BP82" s="631"/>
      <c r="BQ82" s="631"/>
      <c r="BR82" s="631"/>
      <c r="BS82" s="631"/>
      <c r="BT82" s="631"/>
      <c r="BU82" s="646" cm="1">
        <f t="array" ref="BU82">IFERROR(_xlfn.LET(_xlpm.i,ROWS($BU$2:BU82),_xlpm.cur,INDEX(tblLaminateStructures[Laminate],_xlpm.i),_xlpm.prev,IF(_xlpm.i=1,"",INDEX(tblLaminateStructures[Laminate],_xlpm.i-1)),IF(_xlpm.cur&lt;&gt;_xlpm.prev,_xlpm.cur,"")),"")</f>
        <v>823</v>
      </c>
      <c r="BV82" s="647" cm="1">
        <f t="array" ref="BV82">IFERROR(_xlfn.LET(_xlpm.i,ROWS($BV$2:BV82),_xlpm.cur,INDEX(tblLaminateStructures[Total Thickness (µ)],_xlpm.i),_xlpm.prev,IF(_xlpm.i=1,"",INDEX(tblLaminateStructures[Total Thickness (µ)],_xlpm.i-1)),IF(OR(_xlpm.cur&lt;&gt;_xlpm.prev,BU82&lt;&gt;""),_xlpm.cur,"")),"")</f>
        <v>121</v>
      </c>
      <c r="BW82" s="648" t="str" cm="1">
        <f t="array" ref="BW82">IFERROR(INDEX(tblLaminateStructures[Material / Layer],ROWS($BW$2:BW82)),"")</f>
        <v>NK</v>
      </c>
      <c r="BX82" s="647" cm="1">
        <f t="array" ref="BX82">IFERROR(INDEX(tblLaminateStructures[Layer Thickness (µ)],ROWS($BX$2:BX82)),"")</f>
        <v>23</v>
      </c>
      <c r="BY82" s="647" cm="1">
        <f t="array" ref="BY82">IFERROR(INDEX(tblLaminateStructures[Structure Check],ROWS($BY$2:BY82)),"")</f>
        <v>121</v>
      </c>
      <c r="BZ82" s="648" cm="1">
        <f t="array" ref="BZ82">IFERROR(INDEX(tblLaminateStructures[Laminate],ROWS($BZ$2:BZ82)),"")</f>
        <v>823</v>
      </c>
      <c r="CA82" s="648"/>
      <c r="CB82" s="648"/>
      <c r="CC82" s="647" cm="1">
        <f t="array" ref="CC82">IFERROR(INDEX(tblLaminateStructures[Total Thickness (µ)],ROWS($CC$2:CC82)),"")</f>
        <v>121</v>
      </c>
      <c r="CD82" s="647"/>
      <c r="CE82" s="647"/>
      <c r="CF82" s="647"/>
      <c r="CG82" s="648"/>
      <c r="CH82" s="649"/>
    </row>
    <row r="83" spans="48:86">
      <c r="AV83" s="623">
        <v>823</v>
      </c>
      <c r="AW83" s="624">
        <v>121</v>
      </c>
      <c r="AX83" s="617" t="s">
        <v>202</v>
      </c>
      <c r="AY83" s="624">
        <v>25</v>
      </c>
      <c r="AZ83"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83" s="623"/>
      <c r="BB83" s="617"/>
      <c r="BC83" s="617" t="s">
        <v>1090</v>
      </c>
      <c r="BD83" s="623"/>
      <c r="BF83" s="631"/>
      <c r="BG83" s="631"/>
      <c r="BH83" s="631"/>
      <c r="BI83" s="631"/>
      <c r="BJ83" s="631"/>
      <c r="BK83" s="631"/>
      <c r="BL83" s="631"/>
      <c r="BM83" s="631"/>
      <c r="BN83" s="631"/>
      <c r="BO83" s="631"/>
      <c r="BP83" s="631"/>
      <c r="BQ83" s="631"/>
      <c r="BR83" s="631"/>
      <c r="BS83" s="631"/>
      <c r="BT83" s="631"/>
      <c r="BU83" s="646" t="str" cm="1">
        <f t="array" ref="BU83">IFERROR(_xlfn.LET(_xlpm.i,ROWS($BU$2:BU83),_xlpm.cur,INDEX(tblLaminateStructures[Laminate],_xlpm.i),_xlpm.prev,IF(_xlpm.i=1,"",INDEX(tblLaminateStructures[Laminate],_xlpm.i-1)),IF(_xlpm.cur&lt;&gt;_xlpm.prev,_xlpm.cur,"")),"")</f>
        <v/>
      </c>
      <c r="BV83" s="647" t="str" cm="1">
        <f t="array" ref="BV83">IFERROR(_xlfn.LET(_xlpm.i,ROWS($BV$2:BV83),_xlpm.cur,INDEX(tblLaminateStructures[Total Thickness (µ)],_xlpm.i),_xlpm.prev,IF(_xlpm.i=1,"",INDEX(tblLaminateStructures[Total Thickness (µ)],_xlpm.i-1)),IF(OR(_xlpm.cur&lt;&gt;_xlpm.prev,BU83&lt;&gt;""),_xlpm.cur,"")),"")</f>
        <v/>
      </c>
      <c r="BW83" s="648" t="str" cm="1">
        <f t="array" ref="BW83">IFERROR(INDEX(tblLaminateStructures[Material / Layer],ROWS($BW$2:BW83)),"")</f>
        <v>TIPA 312 MET</v>
      </c>
      <c r="BX83" s="647" cm="1">
        <f t="array" ref="BX83">IFERROR(INDEX(tblLaminateStructures[Layer Thickness (µ)],ROWS($BX$2:BX83)),"")</f>
        <v>25</v>
      </c>
      <c r="BY83" s="647" cm="1">
        <f t="array" ref="BY83">IFERROR(INDEX(tblLaminateStructures[Structure Check],ROWS($BY$2:BY83)),"")</f>
        <v>121</v>
      </c>
      <c r="BZ83" s="648" cm="1">
        <f t="array" ref="BZ83">IFERROR(INDEX(tblLaminateStructures[Laminate],ROWS($BZ$2:BZ83)),"")</f>
        <v>823</v>
      </c>
      <c r="CA83" s="648"/>
      <c r="CB83" s="648"/>
      <c r="CC83" s="647" cm="1">
        <f t="array" ref="CC83">IFERROR(INDEX(tblLaminateStructures[Total Thickness (µ)],ROWS($CC$2:CC83)),"")</f>
        <v>121</v>
      </c>
      <c r="CD83" s="647"/>
      <c r="CE83" s="647"/>
      <c r="CF83" s="647"/>
      <c r="CG83" s="648"/>
      <c r="CH83" s="649"/>
    </row>
    <row r="84" spans="48:86">
      <c r="AV84" s="623">
        <v>823</v>
      </c>
      <c r="AW84" s="624">
        <v>121</v>
      </c>
      <c r="AX84" s="617" t="s">
        <v>203</v>
      </c>
      <c r="AY84" s="624">
        <v>67</v>
      </c>
      <c r="AZ84"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84" s="623"/>
      <c r="BB84" s="617"/>
      <c r="BC84" s="617" t="s">
        <v>1090</v>
      </c>
      <c r="BD84" s="623"/>
      <c r="BF84" s="631"/>
      <c r="BG84" s="631"/>
      <c r="BH84" s="631"/>
      <c r="BI84" s="631"/>
      <c r="BJ84" s="631"/>
      <c r="BK84" s="631"/>
      <c r="BL84" s="631"/>
      <c r="BM84" s="631"/>
      <c r="BN84" s="631"/>
      <c r="BO84" s="631"/>
      <c r="BP84" s="631"/>
      <c r="BQ84" s="631"/>
      <c r="BR84" s="631"/>
      <c r="BS84" s="631"/>
      <c r="BT84" s="631"/>
      <c r="BU84" s="646" t="str" cm="1">
        <f t="array" ref="BU84">IFERROR(_xlfn.LET(_xlpm.i,ROWS($BU$2:BU84),_xlpm.cur,INDEX(tblLaminateStructures[Laminate],_xlpm.i),_xlpm.prev,IF(_xlpm.i=1,"",INDEX(tblLaminateStructures[Laminate],_xlpm.i-1)),IF(_xlpm.cur&lt;&gt;_xlpm.prev,_xlpm.cur,"")),"")</f>
        <v/>
      </c>
      <c r="BV84" s="647" t="str" cm="1">
        <f t="array" ref="BV84">IFERROR(_xlfn.LET(_xlpm.i,ROWS($BV$2:BV84),_xlpm.cur,INDEX(tblLaminateStructures[Total Thickness (µ)],_xlpm.i),_xlpm.prev,IF(_xlpm.i=1,"",INDEX(tblLaminateStructures[Total Thickness (µ)],_xlpm.i-1)),IF(OR(_xlpm.cur&lt;&gt;_xlpm.prev,BU84&lt;&gt;""),_xlpm.cur,"")),"")</f>
        <v/>
      </c>
      <c r="BW84" s="648" t="str" cm="1">
        <f t="array" ref="BW84">IFERROR(INDEX(tblLaminateStructures[Material / Layer],ROWS($BW$2:BW84)),"")</f>
        <v>Billerud Kraft White Paper</v>
      </c>
      <c r="BX84" s="647" cm="1">
        <f t="array" ref="BX84">IFERROR(INDEX(tblLaminateStructures[Layer Thickness (µ)],ROWS($BX$2:BX84)),"")</f>
        <v>67</v>
      </c>
      <c r="BY84" s="647" cm="1">
        <f t="array" ref="BY84">IFERROR(INDEX(tblLaminateStructures[Structure Check],ROWS($BY$2:BY84)),"")</f>
        <v>121</v>
      </c>
      <c r="BZ84" s="648" cm="1">
        <f t="array" ref="BZ84">IFERROR(INDEX(tblLaminateStructures[Laminate],ROWS($BZ$2:BZ84)),"")</f>
        <v>823</v>
      </c>
      <c r="CA84" s="648"/>
      <c r="CB84" s="648"/>
      <c r="CC84" s="647" cm="1">
        <f t="array" ref="CC84">IFERROR(INDEX(tblLaminateStructures[Total Thickness (µ)],ROWS($CC$2:CC84)),"")</f>
        <v>121</v>
      </c>
      <c r="CD84" s="647"/>
      <c r="CE84" s="647"/>
      <c r="CF84" s="647"/>
      <c r="CG84" s="648"/>
      <c r="CH84" s="649"/>
    </row>
    <row r="85" spans="48:86">
      <c r="AV85" s="623">
        <v>823</v>
      </c>
      <c r="AW85" s="624">
        <v>121</v>
      </c>
      <c r="AX85" s="617" t="s">
        <v>199</v>
      </c>
      <c r="AY85" s="624">
        <v>6</v>
      </c>
      <c r="AZ85"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85" s="623"/>
      <c r="BB85" s="617"/>
      <c r="BC85" s="617" t="s">
        <v>1090</v>
      </c>
      <c r="BD85" s="623"/>
      <c r="BF85" s="631"/>
      <c r="BG85" s="631"/>
      <c r="BH85" s="631"/>
      <c r="BI85" s="631"/>
      <c r="BJ85" s="631"/>
      <c r="BK85" s="631"/>
      <c r="BL85" s="631"/>
      <c r="BM85" s="631"/>
      <c r="BN85" s="631"/>
      <c r="BO85" s="631"/>
      <c r="BP85" s="631"/>
      <c r="BQ85" s="631"/>
      <c r="BR85" s="631"/>
      <c r="BS85" s="631"/>
      <c r="BT85" s="631"/>
      <c r="BU85" s="646" t="str" cm="1">
        <f t="array" ref="BU85">IFERROR(_xlfn.LET(_xlpm.i,ROWS($BU$2:BU85),_xlpm.cur,INDEX(tblLaminateStructures[Laminate],_xlpm.i),_xlpm.prev,IF(_xlpm.i=1,"",INDEX(tblLaminateStructures[Laminate],_xlpm.i-1)),IF(_xlpm.cur&lt;&gt;_xlpm.prev,_xlpm.cur,"")),"")</f>
        <v/>
      </c>
      <c r="BV85" s="647" t="str" cm="1">
        <f t="array" ref="BV85">IFERROR(_xlfn.LET(_xlpm.i,ROWS($BV$2:BV85),_xlpm.cur,INDEX(tblLaminateStructures[Total Thickness (µ)],_xlpm.i),_xlpm.prev,IF(_xlpm.i=1,"",INDEX(tblLaminateStructures[Total Thickness (µ)],_xlpm.i-1)),IF(OR(_xlpm.cur&lt;&gt;_xlpm.prev,BU85&lt;&gt;""),_xlpm.cur,"")),"")</f>
        <v/>
      </c>
      <c r="BW85" s="648" t="str" cm="1">
        <f t="array" ref="BW85">IFERROR(INDEX(tblLaminateStructures[Material / Layer],ROWS($BW$2:BW85)),"")</f>
        <v>RM G Epotal ECO 3675</v>
      </c>
      <c r="BX85" s="647" cm="1">
        <f t="array" ref="BX85">IFERROR(INDEX(tblLaminateStructures[Layer Thickness (µ)],ROWS($BX$2:BX85)),"")</f>
        <v>6</v>
      </c>
      <c r="BY85" s="647" cm="1">
        <f t="array" ref="BY85">IFERROR(INDEX(tblLaminateStructures[Structure Check],ROWS($BY$2:BY85)),"")</f>
        <v>121</v>
      </c>
      <c r="BZ85" s="648" cm="1">
        <f t="array" ref="BZ85">IFERROR(INDEX(tblLaminateStructures[Laminate],ROWS($BZ$2:BZ85)),"")</f>
        <v>823</v>
      </c>
      <c r="CA85" s="648"/>
      <c r="CB85" s="648"/>
      <c r="CC85" s="647" cm="1">
        <f t="array" ref="CC85">IFERROR(INDEX(tblLaminateStructures[Total Thickness (µ)],ROWS($CC$2:CC85)),"")</f>
        <v>121</v>
      </c>
      <c r="CD85" s="647"/>
      <c r="CE85" s="647"/>
      <c r="CF85" s="647"/>
      <c r="CG85" s="648"/>
      <c r="CH85" s="649"/>
    </row>
    <row r="86" spans="48:86">
      <c r="AV86" s="623">
        <v>923</v>
      </c>
      <c r="AW86" s="624">
        <v>121</v>
      </c>
      <c r="AX86" s="617" t="s">
        <v>190</v>
      </c>
      <c r="AY86" s="624">
        <v>23</v>
      </c>
      <c r="AZ86"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86" s="623"/>
      <c r="BB86" s="617"/>
      <c r="BC86" s="617" t="s">
        <v>1090</v>
      </c>
      <c r="BD86" s="623"/>
      <c r="BF86" s="631"/>
      <c r="BG86" s="631"/>
      <c r="BH86" s="631"/>
      <c r="BI86" s="631"/>
      <c r="BJ86" s="631"/>
      <c r="BK86" s="631"/>
      <c r="BL86" s="631"/>
      <c r="BM86" s="631"/>
      <c r="BN86" s="631"/>
      <c r="BO86" s="631"/>
      <c r="BP86" s="631"/>
      <c r="BQ86" s="631"/>
      <c r="BR86" s="631"/>
      <c r="BS86" s="631"/>
      <c r="BT86" s="631"/>
      <c r="BU86" s="646" cm="1">
        <f t="array" ref="BU86">IFERROR(_xlfn.LET(_xlpm.i,ROWS($BU$2:BU86),_xlpm.cur,INDEX(tblLaminateStructures[Laminate],_xlpm.i),_xlpm.prev,IF(_xlpm.i=1,"",INDEX(tblLaminateStructures[Laminate],_xlpm.i-1)),IF(_xlpm.cur&lt;&gt;_xlpm.prev,_xlpm.cur,"")),"")</f>
        <v>923</v>
      </c>
      <c r="BV86" s="647" cm="1">
        <f t="array" ref="BV86">IFERROR(_xlfn.LET(_xlpm.i,ROWS($BV$2:BV86),_xlpm.cur,INDEX(tblLaminateStructures[Total Thickness (µ)],_xlpm.i),_xlpm.prev,IF(_xlpm.i=1,"",INDEX(tblLaminateStructures[Total Thickness (µ)],_xlpm.i-1)),IF(OR(_xlpm.cur&lt;&gt;_xlpm.prev,BU86&lt;&gt;""),_xlpm.cur,"")),"")</f>
        <v>121</v>
      </c>
      <c r="BW86" s="648" t="str" cm="1">
        <f t="array" ref="BW86">IFERROR(INDEX(tblLaminateStructures[Material / Layer],ROWS($BW$2:BW86)),"")</f>
        <v>NK</v>
      </c>
      <c r="BX86" s="647" cm="1">
        <f t="array" ref="BX86">IFERROR(INDEX(tblLaminateStructures[Layer Thickness (µ)],ROWS($BX$2:BX86)),"")</f>
        <v>23</v>
      </c>
      <c r="BY86" s="647" cm="1">
        <f t="array" ref="BY86">IFERROR(INDEX(tblLaminateStructures[Structure Check],ROWS($BY$2:BY86)),"")</f>
        <v>121</v>
      </c>
      <c r="BZ86" s="648" cm="1">
        <f t="array" ref="BZ86">IFERROR(INDEX(tblLaminateStructures[Laminate],ROWS($BZ$2:BZ86)),"")</f>
        <v>923</v>
      </c>
      <c r="CA86" s="648"/>
      <c r="CB86" s="648"/>
      <c r="CC86" s="647" cm="1">
        <f t="array" ref="CC86">IFERROR(INDEX(tblLaminateStructures[Total Thickness (µ)],ROWS($CC$2:CC86)),"")</f>
        <v>121</v>
      </c>
      <c r="CD86" s="647"/>
      <c r="CE86" s="647"/>
      <c r="CF86" s="647"/>
      <c r="CG86" s="648"/>
      <c r="CH86" s="649"/>
    </row>
    <row r="87" spans="48:86">
      <c r="AV87" s="623">
        <v>923</v>
      </c>
      <c r="AW87" s="624">
        <v>121</v>
      </c>
      <c r="AX87" s="623" t="s">
        <v>202</v>
      </c>
      <c r="AY87" s="624">
        <v>25</v>
      </c>
      <c r="AZ87"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87" s="623"/>
      <c r="BB87" s="623"/>
      <c r="BC87" s="623" t="s">
        <v>1090</v>
      </c>
      <c r="BD87" s="623"/>
      <c r="BF87" s="631"/>
      <c r="BG87" s="631"/>
      <c r="BH87" s="631"/>
      <c r="BI87" s="631"/>
      <c r="BJ87" s="631"/>
      <c r="BK87" s="631"/>
      <c r="BL87" s="631"/>
      <c r="BM87" s="631"/>
      <c r="BN87" s="631"/>
      <c r="BO87" s="631"/>
      <c r="BP87" s="631"/>
      <c r="BQ87" s="631"/>
      <c r="BR87" s="631"/>
      <c r="BS87" s="631"/>
      <c r="BT87" s="631"/>
      <c r="BU87" s="646" t="str" cm="1">
        <f t="array" ref="BU87">IFERROR(_xlfn.LET(_xlpm.i,ROWS($BU$2:BU87),_xlpm.cur,INDEX(tblLaminateStructures[Laminate],_xlpm.i),_xlpm.prev,IF(_xlpm.i=1,"",INDEX(tblLaminateStructures[Laminate],_xlpm.i-1)),IF(_xlpm.cur&lt;&gt;_xlpm.prev,_xlpm.cur,"")),"")</f>
        <v/>
      </c>
      <c r="BV87" s="647" t="str" cm="1">
        <f t="array" ref="BV87">IFERROR(_xlfn.LET(_xlpm.i,ROWS($BV$2:BV87),_xlpm.cur,INDEX(tblLaminateStructures[Total Thickness (µ)],_xlpm.i),_xlpm.prev,IF(_xlpm.i=1,"",INDEX(tblLaminateStructures[Total Thickness (µ)],_xlpm.i-1)),IF(OR(_xlpm.cur&lt;&gt;_xlpm.prev,BU87&lt;&gt;""),_xlpm.cur,"")),"")</f>
        <v/>
      </c>
      <c r="BW87" s="648" t="str" cm="1">
        <f t="array" ref="BW87">IFERROR(INDEX(tblLaminateStructures[Material / Layer],ROWS($BW$2:BW87)),"")</f>
        <v>TIPA 312 MET</v>
      </c>
      <c r="BX87" s="647" cm="1">
        <f t="array" ref="BX87">IFERROR(INDEX(tblLaminateStructures[Layer Thickness (µ)],ROWS($BX$2:BX87)),"")</f>
        <v>25</v>
      </c>
      <c r="BY87" s="647" cm="1">
        <f t="array" ref="BY87">IFERROR(INDEX(tblLaminateStructures[Structure Check],ROWS($BY$2:BY87)),"")</f>
        <v>121</v>
      </c>
      <c r="BZ87" s="648" cm="1">
        <f t="array" ref="BZ87">IFERROR(INDEX(tblLaminateStructures[Laminate],ROWS($BZ$2:BZ87)),"")</f>
        <v>923</v>
      </c>
      <c r="CA87" s="648"/>
      <c r="CB87" s="648"/>
      <c r="CC87" s="647" cm="1">
        <f t="array" ref="CC87">IFERROR(INDEX(tblLaminateStructures[Total Thickness (µ)],ROWS($CC$2:CC87)),"")</f>
        <v>121</v>
      </c>
      <c r="CD87" s="647"/>
      <c r="CE87" s="647"/>
      <c r="CF87" s="647"/>
      <c r="CG87" s="648"/>
      <c r="CH87" s="649"/>
    </row>
    <row r="88" spans="48:86">
      <c r="AV88" s="623">
        <v>923</v>
      </c>
      <c r="AW88" s="624">
        <v>121</v>
      </c>
      <c r="AX88" s="623" t="s">
        <v>203</v>
      </c>
      <c r="AY88" s="624">
        <v>67</v>
      </c>
      <c r="AZ88"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88" s="623"/>
      <c r="BB88" s="623"/>
      <c r="BC88" s="623" t="s">
        <v>1090</v>
      </c>
      <c r="BD88" s="623"/>
      <c r="BF88" s="631"/>
      <c r="BG88" s="631"/>
      <c r="BH88" s="631"/>
      <c r="BI88" s="631"/>
      <c r="BJ88" s="631"/>
      <c r="BK88" s="631"/>
      <c r="BL88" s="631"/>
      <c r="BM88" s="631"/>
      <c r="BN88" s="631"/>
      <c r="BO88" s="631"/>
      <c r="BP88" s="631"/>
      <c r="BQ88" s="631"/>
      <c r="BR88" s="631"/>
      <c r="BS88" s="631"/>
      <c r="BT88" s="631"/>
      <c r="BU88" s="646" t="str" cm="1">
        <f t="array" ref="BU88">IFERROR(_xlfn.LET(_xlpm.i,ROWS($BU$2:BU88),_xlpm.cur,INDEX(tblLaminateStructures[Laminate],_xlpm.i),_xlpm.prev,IF(_xlpm.i=1,"",INDEX(tblLaminateStructures[Laminate],_xlpm.i-1)),IF(_xlpm.cur&lt;&gt;_xlpm.prev,_xlpm.cur,"")),"")</f>
        <v/>
      </c>
      <c r="BV88" s="647" t="str" cm="1">
        <f t="array" ref="BV88">IFERROR(_xlfn.LET(_xlpm.i,ROWS($BV$2:BV88),_xlpm.cur,INDEX(tblLaminateStructures[Total Thickness (µ)],_xlpm.i),_xlpm.prev,IF(_xlpm.i=1,"",INDEX(tblLaminateStructures[Total Thickness (µ)],_xlpm.i-1)),IF(OR(_xlpm.cur&lt;&gt;_xlpm.prev,BU88&lt;&gt;""),_xlpm.cur,"")),"")</f>
        <v/>
      </c>
      <c r="BW88" s="648" t="str" cm="1">
        <f t="array" ref="BW88">IFERROR(INDEX(tblLaminateStructures[Material / Layer],ROWS($BW$2:BW88)),"")</f>
        <v>Billerud Kraft White Paper</v>
      </c>
      <c r="BX88" s="647" cm="1">
        <f t="array" ref="BX88">IFERROR(INDEX(tblLaminateStructures[Layer Thickness (µ)],ROWS($BX$2:BX88)),"")</f>
        <v>67</v>
      </c>
      <c r="BY88" s="647" cm="1">
        <f t="array" ref="BY88">IFERROR(INDEX(tblLaminateStructures[Structure Check],ROWS($BY$2:BY88)),"")</f>
        <v>121</v>
      </c>
      <c r="BZ88" s="648" cm="1">
        <f t="array" ref="BZ88">IFERROR(INDEX(tblLaminateStructures[Laminate],ROWS($BZ$2:BZ88)),"")</f>
        <v>923</v>
      </c>
      <c r="CA88" s="648"/>
      <c r="CB88" s="648"/>
      <c r="CC88" s="647" cm="1">
        <f t="array" ref="CC88">IFERROR(INDEX(tblLaminateStructures[Total Thickness (µ)],ROWS($CC$2:CC88)),"")</f>
        <v>121</v>
      </c>
      <c r="CD88" s="647"/>
      <c r="CE88" s="647"/>
      <c r="CF88" s="647"/>
      <c r="CG88" s="648"/>
      <c r="CH88" s="649"/>
    </row>
    <row r="89" spans="48:86">
      <c r="AV89" s="623">
        <v>923</v>
      </c>
      <c r="AW89" s="624">
        <v>121</v>
      </c>
      <c r="AX89" s="623" t="s">
        <v>195</v>
      </c>
      <c r="AY89" s="624">
        <v>5.82</v>
      </c>
      <c r="AZ89"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89" s="623"/>
      <c r="BB89" s="623"/>
      <c r="BC89" s="623" t="s">
        <v>1090</v>
      </c>
      <c r="BD89" s="623"/>
      <c r="BF89" s="631"/>
      <c r="BG89" s="631"/>
      <c r="BH89" s="631"/>
      <c r="BI89" s="631"/>
      <c r="BJ89" s="631"/>
      <c r="BK89" s="631"/>
      <c r="BL89" s="631"/>
      <c r="BM89" s="631"/>
      <c r="BN89" s="631"/>
      <c r="BO89" s="631"/>
      <c r="BP89" s="631"/>
      <c r="BQ89" s="631"/>
      <c r="BR89" s="631"/>
      <c r="BS89" s="631"/>
      <c r="BT89" s="631"/>
      <c r="BU89" s="646" t="str" cm="1">
        <f t="array" ref="BU89">IFERROR(_xlfn.LET(_xlpm.i,ROWS($BU$2:BU89),_xlpm.cur,INDEX(tblLaminateStructures[Laminate],_xlpm.i),_xlpm.prev,IF(_xlpm.i=1,"",INDEX(tblLaminateStructures[Laminate],_xlpm.i-1)),IF(_xlpm.cur&lt;&gt;_xlpm.prev,_xlpm.cur,"")),"")</f>
        <v/>
      </c>
      <c r="BV89" s="647" t="str" cm="1">
        <f t="array" ref="BV89">IFERROR(_xlfn.LET(_xlpm.i,ROWS($BV$2:BV89),_xlpm.cur,INDEX(tblLaminateStructures[Total Thickness (µ)],_xlpm.i),_xlpm.prev,IF(_xlpm.i=1,"",INDEX(tblLaminateStructures[Total Thickness (µ)],_xlpm.i-1)),IF(OR(_xlpm.cur&lt;&gt;_xlpm.prev,BU89&lt;&gt;""),_xlpm.cur,"")),"")</f>
        <v/>
      </c>
      <c r="BW89" s="648" t="str" cm="1">
        <f t="array" ref="BW89">IFERROR(INDEX(tblLaminateStructures[Material / Layer],ROWS($BW$2:BW89)),"")</f>
        <v>RM G Epotal Eco 3702</v>
      </c>
      <c r="BX89" s="647" cm="1">
        <f t="array" ref="BX89">IFERROR(INDEX(tblLaminateStructures[Layer Thickness (µ)],ROWS($BX$2:BX89)),"")</f>
        <v>5.82</v>
      </c>
      <c r="BY89" s="647" cm="1">
        <f t="array" ref="BY89">IFERROR(INDEX(tblLaminateStructures[Structure Check],ROWS($BY$2:BY89)),"")</f>
        <v>121</v>
      </c>
      <c r="BZ89" s="648" cm="1">
        <f t="array" ref="BZ89">IFERROR(INDEX(tblLaminateStructures[Laminate],ROWS($BZ$2:BZ89)),"")</f>
        <v>923</v>
      </c>
      <c r="CA89" s="648"/>
      <c r="CB89" s="648"/>
      <c r="CC89" s="647" cm="1">
        <f t="array" ref="CC89">IFERROR(INDEX(tblLaminateStructures[Total Thickness (µ)],ROWS($CC$2:CC89)),"")</f>
        <v>121</v>
      </c>
      <c r="CD89" s="647"/>
      <c r="CE89" s="647"/>
      <c r="CF89" s="647"/>
      <c r="CG89" s="648"/>
      <c r="CH89" s="649"/>
    </row>
    <row r="90" spans="48:86">
      <c r="AV90" s="623">
        <v>923</v>
      </c>
      <c r="AW90" s="624">
        <v>121</v>
      </c>
      <c r="AX90" s="623" t="s">
        <v>196</v>
      </c>
      <c r="AY90" s="624">
        <v>0.18</v>
      </c>
      <c r="AZ90"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121</v>
      </c>
      <c r="BA90" s="623"/>
      <c r="BB90" s="623"/>
      <c r="BC90" s="623" t="s">
        <v>1090</v>
      </c>
      <c r="BD90" s="623"/>
      <c r="BF90" s="631"/>
      <c r="BG90" s="631"/>
      <c r="BH90" s="631"/>
      <c r="BI90" s="631"/>
      <c r="BJ90" s="631"/>
      <c r="BK90" s="631"/>
      <c r="BL90" s="631"/>
      <c r="BM90" s="631"/>
      <c r="BN90" s="631"/>
      <c r="BO90" s="631"/>
      <c r="BP90" s="631"/>
      <c r="BQ90" s="631"/>
      <c r="BR90" s="631"/>
      <c r="BS90" s="631"/>
      <c r="BT90" s="631"/>
      <c r="BU90" s="646" t="str" cm="1">
        <f t="array" ref="BU90">IFERROR(_xlfn.LET(_xlpm.i,ROWS($BU$2:BU90),_xlpm.cur,INDEX(tblLaminateStructures[Laminate],_xlpm.i),_xlpm.prev,IF(_xlpm.i=1,"",INDEX(tblLaminateStructures[Laminate],_xlpm.i-1)),IF(_xlpm.cur&lt;&gt;_xlpm.prev,_xlpm.cur,"")),"")</f>
        <v/>
      </c>
      <c r="BV90" s="647" t="str" cm="1">
        <f t="array" ref="BV90">IFERROR(_xlfn.LET(_xlpm.i,ROWS($BV$2:BV90),_xlpm.cur,INDEX(tblLaminateStructures[Total Thickness (µ)],_xlpm.i),_xlpm.prev,IF(_xlpm.i=1,"",INDEX(tblLaminateStructures[Total Thickness (µ)],_xlpm.i-1)),IF(OR(_xlpm.cur&lt;&gt;_xlpm.prev,BU90&lt;&gt;""),_xlpm.cur,"")),"")</f>
        <v/>
      </c>
      <c r="BW90" s="648" t="str" cm="1">
        <f t="array" ref="BW90">IFERROR(INDEX(tblLaminateStructures[Material / Layer],ROWS($BW$2:BW90)),"")</f>
        <v>RM G Basonat HW 2270</v>
      </c>
      <c r="BX90" s="647" cm="1">
        <f t="array" ref="BX90">IFERROR(INDEX(tblLaminateStructures[Layer Thickness (µ)],ROWS($BX$2:BX90)),"")</f>
        <v>0.18</v>
      </c>
      <c r="BY90" s="647" cm="1">
        <f t="array" ref="BY90">IFERROR(INDEX(tblLaminateStructures[Structure Check],ROWS($BY$2:BY90)),"")</f>
        <v>121</v>
      </c>
      <c r="BZ90" s="648" cm="1">
        <f t="array" ref="BZ90">IFERROR(INDEX(tblLaminateStructures[Laminate],ROWS($BZ$2:BZ90)),"")</f>
        <v>923</v>
      </c>
      <c r="CA90" s="648"/>
      <c r="CB90" s="648"/>
      <c r="CC90" s="647" cm="1">
        <f t="array" ref="CC90">IFERROR(INDEX(tblLaminateStructures[Total Thickness (µ)],ROWS($CC$2:CC90)),"")</f>
        <v>121</v>
      </c>
      <c r="CD90" s="647"/>
      <c r="CE90" s="647"/>
      <c r="CF90" s="647"/>
      <c r="CG90" s="648"/>
      <c r="CH90" s="649"/>
    </row>
    <row r="91" spans="48:86">
      <c r="AV91" s="623" t="s">
        <v>1083</v>
      </c>
      <c r="AW91" s="624">
        <v>79</v>
      </c>
      <c r="AX91" s="623" t="s">
        <v>0</v>
      </c>
      <c r="AY91" s="624">
        <v>25</v>
      </c>
      <c r="AZ91"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78</v>
      </c>
      <c r="BA91" s="623"/>
      <c r="BB91" s="623" t="s">
        <v>1098</v>
      </c>
      <c r="BC91" s="623" t="s">
        <v>1090</v>
      </c>
      <c r="BD91" s="623"/>
      <c r="BF91" s="631"/>
      <c r="BG91" s="631"/>
      <c r="BH91" s="631"/>
      <c r="BI91" s="631"/>
      <c r="BJ91" s="631"/>
      <c r="BK91" s="631"/>
      <c r="BL91" s="631"/>
      <c r="BM91" s="631"/>
      <c r="BN91" s="631"/>
      <c r="BO91" s="631"/>
      <c r="BP91" s="631"/>
      <c r="BQ91" s="631"/>
      <c r="BR91" s="631"/>
      <c r="BS91" s="631"/>
      <c r="BT91" s="631"/>
      <c r="BU91" s="646" t="str" cm="1">
        <f t="array" ref="BU91">IFERROR(_xlfn.LET(_xlpm.i,ROWS($BU$2:BU91),_xlpm.cur,INDEX(tblLaminateStructures[Laminate],_xlpm.i),_xlpm.prev,IF(_xlpm.i=1,"",INDEX(tblLaminateStructures[Laminate],_xlpm.i-1)),IF(_xlpm.cur&lt;&gt;_xlpm.prev,_xlpm.cur,"")),"")</f>
        <v>821M</v>
      </c>
      <c r="BV91" s="647" cm="1">
        <f t="array" ref="BV91">IFERROR(_xlfn.LET(_xlpm.i,ROWS($BV$2:BV91),_xlpm.cur,INDEX(tblLaminateStructures[Total Thickness (µ)],_xlpm.i),_xlpm.prev,IF(_xlpm.i=1,"",INDEX(tblLaminateStructures[Total Thickness (µ)],_xlpm.i-1)),IF(OR(_xlpm.cur&lt;&gt;_xlpm.prev,BU91&lt;&gt;""),_xlpm.cur,"")),"")</f>
        <v>79</v>
      </c>
      <c r="BW91" s="648" t="str" cm="1">
        <f t="array" ref="BW91">IFERROR(INDEX(tblLaminateStructures[Material / Layer],ROWS($BW$2:BW91)),"")</f>
        <v>TIPA 302FG</v>
      </c>
      <c r="BX91" s="647" cm="1">
        <f t="array" ref="BX91">IFERROR(INDEX(tblLaminateStructures[Layer Thickness (µ)],ROWS($BX$2:BX91)),"")</f>
        <v>25</v>
      </c>
      <c r="BY91" s="647" cm="1">
        <f t="array" ref="BY91">IFERROR(INDEX(tblLaminateStructures[Structure Check],ROWS($BY$2:BY91)),"")</f>
        <v>78</v>
      </c>
      <c r="BZ91" s="648" t="str" cm="1">
        <f t="array" ref="BZ91">IFERROR(INDEX(tblLaminateStructures[Laminate],ROWS($BZ$2:BZ91)),"")</f>
        <v>821M</v>
      </c>
      <c r="CA91" s="648"/>
      <c r="CB91" s="648"/>
      <c r="CC91" s="647" cm="1">
        <f t="array" ref="CC91">IFERROR(INDEX(tblLaminateStructures[Total Thickness (µ)],ROWS($CC$2:CC91)),"")</f>
        <v>79</v>
      </c>
      <c r="CD91" s="647"/>
      <c r="CE91" s="647"/>
      <c r="CF91" s="647"/>
      <c r="CG91" s="648"/>
      <c r="CH91" s="649"/>
    </row>
    <row r="92" spans="48:86">
      <c r="AV92" s="623" t="s">
        <v>1083</v>
      </c>
      <c r="AW92" s="624">
        <v>79</v>
      </c>
      <c r="AX92" s="623" t="s">
        <v>1099</v>
      </c>
      <c r="AY92" s="624">
        <v>22</v>
      </c>
      <c r="AZ92"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78</v>
      </c>
      <c r="BA92" s="623"/>
      <c r="BB92" s="623" t="s">
        <v>1098</v>
      </c>
      <c r="BC92" s="623" t="s">
        <v>1090</v>
      </c>
      <c r="BD92" s="623"/>
      <c r="BF92" s="631"/>
      <c r="BG92" s="631"/>
      <c r="BH92" s="631"/>
      <c r="BI92" s="631"/>
      <c r="BJ92" s="631"/>
      <c r="BK92" s="631"/>
      <c r="BL92" s="631"/>
      <c r="BM92" s="631"/>
      <c r="BN92" s="631"/>
      <c r="BO92" s="631"/>
      <c r="BP92" s="631"/>
      <c r="BQ92" s="631"/>
      <c r="BR92" s="631"/>
      <c r="BS92" s="631"/>
      <c r="BT92" s="631"/>
      <c r="BU92" s="646" t="str" cm="1">
        <f t="array" ref="BU92">IFERROR(_xlfn.LET(_xlpm.i,ROWS($BU$2:BU92),_xlpm.cur,INDEX(tblLaminateStructures[Laminate],_xlpm.i),_xlpm.prev,IF(_xlpm.i=1,"",INDEX(tblLaminateStructures[Laminate],_xlpm.i-1)),IF(_xlpm.cur&lt;&gt;_xlpm.prev,_xlpm.cur,"")),"")</f>
        <v/>
      </c>
      <c r="BV92" s="647" t="str" cm="1">
        <f t="array" ref="BV92">IFERROR(_xlfn.LET(_xlpm.i,ROWS($BV$2:BV92),_xlpm.cur,INDEX(tblLaminateStructures[Total Thickness (µ)],_xlpm.i),_xlpm.prev,IF(_xlpm.i=1,"",INDEX(tblLaminateStructures[Total Thickness (µ)],_xlpm.i-1)),IF(OR(_xlpm.cur&lt;&gt;_xlpm.prev,BU92&lt;&gt;""),_xlpm.cur,"")),"")</f>
        <v/>
      </c>
      <c r="BW92" s="648" t="str" cm="1">
        <f t="array" ref="BW92">IFERROR(INDEX(tblLaminateStructures[Material / Layer],ROWS($BW$2:BW92)),"")</f>
        <v>NK White</v>
      </c>
      <c r="BX92" s="647" cm="1">
        <f t="array" ref="BX92">IFERROR(INDEX(tblLaminateStructures[Layer Thickness (µ)],ROWS($BX$2:BX92)),"")</f>
        <v>22</v>
      </c>
      <c r="BY92" s="647" cm="1">
        <f t="array" ref="BY92">IFERROR(INDEX(tblLaminateStructures[Structure Check],ROWS($BY$2:BY92)),"")</f>
        <v>78</v>
      </c>
      <c r="BZ92" s="648" t="str" cm="1">
        <f t="array" ref="BZ92">IFERROR(INDEX(tblLaminateStructures[Laminate],ROWS($BZ$2:BZ92)),"")</f>
        <v>821M</v>
      </c>
      <c r="CA92" s="648"/>
      <c r="CB92" s="648"/>
      <c r="CC92" s="647" cm="1">
        <f t="array" ref="CC92">IFERROR(INDEX(tblLaminateStructures[Total Thickness (µ)],ROWS($CC$2:CC92)),"")</f>
        <v>79</v>
      </c>
      <c r="CD92" s="647"/>
      <c r="CE92" s="647"/>
      <c r="CF92" s="647"/>
      <c r="CG92" s="648"/>
      <c r="CH92" s="649"/>
    </row>
    <row r="93" spans="48:86">
      <c r="AV93" s="623" t="s">
        <v>1083</v>
      </c>
      <c r="AW93" s="624">
        <v>79</v>
      </c>
      <c r="AX93" s="623" t="s">
        <v>1224</v>
      </c>
      <c r="AY93" s="624">
        <v>25</v>
      </c>
      <c r="AZ93"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78</v>
      </c>
      <c r="BA93" s="623"/>
      <c r="BB93" s="623" t="s">
        <v>1098</v>
      </c>
      <c r="BC93" s="623" t="s">
        <v>1090</v>
      </c>
      <c r="BD93" s="623"/>
      <c r="BF93" s="631"/>
      <c r="BG93" s="631"/>
      <c r="BH93" s="631"/>
      <c r="BI93" s="631"/>
      <c r="BJ93" s="631"/>
      <c r="BK93" s="631"/>
      <c r="BL93" s="631"/>
      <c r="BM93" s="631"/>
      <c r="BN93" s="631"/>
      <c r="BO93" s="631"/>
      <c r="BP93" s="631"/>
      <c r="BQ93" s="631"/>
      <c r="BR93" s="631"/>
      <c r="BS93" s="631"/>
      <c r="BT93" s="631"/>
      <c r="BU93" s="646" t="str" cm="1">
        <f t="array" ref="BU93">IFERROR(_xlfn.LET(_xlpm.i,ROWS($BU$2:BU93),_xlpm.cur,INDEX(tblLaminateStructures[Laminate],_xlpm.i),_xlpm.prev,IF(_xlpm.i=1,"",INDEX(tblLaminateStructures[Laminate],_xlpm.i-1)),IF(_xlpm.cur&lt;&gt;_xlpm.prev,_xlpm.cur,"")),"")</f>
        <v/>
      </c>
      <c r="BV93" s="647" t="str" cm="1">
        <f t="array" ref="BV93">IFERROR(_xlfn.LET(_xlpm.i,ROWS($BV$2:BV93),_xlpm.cur,INDEX(tblLaminateStructures[Total Thickness (µ)],_xlpm.i),_xlpm.prev,IF(_xlpm.i=1,"",INDEX(tblLaminateStructures[Total Thickness (µ)],_xlpm.i-1)),IF(OR(_xlpm.cur&lt;&gt;_xlpm.prev,BU93&lt;&gt;""),_xlpm.cur,"")),"")</f>
        <v/>
      </c>
      <c r="BW93" s="648" t="str" cm="1">
        <f t="array" ref="BW93">IFERROR(INDEX(tblLaminateStructures[Material / Layer],ROWS($BW$2:BW93)),"")</f>
        <v> NK MATT</v>
      </c>
      <c r="BX93" s="647" cm="1">
        <f t="array" ref="BX93">IFERROR(INDEX(tblLaminateStructures[Layer Thickness (µ)],ROWS($BX$2:BX93)),"")</f>
        <v>25</v>
      </c>
      <c r="BY93" s="647" cm="1">
        <f t="array" ref="BY93">IFERROR(INDEX(tblLaminateStructures[Structure Check],ROWS($BY$2:BY93)),"")</f>
        <v>78</v>
      </c>
      <c r="BZ93" s="648" t="str" cm="1">
        <f t="array" ref="BZ93">IFERROR(INDEX(tblLaminateStructures[Laminate],ROWS($BZ$2:BZ93)),"")</f>
        <v>821M</v>
      </c>
      <c r="CA93" s="648"/>
      <c r="CB93" s="648"/>
      <c r="CC93" s="647" cm="1">
        <f t="array" ref="CC93">IFERROR(INDEX(tblLaminateStructures[Total Thickness (µ)],ROWS($CC$2:CC93)),"")</f>
        <v>79</v>
      </c>
      <c r="CD93" s="647"/>
      <c r="CE93" s="647"/>
      <c r="CF93" s="647"/>
      <c r="CG93" s="648"/>
      <c r="CH93" s="649"/>
    </row>
    <row r="94" spans="48:86">
      <c r="AV94" s="623" t="s">
        <v>1083</v>
      </c>
      <c r="AW94" s="624">
        <v>79</v>
      </c>
      <c r="AX94" s="623" t="s">
        <v>199</v>
      </c>
      <c r="AY94" s="624">
        <v>6</v>
      </c>
      <c r="AZ94"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78</v>
      </c>
      <c r="BA94" s="623"/>
      <c r="BB94" s="623" t="s">
        <v>1098</v>
      </c>
      <c r="BC94" s="623" t="s">
        <v>1090</v>
      </c>
      <c r="BD94" s="623"/>
      <c r="BF94" s="631"/>
      <c r="BG94" s="631"/>
      <c r="BH94" s="631"/>
      <c r="BI94" s="631"/>
      <c r="BJ94" s="631"/>
      <c r="BK94" s="631"/>
      <c r="BL94" s="631"/>
      <c r="BM94" s="631"/>
      <c r="BN94" s="631"/>
      <c r="BO94" s="631"/>
      <c r="BP94" s="631"/>
      <c r="BQ94" s="631"/>
      <c r="BR94" s="631"/>
      <c r="BS94" s="631"/>
      <c r="BT94" s="631"/>
      <c r="BU94" s="646" t="str" cm="1">
        <f t="array" ref="BU94">IFERROR(_xlfn.LET(_xlpm.i,ROWS($BU$2:BU94),_xlpm.cur,INDEX(tblLaminateStructures[Laminate],_xlpm.i),_xlpm.prev,IF(_xlpm.i=1,"",INDEX(tblLaminateStructures[Laminate],_xlpm.i-1)),IF(_xlpm.cur&lt;&gt;_xlpm.prev,_xlpm.cur,"")),"")</f>
        <v/>
      </c>
      <c r="BV94" s="647" t="str" cm="1">
        <f t="array" ref="BV94">IFERROR(_xlfn.LET(_xlpm.i,ROWS($BV$2:BV94),_xlpm.cur,INDEX(tblLaminateStructures[Total Thickness (µ)],_xlpm.i),_xlpm.prev,IF(_xlpm.i=1,"",INDEX(tblLaminateStructures[Total Thickness (µ)],_xlpm.i-1)),IF(OR(_xlpm.cur&lt;&gt;_xlpm.prev,BU94&lt;&gt;""),_xlpm.cur,"")),"")</f>
        <v/>
      </c>
      <c r="BW94" s="648" t="str" cm="1">
        <f t="array" ref="BW94">IFERROR(INDEX(tblLaminateStructures[Material / Layer],ROWS($BW$2:BW94)),"")</f>
        <v>RM G Epotal ECO 3675</v>
      </c>
      <c r="BX94" s="647" cm="1">
        <f t="array" ref="BX94">IFERROR(INDEX(tblLaminateStructures[Layer Thickness (µ)],ROWS($BX$2:BX94)),"")</f>
        <v>6</v>
      </c>
      <c r="BY94" s="647" cm="1">
        <f t="array" ref="BY94">IFERROR(INDEX(tblLaminateStructures[Structure Check],ROWS($BY$2:BY94)),"")</f>
        <v>78</v>
      </c>
      <c r="BZ94" s="648" t="str" cm="1">
        <f t="array" ref="BZ94">IFERROR(INDEX(tblLaminateStructures[Laminate],ROWS($BZ$2:BZ94)),"")</f>
        <v>821M</v>
      </c>
      <c r="CA94" s="648"/>
      <c r="CB94" s="648"/>
      <c r="CC94" s="647" cm="1">
        <f t="array" ref="CC94">IFERROR(INDEX(tblLaminateStructures[Total Thickness (µ)],ROWS($CC$2:CC94)),"")</f>
        <v>79</v>
      </c>
      <c r="CD94" s="647"/>
      <c r="CE94" s="647"/>
      <c r="CF94" s="647"/>
      <c r="CG94" s="648"/>
      <c r="CH94" s="649"/>
    </row>
    <row r="95" spans="48:86">
      <c r="AV95" s="623">
        <v>120</v>
      </c>
      <c r="AW95" s="624">
        <v>98</v>
      </c>
      <c r="AX95" s="623" t="s">
        <v>0</v>
      </c>
      <c r="AY95" s="624">
        <v>25</v>
      </c>
      <c r="AZ95"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98</v>
      </c>
      <c r="BA95" s="623"/>
      <c r="BB95" s="623" t="s">
        <v>1098</v>
      </c>
      <c r="BC95" s="623" t="s">
        <v>1090</v>
      </c>
      <c r="BD95" s="623"/>
      <c r="BF95" s="631"/>
      <c r="BG95" s="631"/>
      <c r="BH95" s="631"/>
      <c r="BI95" s="631"/>
      <c r="BJ95" s="631"/>
      <c r="BK95" s="631"/>
      <c r="BL95" s="631"/>
      <c r="BM95" s="631"/>
      <c r="BN95" s="631"/>
      <c r="BO95" s="631"/>
      <c r="BP95" s="631"/>
      <c r="BQ95" s="631"/>
      <c r="BR95" s="631"/>
      <c r="BS95" s="631"/>
      <c r="BT95" s="631"/>
      <c r="BU95" s="646" cm="1">
        <f t="array" ref="BU95">IFERROR(_xlfn.LET(_xlpm.i,ROWS($BU$2:BU95),_xlpm.cur,INDEX(tblLaminateStructures[Laminate],_xlpm.i),_xlpm.prev,IF(_xlpm.i=1,"",INDEX(tblLaminateStructures[Laminate],_xlpm.i-1)),IF(_xlpm.cur&lt;&gt;_xlpm.prev,_xlpm.cur,"")),"")</f>
        <v>120</v>
      </c>
      <c r="BV95" s="647" cm="1">
        <f t="array" ref="BV95">IFERROR(_xlfn.LET(_xlpm.i,ROWS($BV$2:BV95),_xlpm.cur,INDEX(tblLaminateStructures[Total Thickness (µ)],_xlpm.i),_xlpm.prev,IF(_xlpm.i=1,"",INDEX(tblLaminateStructures[Total Thickness (µ)],_xlpm.i-1)),IF(OR(_xlpm.cur&lt;&gt;_xlpm.prev,BU95&lt;&gt;""),_xlpm.cur,"")),"")</f>
        <v>98</v>
      </c>
      <c r="BW95" s="648" t="str" cm="1">
        <f t="array" ref="BW95">IFERROR(INDEX(tblLaminateStructures[Material / Layer],ROWS($BW$2:BW95)),"")</f>
        <v>TIPA 302FG</v>
      </c>
      <c r="BX95" s="647" cm="1">
        <f t="array" ref="BX95">IFERROR(INDEX(tblLaminateStructures[Layer Thickness (µ)],ROWS($BX$2:BX95)),"")</f>
        <v>25</v>
      </c>
      <c r="BY95" s="647" cm="1">
        <f t="array" ref="BY95">IFERROR(INDEX(tblLaminateStructures[Structure Check],ROWS($BY$2:BY95)),"")</f>
        <v>98</v>
      </c>
      <c r="BZ95" s="648" cm="1">
        <f t="array" ref="BZ95">IFERROR(INDEX(tblLaminateStructures[Laminate],ROWS($BZ$2:BZ95)),"")</f>
        <v>120</v>
      </c>
      <c r="CA95" s="648"/>
      <c r="CB95" s="648"/>
      <c r="CC95" s="647" cm="1">
        <f t="array" ref="CC95">IFERROR(INDEX(tblLaminateStructures[Total Thickness (µ)],ROWS($CC$2:CC95)),"")</f>
        <v>98</v>
      </c>
      <c r="CD95" s="647"/>
      <c r="CE95" s="647"/>
      <c r="CF95" s="647"/>
      <c r="CG95" s="648"/>
      <c r="CH95" s="649"/>
    </row>
    <row r="96" spans="48:86">
      <c r="AV96" s="623">
        <v>120</v>
      </c>
      <c r="AW96" s="624">
        <v>98</v>
      </c>
      <c r="AX96" s="623" t="s">
        <v>1105</v>
      </c>
      <c r="AY96" s="624">
        <v>7</v>
      </c>
      <c r="AZ96"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98</v>
      </c>
      <c r="BA96" s="623"/>
      <c r="BB96" s="623" t="s">
        <v>1098</v>
      </c>
      <c r="BC96" s="623" t="s">
        <v>1090</v>
      </c>
      <c r="BD96" s="623"/>
      <c r="BF96" s="631"/>
      <c r="BG96" s="631"/>
      <c r="BH96" s="631"/>
      <c r="BI96" s="631"/>
      <c r="BJ96" s="631"/>
      <c r="BK96" s="631"/>
      <c r="BL96" s="631"/>
      <c r="BM96" s="631"/>
      <c r="BN96" s="631"/>
      <c r="BO96" s="631"/>
      <c r="BP96" s="631"/>
      <c r="BQ96" s="631"/>
      <c r="BR96" s="631"/>
      <c r="BS96" s="631"/>
      <c r="BT96" s="631"/>
      <c r="BU96" s="646" t="str" cm="1">
        <f t="array" ref="BU96">IFERROR(_xlfn.LET(_xlpm.i,ROWS($BU$2:BU96),_xlpm.cur,INDEX(tblLaminateStructures[Laminate],_xlpm.i),_xlpm.prev,IF(_xlpm.i=1,"",INDEX(tblLaminateStructures[Laminate],_xlpm.i-1)),IF(_xlpm.cur&lt;&gt;_xlpm.prev,_xlpm.cur,"")),"")</f>
        <v/>
      </c>
      <c r="BV96" s="647" t="str" cm="1">
        <f t="array" ref="BV96">IFERROR(_xlfn.LET(_xlpm.i,ROWS($BV$2:BV96),_xlpm.cur,INDEX(tblLaminateStructures[Total Thickness (µ)],_xlpm.i),_xlpm.prev,IF(_xlpm.i=1,"",INDEX(tblLaminateStructures[Total Thickness (µ)],_xlpm.i-1)),IF(OR(_xlpm.cur&lt;&gt;_xlpm.prev,BU96&lt;&gt;""),_xlpm.cur,"")),"")</f>
        <v/>
      </c>
      <c r="BW96" s="648" t="str" cm="1">
        <f t="array" ref="BW96">IFERROR(INDEX(tblLaminateStructures[Material / Layer],ROWS($BW$2:BW96)),"")</f>
        <v>ALU</v>
      </c>
      <c r="BX96" s="647" cm="1">
        <f t="array" ref="BX96">IFERROR(INDEX(tblLaminateStructures[Layer Thickness (µ)],ROWS($BX$2:BX96)),"")</f>
        <v>7</v>
      </c>
      <c r="BY96" s="647" cm="1">
        <f t="array" ref="BY96">IFERROR(INDEX(tblLaminateStructures[Structure Check],ROWS($BY$2:BY96)),"")</f>
        <v>98</v>
      </c>
      <c r="BZ96" s="648" cm="1">
        <f t="array" ref="BZ96">IFERROR(INDEX(tblLaminateStructures[Laminate],ROWS($BZ$2:BZ96)),"")</f>
        <v>120</v>
      </c>
      <c r="CA96" s="648"/>
      <c r="CB96" s="648"/>
      <c r="CC96" s="647" cm="1">
        <f t="array" ref="CC96">IFERROR(INDEX(tblLaminateStructures[Total Thickness (µ)],ROWS($CC$2:CC96)),"")</f>
        <v>98</v>
      </c>
      <c r="CD96" s="647"/>
      <c r="CE96" s="647"/>
      <c r="CF96" s="647"/>
      <c r="CG96" s="648"/>
      <c r="CH96" s="649"/>
    </row>
    <row r="97" spans="48:86">
      <c r="AV97" s="623">
        <v>120</v>
      </c>
      <c r="AW97" s="624">
        <v>98</v>
      </c>
      <c r="AX97" s="623" t="s">
        <v>203</v>
      </c>
      <c r="AY97" s="624">
        <v>60</v>
      </c>
      <c r="AZ97"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98</v>
      </c>
      <c r="BA97" s="623"/>
      <c r="BB97" s="623" t="s">
        <v>1098</v>
      </c>
      <c r="BC97" s="623" t="s">
        <v>1090</v>
      </c>
      <c r="BD97" s="623"/>
      <c r="BF97" s="631"/>
      <c r="BG97" s="631"/>
      <c r="BH97" s="631"/>
      <c r="BI97" s="631"/>
      <c r="BJ97" s="631"/>
      <c r="BK97" s="631"/>
      <c r="BL97" s="631"/>
      <c r="BM97" s="631"/>
      <c r="BN97" s="631"/>
      <c r="BO97" s="631"/>
      <c r="BP97" s="631"/>
      <c r="BQ97" s="631"/>
      <c r="BR97" s="631"/>
      <c r="BS97" s="631"/>
      <c r="BT97" s="631"/>
      <c r="BU97" s="646" t="str" cm="1">
        <f t="array" ref="BU97">IFERROR(_xlfn.LET(_xlpm.i,ROWS($BU$2:BU97),_xlpm.cur,INDEX(tblLaminateStructures[Laminate],_xlpm.i),_xlpm.prev,IF(_xlpm.i=1,"",INDEX(tblLaminateStructures[Laminate],_xlpm.i-1)),IF(_xlpm.cur&lt;&gt;_xlpm.prev,_xlpm.cur,"")),"")</f>
        <v/>
      </c>
      <c r="BV97" s="647" t="str" cm="1">
        <f t="array" ref="BV97">IFERROR(_xlfn.LET(_xlpm.i,ROWS($BV$2:BV97),_xlpm.cur,INDEX(tblLaminateStructures[Total Thickness (µ)],_xlpm.i),_xlpm.prev,IF(_xlpm.i=1,"",INDEX(tblLaminateStructures[Total Thickness (µ)],_xlpm.i-1)),IF(OR(_xlpm.cur&lt;&gt;_xlpm.prev,BU97&lt;&gt;""),_xlpm.cur,"")),"")</f>
        <v/>
      </c>
      <c r="BW97" s="648" t="str" cm="1">
        <f t="array" ref="BW97">IFERROR(INDEX(tblLaminateStructures[Material / Layer],ROWS($BW$2:BW97)),"")</f>
        <v>Billerud Kraft White Paper</v>
      </c>
      <c r="BX97" s="647" cm="1">
        <f t="array" ref="BX97">IFERROR(INDEX(tblLaminateStructures[Layer Thickness (µ)],ROWS($BX$2:BX97)),"")</f>
        <v>60</v>
      </c>
      <c r="BY97" s="647" cm="1">
        <f t="array" ref="BY97">IFERROR(INDEX(tblLaminateStructures[Structure Check],ROWS($BY$2:BY97)),"")</f>
        <v>98</v>
      </c>
      <c r="BZ97" s="648" cm="1">
        <f t="array" ref="BZ97">IFERROR(INDEX(tblLaminateStructures[Laminate],ROWS($BZ$2:BZ97)),"")</f>
        <v>120</v>
      </c>
      <c r="CA97" s="648"/>
      <c r="CB97" s="648"/>
      <c r="CC97" s="647" cm="1">
        <f t="array" ref="CC97">IFERROR(INDEX(tblLaminateStructures[Total Thickness (µ)],ROWS($CC$2:CC97)),"")</f>
        <v>98</v>
      </c>
      <c r="CD97" s="647"/>
      <c r="CE97" s="647"/>
      <c r="CF97" s="647"/>
      <c r="CG97" s="648"/>
      <c r="CH97" s="649"/>
    </row>
    <row r="98" spans="48:86">
      <c r="AV98" s="623">
        <v>120</v>
      </c>
      <c r="AW98" s="624">
        <v>98</v>
      </c>
      <c r="AX98" s="623" t="s">
        <v>199</v>
      </c>
      <c r="AY98" s="624">
        <v>6</v>
      </c>
      <c r="AZ98"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98</v>
      </c>
      <c r="BA98" s="623"/>
      <c r="BB98" s="623" t="s">
        <v>1098</v>
      </c>
      <c r="BC98" s="623" t="s">
        <v>1090</v>
      </c>
      <c r="BD98" s="623"/>
      <c r="BF98" s="631"/>
      <c r="BG98" s="631"/>
      <c r="BH98" s="631"/>
      <c r="BI98" s="631"/>
      <c r="BJ98" s="631"/>
      <c r="BK98" s="631"/>
      <c r="BL98" s="631"/>
      <c r="BM98" s="631"/>
      <c r="BN98" s="631"/>
      <c r="BO98" s="631"/>
      <c r="BP98" s="631"/>
      <c r="BQ98" s="631"/>
      <c r="BR98" s="631"/>
      <c r="BS98" s="631"/>
      <c r="BT98" s="631"/>
      <c r="BU98" s="646" t="str" cm="1">
        <f t="array" ref="BU98">IFERROR(_xlfn.LET(_xlpm.i,ROWS($BU$2:BU98),_xlpm.cur,INDEX(tblLaminateStructures[Laminate],_xlpm.i),_xlpm.prev,IF(_xlpm.i=1,"",INDEX(tblLaminateStructures[Laminate],_xlpm.i-1)),IF(_xlpm.cur&lt;&gt;_xlpm.prev,_xlpm.cur,"")),"")</f>
        <v/>
      </c>
      <c r="BV98" s="647" t="str" cm="1">
        <f t="array" ref="BV98">IFERROR(_xlfn.LET(_xlpm.i,ROWS($BV$2:BV98),_xlpm.cur,INDEX(tblLaminateStructures[Total Thickness (µ)],_xlpm.i),_xlpm.prev,IF(_xlpm.i=1,"",INDEX(tblLaminateStructures[Total Thickness (µ)],_xlpm.i-1)),IF(OR(_xlpm.cur&lt;&gt;_xlpm.prev,BU98&lt;&gt;""),_xlpm.cur,"")),"")</f>
        <v/>
      </c>
      <c r="BW98" s="648" t="str" cm="1">
        <f t="array" ref="BW98">IFERROR(INDEX(tblLaminateStructures[Material / Layer],ROWS($BW$2:BW98)),"")</f>
        <v>RM G Epotal ECO 3675</v>
      </c>
      <c r="BX98" s="647" cm="1">
        <f t="array" ref="BX98">IFERROR(INDEX(tblLaminateStructures[Layer Thickness (µ)],ROWS($BX$2:BX98)),"")</f>
        <v>6</v>
      </c>
      <c r="BY98" s="647" cm="1">
        <f t="array" ref="BY98">IFERROR(INDEX(tblLaminateStructures[Structure Check],ROWS($BY$2:BY98)),"")</f>
        <v>98</v>
      </c>
      <c r="BZ98" s="648" cm="1">
        <f t="array" ref="BZ98">IFERROR(INDEX(tblLaminateStructures[Laminate],ROWS($BZ$2:BZ98)),"")</f>
        <v>120</v>
      </c>
      <c r="CA98" s="648"/>
      <c r="CB98" s="648"/>
      <c r="CC98" s="647" cm="1">
        <f t="array" ref="CC98">IFERROR(INDEX(tblLaminateStructures[Total Thickness (µ)],ROWS($CC$2:CC98)),"")</f>
        <v>98</v>
      </c>
      <c r="CD98" s="647"/>
      <c r="CE98" s="647"/>
      <c r="CF98" s="647"/>
      <c r="CG98" s="648"/>
      <c r="CH98" s="649"/>
    </row>
    <row r="99" spans="48:86">
      <c r="AV99" s="623"/>
      <c r="AW99" s="624"/>
      <c r="AX99" s="623"/>
      <c r="AY99" s="624"/>
      <c r="AZ99" s="618"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99" s="623"/>
      <c r="BB99" s="623"/>
      <c r="BC99" s="623"/>
      <c r="BD99" s="623"/>
      <c r="BF99" s="631"/>
      <c r="BG99" s="631"/>
      <c r="BH99" s="631"/>
      <c r="BI99" s="631"/>
      <c r="BJ99" s="631"/>
      <c r="BK99" s="631"/>
      <c r="BL99" s="631"/>
      <c r="BM99" s="631"/>
      <c r="BN99" s="631"/>
      <c r="BO99" s="631"/>
      <c r="BP99" s="631"/>
      <c r="BQ99" s="631"/>
      <c r="BR99" s="631"/>
      <c r="BS99" s="631"/>
      <c r="BT99" s="631"/>
      <c r="BU99" s="646" cm="1">
        <f t="array" ref="BU99">IFERROR(_xlfn.LET(_xlpm.i,ROWS($BU$2:BU99),_xlpm.cur,INDEX(tblLaminateStructures[Laminate],_xlpm.i),_xlpm.prev,IF(_xlpm.i=1,"",INDEX(tblLaminateStructures[Laminate],_xlpm.i-1)),IF(_xlpm.cur&lt;&gt;_xlpm.prev,_xlpm.cur,"")),"")</f>
        <v>0</v>
      </c>
      <c r="BV99" s="647" cm="1">
        <f t="array" ref="BV99">IFERROR(_xlfn.LET(_xlpm.i,ROWS($BV$2:BV99),_xlpm.cur,INDEX(tblLaminateStructures[Total Thickness (µ)],_xlpm.i),_xlpm.prev,IF(_xlpm.i=1,"",INDEX(tblLaminateStructures[Total Thickness (µ)],_xlpm.i-1)),IF(OR(_xlpm.cur&lt;&gt;_xlpm.prev,BU99&lt;&gt;""),_xlpm.cur,"")),"")</f>
        <v>0</v>
      </c>
      <c r="BW99" s="648" cm="1">
        <f t="array" ref="BW99">IFERROR(INDEX(tblLaminateStructures[Material / Layer],ROWS($BW$2:BW99)),"")</f>
        <v>0</v>
      </c>
      <c r="BX99" s="647" cm="1">
        <f t="array" ref="BX99">IFERROR(INDEX(tblLaminateStructures[Layer Thickness (µ)],ROWS($BX$2:BX99)),"")</f>
        <v>0</v>
      </c>
      <c r="BY99" s="647" t="str" cm="1">
        <f t="array" ref="BY99">IFERROR(INDEX(tblLaminateStructures[Structure Check],ROWS($BY$2:BY99)),"")</f>
        <v/>
      </c>
      <c r="BZ99" s="648" cm="1">
        <f t="array" ref="BZ99">IFERROR(INDEX(tblLaminateStructures[Laminate],ROWS($BZ$2:BZ99)),"")</f>
        <v>0</v>
      </c>
      <c r="CA99" s="648"/>
      <c r="CB99" s="648"/>
      <c r="CC99" s="647" cm="1">
        <f t="array" ref="CC99">IFERROR(INDEX(tblLaminateStructures[Total Thickness (µ)],ROWS($CC$2:CC99)),"")</f>
        <v>0</v>
      </c>
      <c r="CD99" s="647"/>
      <c r="CE99" s="647"/>
      <c r="CF99" s="647"/>
      <c r="CG99" s="648"/>
      <c r="CH99" s="649"/>
    </row>
    <row r="100" spans="48:86">
      <c r="AV100" s="623"/>
      <c r="AW100" s="624"/>
      <c r="AX100" s="623"/>
      <c r="AY100" s="624"/>
      <c r="AZ100" s="618"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00" s="623"/>
      <c r="BB100" s="623"/>
      <c r="BC100" s="623"/>
      <c r="BD100" s="623"/>
      <c r="BF100" s="631"/>
      <c r="BG100" s="631"/>
      <c r="BH100" s="631"/>
      <c r="BI100" s="631"/>
      <c r="BJ100" s="631"/>
      <c r="BK100" s="631"/>
      <c r="BL100" s="631"/>
      <c r="BM100" s="631"/>
      <c r="BN100" s="631"/>
      <c r="BO100" s="631"/>
      <c r="BP100" s="631"/>
      <c r="BQ100" s="631"/>
      <c r="BR100" s="631"/>
      <c r="BS100" s="631"/>
      <c r="BT100" s="631"/>
      <c r="BU100" s="646" t="str" cm="1">
        <f t="array" ref="BU100">IFERROR(_xlfn.LET(_xlpm.i,ROWS($BU$2:BU100),_xlpm.cur,INDEX(tblLaminateStructures[Laminate],_xlpm.i),_xlpm.prev,IF(_xlpm.i=1,"",INDEX(tblLaminateStructures[Laminate],_xlpm.i-1)),IF(_xlpm.cur&lt;&gt;_xlpm.prev,_xlpm.cur,"")),"")</f>
        <v/>
      </c>
      <c r="BV100" s="647" t="str" cm="1">
        <f t="array" ref="BV100">IFERROR(_xlfn.LET(_xlpm.i,ROWS($BV$2:BV100),_xlpm.cur,INDEX(tblLaminateStructures[Total Thickness (µ)],_xlpm.i),_xlpm.prev,IF(_xlpm.i=1,"",INDEX(tblLaminateStructures[Total Thickness (µ)],_xlpm.i-1)),IF(OR(_xlpm.cur&lt;&gt;_xlpm.prev,BU100&lt;&gt;""),_xlpm.cur,"")),"")</f>
        <v/>
      </c>
      <c r="BW100" s="648" cm="1">
        <f t="array" ref="BW100">IFERROR(INDEX(tblLaminateStructures[Material / Layer],ROWS($BW$2:BW100)),"")</f>
        <v>0</v>
      </c>
      <c r="BX100" s="647" cm="1">
        <f t="array" ref="BX100">IFERROR(INDEX(tblLaminateStructures[Layer Thickness (µ)],ROWS($BX$2:BX100)),"")</f>
        <v>0</v>
      </c>
      <c r="BY100" s="647" t="str" cm="1">
        <f t="array" ref="BY100">IFERROR(INDEX(tblLaminateStructures[Structure Check],ROWS($BY$2:BY100)),"")</f>
        <v/>
      </c>
      <c r="BZ100" s="648" cm="1">
        <f t="array" ref="BZ100">IFERROR(INDEX(tblLaminateStructures[Laminate],ROWS($BZ$2:BZ100)),"")</f>
        <v>0</v>
      </c>
      <c r="CA100" s="648"/>
      <c r="CB100" s="648"/>
      <c r="CC100" s="647" cm="1">
        <f t="array" ref="CC100">IFERROR(INDEX(tblLaminateStructures[Total Thickness (µ)],ROWS($CC$2:CC100)),"")</f>
        <v>0</v>
      </c>
      <c r="CD100" s="647"/>
      <c r="CE100" s="647"/>
      <c r="CF100" s="647"/>
      <c r="CG100" s="648"/>
      <c r="CH100" s="649"/>
    </row>
    <row r="101" spans="48:86">
      <c r="AV101" s="623"/>
      <c r="AW101" s="624"/>
      <c r="AX101" s="623"/>
      <c r="AY101" s="624"/>
      <c r="AZ101" s="618"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01" s="623"/>
      <c r="BB101" s="623"/>
      <c r="BC101" s="623"/>
      <c r="BD101" s="623"/>
      <c r="BF101" s="631"/>
      <c r="BG101" s="631"/>
      <c r="BH101" s="631"/>
      <c r="BI101" s="631"/>
      <c r="BJ101" s="631"/>
      <c r="BK101" s="631"/>
      <c r="BL101" s="631"/>
      <c r="BM101" s="631"/>
      <c r="BN101" s="631"/>
      <c r="BO101" s="631"/>
      <c r="BP101" s="631"/>
      <c r="BQ101" s="631"/>
      <c r="BR101" s="631"/>
      <c r="BS101" s="631"/>
      <c r="BT101" s="631"/>
      <c r="BU101" s="646" t="str" cm="1">
        <f t="array" ref="BU101">IFERROR(_xlfn.LET(_xlpm.i,ROWS($BU$2:BU101),_xlpm.cur,INDEX(tblLaminateStructures[Laminate],_xlpm.i),_xlpm.prev,IF(_xlpm.i=1,"",INDEX(tblLaminateStructures[Laminate],_xlpm.i-1)),IF(_xlpm.cur&lt;&gt;_xlpm.prev,_xlpm.cur,"")),"")</f>
        <v/>
      </c>
      <c r="BV101" s="647" t="str" cm="1">
        <f t="array" ref="BV101">IFERROR(_xlfn.LET(_xlpm.i,ROWS($BV$2:BV101),_xlpm.cur,INDEX(tblLaminateStructures[Total Thickness (µ)],_xlpm.i),_xlpm.prev,IF(_xlpm.i=1,"",INDEX(tblLaminateStructures[Total Thickness (µ)],_xlpm.i-1)),IF(OR(_xlpm.cur&lt;&gt;_xlpm.prev,BU101&lt;&gt;""),_xlpm.cur,"")),"")</f>
        <v/>
      </c>
      <c r="BW101" s="648" cm="1">
        <f t="array" ref="BW101">IFERROR(INDEX(tblLaminateStructures[Material / Layer],ROWS($BW$2:BW101)),"")</f>
        <v>0</v>
      </c>
      <c r="BX101" s="647" cm="1">
        <f t="array" ref="BX101">IFERROR(INDEX(tblLaminateStructures[Layer Thickness (µ)],ROWS($BX$2:BX101)),"")</f>
        <v>0</v>
      </c>
      <c r="BY101" s="647" t="str" cm="1">
        <f t="array" ref="BY101">IFERROR(INDEX(tblLaminateStructures[Structure Check],ROWS($BY$2:BY101)),"")</f>
        <v/>
      </c>
      <c r="BZ101" s="648" cm="1">
        <f t="array" ref="BZ101">IFERROR(INDEX(tblLaminateStructures[Laminate],ROWS($BZ$2:BZ101)),"")</f>
        <v>0</v>
      </c>
      <c r="CA101" s="648"/>
      <c r="CB101" s="648"/>
      <c r="CC101" s="647" cm="1">
        <f t="array" ref="CC101">IFERROR(INDEX(tblLaminateStructures[Total Thickness (µ)],ROWS($CC$2:CC101)),"")</f>
        <v>0</v>
      </c>
      <c r="CD101" s="647"/>
      <c r="CE101" s="647"/>
      <c r="CF101" s="647"/>
      <c r="CG101" s="648"/>
      <c r="CH101" s="649"/>
    </row>
    <row r="102" spans="48:86">
      <c r="AV102" s="623"/>
      <c r="AW102" s="624"/>
      <c r="AX102" s="623"/>
      <c r="AY102" s="624"/>
      <c r="AZ102" s="618"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02" s="623"/>
      <c r="BB102" s="623"/>
      <c r="BC102" s="623"/>
      <c r="BD102" s="623"/>
      <c r="BF102" s="631"/>
      <c r="BG102" s="631"/>
      <c r="BH102" s="631"/>
      <c r="BI102" s="631"/>
      <c r="BJ102" s="631"/>
      <c r="BK102" s="631"/>
      <c r="BL102" s="631"/>
      <c r="BM102" s="631"/>
      <c r="BN102" s="631"/>
      <c r="BO102" s="631"/>
      <c r="BP102" s="631"/>
      <c r="BQ102" s="631"/>
      <c r="BR102" s="631"/>
      <c r="BS102" s="631"/>
      <c r="BT102" s="631"/>
      <c r="BU102" s="646" t="str" cm="1">
        <f t="array" ref="BU102">IFERROR(_xlfn.LET(_xlpm.i,ROWS($BU$2:BU102),_xlpm.cur,INDEX(tblLaminateStructures[Laminate],_xlpm.i),_xlpm.prev,IF(_xlpm.i=1,"",INDEX(tblLaminateStructures[Laminate],_xlpm.i-1)),IF(_xlpm.cur&lt;&gt;_xlpm.prev,_xlpm.cur,"")),"")</f>
        <v/>
      </c>
      <c r="BV102" s="647" t="str" cm="1">
        <f t="array" ref="BV102">IFERROR(_xlfn.LET(_xlpm.i,ROWS($BV$2:BV102),_xlpm.cur,INDEX(tblLaminateStructures[Total Thickness (µ)],_xlpm.i),_xlpm.prev,IF(_xlpm.i=1,"",INDEX(tblLaminateStructures[Total Thickness (µ)],_xlpm.i-1)),IF(OR(_xlpm.cur&lt;&gt;_xlpm.prev,BU102&lt;&gt;""),_xlpm.cur,"")),"")</f>
        <v/>
      </c>
      <c r="BW102" s="648" cm="1">
        <f t="array" ref="BW102">IFERROR(INDEX(tblLaminateStructures[Material / Layer],ROWS($BW$2:BW102)),"")</f>
        <v>0</v>
      </c>
      <c r="BX102" s="647" cm="1">
        <f t="array" ref="BX102">IFERROR(INDEX(tblLaminateStructures[Layer Thickness (µ)],ROWS($BX$2:BX102)),"")</f>
        <v>0</v>
      </c>
      <c r="BY102" s="647" t="str" cm="1">
        <f t="array" ref="BY102">IFERROR(INDEX(tblLaminateStructures[Structure Check],ROWS($BY$2:BY102)),"")</f>
        <v/>
      </c>
      <c r="BZ102" s="648" cm="1">
        <f t="array" ref="BZ102">IFERROR(INDEX(tblLaminateStructures[Laminate],ROWS($BZ$2:BZ102)),"")</f>
        <v>0</v>
      </c>
      <c r="CA102" s="648"/>
      <c r="CB102" s="648"/>
      <c r="CC102" s="647" cm="1">
        <f t="array" ref="CC102">IFERROR(INDEX(tblLaminateStructures[Total Thickness (µ)],ROWS($CC$2:CC102)),"")</f>
        <v>0</v>
      </c>
      <c r="CD102" s="647"/>
      <c r="CE102" s="647"/>
      <c r="CF102" s="647"/>
      <c r="CG102" s="648"/>
      <c r="CH102" s="649"/>
    </row>
    <row r="103" spans="48:86">
      <c r="AV103" s="623"/>
      <c r="AW103" s="624"/>
      <c r="AX103" s="623"/>
      <c r="AY103" s="624"/>
      <c r="AZ103"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03" s="623"/>
      <c r="BB103" s="623"/>
      <c r="BC103" s="623"/>
      <c r="BD103" s="623"/>
      <c r="BF103" s="631"/>
      <c r="BG103" s="631"/>
      <c r="BH103" s="631"/>
      <c r="BI103" s="631"/>
      <c r="BJ103" s="631"/>
      <c r="BK103" s="631"/>
      <c r="BL103" s="631"/>
      <c r="BM103" s="631"/>
      <c r="BN103" s="631"/>
      <c r="BO103" s="631"/>
      <c r="BP103" s="631"/>
      <c r="BQ103" s="631"/>
      <c r="BR103" s="631"/>
      <c r="BS103" s="631"/>
      <c r="BT103" s="631"/>
      <c r="BU103" s="646" t="str" cm="1">
        <f t="array" ref="BU103">IFERROR(_xlfn.LET(_xlpm.i,ROWS($BU$2:BU103),_xlpm.cur,INDEX(tblLaminateStructures[Laminate],_xlpm.i),_xlpm.prev,IF(_xlpm.i=1,"",INDEX(tblLaminateStructures[Laminate],_xlpm.i-1)),IF(_xlpm.cur&lt;&gt;_xlpm.prev,_xlpm.cur,"")),"")</f>
        <v/>
      </c>
      <c r="BV103" s="647" t="str" cm="1">
        <f t="array" ref="BV103">IFERROR(_xlfn.LET(_xlpm.i,ROWS($BV$2:BV103),_xlpm.cur,INDEX(tblLaminateStructures[Total Thickness (µ)],_xlpm.i),_xlpm.prev,IF(_xlpm.i=1,"",INDEX(tblLaminateStructures[Total Thickness (µ)],_xlpm.i-1)),IF(OR(_xlpm.cur&lt;&gt;_xlpm.prev,BU103&lt;&gt;""),_xlpm.cur,"")),"")</f>
        <v/>
      </c>
      <c r="BW103" s="648" cm="1">
        <f t="array" ref="BW103">IFERROR(INDEX(tblLaminateStructures[Material / Layer],ROWS($BW$2:BW103)),"")</f>
        <v>0</v>
      </c>
      <c r="BX103" s="647" cm="1">
        <f t="array" ref="BX103">IFERROR(INDEX(tblLaminateStructures[Layer Thickness (µ)],ROWS($BX$2:BX103)),"")</f>
        <v>0</v>
      </c>
      <c r="BY103" s="647" t="str" cm="1">
        <f t="array" ref="BY103">IFERROR(INDEX(tblLaminateStructures[Structure Check],ROWS($BY$2:BY103)),"")</f>
        <v/>
      </c>
      <c r="BZ103" s="648" cm="1">
        <f t="array" ref="BZ103">IFERROR(INDEX(tblLaminateStructures[Laminate],ROWS($BZ$2:BZ103)),"")</f>
        <v>0</v>
      </c>
      <c r="CA103" s="648"/>
      <c r="CB103" s="648"/>
      <c r="CC103" s="647" cm="1">
        <f t="array" ref="CC103">IFERROR(INDEX(tblLaminateStructures[Total Thickness (µ)],ROWS($CC$2:CC103)),"")</f>
        <v>0</v>
      </c>
      <c r="CD103" s="647"/>
      <c r="CE103" s="647"/>
      <c r="CF103" s="647"/>
      <c r="CG103" s="648"/>
      <c r="CH103" s="649"/>
    </row>
    <row r="104" spans="48:86">
      <c r="AV104" s="623"/>
      <c r="AW104" s="624"/>
      <c r="AX104" s="623"/>
      <c r="AY104" s="624"/>
      <c r="AZ104"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04" s="623"/>
      <c r="BB104" s="623"/>
      <c r="BC104" s="623"/>
      <c r="BD104" s="623"/>
      <c r="BF104" s="631"/>
      <c r="BG104" s="631"/>
      <c r="BH104" s="631"/>
      <c r="BI104" s="631"/>
      <c r="BJ104" s="631"/>
      <c r="BK104" s="631"/>
      <c r="BL104" s="631"/>
      <c r="BM104" s="631"/>
      <c r="BN104" s="631"/>
      <c r="BO104" s="631"/>
      <c r="BP104" s="631"/>
      <c r="BQ104" s="631"/>
      <c r="BR104" s="631"/>
      <c r="BS104" s="631"/>
      <c r="BT104" s="631"/>
      <c r="BU104" s="646" t="str" cm="1">
        <f t="array" ref="BU104">IFERROR(_xlfn.LET(_xlpm.i,ROWS($BU$2:BU104),_xlpm.cur,INDEX(tblLaminateStructures[Laminate],_xlpm.i),_xlpm.prev,IF(_xlpm.i=1,"",INDEX(tblLaminateStructures[Laminate],_xlpm.i-1)),IF(_xlpm.cur&lt;&gt;_xlpm.prev,_xlpm.cur,"")),"")</f>
        <v/>
      </c>
      <c r="BV104" s="647" t="str" cm="1">
        <f t="array" ref="BV104">IFERROR(_xlfn.LET(_xlpm.i,ROWS($BV$2:BV104),_xlpm.cur,INDEX(tblLaminateStructures[Total Thickness (µ)],_xlpm.i),_xlpm.prev,IF(_xlpm.i=1,"",INDEX(tblLaminateStructures[Total Thickness (µ)],_xlpm.i-1)),IF(OR(_xlpm.cur&lt;&gt;_xlpm.prev,BU104&lt;&gt;""),_xlpm.cur,"")),"")</f>
        <v/>
      </c>
      <c r="BW104" s="648" cm="1">
        <f t="array" ref="BW104">IFERROR(INDEX(tblLaminateStructures[Material / Layer],ROWS($BW$2:BW104)),"")</f>
        <v>0</v>
      </c>
      <c r="BX104" s="647" cm="1">
        <f t="array" ref="BX104">IFERROR(INDEX(tblLaminateStructures[Layer Thickness (µ)],ROWS($BX$2:BX104)),"")</f>
        <v>0</v>
      </c>
      <c r="BY104" s="647" t="str" cm="1">
        <f t="array" ref="BY104">IFERROR(INDEX(tblLaminateStructures[Structure Check],ROWS($BY$2:BY104)),"")</f>
        <v/>
      </c>
      <c r="BZ104" s="648" cm="1">
        <f t="array" ref="BZ104">IFERROR(INDEX(tblLaminateStructures[Laminate],ROWS($BZ$2:BZ104)),"")</f>
        <v>0</v>
      </c>
      <c r="CA104" s="648"/>
      <c r="CB104" s="648"/>
      <c r="CC104" s="647" cm="1">
        <f t="array" ref="CC104">IFERROR(INDEX(tblLaminateStructures[Total Thickness (µ)],ROWS($CC$2:CC104)),"")</f>
        <v>0</v>
      </c>
      <c r="CD104" s="647"/>
      <c r="CE104" s="647"/>
      <c r="CF104" s="647"/>
      <c r="CG104" s="648"/>
      <c r="CH104" s="649"/>
    </row>
    <row r="105" spans="48:86">
      <c r="AV105" s="623"/>
      <c r="AW105" s="624"/>
      <c r="AX105" s="623"/>
      <c r="AY105" s="624"/>
      <c r="AZ105"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05" s="623"/>
      <c r="BB105" s="623"/>
      <c r="BC105" s="623"/>
      <c r="BD105" s="623"/>
      <c r="BF105" s="631"/>
      <c r="BG105" s="631"/>
      <c r="BH105" s="631"/>
      <c r="BI105" s="631"/>
      <c r="BJ105" s="631"/>
      <c r="BK105" s="631"/>
      <c r="BL105" s="631"/>
      <c r="BM105" s="631"/>
      <c r="BN105" s="631"/>
      <c r="BO105" s="631"/>
      <c r="BP105" s="631"/>
      <c r="BQ105" s="631"/>
      <c r="BR105" s="631"/>
      <c r="BS105" s="631"/>
      <c r="BT105" s="631"/>
      <c r="BU105" s="646" t="str" cm="1">
        <f t="array" ref="BU105">IFERROR(_xlfn.LET(_xlpm.i,ROWS($BU$2:BU105),_xlpm.cur,INDEX(tblLaminateStructures[Laminate],_xlpm.i),_xlpm.prev,IF(_xlpm.i=1,"",INDEX(tblLaminateStructures[Laminate],_xlpm.i-1)),IF(_xlpm.cur&lt;&gt;_xlpm.prev,_xlpm.cur,"")),"")</f>
        <v/>
      </c>
      <c r="BV105" s="647" t="str" cm="1">
        <f t="array" ref="BV105">IFERROR(_xlfn.LET(_xlpm.i,ROWS($BV$2:BV105),_xlpm.cur,INDEX(tblLaminateStructures[Total Thickness (µ)],_xlpm.i),_xlpm.prev,IF(_xlpm.i=1,"",INDEX(tblLaminateStructures[Total Thickness (µ)],_xlpm.i-1)),IF(OR(_xlpm.cur&lt;&gt;_xlpm.prev,BU105&lt;&gt;""),_xlpm.cur,"")),"")</f>
        <v/>
      </c>
      <c r="BW105" s="648" cm="1">
        <f t="array" ref="BW105">IFERROR(INDEX(tblLaminateStructures[Material / Layer],ROWS($BW$2:BW105)),"")</f>
        <v>0</v>
      </c>
      <c r="BX105" s="647" cm="1">
        <f t="array" ref="BX105">IFERROR(INDEX(tblLaminateStructures[Layer Thickness (µ)],ROWS($BX$2:BX105)),"")</f>
        <v>0</v>
      </c>
      <c r="BY105" s="647" t="str" cm="1">
        <f t="array" ref="BY105">IFERROR(INDEX(tblLaminateStructures[Structure Check],ROWS($BY$2:BY105)),"")</f>
        <v/>
      </c>
      <c r="BZ105" s="648" cm="1">
        <f t="array" ref="BZ105">IFERROR(INDEX(tblLaminateStructures[Laminate],ROWS($BZ$2:BZ105)),"")</f>
        <v>0</v>
      </c>
      <c r="CA105" s="648"/>
      <c r="CB105" s="648"/>
      <c r="CC105" s="647" cm="1">
        <f t="array" ref="CC105">IFERROR(INDEX(tblLaminateStructures[Total Thickness (µ)],ROWS($CC$2:CC105)),"")</f>
        <v>0</v>
      </c>
      <c r="CD105" s="647"/>
      <c r="CE105" s="647"/>
      <c r="CF105" s="647"/>
      <c r="CG105" s="648"/>
      <c r="CH105" s="649"/>
    </row>
    <row r="106" spans="48:86">
      <c r="AV106" s="623"/>
      <c r="AW106" s="624"/>
      <c r="AX106" s="623"/>
      <c r="AY106" s="624"/>
      <c r="AZ106"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06" s="623"/>
      <c r="BB106" s="623"/>
      <c r="BC106" s="623"/>
      <c r="BD106" s="623"/>
      <c r="BF106" s="631"/>
      <c r="BG106" s="631"/>
      <c r="BH106" s="631"/>
      <c r="BI106" s="631"/>
      <c r="BJ106" s="631"/>
      <c r="BK106" s="631"/>
      <c r="BL106" s="631"/>
      <c r="BM106" s="631"/>
      <c r="BN106" s="631"/>
      <c r="BO106" s="631"/>
      <c r="BP106" s="631"/>
      <c r="BQ106" s="631"/>
      <c r="BR106" s="631"/>
      <c r="BS106" s="631"/>
      <c r="BT106" s="631"/>
      <c r="BU106" s="646" t="str" cm="1">
        <f t="array" ref="BU106">IFERROR(_xlfn.LET(_xlpm.i,ROWS($BU$2:BU106),_xlpm.cur,INDEX(tblLaminateStructures[Laminate],_xlpm.i),_xlpm.prev,IF(_xlpm.i=1,"",INDEX(tblLaminateStructures[Laminate],_xlpm.i-1)),IF(_xlpm.cur&lt;&gt;_xlpm.prev,_xlpm.cur,"")),"")</f>
        <v/>
      </c>
      <c r="BV106" s="647" t="str" cm="1">
        <f t="array" ref="BV106">IFERROR(_xlfn.LET(_xlpm.i,ROWS($BV$2:BV106),_xlpm.cur,INDEX(tblLaminateStructures[Total Thickness (µ)],_xlpm.i),_xlpm.prev,IF(_xlpm.i=1,"",INDEX(tblLaminateStructures[Total Thickness (µ)],_xlpm.i-1)),IF(OR(_xlpm.cur&lt;&gt;_xlpm.prev,BU106&lt;&gt;""),_xlpm.cur,"")),"")</f>
        <v/>
      </c>
      <c r="BW106" s="648" cm="1">
        <f t="array" ref="BW106">IFERROR(INDEX(tblLaminateStructures[Material / Layer],ROWS($BW$2:BW106)),"")</f>
        <v>0</v>
      </c>
      <c r="BX106" s="647" cm="1">
        <f t="array" ref="BX106">IFERROR(INDEX(tblLaminateStructures[Layer Thickness (µ)],ROWS($BX$2:BX106)),"")</f>
        <v>0</v>
      </c>
      <c r="BY106" s="647" t="str" cm="1">
        <f t="array" ref="BY106">IFERROR(INDEX(tblLaminateStructures[Structure Check],ROWS($BY$2:BY106)),"")</f>
        <v/>
      </c>
      <c r="BZ106" s="648" cm="1">
        <f t="array" ref="BZ106">IFERROR(INDEX(tblLaminateStructures[Laminate],ROWS($BZ$2:BZ106)),"")</f>
        <v>0</v>
      </c>
      <c r="CA106" s="648"/>
      <c r="CB106" s="648"/>
      <c r="CC106" s="647" cm="1">
        <f t="array" ref="CC106">IFERROR(INDEX(tblLaminateStructures[Total Thickness (µ)],ROWS($CC$2:CC106)),"")</f>
        <v>0</v>
      </c>
      <c r="CD106" s="647"/>
      <c r="CE106" s="647"/>
      <c r="CF106" s="647"/>
      <c r="CG106" s="648"/>
      <c r="CH106" s="649"/>
    </row>
    <row r="107" spans="48:86">
      <c r="AV107" s="623"/>
      <c r="AW107" s="624"/>
      <c r="AX107" s="623"/>
      <c r="AY107" s="624"/>
      <c r="AZ107"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07" s="623"/>
      <c r="BB107" s="623"/>
      <c r="BC107" s="623"/>
      <c r="BD107" s="623"/>
      <c r="BF107" s="631"/>
      <c r="BG107" s="631"/>
      <c r="BH107" s="631"/>
      <c r="BI107" s="631"/>
      <c r="BJ107" s="631"/>
      <c r="BK107" s="631"/>
      <c r="BL107" s="631"/>
      <c r="BM107" s="631"/>
      <c r="BN107" s="631"/>
      <c r="BO107" s="631"/>
      <c r="BP107" s="631"/>
      <c r="BQ107" s="631"/>
      <c r="BR107" s="631"/>
      <c r="BS107" s="631"/>
      <c r="BT107" s="631"/>
      <c r="BU107" s="646" t="str" cm="1">
        <f t="array" ref="BU107">IFERROR(_xlfn.LET(_xlpm.i,ROWS($BU$2:BU107),_xlpm.cur,INDEX(tblLaminateStructures[Laminate],_xlpm.i),_xlpm.prev,IF(_xlpm.i=1,"",INDEX(tblLaminateStructures[Laminate],_xlpm.i-1)),IF(_xlpm.cur&lt;&gt;_xlpm.prev,_xlpm.cur,"")),"")</f>
        <v/>
      </c>
      <c r="BV107" s="647" t="str" cm="1">
        <f t="array" ref="BV107">IFERROR(_xlfn.LET(_xlpm.i,ROWS($BV$2:BV107),_xlpm.cur,INDEX(tblLaminateStructures[Total Thickness (µ)],_xlpm.i),_xlpm.prev,IF(_xlpm.i=1,"",INDEX(tblLaminateStructures[Total Thickness (µ)],_xlpm.i-1)),IF(OR(_xlpm.cur&lt;&gt;_xlpm.prev,BU107&lt;&gt;""),_xlpm.cur,"")),"")</f>
        <v/>
      </c>
      <c r="BW107" s="648" cm="1">
        <f t="array" ref="BW107">IFERROR(INDEX(tblLaminateStructures[Material / Layer],ROWS($BW$2:BW107)),"")</f>
        <v>0</v>
      </c>
      <c r="BX107" s="647" cm="1">
        <f t="array" ref="BX107">IFERROR(INDEX(tblLaminateStructures[Layer Thickness (µ)],ROWS($BX$2:BX107)),"")</f>
        <v>0</v>
      </c>
      <c r="BY107" s="647" t="str" cm="1">
        <f t="array" ref="BY107">IFERROR(INDEX(tblLaminateStructures[Structure Check],ROWS($BY$2:BY107)),"")</f>
        <v/>
      </c>
      <c r="BZ107" s="648" cm="1">
        <f t="array" ref="BZ107">IFERROR(INDEX(tblLaminateStructures[Laminate],ROWS($BZ$2:BZ107)),"")</f>
        <v>0</v>
      </c>
      <c r="CA107" s="648"/>
      <c r="CB107" s="648"/>
      <c r="CC107" s="647" cm="1">
        <f t="array" ref="CC107">IFERROR(INDEX(tblLaminateStructures[Total Thickness (µ)],ROWS($CC$2:CC107)),"")</f>
        <v>0</v>
      </c>
      <c r="CD107" s="647"/>
      <c r="CE107" s="647"/>
      <c r="CF107" s="647"/>
      <c r="CG107" s="648"/>
      <c r="CH107" s="649"/>
    </row>
    <row r="108" spans="48:86">
      <c r="AV108" s="623"/>
      <c r="AW108" s="624"/>
      <c r="AX108" s="623"/>
      <c r="AY108" s="624"/>
      <c r="AZ108"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08" s="623"/>
      <c r="BB108" s="623"/>
      <c r="BC108" s="623"/>
      <c r="BD108" s="623"/>
      <c r="BF108" s="631"/>
      <c r="BG108" s="631"/>
      <c r="BH108" s="631"/>
      <c r="BI108" s="631"/>
      <c r="BJ108" s="631"/>
      <c r="BK108" s="631"/>
      <c r="BL108" s="631"/>
      <c r="BM108" s="631"/>
      <c r="BN108" s="631"/>
      <c r="BO108" s="631"/>
      <c r="BP108" s="631"/>
      <c r="BQ108" s="631"/>
      <c r="BR108" s="631"/>
      <c r="BS108" s="631"/>
      <c r="BT108" s="631"/>
      <c r="BU108" s="646" t="str" cm="1">
        <f t="array" ref="BU108">IFERROR(_xlfn.LET(_xlpm.i,ROWS($BU$2:BU108),_xlpm.cur,INDEX(tblLaminateStructures[Laminate],_xlpm.i),_xlpm.prev,IF(_xlpm.i=1,"",INDEX(tblLaminateStructures[Laminate],_xlpm.i-1)),IF(_xlpm.cur&lt;&gt;_xlpm.prev,_xlpm.cur,"")),"")</f>
        <v/>
      </c>
      <c r="BV108" s="647" t="str" cm="1">
        <f t="array" ref="BV108">IFERROR(_xlfn.LET(_xlpm.i,ROWS($BV$2:BV108),_xlpm.cur,INDEX(tblLaminateStructures[Total Thickness (µ)],_xlpm.i),_xlpm.prev,IF(_xlpm.i=1,"",INDEX(tblLaminateStructures[Total Thickness (µ)],_xlpm.i-1)),IF(OR(_xlpm.cur&lt;&gt;_xlpm.prev,BU108&lt;&gt;""),_xlpm.cur,"")),"")</f>
        <v/>
      </c>
      <c r="BW108" s="648" cm="1">
        <f t="array" ref="BW108">IFERROR(INDEX(tblLaminateStructures[Material / Layer],ROWS($BW$2:BW108)),"")</f>
        <v>0</v>
      </c>
      <c r="BX108" s="647" cm="1">
        <f t="array" ref="BX108">IFERROR(INDEX(tblLaminateStructures[Layer Thickness (µ)],ROWS($BX$2:BX108)),"")</f>
        <v>0</v>
      </c>
      <c r="BY108" s="647" t="str" cm="1">
        <f t="array" ref="BY108">IFERROR(INDEX(tblLaminateStructures[Structure Check],ROWS($BY$2:BY108)),"")</f>
        <v/>
      </c>
      <c r="BZ108" s="648" cm="1">
        <f t="array" ref="BZ108">IFERROR(INDEX(tblLaminateStructures[Laminate],ROWS($BZ$2:BZ108)),"")</f>
        <v>0</v>
      </c>
      <c r="CA108" s="648"/>
      <c r="CB108" s="648"/>
      <c r="CC108" s="647" cm="1">
        <f t="array" ref="CC108">IFERROR(INDEX(tblLaminateStructures[Total Thickness (µ)],ROWS($CC$2:CC108)),"")</f>
        <v>0</v>
      </c>
      <c r="CD108" s="647"/>
      <c r="CE108" s="647"/>
      <c r="CF108" s="647"/>
      <c r="CG108" s="648"/>
      <c r="CH108" s="649"/>
    </row>
    <row r="109" spans="48:86">
      <c r="AV109" s="623"/>
      <c r="AW109" s="624"/>
      <c r="AX109" s="623"/>
      <c r="AY109" s="624"/>
      <c r="AZ109"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09" s="623"/>
      <c r="BB109" s="623"/>
      <c r="BC109" s="623"/>
      <c r="BD109" s="623"/>
      <c r="BF109" s="631"/>
      <c r="BG109" s="631"/>
      <c r="BH109" s="631"/>
      <c r="BI109" s="631"/>
      <c r="BJ109" s="631"/>
      <c r="BK109" s="631"/>
      <c r="BL109" s="631"/>
      <c r="BM109" s="631"/>
      <c r="BN109" s="631"/>
      <c r="BO109" s="631"/>
      <c r="BP109" s="631"/>
      <c r="BQ109" s="631"/>
      <c r="BR109" s="631"/>
      <c r="BS109" s="631"/>
      <c r="BT109" s="631"/>
      <c r="BU109" s="646" t="str" cm="1">
        <f t="array" ref="BU109">IFERROR(_xlfn.LET(_xlpm.i,ROWS($BU$2:BU109),_xlpm.cur,INDEX(tblLaminateStructures[Laminate],_xlpm.i),_xlpm.prev,IF(_xlpm.i=1,"",INDEX(tblLaminateStructures[Laminate],_xlpm.i-1)),IF(_xlpm.cur&lt;&gt;_xlpm.prev,_xlpm.cur,"")),"")</f>
        <v/>
      </c>
      <c r="BV109" s="647" t="str" cm="1">
        <f t="array" ref="BV109">IFERROR(_xlfn.LET(_xlpm.i,ROWS($BV$2:BV109),_xlpm.cur,INDEX(tblLaminateStructures[Total Thickness (µ)],_xlpm.i),_xlpm.prev,IF(_xlpm.i=1,"",INDEX(tblLaminateStructures[Total Thickness (µ)],_xlpm.i-1)),IF(OR(_xlpm.cur&lt;&gt;_xlpm.prev,BU109&lt;&gt;""),_xlpm.cur,"")),"")</f>
        <v/>
      </c>
      <c r="BW109" s="648" cm="1">
        <f t="array" ref="BW109">IFERROR(INDEX(tblLaminateStructures[Material / Layer],ROWS($BW$2:BW109)),"")</f>
        <v>0</v>
      </c>
      <c r="BX109" s="647" cm="1">
        <f t="array" ref="BX109">IFERROR(INDEX(tblLaminateStructures[Layer Thickness (µ)],ROWS($BX$2:BX109)),"")</f>
        <v>0</v>
      </c>
      <c r="BY109" s="647" t="str" cm="1">
        <f t="array" ref="BY109">IFERROR(INDEX(tblLaminateStructures[Structure Check],ROWS($BY$2:BY109)),"")</f>
        <v/>
      </c>
      <c r="BZ109" s="648" cm="1">
        <f t="array" ref="BZ109">IFERROR(INDEX(tblLaminateStructures[Laminate],ROWS($BZ$2:BZ109)),"")</f>
        <v>0</v>
      </c>
      <c r="CA109" s="648"/>
      <c r="CB109" s="648"/>
      <c r="CC109" s="647" cm="1">
        <f t="array" ref="CC109">IFERROR(INDEX(tblLaminateStructures[Total Thickness (µ)],ROWS($CC$2:CC109)),"")</f>
        <v>0</v>
      </c>
      <c r="CD109" s="647"/>
      <c r="CE109" s="647"/>
      <c r="CF109" s="647"/>
      <c r="CG109" s="648"/>
      <c r="CH109" s="649"/>
    </row>
    <row r="110" spans="48:86">
      <c r="AV110" s="623"/>
      <c r="AW110" s="624"/>
      <c r="AX110" s="623"/>
      <c r="AY110" s="624"/>
      <c r="AZ110"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10" s="623"/>
      <c r="BB110" s="623"/>
      <c r="BC110" s="623"/>
      <c r="BD110" s="623"/>
      <c r="BF110" s="631"/>
      <c r="BG110" s="631"/>
      <c r="BH110" s="631"/>
      <c r="BI110" s="631"/>
      <c r="BJ110" s="631"/>
      <c r="BK110" s="631"/>
      <c r="BL110" s="631"/>
      <c r="BM110" s="631"/>
      <c r="BN110" s="631"/>
      <c r="BO110" s="631"/>
      <c r="BP110" s="631"/>
      <c r="BQ110" s="631"/>
      <c r="BR110" s="631"/>
      <c r="BS110" s="631"/>
      <c r="BT110" s="631"/>
      <c r="BU110" s="646" t="str" cm="1">
        <f t="array" ref="BU110">IFERROR(_xlfn.LET(_xlpm.i,ROWS($BU$2:BU110),_xlpm.cur,INDEX(tblLaminateStructures[Laminate],_xlpm.i),_xlpm.prev,IF(_xlpm.i=1,"",INDEX(tblLaminateStructures[Laminate],_xlpm.i-1)),IF(_xlpm.cur&lt;&gt;_xlpm.prev,_xlpm.cur,"")),"")</f>
        <v/>
      </c>
      <c r="BV110" s="647" t="str" cm="1">
        <f t="array" ref="BV110">IFERROR(_xlfn.LET(_xlpm.i,ROWS($BV$2:BV110),_xlpm.cur,INDEX(tblLaminateStructures[Total Thickness (µ)],_xlpm.i),_xlpm.prev,IF(_xlpm.i=1,"",INDEX(tblLaminateStructures[Total Thickness (µ)],_xlpm.i-1)),IF(OR(_xlpm.cur&lt;&gt;_xlpm.prev,BU110&lt;&gt;""),_xlpm.cur,"")),"")</f>
        <v/>
      </c>
      <c r="BW110" s="648" cm="1">
        <f t="array" ref="BW110">IFERROR(INDEX(tblLaminateStructures[Material / Layer],ROWS($BW$2:BW110)),"")</f>
        <v>0</v>
      </c>
      <c r="BX110" s="647" cm="1">
        <f t="array" ref="BX110">IFERROR(INDEX(tblLaminateStructures[Layer Thickness (µ)],ROWS($BX$2:BX110)),"")</f>
        <v>0</v>
      </c>
      <c r="BY110" s="647" t="str" cm="1">
        <f t="array" ref="BY110">IFERROR(INDEX(tblLaminateStructures[Structure Check],ROWS($BY$2:BY110)),"")</f>
        <v/>
      </c>
      <c r="BZ110" s="648" cm="1">
        <f t="array" ref="BZ110">IFERROR(INDEX(tblLaminateStructures[Laminate],ROWS($BZ$2:BZ110)),"")</f>
        <v>0</v>
      </c>
      <c r="CA110" s="648"/>
      <c r="CB110" s="648"/>
      <c r="CC110" s="647" cm="1">
        <f t="array" ref="CC110">IFERROR(INDEX(tblLaminateStructures[Total Thickness (µ)],ROWS($CC$2:CC110)),"")</f>
        <v>0</v>
      </c>
      <c r="CD110" s="647"/>
      <c r="CE110" s="647"/>
      <c r="CF110" s="647"/>
      <c r="CG110" s="648"/>
      <c r="CH110" s="649"/>
    </row>
    <row r="111" spans="48:86">
      <c r="AV111" s="623"/>
      <c r="AW111" s="624"/>
      <c r="AX111" s="623"/>
      <c r="AY111" s="624"/>
      <c r="AZ111"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11" s="623"/>
      <c r="BB111" s="623"/>
      <c r="BC111" s="623"/>
      <c r="BD111" s="623"/>
      <c r="BF111" s="631"/>
      <c r="BG111" s="631"/>
      <c r="BH111" s="631"/>
      <c r="BI111" s="631"/>
      <c r="BJ111" s="631"/>
      <c r="BK111" s="631"/>
      <c r="BL111" s="631"/>
      <c r="BM111" s="631"/>
      <c r="BN111" s="631"/>
      <c r="BO111" s="631"/>
      <c r="BP111" s="631"/>
      <c r="BQ111" s="631"/>
      <c r="BR111" s="631"/>
      <c r="BS111" s="631"/>
      <c r="BT111" s="631"/>
      <c r="BU111" s="646" t="str" cm="1">
        <f t="array" ref="BU111">IFERROR(_xlfn.LET(_xlpm.i,ROWS($BU$2:BU111),_xlpm.cur,INDEX(tblLaminateStructures[Laminate],_xlpm.i),_xlpm.prev,IF(_xlpm.i=1,"",INDEX(tblLaminateStructures[Laminate],_xlpm.i-1)),IF(_xlpm.cur&lt;&gt;_xlpm.prev,_xlpm.cur,"")),"")</f>
        <v/>
      </c>
      <c r="BV111" s="647" t="str" cm="1">
        <f t="array" ref="BV111">IFERROR(_xlfn.LET(_xlpm.i,ROWS($BV$2:BV111),_xlpm.cur,INDEX(tblLaminateStructures[Total Thickness (µ)],_xlpm.i),_xlpm.prev,IF(_xlpm.i=1,"",INDEX(tblLaminateStructures[Total Thickness (µ)],_xlpm.i-1)),IF(OR(_xlpm.cur&lt;&gt;_xlpm.prev,BU111&lt;&gt;""),_xlpm.cur,"")),"")</f>
        <v/>
      </c>
      <c r="BW111" s="648" cm="1">
        <f t="array" ref="BW111">IFERROR(INDEX(tblLaminateStructures[Material / Layer],ROWS($BW$2:BW111)),"")</f>
        <v>0</v>
      </c>
      <c r="BX111" s="647" cm="1">
        <f t="array" ref="BX111">IFERROR(INDEX(tblLaminateStructures[Layer Thickness (µ)],ROWS($BX$2:BX111)),"")</f>
        <v>0</v>
      </c>
      <c r="BY111" s="647" t="str" cm="1">
        <f t="array" ref="BY111">IFERROR(INDEX(tblLaminateStructures[Structure Check],ROWS($BY$2:BY111)),"")</f>
        <v/>
      </c>
      <c r="BZ111" s="648" cm="1">
        <f t="array" ref="BZ111">IFERROR(INDEX(tblLaminateStructures[Laminate],ROWS($BZ$2:BZ111)),"")</f>
        <v>0</v>
      </c>
      <c r="CA111" s="648"/>
      <c r="CB111" s="648"/>
      <c r="CC111" s="647" cm="1">
        <f t="array" ref="CC111">IFERROR(INDEX(tblLaminateStructures[Total Thickness (µ)],ROWS($CC$2:CC111)),"")</f>
        <v>0</v>
      </c>
      <c r="CD111" s="647"/>
      <c r="CE111" s="647"/>
      <c r="CF111" s="647"/>
      <c r="CG111" s="648"/>
      <c r="CH111" s="649"/>
    </row>
    <row r="112" spans="48:86">
      <c r="AV112" s="623"/>
      <c r="AW112" s="624"/>
      <c r="AX112" s="623"/>
      <c r="AY112" s="624"/>
      <c r="AZ112"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12" s="623"/>
      <c r="BB112" s="623"/>
      <c r="BC112" s="623"/>
      <c r="BD112" s="623"/>
      <c r="BF112" s="631"/>
      <c r="BG112" s="631"/>
      <c r="BH112" s="631"/>
      <c r="BI112" s="631"/>
      <c r="BJ112" s="631"/>
      <c r="BK112" s="631"/>
      <c r="BL112" s="631"/>
      <c r="BM112" s="631"/>
      <c r="BN112" s="631"/>
      <c r="BO112" s="631"/>
      <c r="BP112" s="631"/>
      <c r="BQ112" s="631"/>
      <c r="BR112" s="631"/>
      <c r="BS112" s="631"/>
      <c r="BT112" s="631"/>
      <c r="BU112" s="646" t="str" cm="1">
        <f t="array" ref="BU112">IFERROR(_xlfn.LET(_xlpm.i,ROWS($BU$2:BU112),_xlpm.cur,INDEX(tblLaminateStructures[Laminate],_xlpm.i),_xlpm.prev,IF(_xlpm.i=1,"",INDEX(tblLaminateStructures[Laminate],_xlpm.i-1)),IF(_xlpm.cur&lt;&gt;_xlpm.prev,_xlpm.cur,"")),"")</f>
        <v/>
      </c>
      <c r="BV112" s="647" t="str" cm="1">
        <f t="array" ref="BV112">IFERROR(_xlfn.LET(_xlpm.i,ROWS($BV$2:BV112),_xlpm.cur,INDEX(tblLaminateStructures[Total Thickness (µ)],_xlpm.i),_xlpm.prev,IF(_xlpm.i=1,"",INDEX(tblLaminateStructures[Total Thickness (µ)],_xlpm.i-1)),IF(OR(_xlpm.cur&lt;&gt;_xlpm.prev,BU112&lt;&gt;""),_xlpm.cur,"")),"")</f>
        <v/>
      </c>
      <c r="BW112" s="648" cm="1">
        <f t="array" ref="BW112">IFERROR(INDEX(tblLaminateStructures[Material / Layer],ROWS($BW$2:BW112)),"")</f>
        <v>0</v>
      </c>
      <c r="BX112" s="647" cm="1">
        <f t="array" ref="BX112">IFERROR(INDEX(tblLaminateStructures[Layer Thickness (µ)],ROWS($BX$2:BX112)),"")</f>
        <v>0</v>
      </c>
      <c r="BY112" s="647" t="str" cm="1">
        <f t="array" ref="BY112">IFERROR(INDEX(tblLaminateStructures[Structure Check],ROWS($BY$2:BY112)),"")</f>
        <v/>
      </c>
      <c r="BZ112" s="648" cm="1">
        <f t="array" ref="BZ112">IFERROR(INDEX(tblLaminateStructures[Laminate],ROWS($BZ$2:BZ112)),"")</f>
        <v>0</v>
      </c>
      <c r="CA112" s="648"/>
      <c r="CB112" s="648"/>
      <c r="CC112" s="647" cm="1">
        <f t="array" ref="CC112">IFERROR(INDEX(tblLaminateStructures[Total Thickness (µ)],ROWS($CC$2:CC112)),"")</f>
        <v>0</v>
      </c>
      <c r="CD112" s="647"/>
      <c r="CE112" s="647"/>
      <c r="CF112" s="647"/>
      <c r="CG112" s="648"/>
      <c r="CH112" s="649"/>
    </row>
    <row r="113" spans="48:86">
      <c r="AV113" s="623"/>
      <c r="AW113" s="624"/>
      <c r="AX113" s="623"/>
      <c r="AY113" s="624"/>
      <c r="AZ113"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13" s="623"/>
      <c r="BB113" s="623"/>
      <c r="BC113" s="623"/>
      <c r="BD113" s="623"/>
      <c r="BF113" s="631"/>
      <c r="BG113" s="631"/>
      <c r="BH113" s="631"/>
      <c r="BI113" s="631"/>
      <c r="BJ113" s="631"/>
      <c r="BK113" s="631"/>
      <c r="BL113" s="631"/>
      <c r="BM113" s="631"/>
      <c r="BN113" s="631"/>
      <c r="BO113" s="631"/>
      <c r="BP113" s="631"/>
      <c r="BQ113" s="631"/>
      <c r="BR113" s="631"/>
      <c r="BS113" s="631"/>
      <c r="BT113" s="631"/>
      <c r="BU113" s="646" t="str" cm="1">
        <f t="array" ref="BU113">IFERROR(_xlfn.LET(_xlpm.i,ROWS($BU$2:BU113),_xlpm.cur,INDEX(tblLaminateStructures[Laminate],_xlpm.i),_xlpm.prev,IF(_xlpm.i=1,"",INDEX(tblLaminateStructures[Laminate],_xlpm.i-1)),IF(_xlpm.cur&lt;&gt;_xlpm.prev,_xlpm.cur,"")),"")</f>
        <v/>
      </c>
      <c r="BV113" s="647" t="str" cm="1">
        <f t="array" ref="BV113">IFERROR(_xlfn.LET(_xlpm.i,ROWS($BV$2:BV113),_xlpm.cur,INDEX(tblLaminateStructures[Total Thickness (µ)],_xlpm.i),_xlpm.prev,IF(_xlpm.i=1,"",INDEX(tblLaminateStructures[Total Thickness (µ)],_xlpm.i-1)),IF(OR(_xlpm.cur&lt;&gt;_xlpm.prev,BU113&lt;&gt;""),_xlpm.cur,"")),"")</f>
        <v/>
      </c>
      <c r="BW113" s="648" cm="1">
        <f t="array" ref="BW113">IFERROR(INDEX(tblLaminateStructures[Material / Layer],ROWS($BW$2:BW113)),"")</f>
        <v>0</v>
      </c>
      <c r="BX113" s="647" cm="1">
        <f t="array" ref="BX113">IFERROR(INDEX(tblLaminateStructures[Layer Thickness (µ)],ROWS($BX$2:BX113)),"")</f>
        <v>0</v>
      </c>
      <c r="BY113" s="647" t="str" cm="1">
        <f t="array" ref="BY113">IFERROR(INDEX(tblLaminateStructures[Structure Check],ROWS($BY$2:BY113)),"")</f>
        <v/>
      </c>
      <c r="BZ113" s="648" cm="1">
        <f t="array" ref="BZ113">IFERROR(INDEX(tblLaminateStructures[Laminate],ROWS($BZ$2:BZ113)),"")</f>
        <v>0</v>
      </c>
      <c r="CA113" s="648"/>
      <c r="CB113" s="648"/>
      <c r="CC113" s="647" cm="1">
        <f t="array" ref="CC113">IFERROR(INDEX(tblLaminateStructures[Total Thickness (µ)],ROWS($CC$2:CC113)),"")</f>
        <v>0</v>
      </c>
      <c r="CD113" s="647"/>
      <c r="CE113" s="647"/>
      <c r="CF113" s="647"/>
      <c r="CG113" s="648"/>
      <c r="CH113" s="649"/>
    </row>
    <row r="114" spans="48:86">
      <c r="AV114" s="623"/>
      <c r="AW114" s="624"/>
      <c r="AX114" s="623"/>
      <c r="AY114" s="624"/>
      <c r="AZ114"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14" s="623"/>
      <c r="BB114" s="623"/>
      <c r="BC114" s="623"/>
      <c r="BD114" s="623"/>
      <c r="BF114" s="631"/>
      <c r="BG114" s="631"/>
      <c r="BH114" s="631"/>
      <c r="BI114" s="631"/>
      <c r="BJ114" s="631"/>
      <c r="BK114" s="631"/>
      <c r="BL114" s="631"/>
      <c r="BM114" s="631"/>
      <c r="BN114" s="631"/>
      <c r="BO114" s="631"/>
      <c r="BP114" s="631"/>
      <c r="BQ114" s="631"/>
      <c r="BR114" s="631"/>
      <c r="BS114" s="631"/>
      <c r="BT114" s="631"/>
      <c r="BU114" s="646" t="str" cm="1">
        <f t="array" ref="BU114">IFERROR(_xlfn.LET(_xlpm.i,ROWS($BU$2:BU114),_xlpm.cur,INDEX(tblLaminateStructures[Laminate],_xlpm.i),_xlpm.prev,IF(_xlpm.i=1,"",INDEX(tblLaminateStructures[Laminate],_xlpm.i-1)),IF(_xlpm.cur&lt;&gt;_xlpm.prev,_xlpm.cur,"")),"")</f>
        <v/>
      </c>
      <c r="BV114" s="647" t="str" cm="1">
        <f t="array" ref="BV114">IFERROR(_xlfn.LET(_xlpm.i,ROWS($BV$2:BV114),_xlpm.cur,INDEX(tblLaminateStructures[Total Thickness (µ)],_xlpm.i),_xlpm.prev,IF(_xlpm.i=1,"",INDEX(tblLaminateStructures[Total Thickness (µ)],_xlpm.i-1)),IF(OR(_xlpm.cur&lt;&gt;_xlpm.prev,BU114&lt;&gt;""),_xlpm.cur,"")),"")</f>
        <v/>
      </c>
      <c r="BW114" s="648" cm="1">
        <f t="array" ref="BW114">IFERROR(INDEX(tblLaminateStructures[Material / Layer],ROWS($BW$2:BW114)),"")</f>
        <v>0</v>
      </c>
      <c r="BX114" s="647" cm="1">
        <f t="array" ref="BX114">IFERROR(INDEX(tblLaminateStructures[Layer Thickness (µ)],ROWS($BX$2:BX114)),"")</f>
        <v>0</v>
      </c>
      <c r="BY114" s="647" t="str" cm="1">
        <f t="array" ref="BY114">IFERROR(INDEX(tblLaminateStructures[Structure Check],ROWS($BY$2:BY114)),"")</f>
        <v/>
      </c>
      <c r="BZ114" s="648" cm="1">
        <f t="array" ref="BZ114">IFERROR(INDEX(tblLaminateStructures[Laminate],ROWS($BZ$2:BZ114)),"")</f>
        <v>0</v>
      </c>
      <c r="CA114" s="648"/>
      <c r="CB114" s="648"/>
      <c r="CC114" s="647" cm="1">
        <f t="array" ref="CC114">IFERROR(INDEX(tblLaminateStructures[Total Thickness (µ)],ROWS($CC$2:CC114)),"")</f>
        <v>0</v>
      </c>
      <c r="CD114" s="647"/>
      <c r="CE114" s="647"/>
      <c r="CF114" s="647"/>
      <c r="CG114" s="648"/>
      <c r="CH114" s="649"/>
    </row>
    <row r="115" spans="48:86">
      <c r="AV115" s="623"/>
      <c r="AW115" s="624"/>
      <c r="AX115" s="623"/>
      <c r="AY115" s="624"/>
      <c r="AZ115"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15" s="623"/>
      <c r="BB115" s="623"/>
      <c r="BC115" s="623"/>
      <c r="BD115" s="623"/>
      <c r="BF115" s="631"/>
      <c r="BG115" s="631"/>
      <c r="BH115" s="631"/>
      <c r="BI115" s="631"/>
      <c r="BJ115" s="631"/>
      <c r="BK115" s="631"/>
      <c r="BL115" s="631"/>
      <c r="BM115" s="631"/>
      <c r="BN115" s="631"/>
      <c r="BO115" s="631"/>
      <c r="BP115" s="631"/>
      <c r="BQ115" s="631"/>
      <c r="BR115" s="631"/>
      <c r="BS115" s="631"/>
      <c r="BT115" s="631"/>
      <c r="BU115" s="646" t="str" cm="1">
        <f t="array" ref="BU115">IFERROR(_xlfn.LET(_xlpm.i,ROWS($BU$2:BU115),_xlpm.cur,INDEX(tblLaminateStructures[Laminate],_xlpm.i),_xlpm.prev,IF(_xlpm.i=1,"",INDEX(tblLaminateStructures[Laminate],_xlpm.i-1)),IF(_xlpm.cur&lt;&gt;_xlpm.prev,_xlpm.cur,"")),"")</f>
        <v/>
      </c>
      <c r="BV115" s="647" t="str" cm="1">
        <f t="array" ref="BV115">IFERROR(_xlfn.LET(_xlpm.i,ROWS($BV$2:BV115),_xlpm.cur,INDEX(tblLaminateStructures[Total Thickness (µ)],_xlpm.i),_xlpm.prev,IF(_xlpm.i=1,"",INDEX(tblLaminateStructures[Total Thickness (µ)],_xlpm.i-1)),IF(OR(_xlpm.cur&lt;&gt;_xlpm.prev,BU115&lt;&gt;""),_xlpm.cur,"")),"")</f>
        <v/>
      </c>
      <c r="BW115" s="648" cm="1">
        <f t="array" ref="BW115">IFERROR(INDEX(tblLaminateStructures[Material / Layer],ROWS($BW$2:BW115)),"")</f>
        <v>0</v>
      </c>
      <c r="BX115" s="647" cm="1">
        <f t="array" ref="BX115">IFERROR(INDEX(tblLaminateStructures[Layer Thickness (µ)],ROWS($BX$2:BX115)),"")</f>
        <v>0</v>
      </c>
      <c r="BY115" s="647" t="str" cm="1">
        <f t="array" ref="BY115">IFERROR(INDEX(tblLaminateStructures[Structure Check],ROWS($BY$2:BY115)),"")</f>
        <v/>
      </c>
      <c r="BZ115" s="648" cm="1">
        <f t="array" ref="BZ115">IFERROR(INDEX(tblLaminateStructures[Laminate],ROWS($BZ$2:BZ115)),"")</f>
        <v>0</v>
      </c>
      <c r="CA115" s="648"/>
      <c r="CB115" s="648"/>
      <c r="CC115" s="647" cm="1">
        <f t="array" ref="CC115">IFERROR(INDEX(tblLaminateStructures[Total Thickness (µ)],ROWS($CC$2:CC115)),"")</f>
        <v>0</v>
      </c>
      <c r="CD115" s="647"/>
      <c r="CE115" s="647"/>
      <c r="CF115" s="647"/>
      <c r="CG115" s="648"/>
      <c r="CH115" s="649"/>
    </row>
    <row r="116" spans="48:86">
      <c r="AV116" s="623"/>
      <c r="AW116" s="624"/>
      <c r="AX116" s="623"/>
      <c r="AY116" s="624"/>
      <c r="AZ116"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16" s="623"/>
      <c r="BB116" s="623"/>
      <c r="BC116" s="623"/>
      <c r="BD116" s="623"/>
      <c r="BF116" s="631"/>
      <c r="BG116" s="631"/>
      <c r="BH116" s="631"/>
      <c r="BI116" s="631"/>
      <c r="BJ116" s="631"/>
      <c r="BK116" s="631"/>
      <c r="BL116" s="631"/>
      <c r="BM116" s="631"/>
      <c r="BN116" s="631"/>
      <c r="BO116" s="631"/>
      <c r="BP116" s="631"/>
      <c r="BQ116" s="631"/>
      <c r="BR116" s="631"/>
      <c r="BS116" s="631"/>
      <c r="BT116" s="631"/>
      <c r="BU116" s="646" t="str" cm="1">
        <f t="array" ref="BU116">IFERROR(_xlfn.LET(_xlpm.i,ROWS($BU$2:BU116),_xlpm.cur,INDEX(tblLaminateStructures[Laminate],_xlpm.i),_xlpm.prev,IF(_xlpm.i=1,"",INDEX(tblLaminateStructures[Laminate],_xlpm.i-1)),IF(_xlpm.cur&lt;&gt;_xlpm.prev,_xlpm.cur,"")),"")</f>
        <v/>
      </c>
      <c r="BV116" s="647" t="str" cm="1">
        <f t="array" ref="BV116">IFERROR(_xlfn.LET(_xlpm.i,ROWS($BV$2:BV116),_xlpm.cur,INDEX(tblLaminateStructures[Total Thickness (µ)],_xlpm.i),_xlpm.prev,IF(_xlpm.i=1,"",INDEX(tblLaminateStructures[Total Thickness (µ)],_xlpm.i-1)),IF(OR(_xlpm.cur&lt;&gt;_xlpm.prev,BU116&lt;&gt;""),_xlpm.cur,"")),"")</f>
        <v/>
      </c>
      <c r="BW116" s="648" cm="1">
        <f t="array" ref="BW116">IFERROR(INDEX(tblLaminateStructures[Material / Layer],ROWS($BW$2:BW116)),"")</f>
        <v>0</v>
      </c>
      <c r="BX116" s="647" cm="1">
        <f t="array" ref="BX116">IFERROR(INDEX(tblLaminateStructures[Layer Thickness (µ)],ROWS($BX$2:BX116)),"")</f>
        <v>0</v>
      </c>
      <c r="BY116" s="647" t="str" cm="1">
        <f t="array" ref="BY116">IFERROR(INDEX(tblLaminateStructures[Structure Check],ROWS($BY$2:BY116)),"")</f>
        <v/>
      </c>
      <c r="BZ116" s="648" cm="1">
        <f t="array" ref="BZ116">IFERROR(INDEX(tblLaminateStructures[Laminate],ROWS($BZ$2:BZ116)),"")</f>
        <v>0</v>
      </c>
      <c r="CA116" s="648"/>
      <c r="CB116" s="648"/>
      <c r="CC116" s="647" cm="1">
        <f t="array" ref="CC116">IFERROR(INDEX(tblLaminateStructures[Total Thickness (µ)],ROWS($CC$2:CC116)),"")</f>
        <v>0</v>
      </c>
      <c r="CD116" s="647"/>
      <c r="CE116" s="647"/>
      <c r="CF116" s="647"/>
      <c r="CG116" s="648"/>
      <c r="CH116" s="649"/>
    </row>
    <row r="117" spans="48:86">
      <c r="AV117" s="623"/>
      <c r="AW117" s="624"/>
      <c r="AX117" s="623"/>
      <c r="AY117" s="624"/>
      <c r="AZ117"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17" s="623"/>
      <c r="BB117" s="623"/>
      <c r="BC117" s="623"/>
      <c r="BD117" s="623"/>
      <c r="BF117" s="631"/>
      <c r="BG117" s="631"/>
      <c r="BH117" s="631"/>
      <c r="BI117" s="631"/>
      <c r="BJ117" s="631"/>
      <c r="BK117" s="631"/>
      <c r="BL117" s="631"/>
      <c r="BM117" s="631"/>
      <c r="BN117" s="631"/>
      <c r="BO117" s="631"/>
      <c r="BP117" s="631"/>
      <c r="BQ117" s="631"/>
      <c r="BR117" s="631"/>
      <c r="BS117" s="631"/>
      <c r="BT117" s="631"/>
      <c r="BU117" s="646" t="str" cm="1">
        <f t="array" ref="BU117">IFERROR(_xlfn.LET(_xlpm.i,ROWS($BU$2:BU117),_xlpm.cur,INDEX(tblLaminateStructures[Laminate],_xlpm.i),_xlpm.prev,IF(_xlpm.i=1,"",INDEX(tblLaminateStructures[Laminate],_xlpm.i-1)),IF(_xlpm.cur&lt;&gt;_xlpm.prev,_xlpm.cur,"")),"")</f>
        <v/>
      </c>
      <c r="BV117" s="647" t="str" cm="1">
        <f t="array" ref="BV117">IFERROR(_xlfn.LET(_xlpm.i,ROWS($BV$2:BV117),_xlpm.cur,INDEX(tblLaminateStructures[Total Thickness (µ)],_xlpm.i),_xlpm.prev,IF(_xlpm.i=1,"",INDEX(tblLaminateStructures[Total Thickness (µ)],_xlpm.i-1)),IF(OR(_xlpm.cur&lt;&gt;_xlpm.prev,BU117&lt;&gt;""),_xlpm.cur,"")),"")</f>
        <v/>
      </c>
      <c r="BW117" s="648" cm="1">
        <f t="array" ref="BW117">IFERROR(INDEX(tblLaminateStructures[Material / Layer],ROWS($BW$2:BW117)),"")</f>
        <v>0</v>
      </c>
      <c r="BX117" s="647" cm="1">
        <f t="array" ref="BX117">IFERROR(INDEX(tblLaminateStructures[Layer Thickness (µ)],ROWS($BX$2:BX117)),"")</f>
        <v>0</v>
      </c>
      <c r="BY117" s="647" t="str" cm="1">
        <f t="array" ref="BY117">IFERROR(INDEX(tblLaminateStructures[Structure Check],ROWS($BY$2:BY117)),"")</f>
        <v/>
      </c>
      <c r="BZ117" s="648" cm="1">
        <f t="array" ref="BZ117">IFERROR(INDEX(tblLaminateStructures[Laminate],ROWS($BZ$2:BZ117)),"")</f>
        <v>0</v>
      </c>
      <c r="CA117" s="648"/>
      <c r="CB117" s="648"/>
      <c r="CC117" s="647" cm="1">
        <f t="array" ref="CC117">IFERROR(INDEX(tblLaminateStructures[Total Thickness (µ)],ROWS($CC$2:CC117)),"")</f>
        <v>0</v>
      </c>
      <c r="CD117" s="647"/>
      <c r="CE117" s="647"/>
      <c r="CF117" s="647"/>
      <c r="CG117" s="648"/>
      <c r="CH117" s="649"/>
    </row>
    <row r="118" spans="48:86">
      <c r="AV118" s="623"/>
      <c r="AW118" s="624"/>
      <c r="AX118" s="623"/>
      <c r="AY118" s="624"/>
      <c r="AZ118"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18" s="623"/>
      <c r="BB118" s="623"/>
      <c r="BC118" s="623"/>
      <c r="BD118" s="623"/>
      <c r="BF118" s="631"/>
      <c r="BG118" s="631"/>
      <c r="BH118" s="631"/>
      <c r="BI118" s="631"/>
      <c r="BJ118" s="631"/>
      <c r="BK118" s="631"/>
      <c r="BL118" s="631"/>
      <c r="BM118" s="631"/>
      <c r="BN118" s="631"/>
      <c r="BO118" s="631"/>
      <c r="BP118" s="631"/>
      <c r="BQ118" s="631"/>
      <c r="BR118" s="631"/>
      <c r="BS118" s="631"/>
      <c r="BT118" s="631"/>
      <c r="BU118" s="646" t="str" cm="1">
        <f t="array" ref="BU118">IFERROR(_xlfn.LET(_xlpm.i,ROWS($BU$2:BU118),_xlpm.cur,INDEX(tblLaminateStructures[Laminate],_xlpm.i),_xlpm.prev,IF(_xlpm.i=1,"",INDEX(tblLaminateStructures[Laminate],_xlpm.i-1)),IF(_xlpm.cur&lt;&gt;_xlpm.prev,_xlpm.cur,"")),"")</f>
        <v/>
      </c>
      <c r="BV118" s="647" t="str" cm="1">
        <f t="array" ref="BV118">IFERROR(_xlfn.LET(_xlpm.i,ROWS($BV$2:BV118),_xlpm.cur,INDEX(tblLaminateStructures[Total Thickness (µ)],_xlpm.i),_xlpm.prev,IF(_xlpm.i=1,"",INDEX(tblLaminateStructures[Total Thickness (µ)],_xlpm.i-1)),IF(OR(_xlpm.cur&lt;&gt;_xlpm.prev,BU118&lt;&gt;""),_xlpm.cur,"")),"")</f>
        <v/>
      </c>
      <c r="BW118" s="648" cm="1">
        <f t="array" ref="BW118">IFERROR(INDEX(tblLaminateStructures[Material / Layer],ROWS($BW$2:BW118)),"")</f>
        <v>0</v>
      </c>
      <c r="BX118" s="647" cm="1">
        <f t="array" ref="BX118">IFERROR(INDEX(tblLaminateStructures[Layer Thickness (µ)],ROWS($BX$2:BX118)),"")</f>
        <v>0</v>
      </c>
      <c r="BY118" s="647" t="str" cm="1">
        <f t="array" ref="BY118">IFERROR(INDEX(tblLaminateStructures[Structure Check],ROWS($BY$2:BY118)),"")</f>
        <v/>
      </c>
      <c r="BZ118" s="648" cm="1">
        <f t="array" ref="BZ118">IFERROR(INDEX(tblLaminateStructures[Laminate],ROWS($BZ$2:BZ118)),"")</f>
        <v>0</v>
      </c>
      <c r="CA118" s="648"/>
      <c r="CB118" s="648"/>
      <c r="CC118" s="647" cm="1">
        <f t="array" ref="CC118">IFERROR(INDEX(tblLaminateStructures[Total Thickness (µ)],ROWS($CC$2:CC118)),"")</f>
        <v>0</v>
      </c>
      <c r="CD118" s="647"/>
      <c r="CE118" s="647"/>
      <c r="CF118" s="647"/>
      <c r="CG118" s="648"/>
      <c r="CH118" s="649"/>
    </row>
    <row r="119" spans="48:86">
      <c r="AV119" s="623"/>
      <c r="AW119" s="624"/>
      <c r="AX119" s="623"/>
      <c r="AY119" s="624"/>
      <c r="AZ119"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19" s="623"/>
      <c r="BB119" s="623"/>
      <c r="BC119" s="623"/>
      <c r="BD119" s="623"/>
      <c r="BF119" s="631"/>
      <c r="BG119" s="631"/>
      <c r="BH119" s="631"/>
      <c r="BI119" s="631"/>
      <c r="BJ119" s="631"/>
      <c r="BK119" s="631"/>
      <c r="BL119" s="631"/>
      <c r="BM119" s="631"/>
      <c r="BN119" s="631"/>
      <c r="BO119" s="631"/>
      <c r="BP119" s="631"/>
      <c r="BQ119" s="631"/>
      <c r="BR119" s="631"/>
      <c r="BS119" s="631"/>
      <c r="BT119" s="631"/>
      <c r="BU119" s="646" t="str" cm="1">
        <f t="array" ref="BU119">IFERROR(_xlfn.LET(_xlpm.i,ROWS($BU$2:BU119),_xlpm.cur,INDEX(tblLaminateStructures[Laminate],_xlpm.i),_xlpm.prev,IF(_xlpm.i=1,"",INDEX(tblLaminateStructures[Laminate],_xlpm.i-1)),IF(_xlpm.cur&lt;&gt;_xlpm.prev,_xlpm.cur,"")),"")</f>
        <v/>
      </c>
      <c r="BV119" s="647" t="str" cm="1">
        <f t="array" ref="BV119">IFERROR(_xlfn.LET(_xlpm.i,ROWS($BV$2:BV119),_xlpm.cur,INDEX(tblLaminateStructures[Total Thickness (µ)],_xlpm.i),_xlpm.prev,IF(_xlpm.i=1,"",INDEX(tblLaminateStructures[Total Thickness (µ)],_xlpm.i-1)),IF(OR(_xlpm.cur&lt;&gt;_xlpm.prev,BU119&lt;&gt;""),_xlpm.cur,"")),"")</f>
        <v/>
      </c>
      <c r="BW119" s="648" cm="1">
        <f t="array" ref="BW119">IFERROR(INDEX(tblLaminateStructures[Material / Layer],ROWS($BW$2:BW119)),"")</f>
        <v>0</v>
      </c>
      <c r="BX119" s="647" cm="1">
        <f t="array" ref="BX119">IFERROR(INDEX(tblLaminateStructures[Layer Thickness (µ)],ROWS($BX$2:BX119)),"")</f>
        <v>0</v>
      </c>
      <c r="BY119" s="647" t="str" cm="1">
        <f t="array" ref="BY119">IFERROR(INDEX(tblLaminateStructures[Structure Check],ROWS($BY$2:BY119)),"")</f>
        <v/>
      </c>
      <c r="BZ119" s="648" cm="1">
        <f t="array" ref="BZ119">IFERROR(INDEX(tblLaminateStructures[Laminate],ROWS($BZ$2:BZ119)),"")</f>
        <v>0</v>
      </c>
      <c r="CA119" s="648"/>
      <c r="CB119" s="648"/>
      <c r="CC119" s="647" cm="1">
        <f t="array" ref="CC119">IFERROR(INDEX(tblLaminateStructures[Total Thickness (µ)],ROWS($CC$2:CC119)),"")</f>
        <v>0</v>
      </c>
      <c r="CD119" s="647"/>
      <c r="CE119" s="647"/>
      <c r="CF119" s="647"/>
      <c r="CG119" s="648"/>
      <c r="CH119" s="649"/>
    </row>
    <row r="120" spans="48:86">
      <c r="AV120" s="623"/>
      <c r="AW120" s="624"/>
      <c r="AX120" s="623"/>
      <c r="AY120" s="624"/>
      <c r="AZ120"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20" s="623"/>
      <c r="BB120" s="623"/>
      <c r="BC120" s="623"/>
      <c r="BD120" s="623"/>
      <c r="BF120" s="631"/>
      <c r="BG120" s="631"/>
      <c r="BH120" s="631"/>
      <c r="BI120" s="631"/>
      <c r="BJ120" s="631"/>
      <c r="BK120" s="631"/>
      <c r="BL120" s="631"/>
      <c r="BM120" s="631"/>
      <c r="BN120" s="631"/>
      <c r="BO120" s="631"/>
      <c r="BP120" s="631"/>
      <c r="BQ120" s="631"/>
      <c r="BR120" s="631"/>
      <c r="BS120" s="631"/>
      <c r="BT120" s="631"/>
      <c r="BU120" s="646" t="str" cm="1">
        <f t="array" ref="BU120">IFERROR(_xlfn.LET(_xlpm.i,ROWS($BU$2:BU120),_xlpm.cur,INDEX(tblLaminateStructures[Laminate],_xlpm.i),_xlpm.prev,IF(_xlpm.i=1,"",INDEX(tblLaminateStructures[Laminate],_xlpm.i-1)),IF(_xlpm.cur&lt;&gt;_xlpm.prev,_xlpm.cur,"")),"")</f>
        <v/>
      </c>
      <c r="BV120" s="647" t="str" cm="1">
        <f t="array" ref="BV120">IFERROR(_xlfn.LET(_xlpm.i,ROWS($BV$2:BV120),_xlpm.cur,INDEX(tblLaminateStructures[Total Thickness (µ)],_xlpm.i),_xlpm.prev,IF(_xlpm.i=1,"",INDEX(tblLaminateStructures[Total Thickness (µ)],_xlpm.i-1)),IF(OR(_xlpm.cur&lt;&gt;_xlpm.prev,BU120&lt;&gt;""),_xlpm.cur,"")),"")</f>
        <v/>
      </c>
      <c r="BW120" s="648" cm="1">
        <f t="array" ref="BW120">IFERROR(INDEX(tblLaminateStructures[Material / Layer],ROWS($BW$2:BW120)),"")</f>
        <v>0</v>
      </c>
      <c r="BX120" s="647" cm="1">
        <f t="array" ref="BX120">IFERROR(INDEX(tblLaminateStructures[Layer Thickness (µ)],ROWS($BX$2:BX120)),"")</f>
        <v>0</v>
      </c>
      <c r="BY120" s="647" t="str" cm="1">
        <f t="array" ref="BY120">IFERROR(INDEX(tblLaminateStructures[Structure Check],ROWS($BY$2:BY120)),"")</f>
        <v/>
      </c>
      <c r="BZ120" s="648" cm="1">
        <f t="array" ref="BZ120">IFERROR(INDEX(tblLaminateStructures[Laminate],ROWS($BZ$2:BZ120)),"")</f>
        <v>0</v>
      </c>
      <c r="CA120" s="648"/>
      <c r="CB120" s="648"/>
      <c r="CC120" s="647" cm="1">
        <f t="array" ref="CC120">IFERROR(INDEX(tblLaminateStructures[Total Thickness (µ)],ROWS($CC$2:CC120)),"")</f>
        <v>0</v>
      </c>
      <c r="CD120" s="647"/>
      <c r="CE120" s="647"/>
      <c r="CF120" s="647"/>
      <c r="CG120" s="648"/>
      <c r="CH120" s="649"/>
    </row>
    <row r="121" spans="48:86">
      <c r="AV121" s="623"/>
      <c r="AW121" s="624"/>
      <c r="AX121" s="623"/>
      <c r="AY121" s="624"/>
      <c r="AZ121"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21" s="623"/>
      <c r="BB121" s="623"/>
      <c r="BC121" s="623"/>
      <c r="BD121" s="623"/>
      <c r="BF121" s="631"/>
      <c r="BG121" s="631"/>
      <c r="BH121" s="631"/>
      <c r="BI121" s="631"/>
      <c r="BJ121" s="631"/>
      <c r="BK121" s="631"/>
      <c r="BL121" s="631"/>
      <c r="BM121" s="631"/>
      <c r="BN121" s="631"/>
      <c r="BO121" s="631"/>
      <c r="BP121" s="631"/>
      <c r="BQ121" s="631"/>
      <c r="BR121" s="631"/>
      <c r="BS121" s="631"/>
      <c r="BT121" s="631"/>
      <c r="BU121" s="646" t="str" cm="1">
        <f t="array" ref="BU121">IFERROR(_xlfn.LET(_xlpm.i,ROWS($BU$2:BU121),_xlpm.cur,INDEX(tblLaminateStructures[Laminate],_xlpm.i),_xlpm.prev,IF(_xlpm.i=1,"",INDEX(tblLaminateStructures[Laminate],_xlpm.i-1)),IF(_xlpm.cur&lt;&gt;_xlpm.prev,_xlpm.cur,"")),"")</f>
        <v/>
      </c>
      <c r="BV121" s="647" t="str" cm="1">
        <f t="array" ref="BV121">IFERROR(_xlfn.LET(_xlpm.i,ROWS($BV$2:BV121),_xlpm.cur,INDEX(tblLaminateStructures[Total Thickness (µ)],_xlpm.i),_xlpm.prev,IF(_xlpm.i=1,"",INDEX(tblLaminateStructures[Total Thickness (µ)],_xlpm.i-1)),IF(OR(_xlpm.cur&lt;&gt;_xlpm.prev,BU121&lt;&gt;""),_xlpm.cur,"")),"")</f>
        <v/>
      </c>
      <c r="BW121" s="648" cm="1">
        <f t="array" ref="BW121">IFERROR(INDEX(tblLaminateStructures[Material / Layer],ROWS($BW$2:BW121)),"")</f>
        <v>0</v>
      </c>
      <c r="BX121" s="647" cm="1">
        <f t="array" ref="BX121">IFERROR(INDEX(tblLaminateStructures[Layer Thickness (µ)],ROWS($BX$2:BX121)),"")</f>
        <v>0</v>
      </c>
      <c r="BY121" s="647" t="str" cm="1">
        <f t="array" ref="BY121">IFERROR(INDEX(tblLaminateStructures[Structure Check],ROWS($BY$2:BY121)),"")</f>
        <v/>
      </c>
      <c r="BZ121" s="648" cm="1">
        <f t="array" ref="BZ121">IFERROR(INDEX(tblLaminateStructures[Laminate],ROWS($BZ$2:BZ121)),"")</f>
        <v>0</v>
      </c>
      <c r="CA121" s="648"/>
      <c r="CB121" s="648"/>
      <c r="CC121" s="647" cm="1">
        <f t="array" ref="CC121">IFERROR(INDEX(tblLaminateStructures[Total Thickness (µ)],ROWS($CC$2:CC121)),"")</f>
        <v>0</v>
      </c>
      <c r="CD121" s="647"/>
      <c r="CE121" s="647"/>
      <c r="CF121" s="647"/>
      <c r="CG121" s="648"/>
      <c r="CH121" s="649"/>
    </row>
    <row r="122" spans="48:86">
      <c r="AV122" s="623"/>
      <c r="AW122" s="624"/>
      <c r="AX122" s="623"/>
      <c r="AY122" s="624"/>
      <c r="AZ122"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22" s="623"/>
      <c r="BB122" s="623"/>
      <c r="BC122" s="623"/>
      <c r="BD122" s="623"/>
      <c r="BF122" s="631"/>
      <c r="BG122" s="631"/>
      <c r="BH122" s="631"/>
      <c r="BI122" s="631"/>
      <c r="BJ122" s="631"/>
      <c r="BK122" s="631"/>
      <c r="BL122" s="631"/>
      <c r="BM122" s="631"/>
      <c r="BN122" s="631"/>
      <c r="BO122" s="631"/>
      <c r="BP122" s="631"/>
      <c r="BQ122" s="631"/>
      <c r="BR122" s="631"/>
      <c r="BS122" s="631"/>
      <c r="BT122" s="631"/>
      <c r="BU122" s="646" t="str" cm="1">
        <f t="array" ref="BU122">IFERROR(_xlfn.LET(_xlpm.i,ROWS($BU$2:BU122),_xlpm.cur,INDEX(tblLaminateStructures[Laminate],_xlpm.i),_xlpm.prev,IF(_xlpm.i=1,"",INDEX(tblLaminateStructures[Laminate],_xlpm.i-1)),IF(_xlpm.cur&lt;&gt;_xlpm.prev,_xlpm.cur,"")),"")</f>
        <v/>
      </c>
      <c r="BV122" s="647" t="str" cm="1">
        <f t="array" ref="BV122">IFERROR(_xlfn.LET(_xlpm.i,ROWS($BV$2:BV122),_xlpm.cur,INDEX(tblLaminateStructures[Total Thickness (µ)],_xlpm.i),_xlpm.prev,IF(_xlpm.i=1,"",INDEX(tblLaminateStructures[Total Thickness (µ)],_xlpm.i-1)),IF(OR(_xlpm.cur&lt;&gt;_xlpm.prev,BU122&lt;&gt;""),_xlpm.cur,"")),"")</f>
        <v/>
      </c>
      <c r="BW122" s="648" cm="1">
        <f t="array" ref="BW122">IFERROR(INDEX(tblLaminateStructures[Material / Layer],ROWS($BW$2:BW122)),"")</f>
        <v>0</v>
      </c>
      <c r="BX122" s="647" cm="1">
        <f t="array" ref="BX122">IFERROR(INDEX(tblLaminateStructures[Layer Thickness (µ)],ROWS($BX$2:BX122)),"")</f>
        <v>0</v>
      </c>
      <c r="BY122" s="647" t="str" cm="1">
        <f t="array" ref="BY122">IFERROR(INDEX(tblLaminateStructures[Structure Check],ROWS($BY$2:BY122)),"")</f>
        <v/>
      </c>
      <c r="BZ122" s="648" cm="1">
        <f t="array" ref="BZ122">IFERROR(INDEX(tblLaminateStructures[Laminate],ROWS($BZ$2:BZ122)),"")</f>
        <v>0</v>
      </c>
      <c r="CA122" s="648"/>
      <c r="CB122" s="648"/>
      <c r="CC122" s="647" cm="1">
        <f t="array" ref="CC122">IFERROR(INDEX(tblLaminateStructures[Total Thickness (µ)],ROWS($CC$2:CC122)),"")</f>
        <v>0</v>
      </c>
      <c r="CD122" s="647"/>
      <c r="CE122" s="647"/>
      <c r="CF122" s="647"/>
      <c r="CG122" s="648"/>
      <c r="CH122" s="649"/>
    </row>
    <row r="123" spans="48:86">
      <c r="AV123" s="623"/>
      <c r="AW123" s="624"/>
      <c r="AX123" s="623"/>
      <c r="AY123" s="624"/>
      <c r="AZ123"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23" s="623"/>
      <c r="BB123" s="623"/>
      <c r="BC123" s="623"/>
      <c r="BD123" s="623"/>
      <c r="BF123" s="631"/>
      <c r="BG123" s="631"/>
      <c r="BH123" s="631"/>
      <c r="BI123" s="631"/>
      <c r="BJ123" s="631"/>
      <c r="BK123" s="631"/>
      <c r="BL123" s="631"/>
      <c r="BM123" s="631"/>
      <c r="BN123" s="631"/>
      <c r="BO123" s="631"/>
      <c r="BP123" s="631"/>
      <c r="BQ123" s="631"/>
      <c r="BR123" s="631"/>
      <c r="BS123" s="631"/>
      <c r="BT123" s="631"/>
      <c r="BU123" s="646" t="str" cm="1">
        <f t="array" ref="BU123">IFERROR(_xlfn.LET(_xlpm.i,ROWS($BU$2:BU123),_xlpm.cur,INDEX(tblLaminateStructures[Laminate],_xlpm.i),_xlpm.prev,IF(_xlpm.i=1,"",INDEX(tblLaminateStructures[Laminate],_xlpm.i-1)),IF(_xlpm.cur&lt;&gt;_xlpm.prev,_xlpm.cur,"")),"")</f>
        <v/>
      </c>
      <c r="BV123" s="647" t="str" cm="1">
        <f t="array" ref="BV123">IFERROR(_xlfn.LET(_xlpm.i,ROWS($BV$2:BV123),_xlpm.cur,INDEX(tblLaminateStructures[Total Thickness (µ)],_xlpm.i),_xlpm.prev,IF(_xlpm.i=1,"",INDEX(tblLaminateStructures[Total Thickness (µ)],_xlpm.i-1)),IF(OR(_xlpm.cur&lt;&gt;_xlpm.prev,BU123&lt;&gt;""),_xlpm.cur,"")),"")</f>
        <v/>
      </c>
      <c r="BW123" s="648" cm="1">
        <f t="array" ref="BW123">IFERROR(INDEX(tblLaminateStructures[Material / Layer],ROWS($BW$2:BW123)),"")</f>
        <v>0</v>
      </c>
      <c r="BX123" s="647" cm="1">
        <f t="array" ref="BX123">IFERROR(INDEX(tblLaminateStructures[Layer Thickness (µ)],ROWS($BX$2:BX123)),"")</f>
        <v>0</v>
      </c>
      <c r="BY123" s="647" t="str" cm="1">
        <f t="array" ref="BY123">IFERROR(INDEX(tblLaminateStructures[Structure Check],ROWS($BY$2:BY123)),"")</f>
        <v/>
      </c>
      <c r="BZ123" s="648" cm="1">
        <f t="array" ref="BZ123">IFERROR(INDEX(tblLaminateStructures[Laminate],ROWS($BZ$2:BZ123)),"")</f>
        <v>0</v>
      </c>
      <c r="CA123" s="648"/>
      <c r="CB123" s="648"/>
      <c r="CC123" s="647" cm="1">
        <f t="array" ref="CC123">IFERROR(INDEX(tblLaminateStructures[Total Thickness (µ)],ROWS($CC$2:CC123)),"")</f>
        <v>0</v>
      </c>
      <c r="CD123" s="647"/>
      <c r="CE123" s="647"/>
      <c r="CF123" s="647"/>
      <c r="CG123" s="648"/>
      <c r="CH123" s="649"/>
    </row>
    <row r="124" spans="48:86">
      <c r="AV124" s="623"/>
      <c r="AW124" s="624"/>
      <c r="AX124" s="623"/>
      <c r="AY124" s="624"/>
      <c r="AZ124"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24" s="623"/>
      <c r="BB124" s="623"/>
      <c r="BC124" s="623"/>
      <c r="BD124" s="623"/>
      <c r="BF124" s="631"/>
      <c r="BG124" s="631"/>
      <c r="BH124" s="631"/>
      <c r="BI124" s="631"/>
      <c r="BJ124" s="631"/>
      <c r="BK124" s="631"/>
      <c r="BL124" s="631"/>
      <c r="BM124" s="631"/>
      <c r="BN124" s="631"/>
      <c r="BO124" s="631"/>
      <c r="BP124" s="631"/>
      <c r="BQ124" s="631"/>
      <c r="BR124" s="631"/>
      <c r="BS124" s="631"/>
      <c r="BT124" s="631"/>
      <c r="BU124" s="646" t="str" cm="1">
        <f t="array" ref="BU124">IFERROR(_xlfn.LET(_xlpm.i,ROWS($BU$2:BU124),_xlpm.cur,INDEX(tblLaminateStructures[Laminate],_xlpm.i),_xlpm.prev,IF(_xlpm.i=1,"",INDEX(tblLaminateStructures[Laminate],_xlpm.i-1)),IF(_xlpm.cur&lt;&gt;_xlpm.prev,_xlpm.cur,"")),"")</f>
        <v/>
      </c>
      <c r="BV124" s="647" t="str" cm="1">
        <f t="array" ref="BV124">IFERROR(_xlfn.LET(_xlpm.i,ROWS($BV$2:BV124),_xlpm.cur,INDEX(tblLaminateStructures[Total Thickness (µ)],_xlpm.i),_xlpm.prev,IF(_xlpm.i=1,"",INDEX(tblLaminateStructures[Total Thickness (µ)],_xlpm.i-1)),IF(OR(_xlpm.cur&lt;&gt;_xlpm.prev,BU124&lt;&gt;""),_xlpm.cur,"")),"")</f>
        <v/>
      </c>
      <c r="BW124" s="648" cm="1">
        <f t="array" ref="BW124">IFERROR(INDEX(tblLaminateStructures[Material / Layer],ROWS($BW$2:BW124)),"")</f>
        <v>0</v>
      </c>
      <c r="BX124" s="647" cm="1">
        <f t="array" ref="BX124">IFERROR(INDEX(tblLaminateStructures[Layer Thickness (µ)],ROWS($BX$2:BX124)),"")</f>
        <v>0</v>
      </c>
      <c r="BY124" s="647" t="str" cm="1">
        <f t="array" ref="BY124">IFERROR(INDEX(tblLaminateStructures[Structure Check],ROWS($BY$2:BY124)),"")</f>
        <v/>
      </c>
      <c r="BZ124" s="648" cm="1">
        <f t="array" ref="BZ124">IFERROR(INDEX(tblLaminateStructures[Laminate],ROWS($BZ$2:BZ124)),"")</f>
        <v>0</v>
      </c>
      <c r="CA124" s="648"/>
      <c r="CB124" s="648"/>
      <c r="CC124" s="647" cm="1">
        <f t="array" ref="CC124">IFERROR(INDEX(tblLaminateStructures[Total Thickness (µ)],ROWS($CC$2:CC124)),"")</f>
        <v>0</v>
      </c>
      <c r="CD124" s="647"/>
      <c r="CE124" s="647"/>
      <c r="CF124" s="647"/>
      <c r="CG124" s="648"/>
      <c r="CH124" s="649"/>
    </row>
    <row r="125" spans="48:86">
      <c r="AV125" s="623"/>
      <c r="AW125" s="624"/>
      <c r="AX125" s="623"/>
      <c r="AY125" s="624"/>
      <c r="AZ125"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25" s="623"/>
      <c r="BB125" s="623"/>
      <c r="BC125" s="623"/>
      <c r="BD125" s="623"/>
      <c r="BF125" s="631"/>
      <c r="BG125" s="631"/>
      <c r="BH125" s="631"/>
      <c r="BI125" s="631"/>
      <c r="BJ125" s="631"/>
      <c r="BK125" s="631"/>
      <c r="BL125" s="631"/>
      <c r="BM125" s="631"/>
      <c r="BN125" s="631"/>
      <c r="BO125" s="631"/>
      <c r="BP125" s="631"/>
      <c r="BQ125" s="631"/>
      <c r="BR125" s="631"/>
      <c r="BS125" s="631"/>
      <c r="BT125" s="631"/>
      <c r="BU125" s="646" t="str" cm="1">
        <f t="array" ref="BU125">IFERROR(_xlfn.LET(_xlpm.i,ROWS($BU$2:BU125),_xlpm.cur,INDEX(tblLaminateStructures[Laminate],_xlpm.i),_xlpm.prev,IF(_xlpm.i=1,"",INDEX(tblLaminateStructures[Laminate],_xlpm.i-1)),IF(_xlpm.cur&lt;&gt;_xlpm.prev,_xlpm.cur,"")),"")</f>
        <v/>
      </c>
      <c r="BV125" s="647" t="str" cm="1">
        <f t="array" ref="BV125">IFERROR(_xlfn.LET(_xlpm.i,ROWS($BV$2:BV125),_xlpm.cur,INDEX(tblLaminateStructures[Total Thickness (µ)],_xlpm.i),_xlpm.prev,IF(_xlpm.i=1,"",INDEX(tblLaminateStructures[Total Thickness (µ)],_xlpm.i-1)),IF(OR(_xlpm.cur&lt;&gt;_xlpm.prev,BU125&lt;&gt;""),_xlpm.cur,"")),"")</f>
        <v/>
      </c>
      <c r="BW125" s="648" cm="1">
        <f t="array" ref="BW125">IFERROR(INDEX(tblLaminateStructures[Material / Layer],ROWS($BW$2:BW125)),"")</f>
        <v>0</v>
      </c>
      <c r="BX125" s="647" cm="1">
        <f t="array" ref="BX125">IFERROR(INDEX(tblLaminateStructures[Layer Thickness (µ)],ROWS($BX$2:BX125)),"")</f>
        <v>0</v>
      </c>
      <c r="BY125" s="647" t="str" cm="1">
        <f t="array" ref="BY125">IFERROR(INDEX(tblLaminateStructures[Structure Check],ROWS($BY$2:BY125)),"")</f>
        <v/>
      </c>
      <c r="BZ125" s="648" cm="1">
        <f t="array" ref="BZ125">IFERROR(INDEX(tblLaminateStructures[Laminate],ROWS($BZ$2:BZ125)),"")</f>
        <v>0</v>
      </c>
      <c r="CA125" s="648"/>
      <c r="CB125" s="648"/>
      <c r="CC125" s="647" cm="1">
        <f t="array" ref="CC125">IFERROR(INDEX(tblLaminateStructures[Total Thickness (µ)],ROWS($CC$2:CC125)),"")</f>
        <v>0</v>
      </c>
      <c r="CD125" s="647"/>
      <c r="CE125" s="647"/>
      <c r="CF125" s="647"/>
      <c r="CG125" s="648"/>
      <c r="CH125" s="649"/>
    </row>
    <row r="126" spans="48:86">
      <c r="AV126" s="623"/>
      <c r="AW126" s="624"/>
      <c r="AX126" s="623"/>
      <c r="AY126" s="624"/>
      <c r="AZ126"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26" s="623"/>
      <c r="BB126" s="623"/>
      <c r="BC126" s="623"/>
      <c r="BD126" s="623"/>
      <c r="BF126" s="631"/>
      <c r="BG126" s="631"/>
      <c r="BH126" s="631"/>
      <c r="BI126" s="631"/>
      <c r="BJ126" s="631"/>
      <c r="BK126" s="631"/>
      <c r="BL126" s="631"/>
      <c r="BM126" s="631"/>
      <c r="BN126" s="631"/>
      <c r="BO126" s="631"/>
      <c r="BP126" s="631"/>
      <c r="BQ126" s="631"/>
      <c r="BR126" s="631"/>
      <c r="BS126" s="631"/>
      <c r="BT126" s="631"/>
      <c r="BU126" s="659" t="str" cm="1">
        <f t="array" ref="BU126">IFERROR(_xlfn.LET(_xlpm.i,ROWS($BU$2:BU126),_xlpm.cur,INDEX(tblLaminateStructures[Laminate],_xlpm.i),_xlpm.prev,IF(_xlpm.i=1,"",INDEX(tblLaminateStructures[Laminate],_xlpm.i-1)),IF(_xlpm.cur&lt;&gt;_xlpm.prev,_xlpm.cur,"")),"")</f>
        <v/>
      </c>
      <c r="BV126" s="647" t="str" cm="1">
        <f t="array" ref="BV126">IFERROR(_xlfn.LET(_xlpm.i,ROWS($BV$2:BV126),_xlpm.cur,INDEX(tblLaminateStructures[Total Thickness (µ)],_xlpm.i),_xlpm.prev,IF(_xlpm.i=1,"",INDEX(tblLaminateStructures[Total Thickness (µ)],_xlpm.i-1)),IF(OR(_xlpm.cur&lt;&gt;_xlpm.prev,BU126&lt;&gt;""),_xlpm.cur,"")),"")</f>
        <v/>
      </c>
      <c r="BW126" s="648" cm="1">
        <f t="array" ref="BW126">IFERROR(INDEX(tblLaminateStructures[Material / Layer],ROWS($BW$2:BW126)),"")</f>
        <v>0</v>
      </c>
      <c r="BX126" s="647" cm="1">
        <f t="array" ref="BX126">IFERROR(INDEX(tblLaminateStructures[Layer Thickness (µ)],ROWS($BX$2:BX126)),"")</f>
        <v>0</v>
      </c>
      <c r="BY126" s="647" t="str" cm="1">
        <f t="array" ref="BY126">IFERROR(INDEX(tblLaminateStructures[Structure Check],ROWS($BY$2:BY126)),"")</f>
        <v/>
      </c>
      <c r="BZ126" s="660" cm="1">
        <f t="array" ref="BZ126">IFERROR(INDEX(tblLaminateStructures[Laminate],ROWS($BZ$2:BZ126)),"")</f>
        <v>0</v>
      </c>
      <c r="CA126" s="648"/>
      <c r="CB126" s="648"/>
      <c r="CC126" s="647" cm="1">
        <f t="array" ref="CC126">IFERROR(INDEX(tblLaminateStructures[Total Thickness (µ)],ROWS($CC$2:CC126)),"")</f>
        <v>0</v>
      </c>
      <c r="CD126" s="647"/>
      <c r="CE126" s="647"/>
      <c r="CF126" s="647"/>
      <c r="CG126" s="648"/>
      <c r="CH126" s="649"/>
    </row>
    <row r="127" spans="48:86">
      <c r="AV127" s="623"/>
      <c r="AW127" s="624"/>
      <c r="AX127" s="623"/>
      <c r="AY127" s="624"/>
      <c r="AZ127"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27" s="623"/>
      <c r="BB127" s="623"/>
      <c r="BC127" s="623"/>
      <c r="BD127" s="623"/>
      <c r="BF127" s="631"/>
      <c r="BG127" s="631"/>
      <c r="BH127" s="631"/>
      <c r="BI127" s="631"/>
      <c r="BJ127" s="631"/>
      <c r="BK127" s="631"/>
      <c r="BL127" s="631"/>
      <c r="BM127" s="631"/>
      <c r="BN127" s="631"/>
      <c r="BO127" s="631"/>
      <c r="BP127" s="631"/>
      <c r="BQ127" s="631"/>
      <c r="BR127" s="631"/>
      <c r="BS127" s="631"/>
      <c r="BT127" s="631"/>
      <c r="BU127" s="659" t="str" cm="1">
        <f t="array" ref="BU127">IFERROR(_xlfn.LET(_xlpm.i,ROWS($BU$2:BU127),_xlpm.cur,INDEX(tblLaminateStructures[Laminate],_xlpm.i),_xlpm.prev,IF(_xlpm.i=1,"",INDEX(tblLaminateStructures[Laminate],_xlpm.i-1)),IF(_xlpm.cur&lt;&gt;_xlpm.prev,_xlpm.cur,"")),"")</f>
        <v/>
      </c>
      <c r="BV127" s="647" t="str" cm="1">
        <f t="array" ref="BV127">IFERROR(_xlfn.LET(_xlpm.i,ROWS($BV$2:BV127),_xlpm.cur,INDEX(tblLaminateStructures[Total Thickness (µ)],_xlpm.i),_xlpm.prev,IF(_xlpm.i=1,"",INDEX(tblLaminateStructures[Total Thickness (µ)],_xlpm.i-1)),IF(OR(_xlpm.cur&lt;&gt;_xlpm.prev,BU127&lt;&gt;""),_xlpm.cur,"")),"")</f>
        <v/>
      </c>
      <c r="BW127" s="648" cm="1">
        <f t="array" ref="BW127">IFERROR(INDEX(tblLaminateStructures[Material / Layer],ROWS($BW$2:BW127)),"")</f>
        <v>0</v>
      </c>
      <c r="BX127" s="647" cm="1">
        <f t="array" ref="BX127">IFERROR(INDEX(tblLaminateStructures[Layer Thickness (µ)],ROWS($BX$2:BX127)),"")</f>
        <v>0</v>
      </c>
      <c r="BY127" s="647" t="str" cm="1">
        <f t="array" ref="BY127">IFERROR(INDEX(tblLaminateStructures[Structure Check],ROWS($BY$2:BY127)),"")</f>
        <v/>
      </c>
      <c r="BZ127" s="660" cm="1">
        <f t="array" ref="BZ127">IFERROR(INDEX(tblLaminateStructures[Laminate],ROWS($BZ$2:BZ127)),"")</f>
        <v>0</v>
      </c>
      <c r="CA127" s="648"/>
      <c r="CB127" s="648"/>
      <c r="CC127" s="647" cm="1">
        <f t="array" ref="CC127">IFERROR(INDEX(tblLaminateStructures[Total Thickness (µ)],ROWS($CC$2:CC127)),"")</f>
        <v>0</v>
      </c>
      <c r="CD127" s="647"/>
      <c r="CE127" s="647"/>
      <c r="CF127" s="647"/>
      <c r="CG127" s="648"/>
      <c r="CH127" s="649"/>
    </row>
    <row r="128" spans="48:86">
      <c r="AV128" s="623"/>
      <c r="AW128" s="624"/>
      <c r="AX128" s="623"/>
      <c r="AY128" s="624"/>
      <c r="AZ128"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28" s="623"/>
      <c r="BB128" s="623"/>
      <c r="BC128" s="623"/>
      <c r="BD128" s="623"/>
      <c r="BF128" s="631"/>
      <c r="BG128" s="631"/>
      <c r="BH128" s="631"/>
      <c r="BI128" s="631"/>
      <c r="BJ128" s="631"/>
      <c r="BK128" s="631"/>
      <c r="BL128" s="631"/>
      <c r="BM128" s="631"/>
      <c r="BN128" s="631"/>
      <c r="BO128" s="631"/>
      <c r="BP128" s="631"/>
      <c r="BQ128" s="631"/>
      <c r="BR128" s="631"/>
      <c r="BS128" s="631"/>
      <c r="BT128" s="631"/>
      <c r="BU128" s="659" t="str" cm="1">
        <f t="array" ref="BU128">IFERROR(_xlfn.LET(_xlpm.i,ROWS($BU$2:BU128),_xlpm.cur,INDEX(tblLaminateStructures[Laminate],_xlpm.i),_xlpm.prev,IF(_xlpm.i=1,"",INDEX(tblLaminateStructures[Laminate],_xlpm.i-1)),IF(_xlpm.cur&lt;&gt;_xlpm.prev,_xlpm.cur,"")),"")</f>
        <v/>
      </c>
      <c r="BV128" s="647" t="str" cm="1">
        <f t="array" ref="BV128">IFERROR(_xlfn.LET(_xlpm.i,ROWS($BV$2:BV128),_xlpm.cur,INDEX(tblLaminateStructures[Total Thickness (µ)],_xlpm.i),_xlpm.prev,IF(_xlpm.i=1,"",INDEX(tblLaminateStructures[Total Thickness (µ)],_xlpm.i-1)),IF(OR(_xlpm.cur&lt;&gt;_xlpm.prev,BU128&lt;&gt;""),_xlpm.cur,"")),"")</f>
        <v/>
      </c>
      <c r="BW128" s="648" cm="1">
        <f t="array" ref="BW128">IFERROR(INDEX(tblLaminateStructures[Material / Layer],ROWS($BW$2:BW128)),"")</f>
        <v>0</v>
      </c>
      <c r="BX128" s="647" cm="1">
        <f t="array" ref="BX128">IFERROR(INDEX(tblLaminateStructures[Layer Thickness (µ)],ROWS($BX$2:BX128)),"")</f>
        <v>0</v>
      </c>
      <c r="BY128" s="647" t="str" cm="1">
        <f t="array" ref="BY128">IFERROR(INDEX(tblLaminateStructures[Structure Check],ROWS($BY$2:BY128)),"")</f>
        <v/>
      </c>
      <c r="BZ128" s="660" cm="1">
        <f t="array" ref="BZ128">IFERROR(INDEX(tblLaminateStructures[Laminate],ROWS($BZ$2:BZ128)),"")</f>
        <v>0</v>
      </c>
      <c r="CA128" s="648"/>
      <c r="CB128" s="648"/>
      <c r="CC128" s="647" cm="1">
        <f t="array" ref="CC128">IFERROR(INDEX(tblLaminateStructures[Total Thickness (µ)],ROWS($CC$2:CC128)),"")</f>
        <v>0</v>
      </c>
      <c r="CD128" s="647"/>
      <c r="CE128" s="647"/>
      <c r="CF128" s="647"/>
      <c r="CG128" s="648"/>
      <c r="CH128" s="649"/>
    </row>
    <row r="129" spans="48:86">
      <c r="AV129" s="623"/>
      <c r="AW129" s="624"/>
      <c r="AX129" s="623"/>
      <c r="AY129" s="624"/>
      <c r="AZ129"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29" s="623"/>
      <c r="BB129" s="623"/>
      <c r="BC129" s="623"/>
      <c r="BD129" s="623"/>
      <c r="BF129" s="631"/>
      <c r="BG129" s="631"/>
      <c r="BH129" s="631"/>
      <c r="BI129" s="631"/>
      <c r="BJ129" s="631"/>
      <c r="BK129" s="631"/>
      <c r="BL129" s="631"/>
      <c r="BM129" s="631"/>
      <c r="BN129" s="631"/>
      <c r="BO129" s="631"/>
      <c r="BP129" s="631"/>
      <c r="BQ129" s="631"/>
      <c r="BR129" s="631"/>
      <c r="BS129" s="631"/>
      <c r="BT129" s="631"/>
      <c r="BU129" s="659" t="str" cm="1">
        <f t="array" ref="BU129">IFERROR(_xlfn.LET(_xlpm.i,ROWS($BU$2:BU129),_xlpm.cur,INDEX(tblLaminateStructures[Laminate],_xlpm.i),_xlpm.prev,IF(_xlpm.i=1,"",INDEX(tblLaminateStructures[Laminate],_xlpm.i-1)),IF(_xlpm.cur&lt;&gt;_xlpm.prev,_xlpm.cur,"")),"")</f>
        <v/>
      </c>
      <c r="BV129" s="647" t="str" cm="1">
        <f t="array" ref="BV129">IFERROR(_xlfn.LET(_xlpm.i,ROWS($BV$2:BV129),_xlpm.cur,INDEX(tblLaminateStructures[Total Thickness (µ)],_xlpm.i),_xlpm.prev,IF(_xlpm.i=1,"",INDEX(tblLaminateStructures[Total Thickness (µ)],_xlpm.i-1)),IF(OR(_xlpm.cur&lt;&gt;_xlpm.prev,BU129&lt;&gt;""),_xlpm.cur,"")),"")</f>
        <v/>
      </c>
      <c r="BW129" s="648" cm="1">
        <f t="array" ref="BW129">IFERROR(INDEX(tblLaminateStructures[Material / Layer],ROWS($BW$2:BW129)),"")</f>
        <v>0</v>
      </c>
      <c r="BX129" s="647" cm="1">
        <f t="array" ref="BX129">IFERROR(INDEX(tblLaminateStructures[Layer Thickness (µ)],ROWS($BX$2:BX129)),"")</f>
        <v>0</v>
      </c>
      <c r="BY129" s="647" t="str" cm="1">
        <f t="array" ref="BY129">IFERROR(INDEX(tblLaminateStructures[Structure Check],ROWS($BY$2:BY129)),"")</f>
        <v/>
      </c>
      <c r="BZ129" s="660" cm="1">
        <f t="array" ref="BZ129">IFERROR(INDEX(tblLaminateStructures[Laminate],ROWS($BZ$2:BZ129)),"")</f>
        <v>0</v>
      </c>
      <c r="CA129" s="648"/>
      <c r="CB129" s="648"/>
      <c r="CC129" s="647" cm="1">
        <f t="array" ref="CC129">IFERROR(INDEX(tblLaminateStructures[Total Thickness (µ)],ROWS($CC$2:CC129)),"")</f>
        <v>0</v>
      </c>
      <c r="CD129" s="647"/>
      <c r="CE129" s="647"/>
      <c r="CF129" s="647"/>
      <c r="CG129" s="648"/>
      <c r="CH129" s="649"/>
    </row>
    <row r="130" spans="48:86">
      <c r="AV130" s="623"/>
      <c r="AW130" s="624"/>
      <c r="AX130" s="623"/>
      <c r="AY130" s="624"/>
      <c r="AZ130"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30" s="623"/>
      <c r="BB130" s="623"/>
      <c r="BC130" s="623"/>
      <c r="BD130" s="623"/>
      <c r="BF130" s="631"/>
      <c r="BG130" s="631"/>
      <c r="BH130" s="631"/>
      <c r="BI130" s="631"/>
      <c r="BJ130" s="631"/>
      <c r="BK130" s="631"/>
      <c r="BL130" s="631"/>
      <c r="BM130" s="631"/>
      <c r="BN130" s="631"/>
      <c r="BO130" s="631"/>
      <c r="BP130" s="631"/>
      <c r="BQ130" s="631"/>
      <c r="BR130" s="631"/>
      <c r="BS130" s="631"/>
      <c r="BT130" s="631"/>
      <c r="BU130" s="659" t="str" cm="1">
        <f t="array" ref="BU130">IFERROR(_xlfn.LET(_xlpm.i,ROWS($BU$2:BU130),_xlpm.cur,INDEX(tblLaminateStructures[Laminate],_xlpm.i),_xlpm.prev,IF(_xlpm.i=1,"",INDEX(tblLaminateStructures[Laminate],_xlpm.i-1)),IF(_xlpm.cur&lt;&gt;_xlpm.prev,_xlpm.cur,"")),"")</f>
        <v/>
      </c>
      <c r="BV130" s="647" t="str" cm="1">
        <f t="array" ref="BV130">IFERROR(_xlfn.LET(_xlpm.i,ROWS($BV$2:BV130),_xlpm.cur,INDEX(tblLaminateStructures[Total Thickness (µ)],_xlpm.i),_xlpm.prev,IF(_xlpm.i=1,"",INDEX(tblLaminateStructures[Total Thickness (µ)],_xlpm.i-1)),IF(OR(_xlpm.cur&lt;&gt;_xlpm.prev,BU130&lt;&gt;""),_xlpm.cur,"")),"")</f>
        <v/>
      </c>
      <c r="BW130" s="648" cm="1">
        <f t="array" ref="BW130">IFERROR(INDEX(tblLaminateStructures[Material / Layer],ROWS($BW$2:BW130)),"")</f>
        <v>0</v>
      </c>
      <c r="BX130" s="647" cm="1">
        <f t="array" ref="BX130">IFERROR(INDEX(tblLaminateStructures[Layer Thickness (µ)],ROWS($BX$2:BX130)),"")</f>
        <v>0</v>
      </c>
      <c r="BY130" s="647" t="str" cm="1">
        <f t="array" ref="BY130">IFERROR(INDEX(tblLaminateStructures[Structure Check],ROWS($BY$2:BY130)),"")</f>
        <v/>
      </c>
      <c r="BZ130" s="660" cm="1">
        <f t="array" ref="BZ130">IFERROR(INDEX(tblLaminateStructures[Laminate],ROWS($BZ$2:BZ130)),"")</f>
        <v>0</v>
      </c>
      <c r="CA130" s="648"/>
      <c r="CB130" s="648"/>
      <c r="CC130" s="647" cm="1">
        <f t="array" ref="CC130">IFERROR(INDEX(tblLaminateStructures[Total Thickness (µ)],ROWS($CC$2:CC130)),"")</f>
        <v>0</v>
      </c>
      <c r="CD130" s="647"/>
      <c r="CE130" s="647"/>
      <c r="CF130" s="647"/>
      <c r="CG130" s="648"/>
      <c r="CH130" s="649"/>
    </row>
    <row r="131" spans="48:86">
      <c r="AV131" s="623"/>
      <c r="AW131" s="624"/>
      <c r="AX131" s="623"/>
      <c r="AY131" s="624"/>
      <c r="AZ131"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31" s="623"/>
      <c r="BB131" s="623"/>
      <c r="BC131" s="623"/>
      <c r="BD131" s="623"/>
      <c r="BF131" s="631"/>
      <c r="BG131" s="631"/>
      <c r="BH131" s="631"/>
      <c r="BI131" s="631"/>
      <c r="BJ131" s="631"/>
      <c r="BK131" s="631"/>
      <c r="BL131" s="631"/>
      <c r="BM131" s="631"/>
      <c r="BN131" s="631"/>
      <c r="BO131" s="631"/>
      <c r="BP131" s="631"/>
      <c r="BQ131" s="631"/>
      <c r="BR131" s="631"/>
      <c r="BS131" s="631"/>
      <c r="BT131" s="631"/>
      <c r="BU131" s="659" t="str" cm="1">
        <f t="array" ref="BU131">IFERROR(_xlfn.LET(_xlpm.i,ROWS($BU$2:BU131),_xlpm.cur,INDEX(tblLaminateStructures[Laminate],_xlpm.i),_xlpm.prev,IF(_xlpm.i=1,"",INDEX(tblLaminateStructures[Laminate],_xlpm.i-1)),IF(_xlpm.cur&lt;&gt;_xlpm.prev,_xlpm.cur,"")),"")</f>
        <v/>
      </c>
      <c r="BV131" s="647" t="str" cm="1">
        <f t="array" ref="BV131">IFERROR(_xlfn.LET(_xlpm.i,ROWS($BV$2:BV131),_xlpm.cur,INDEX(tblLaminateStructures[Total Thickness (µ)],_xlpm.i),_xlpm.prev,IF(_xlpm.i=1,"",INDEX(tblLaminateStructures[Total Thickness (µ)],_xlpm.i-1)),IF(OR(_xlpm.cur&lt;&gt;_xlpm.prev,BU131&lt;&gt;""),_xlpm.cur,"")),"")</f>
        <v/>
      </c>
      <c r="BW131" s="648" cm="1">
        <f t="array" ref="BW131">IFERROR(INDEX(tblLaminateStructures[Material / Layer],ROWS($BW$2:BW131)),"")</f>
        <v>0</v>
      </c>
      <c r="BX131" s="647" cm="1">
        <f t="array" ref="BX131">IFERROR(INDEX(tblLaminateStructures[Layer Thickness (µ)],ROWS($BX$2:BX131)),"")</f>
        <v>0</v>
      </c>
      <c r="BY131" s="647" t="str" cm="1">
        <f t="array" ref="BY131">IFERROR(INDEX(tblLaminateStructures[Structure Check],ROWS($BY$2:BY131)),"")</f>
        <v/>
      </c>
      <c r="BZ131" s="660" cm="1">
        <f t="array" ref="BZ131">IFERROR(INDEX(tblLaminateStructures[Laminate],ROWS($BZ$2:BZ131)),"")</f>
        <v>0</v>
      </c>
      <c r="CA131" s="648"/>
      <c r="CB131" s="648"/>
      <c r="CC131" s="647" cm="1">
        <f t="array" ref="CC131">IFERROR(INDEX(tblLaminateStructures[Total Thickness (µ)],ROWS($CC$2:CC131)),"")</f>
        <v>0</v>
      </c>
      <c r="CD131" s="647"/>
      <c r="CE131" s="647"/>
      <c r="CF131" s="647"/>
      <c r="CG131" s="648"/>
      <c r="CH131" s="649"/>
    </row>
    <row r="132" spans="48:86">
      <c r="AV132" s="623"/>
      <c r="AW132" s="624"/>
      <c r="AX132" s="623"/>
      <c r="AY132" s="624"/>
      <c r="AZ132"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32" s="623"/>
      <c r="BB132" s="623"/>
      <c r="BC132" s="623"/>
      <c r="BD132" s="623"/>
      <c r="BF132" s="631"/>
      <c r="BG132" s="631"/>
      <c r="BH132" s="631"/>
      <c r="BI132" s="631"/>
      <c r="BJ132" s="631"/>
      <c r="BK132" s="631"/>
      <c r="BL132" s="631"/>
      <c r="BM132" s="631"/>
      <c r="BN132" s="631"/>
      <c r="BO132" s="631"/>
      <c r="BP132" s="631"/>
      <c r="BQ132" s="631"/>
      <c r="BR132" s="631"/>
      <c r="BS132" s="631"/>
      <c r="BT132" s="631"/>
      <c r="BU132" s="659" t="str" cm="1">
        <f t="array" ref="BU132">IFERROR(_xlfn.LET(_xlpm.i,ROWS($BU$2:BU132),_xlpm.cur,INDEX(tblLaminateStructures[Laminate],_xlpm.i),_xlpm.prev,IF(_xlpm.i=1,"",INDEX(tblLaminateStructures[Laminate],_xlpm.i-1)),IF(_xlpm.cur&lt;&gt;_xlpm.prev,_xlpm.cur,"")),"")</f>
        <v/>
      </c>
      <c r="BV132" s="647" t="str" cm="1">
        <f t="array" ref="BV132">IFERROR(_xlfn.LET(_xlpm.i,ROWS($BV$2:BV132),_xlpm.cur,INDEX(tblLaminateStructures[Total Thickness (µ)],_xlpm.i),_xlpm.prev,IF(_xlpm.i=1,"",INDEX(tblLaminateStructures[Total Thickness (µ)],_xlpm.i-1)),IF(OR(_xlpm.cur&lt;&gt;_xlpm.prev,BU132&lt;&gt;""),_xlpm.cur,"")),"")</f>
        <v/>
      </c>
      <c r="BW132" s="648" cm="1">
        <f t="array" ref="BW132">IFERROR(INDEX(tblLaminateStructures[Material / Layer],ROWS($BW$2:BW132)),"")</f>
        <v>0</v>
      </c>
      <c r="BX132" s="647" cm="1">
        <f t="array" ref="BX132">IFERROR(INDEX(tblLaminateStructures[Layer Thickness (µ)],ROWS($BX$2:BX132)),"")</f>
        <v>0</v>
      </c>
      <c r="BY132" s="647" t="str" cm="1">
        <f t="array" ref="BY132">IFERROR(INDEX(tblLaminateStructures[Structure Check],ROWS($BY$2:BY132)),"")</f>
        <v/>
      </c>
      <c r="BZ132" s="660" cm="1">
        <f t="array" ref="BZ132">IFERROR(INDEX(tblLaminateStructures[Laminate],ROWS($BZ$2:BZ132)),"")</f>
        <v>0</v>
      </c>
      <c r="CA132" s="648"/>
      <c r="CB132" s="648"/>
      <c r="CC132" s="647" cm="1">
        <f t="array" ref="CC132">IFERROR(INDEX(tblLaminateStructures[Total Thickness (µ)],ROWS($CC$2:CC132)),"")</f>
        <v>0</v>
      </c>
      <c r="CD132" s="647"/>
      <c r="CE132" s="647"/>
      <c r="CF132" s="647"/>
      <c r="CG132" s="648"/>
      <c r="CH132" s="649"/>
    </row>
    <row r="133" spans="48:86">
      <c r="AV133" s="623"/>
      <c r="AW133" s="624"/>
      <c r="AX133" s="623"/>
      <c r="AY133" s="624"/>
      <c r="AZ133"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33" s="623"/>
      <c r="BB133" s="623"/>
      <c r="BC133" s="623"/>
      <c r="BD133" s="623"/>
      <c r="BF133" s="631"/>
      <c r="BG133" s="631"/>
      <c r="BH133" s="631"/>
      <c r="BI133" s="631"/>
      <c r="BJ133" s="631"/>
      <c r="BK133" s="631"/>
      <c r="BL133" s="631"/>
      <c r="BM133" s="631"/>
      <c r="BN133" s="631"/>
      <c r="BO133" s="631"/>
      <c r="BP133" s="631"/>
      <c r="BQ133" s="631"/>
      <c r="BR133" s="631"/>
      <c r="BS133" s="631"/>
      <c r="BT133" s="631"/>
      <c r="BU133" s="659" t="str" cm="1">
        <f t="array" ref="BU133">IFERROR(_xlfn.LET(_xlpm.i,ROWS($BU$2:BU133),_xlpm.cur,INDEX(tblLaminateStructures[Laminate],_xlpm.i),_xlpm.prev,IF(_xlpm.i=1,"",INDEX(tblLaminateStructures[Laminate],_xlpm.i-1)),IF(_xlpm.cur&lt;&gt;_xlpm.prev,_xlpm.cur,"")),"")</f>
        <v/>
      </c>
      <c r="BV133" s="647" t="str" cm="1">
        <f t="array" ref="BV133">IFERROR(_xlfn.LET(_xlpm.i,ROWS($BV$2:BV133),_xlpm.cur,INDEX(tblLaminateStructures[Total Thickness (µ)],_xlpm.i),_xlpm.prev,IF(_xlpm.i=1,"",INDEX(tblLaminateStructures[Total Thickness (µ)],_xlpm.i-1)),IF(OR(_xlpm.cur&lt;&gt;_xlpm.prev,BU133&lt;&gt;""),_xlpm.cur,"")),"")</f>
        <v/>
      </c>
      <c r="BW133" s="648" cm="1">
        <f t="array" ref="BW133">IFERROR(INDEX(tblLaminateStructures[Material / Layer],ROWS($BW$2:BW133)),"")</f>
        <v>0</v>
      </c>
      <c r="BX133" s="647" cm="1">
        <f t="array" ref="BX133">IFERROR(INDEX(tblLaminateStructures[Layer Thickness (µ)],ROWS($BX$2:BX133)),"")</f>
        <v>0</v>
      </c>
      <c r="BY133" s="647" t="str" cm="1">
        <f t="array" ref="BY133">IFERROR(INDEX(tblLaminateStructures[Structure Check],ROWS($BY$2:BY133)),"")</f>
        <v/>
      </c>
      <c r="BZ133" s="660" cm="1">
        <f t="array" ref="BZ133">IFERROR(INDEX(tblLaminateStructures[Laminate],ROWS($BZ$2:BZ133)),"")</f>
        <v>0</v>
      </c>
      <c r="CA133" s="648"/>
      <c r="CB133" s="648"/>
      <c r="CC133" s="647" cm="1">
        <f t="array" ref="CC133">IFERROR(INDEX(tblLaminateStructures[Total Thickness (µ)],ROWS($CC$2:CC133)),"")</f>
        <v>0</v>
      </c>
      <c r="CD133" s="647"/>
      <c r="CE133" s="647"/>
      <c r="CF133" s="647"/>
      <c r="CG133" s="648"/>
      <c r="CH133" s="649"/>
    </row>
    <row r="134" spans="48:86">
      <c r="AV134" s="623"/>
      <c r="AW134" s="624"/>
      <c r="AX134" s="623"/>
      <c r="AY134" s="624"/>
      <c r="AZ134"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34" s="623"/>
      <c r="BB134" s="623"/>
      <c r="BC134" s="623"/>
      <c r="BD134" s="623"/>
      <c r="BF134" s="631"/>
      <c r="BG134" s="631"/>
      <c r="BH134" s="631"/>
      <c r="BI134" s="631"/>
      <c r="BJ134" s="631"/>
      <c r="BK134" s="631"/>
      <c r="BL134" s="631"/>
      <c r="BM134" s="631"/>
      <c r="BN134" s="631"/>
      <c r="BO134" s="631"/>
      <c r="BP134" s="631"/>
      <c r="BQ134" s="631"/>
      <c r="BR134" s="631"/>
      <c r="BS134" s="631"/>
      <c r="BT134" s="631"/>
      <c r="BU134" s="659" t="str" cm="1">
        <f t="array" ref="BU134">IFERROR(_xlfn.LET(_xlpm.i,ROWS($BU$2:BU134),_xlpm.cur,INDEX(tblLaminateStructures[Laminate],_xlpm.i),_xlpm.prev,IF(_xlpm.i=1,"",INDEX(tblLaminateStructures[Laminate],_xlpm.i-1)),IF(_xlpm.cur&lt;&gt;_xlpm.prev,_xlpm.cur,"")),"")</f>
        <v/>
      </c>
      <c r="BV134" s="647" t="str" cm="1">
        <f t="array" ref="BV134">IFERROR(_xlfn.LET(_xlpm.i,ROWS($BV$2:BV134),_xlpm.cur,INDEX(tblLaminateStructures[Total Thickness (µ)],_xlpm.i),_xlpm.prev,IF(_xlpm.i=1,"",INDEX(tblLaminateStructures[Total Thickness (µ)],_xlpm.i-1)),IF(OR(_xlpm.cur&lt;&gt;_xlpm.prev,BU134&lt;&gt;""),_xlpm.cur,"")),"")</f>
        <v/>
      </c>
      <c r="BW134" s="648" cm="1">
        <f t="array" ref="BW134">IFERROR(INDEX(tblLaminateStructures[Material / Layer],ROWS($BW$2:BW134)),"")</f>
        <v>0</v>
      </c>
      <c r="BX134" s="647" cm="1">
        <f t="array" ref="BX134">IFERROR(INDEX(tblLaminateStructures[Layer Thickness (µ)],ROWS($BX$2:BX134)),"")</f>
        <v>0</v>
      </c>
      <c r="BY134" s="647" t="str" cm="1">
        <f t="array" ref="BY134">IFERROR(INDEX(tblLaminateStructures[Structure Check],ROWS($BY$2:BY134)),"")</f>
        <v/>
      </c>
      <c r="BZ134" s="660" cm="1">
        <f t="array" ref="BZ134">IFERROR(INDEX(tblLaminateStructures[Laminate],ROWS($BZ$2:BZ134)),"")</f>
        <v>0</v>
      </c>
      <c r="CA134" s="648"/>
      <c r="CB134" s="648"/>
      <c r="CC134" s="647" cm="1">
        <f t="array" ref="CC134">IFERROR(INDEX(tblLaminateStructures[Total Thickness (µ)],ROWS($CC$2:CC134)),"")</f>
        <v>0</v>
      </c>
      <c r="CD134" s="647"/>
      <c r="CE134" s="647"/>
      <c r="CF134" s="647"/>
      <c r="CG134" s="648"/>
      <c r="CH134" s="649"/>
    </row>
    <row r="135" spans="48:86">
      <c r="AV135" s="623"/>
      <c r="AW135" s="624"/>
      <c r="AX135" s="623"/>
      <c r="AY135" s="624"/>
      <c r="AZ135"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35" s="623"/>
      <c r="BB135" s="623"/>
      <c r="BC135" s="623"/>
      <c r="BD135" s="623"/>
      <c r="BF135" s="631"/>
      <c r="BG135" s="631"/>
      <c r="BH135" s="631"/>
      <c r="BI135" s="631"/>
      <c r="BJ135" s="631"/>
      <c r="BK135" s="631"/>
      <c r="BL135" s="631"/>
      <c r="BM135" s="631"/>
      <c r="BN135" s="631"/>
      <c r="BO135" s="631"/>
      <c r="BP135" s="631"/>
      <c r="BQ135" s="631"/>
      <c r="BR135" s="631"/>
      <c r="BS135" s="631"/>
      <c r="BT135" s="631"/>
      <c r="BU135" s="659" t="str" cm="1">
        <f t="array" ref="BU135">IFERROR(_xlfn.LET(_xlpm.i,ROWS($BU$2:BU135),_xlpm.cur,INDEX(tblLaminateStructures[Laminate],_xlpm.i),_xlpm.prev,IF(_xlpm.i=1,"",INDEX(tblLaminateStructures[Laminate],_xlpm.i-1)),IF(_xlpm.cur&lt;&gt;_xlpm.prev,_xlpm.cur,"")),"")</f>
        <v/>
      </c>
      <c r="BV135" s="647" t="str" cm="1">
        <f t="array" ref="BV135">IFERROR(_xlfn.LET(_xlpm.i,ROWS($BV$2:BV135),_xlpm.cur,INDEX(tblLaminateStructures[Total Thickness (µ)],_xlpm.i),_xlpm.prev,IF(_xlpm.i=1,"",INDEX(tblLaminateStructures[Total Thickness (µ)],_xlpm.i-1)),IF(OR(_xlpm.cur&lt;&gt;_xlpm.prev,BU135&lt;&gt;""),_xlpm.cur,"")),"")</f>
        <v/>
      </c>
      <c r="BW135" s="648" cm="1">
        <f t="array" ref="BW135">IFERROR(INDEX(tblLaminateStructures[Material / Layer],ROWS($BW$2:BW135)),"")</f>
        <v>0</v>
      </c>
      <c r="BX135" s="647" cm="1">
        <f t="array" ref="BX135">IFERROR(INDEX(tblLaminateStructures[Layer Thickness (µ)],ROWS($BX$2:BX135)),"")</f>
        <v>0</v>
      </c>
      <c r="BY135" s="647" t="str" cm="1">
        <f t="array" ref="BY135">IFERROR(INDEX(tblLaminateStructures[Structure Check],ROWS($BY$2:BY135)),"")</f>
        <v/>
      </c>
      <c r="BZ135" s="660" cm="1">
        <f t="array" ref="BZ135">IFERROR(INDEX(tblLaminateStructures[Laminate],ROWS($BZ$2:BZ135)),"")</f>
        <v>0</v>
      </c>
      <c r="CA135" s="648"/>
      <c r="CB135" s="648"/>
      <c r="CC135" s="647" cm="1">
        <f t="array" ref="CC135">IFERROR(INDEX(tblLaminateStructures[Total Thickness (µ)],ROWS($CC$2:CC135)),"")</f>
        <v>0</v>
      </c>
      <c r="CD135" s="647"/>
      <c r="CE135" s="647"/>
      <c r="CF135" s="647"/>
      <c r="CG135" s="648"/>
      <c r="CH135" s="649"/>
    </row>
    <row r="136" spans="48:86">
      <c r="AV136" s="623"/>
      <c r="AW136" s="624"/>
      <c r="AX136" s="623"/>
      <c r="AY136" s="624"/>
      <c r="AZ136"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36" s="623"/>
      <c r="BB136" s="623"/>
      <c r="BC136" s="623"/>
      <c r="BD136" s="623"/>
      <c r="BF136" s="631"/>
      <c r="BG136" s="631"/>
      <c r="BH136" s="631"/>
      <c r="BI136" s="631"/>
      <c r="BJ136" s="631"/>
      <c r="BK136" s="631"/>
      <c r="BL136" s="631"/>
      <c r="BM136" s="631"/>
      <c r="BN136" s="631"/>
      <c r="BO136" s="631"/>
      <c r="BP136" s="631"/>
      <c r="BQ136" s="631"/>
      <c r="BR136" s="631"/>
      <c r="BS136" s="631"/>
      <c r="BT136" s="631"/>
      <c r="BU136" s="659" t="str" cm="1">
        <f t="array" ref="BU136">IFERROR(_xlfn.LET(_xlpm.i,ROWS($BU$2:BU136),_xlpm.cur,INDEX(tblLaminateStructures[Laminate],_xlpm.i),_xlpm.prev,IF(_xlpm.i=1,"",INDEX(tblLaminateStructures[Laminate],_xlpm.i-1)),IF(_xlpm.cur&lt;&gt;_xlpm.prev,_xlpm.cur,"")),"")</f>
        <v/>
      </c>
      <c r="BV136" s="647" t="str" cm="1">
        <f t="array" ref="BV136">IFERROR(_xlfn.LET(_xlpm.i,ROWS($BV$2:BV136),_xlpm.cur,INDEX(tblLaminateStructures[Total Thickness (µ)],_xlpm.i),_xlpm.prev,IF(_xlpm.i=1,"",INDEX(tblLaminateStructures[Total Thickness (µ)],_xlpm.i-1)),IF(OR(_xlpm.cur&lt;&gt;_xlpm.prev,BU136&lt;&gt;""),_xlpm.cur,"")),"")</f>
        <v/>
      </c>
      <c r="BW136" s="648" cm="1">
        <f t="array" ref="BW136">IFERROR(INDEX(tblLaminateStructures[Material / Layer],ROWS($BW$2:BW136)),"")</f>
        <v>0</v>
      </c>
      <c r="BX136" s="647" cm="1">
        <f t="array" ref="BX136">IFERROR(INDEX(tblLaminateStructures[Layer Thickness (µ)],ROWS($BX$2:BX136)),"")</f>
        <v>0</v>
      </c>
      <c r="BY136" s="647" t="str" cm="1">
        <f t="array" ref="BY136">IFERROR(INDEX(tblLaminateStructures[Structure Check],ROWS($BY$2:BY136)),"")</f>
        <v/>
      </c>
      <c r="BZ136" s="660" cm="1">
        <f t="array" ref="BZ136">IFERROR(INDEX(tblLaminateStructures[Laminate],ROWS($BZ$2:BZ136)),"")</f>
        <v>0</v>
      </c>
      <c r="CA136" s="648"/>
      <c r="CB136" s="648"/>
      <c r="CC136" s="647" cm="1">
        <f t="array" ref="CC136">IFERROR(INDEX(tblLaminateStructures[Total Thickness (µ)],ROWS($CC$2:CC136)),"")</f>
        <v>0</v>
      </c>
      <c r="CD136" s="647"/>
      <c r="CE136" s="647"/>
      <c r="CF136" s="647"/>
      <c r="CG136" s="648"/>
      <c r="CH136" s="649"/>
    </row>
    <row r="137" spans="48:86">
      <c r="AV137" s="623"/>
      <c r="AW137" s="624"/>
      <c r="AX137" s="623"/>
      <c r="AY137" s="624"/>
      <c r="AZ137"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37" s="623"/>
      <c r="BB137" s="623"/>
      <c r="BC137" s="623"/>
      <c r="BD137" s="623"/>
      <c r="BF137" s="631"/>
      <c r="BG137" s="631"/>
      <c r="BH137" s="631"/>
      <c r="BI137" s="631"/>
      <c r="BJ137" s="631"/>
      <c r="BK137" s="631"/>
      <c r="BL137" s="631"/>
      <c r="BM137" s="631"/>
      <c r="BN137" s="631"/>
      <c r="BO137" s="631"/>
      <c r="BP137" s="631"/>
      <c r="BQ137" s="631"/>
      <c r="BR137" s="631"/>
      <c r="BS137" s="631"/>
      <c r="BT137" s="631"/>
      <c r="BU137" s="659" t="str" cm="1">
        <f t="array" ref="BU137">IFERROR(_xlfn.LET(_xlpm.i,ROWS($BU$2:BU137),_xlpm.cur,INDEX(tblLaminateStructures[Laminate],_xlpm.i),_xlpm.prev,IF(_xlpm.i=1,"",INDEX(tblLaminateStructures[Laminate],_xlpm.i-1)),IF(_xlpm.cur&lt;&gt;_xlpm.prev,_xlpm.cur,"")),"")</f>
        <v/>
      </c>
      <c r="BV137" s="647" t="str" cm="1">
        <f t="array" ref="BV137">IFERROR(_xlfn.LET(_xlpm.i,ROWS($BV$2:BV137),_xlpm.cur,INDEX(tblLaminateStructures[Total Thickness (µ)],_xlpm.i),_xlpm.prev,IF(_xlpm.i=1,"",INDEX(tblLaminateStructures[Total Thickness (µ)],_xlpm.i-1)),IF(OR(_xlpm.cur&lt;&gt;_xlpm.prev,BU137&lt;&gt;""),_xlpm.cur,"")),"")</f>
        <v/>
      </c>
      <c r="BW137" s="648" cm="1">
        <f t="array" ref="BW137">IFERROR(INDEX(tblLaminateStructures[Material / Layer],ROWS($BW$2:BW137)),"")</f>
        <v>0</v>
      </c>
      <c r="BX137" s="647" cm="1">
        <f t="array" ref="BX137">IFERROR(INDEX(tblLaminateStructures[Layer Thickness (µ)],ROWS($BX$2:BX137)),"")</f>
        <v>0</v>
      </c>
      <c r="BY137" s="647" t="str" cm="1">
        <f t="array" ref="BY137">IFERROR(INDEX(tblLaminateStructures[Structure Check],ROWS($BY$2:BY137)),"")</f>
        <v/>
      </c>
      <c r="BZ137" s="660" cm="1">
        <f t="array" ref="BZ137">IFERROR(INDEX(tblLaminateStructures[Laminate],ROWS($BZ$2:BZ137)),"")</f>
        <v>0</v>
      </c>
      <c r="CA137" s="648"/>
      <c r="CB137" s="648"/>
      <c r="CC137" s="647" cm="1">
        <f t="array" ref="CC137">IFERROR(INDEX(tblLaminateStructures[Total Thickness (µ)],ROWS($CC$2:CC137)),"")</f>
        <v>0</v>
      </c>
      <c r="CD137" s="647"/>
      <c r="CE137" s="647"/>
      <c r="CF137" s="647"/>
      <c r="CG137" s="648"/>
      <c r="CH137" s="649"/>
    </row>
    <row r="138" spans="48:86">
      <c r="AV138" s="623"/>
      <c r="AW138" s="624"/>
      <c r="AX138" s="623"/>
      <c r="AY138" s="624"/>
      <c r="AZ138"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38" s="623"/>
      <c r="BB138" s="623"/>
      <c r="BC138" s="623"/>
      <c r="BD138" s="623"/>
      <c r="BF138" s="631"/>
      <c r="BG138" s="631"/>
      <c r="BH138" s="631"/>
      <c r="BI138" s="631"/>
      <c r="BJ138" s="631"/>
      <c r="BK138" s="631"/>
      <c r="BL138" s="631"/>
      <c r="BM138" s="631"/>
      <c r="BN138" s="631"/>
      <c r="BO138" s="631"/>
      <c r="BP138" s="631"/>
      <c r="BQ138" s="631"/>
      <c r="BR138" s="631"/>
      <c r="BS138" s="631"/>
      <c r="BT138" s="631"/>
      <c r="BU138" s="659" t="str" cm="1">
        <f t="array" ref="BU138">IFERROR(_xlfn.LET(_xlpm.i,ROWS($BU$2:BU138),_xlpm.cur,INDEX(tblLaminateStructures[Laminate],_xlpm.i),_xlpm.prev,IF(_xlpm.i=1,"",INDEX(tblLaminateStructures[Laminate],_xlpm.i-1)),IF(_xlpm.cur&lt;&gt;_xlpm.prev,_xlpm.cur,"")),"")</f>
        <v/>
      </c>
      <c r="BV138" s="647" t="str" cm="1">
        <f t="array" ref="BV138">IFERROR(_xlfn.LET(_xlpm.i,ROWS($BV$2:BV138),_xlpm.cur,INDEX(tblLaminateStructures[Total Thickness (µ)],_xlpm.i),_xlpm.prev,IF(_xlpm.i=1,"",INDEX(tblLaminateStructures[Total Thickness (µ)],_xlpm.i-1)),IF(OR(_xlpm.cur&lt;&gt;_xlpm.prev,BU138&lt;&gt;""),_xlpm.cur,"")),"")</f>
        <v/>
      </c>
      <c r="BW138" s="648" cm="1">
        <f t="array" ref="BW138">IFERROR(INDEX(tblLaminateStructures[Material / Layer],ROWS($BW$2:BW138)),"")</f>
        <v>0</v>
      </c>
      <c r="BX138" s="647" cm="1">
        <f t="array" ref="BX138">IFERROR(INDEX(tblLaminateStructures[Layer Thickness (µ)],ROWS($BX$2:BX138)),"")</f>
        <v>0</v>
      </c>
      <c r="BY138" s="647" t="str" cm="1">
        <f t="array" ref="BY138">IFERROR(INDEX(tblLaminateStructures[Structure Check],ROWS($BY$2:BY138)),"")</f>
        <v/>
      </c>
      <c r="BZ138" s="660" cm="1">
        <f t="array" ref="BZ138">IFERROR(INDEX(tblLaminateStructures[Laminate],ROWS($BZ$2:BZ138)),"")</f>
        <v>0</v>
      </c>
      <c r="CA138" s="648"/>
      <c r="CB138" s="648"/>
      <c r="CC138" s="647" cm="1">
        <f t="array" ref="CC138">IFERROR(INDEX(tblLaminateStructures[Total Thickness (µ)],ROWS($CC$2:CC138)),"")</f>
        <v>0</v>
      </c>
      <c r="CD138" s="647"/>
      <c r="CE138" s="647"/>
      <c r="CF138" s="647"/>
      <c r="CG138" s="648"/>
      <c r="CH138" s="649"/>
    </row>
    <row r="139" spans="48:86">
      <c r="AV139" s="623"/>
      <c r="AW139" s="624"/>
      <c r="AX139" s="623"/>
      <c r="AY139" s="624"/>
      <c r="AZ139"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39" s="623"/>
      <c r="BB139" s="623"/>
      <c r="BC139" s="623"/>
      <c r="BD139" s="623"/>
      <c r="BF139" s="631"/>
      <c r="BG139" s="631"/>
      <c r="BH139" s="631"/>
      <c r="BI139" s="631"/>
      <c r="BJ139" s="631"/>
      <c r="BK139" s="631"/>
      <c r="BL139" s="631"/>
      <c r="BM139" s="631"/>
      <c r="BN139" s="631"/>
      <c r="BO139" s="631"/>
      <c r="BP139" s="631"/>
      <c r="BQ139" s="631"/>
      <c r="BR139" s="631"/>
      <c r="BS139" s="631"/>
      <c r="BT139" s="631"/>
      <c r="BU139" s="659" t="str" cm="1">
        <f t="array" ref="BU139">IFERROR(_xlfn.LET(_xlpm.i,ROWS($BU$2:BU139),_xlpm.cur,INDEX(tblLaminateStructures[Laminate],_xlpm.i),_xlpm.prev,IF(_xlpm.i=1,"",INDEX(tblLaminateStructures[Laminate],_xlpm.i-1)),IF(_xlpm.cur&lt;&gt;_xlpm.prev,_xlpm.cur,"")),"")</f>
        <v/>
      </c>
      <c r="BV139" s="647" t="str" cm="1">
        <f t="array" ref="BV139">IFERROR(_xlfn.LET(_xlpm.i,ROWS($BV$2:BV139),_xlpm.cur,INDEX(tblLaminateStructures[Total Thickness (µ)],_xlpm.i),_xlpm.prev,IF(_xlpm.i=1,"",INDEX(tblLaminateStructures[Total Thickness (µ)],_xlpm.i-1)),IF(OR(_xlpm.cur&lt;&gt;_xlpm.prev,BU139&lt;&gt;""),_xlpm.cur,"")),"")</f>
        <v/>
      </c>
      <c r="BW139" s="648" cm="1">
        <f t="array" ref="BW139">IFERROR(INDEX(tblLaminateStructures[Material / Layer],ROWS($BW$2:BW139)),"")</f>
        <v>0</v>
      </c>
      <c r="BX139" s="647" cm="1">
        <f t="array" ref="BX139">IFERROR(INDEX(tblLaminateStructures[Layer Thickness (µ)],ROWS($BX$2:BX139)),"")</f>
        <v>0</v>
      </c>
      <c r="BY139" s="647" t="str" cm="1">
        <f t="array" ref="BY139">IFERROR(INDEX(tblLaminateStructures[Structure Check],ROWS($BY$2:BY139)),"")</f>
        <v/>
      </c>
      <c r="BZ139" s="660" cm="1">
        <f t="array" ref="BZ139">IFERROR(INDEX(tblLaminateStructures[Laminate],ROWS($BZ$2:BZ139)),"")</f>
        <v>0</v>
      </c>
      <c r="CA139" s="648"/>
      <c r="CB139" s="648"/>
      <c r="CC139" s="647" cm="1">
        <f t="array" ref="CC139">IFERROR(INDEX(tblLaminateStructures[Total Thickness (µ)],ROWS($CC$2:CC139)),"")</f>
        <v>0</v>
      </c>
      <c r="CD139" s="647"/>
      <c r="CE139" s="647"/>
      <c r="CF139" s="647"/>
      <c r="CG139" s="648"/>
      <c r="CH139" s="649"/>
    </row>
    <row r="140" spans="48:86">
      <c r="AV140" s="623"/>
      <c r="AW140" s="624"/>
      <c r="AX140" s="623"/>
      <c r="AY140" s="624"/>
      <c r="AZ140"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40" s="623"/>
      <c r="BB140" s="623"/>
      <c r="BC140" s="623"/>
      <c r="BD140" s="623"/>
      <c r="BF140" s="631"/>
      <c r="BG140" s="631"/>
      <c r="BH140" s="631"/>
      <c r="BI140" s="631"/>
      <c r="BJ140" s="631"/>
      <c r="BK140" s="631"/>
      <c r="BL140" s="631"/>
      <c r="BM140" s="631"/>
      <c r="BN140" s="631"/>
      <c r="BO140" s="631"/>
      <c r="BP140" s="631"/>
      <c r="BQ140" s="631"/>
      <c r="BR140" s="631"/>
      <c r="BS140" s="631"/>
      <c r="BT140" s="631"/>
      <c r="BU140" s="659" t="str" cm="1">
        <f t="array" ref="BU140">IFERROR(_xlfn.LET(_xlpm.i,ROWS($BU$2:BU140),_xlpm.cur,INDEX(tblLaminateStructures[Laminate],_xlpm.i),_xlpm.prev,IF(_xlpm.i=1,"",INDEX(tblLaminateStructures[Laminate],_xlpm.i-1)),IF(_xlpm.cur&lt;&gt;_xlpm.prev,_xlpm.cur,"")),"")</f>
        <v/>
      </c>
      <c r="BV140" s="647" t="str" cm="1">
        <f t="array" ref="BV140">IFERROR(_xlfn.LET(_xlpm.i,ROWS($BV$2:BV140),_xlpm.cur,INDEX(tblLaminateStructures[Total Thickness (µ)],_xlpm.i),_xlpm.prev,IF(_xlpm.i=1,"",INDEX(tblLaminateStructures[Total Thickness (µ)],_xlpm.i-1)),IF(OR(_xlpm.cur&lt;&gt;_xlpm.prev,BU140&lt;&gt;""),_xlpm.cur,"")),"")</f>
        <v/>
      </c>
      <c r="BW140" s="648" cm="1">
        <f t="array" ref="BW140">IFERROR(INDEX(tblLaminateStructures[Material / Layer],ROWS($BW$2:BW140)),"")</f>
        <v>0</v>
      </c>
      <c r="BX140" s="647" cm="1">
        <f t="array" ref="BX140">IFERROR(INDEX(tblLaminateStructures[Layer Thickness (µ)],ROWS($BX$2:BX140)),"")</f>
        <v>0</v>
      </c>
      <c r="BY140" s="647" t="str" cm="1">
        <f t="array" ref="BY140">IFERROR(INDEX(tblLaminateStructures[Structure Check],ROWS($BY$2:BY140)),"")</f>
        <v/>
      </c>
      <c r="BZ140" s="660" cm="1">
        <f t="array" ref="BZ140">IFERROR(INDEX(tblLaminateStructures[Laminate],ROWS($BZ$2:BZ140)),"")</f>
        <v>0</v>
      </c>
      <c r="CA140" s="648"/>
      <c r="CB140" s="648"/>
      <c r="CC140" s="647" cm="1">
        <f t="array" ref="CC140">IFERROR(INDEX(tblLaminateStructures[Total Thickness (µ)],ROWS($CC$2:CC140)),"")</f>
        <v>0</v>
      </c>
      <c r="CD140" s="647"/>
      <c r="CE140" s="647"/>
      <c r="CF140" s="647"/>
      <c r="CG140" s="648"/>
      <c r="CH140" s="649"/>
    </row>
    <row r="141" spans="48:86">
      <c r="AV141" s="623"/>
      <c r="AW141" s="624"/>
      <c r="AX141" s="623"/>
      <c r="AY141" s="624"/>
      <c r="AZ141"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41" s="623"/>
      <c r="BB141" s="623"/>
      <c r="BC141" s="623"/>
      <c r="BD141" s="623"/>
      <c r="BF141" s="631"/>
      <c r="BG141" s="631"/>
      <c r="BH141" s="631"/>
      <c r="BI141" s="631"/>
      <c r="BJ141" s="631"/>
      <c r="BK141" s="631"/>
      <c r="BL141" s="631"/>
      <c r="BM141" s="631"/>
      <c r="BN141" s="631"/>
      <c r="BO141" s="631"/>
      <c r="BP141" s="631"/>
      <c r="BQ141" s="631"/>
      <c r="BR141" s="631"/>
      <c r="BS141" s="631"/>
      <c r="BT141" s="631"/>
      <c r="BU141" s="659" t="str" cm="1">
        <f t="array" ref="BU141">IFERROR(_xlfn.LET(_xlpm.i,ROWS($BU$2:BU141),_xlpm.cur,INDEX(tblLaminateStructures[Laminate],_xlpm.i),_xlpm.prev,IF(_xlpm.i=1,"",INDEX(tblLaminateStructures[Laminate],_xlpm.i-1)),IF(_xlpm.cur&lt;&gt;_xlpm.prev,_xlpm.cur,"")),"")</f>
        <v/>
      </c>
      <c r="BV141" s="647" t="str" cm="1">
        <f t="array" ref="BV141">IFERROR(_xlfn.LET(_xlpm.i,ROWS($BV$2:BV141),_xlpm.cur,INDEX(tblLaminateStructures[Total Thickness (µ)],_xlpm.i),_xlpm.prev,IF(_xlpm.i=1,"",INDEX(tblLaminateStructures[Total Thickness (µ)],_xlpm.i-1)),IF(OR(_xlpm.cur&lt;&gt;_xlpm.prev,BU141&lt;&gt;""),_xlpm.cur,"")),"")</f>
        <v/>
      </c>
      <c r="BW141" s="648" cm="1">
        <f t="array" ref="BW141">IFERROR(INDEX(tblLaminateStructures[Material / Layer],ROWS($BW$2:BW141)),"")</f>
        <v>0</v>
      </c>
      <c r="BX141" s="647" cm="1">
        <f t="array" ref="BX141">IFERROR(INDEX(tblLaminateStructures[Layer Thickness (µ)],ROWS($BX$2:BX141)),"")</f>
        <v>0</v>
      </c>
      <c r="BY141" s="647" t="str" cm="1">
        <f t="array" ref="BY141">IFERROR(INDEX(tblLaminateStructures[Structure Check],ROWS($BY$2:BY141)),"")</f>
        <v/>
      </c>
      <c r="BZ141" s="660" cm="1">
        <f t="array" ref="BZ141">IFERROR(INDEX(tblLaminateStructures[Laminate],ROWS($BZ$2:BZ141)),"")</f>
        <v>0</v>
      </c>
      <c r="CA141" s="648"/>
      <c r="CB141" s="648"/>
      <c r="CC141" s="647" cm="1">
        <f t="array" ref="CC141">IFERROR(INDEX(tblLaminateStructures[Total Thickness (µ)],ROWS($CC$2:CC141)),"")</f>
        <v>0</v>
      </c>
      <c r="CD141" s="647"/>
      <c r="CE141" s="647"/>
      <c r="CF141" s="647"/>
      <c r="CG141" s="648"/>
      <c r="CH141" s="649"/>
    </row>
    <row r="142" spans="48:86">
      <c r="AV142" s="623"/>
      <c r="AW142" s="624"/>
      <c r="AX142" s="623"/>
      <c r="AY142" s="624"/>
      <c r="AZ142"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42" s="623"/>
      <c r="BB142" s="623"/>
      <c r="BC142" s="623"/>
      <c r="BD142" s="623"/>
      <c r="BF142" s="631"/>
      <c r="BG142" s="631"/>
      <c r="BH142" s="631"/>
      <c r="BI142" s="631"/>
      <c r="BJ142" s="631"/>
      <c r="BK142" s="631"/>
      <c r="BL142" s="631"/>
      <c r="BM142" s="631"/>
      <c r="BN142" s="631"/>
      <c r="BO142" s="631"/>
      <c r="BP142" s="631"/>
      <c r="BQ142" s="631"/>
      <c r="BR142" s="631"/>
      <c r="BS142" s="631"/>
      <c r="BT142" s="631"/>
      <c r="BU142" s="659" t="str" cm="1">
        <f t="array" ref="BU142">IFERROR(_xlfn.LET(_xlpm.i,ROWS($BU$2:BU142),_xlpm.cur,INDEX(tblLaminateStructures[Laminate],_xlpm.i),_xlpm.prev,IF(_xlpm.i=1,"",INDEX(tblLaminateStructures[Laminate],_xlpm.i-1)),IF(_xlpm.cur&lt;&gt;_xlpm.prev,_xlpm.cur,"")),"")</f>
        <v/>
      </c>
      <c r="BV142" s="647" t="str" cm="1">
        <f t="array" ref="BV142">IFERROR(_xlfn.LET(_xlpm.i,ROWS($BV$2:BV142),_xlpm.cur,INDEX(tblLaminateStructures[Total Thickness (µ)],_xlpm.i),_xlpm.prev,IF(_xlpm.i=1,"",INDEX(tblLaminateStructures[Total Thickness (µ)],_xlpm.i-1)),IF(OR(_xlpm.cur&lt;&gt;_xlpm.prev,BU142&lt;&gt;""),_xlpm.cur,"")),"")</f>
        <v/>
      </c>
      <c r="BW142" s="648" cm="1">
        <f t="array" ref="BW142">IFERROR(INDEX(tblLaminateStructures[Material / Layer],ROWS($BW$2:BW142)),"")</f>
        <v>0</v>
      </c>
      <c r="BX142" s="647" cm="1">
        <f t="array" ref="BX142">IFERROR(INDEX(tblLaminateStructures[Layer Thickness (µ)],ROWS($BX$2:BX142)),"")</f>
        <v>0</v>
      </c>
      <c r="BY142" s="647" t="str" cm="1">
        <f t="array" ref="BY142">IFERROR(INDEX(tblLaminateStructures[Structure Check],ROWS($BY$2:BY142)),"")</f>
        <v/>
      </c>
      <c r="BZ142" s="660" cm="1">
        <f t="array" ref="BZ142">IFERROR(INDEX(tblLaminateStructures[Laminate],ROWS($BZ$2:BZ142)),"")</f>
        <v>0</v>
      </c>
      <c r="CA142" s="648"/>
      <c r="CB142" s="648"/>
      <c r="CC142" s="647" cm="1">
        <f t="array" ref="CC142">IFERROR(INDEX(tblLaminateStructures[Total Thickness (µ)],ROWS($CC$2:CC142)),"")</f>
        <v>0</v>
      </c>
      <c r="CD142" s="647"/>
      <c r="CE142" s="647"/>
      <c r="CF142" s="647"/>
      <c r="CG142" s="648"/>
      <c r="CH142" s="649"/>
    </row>
    <row r="143" spans="48:86">
      <c r="AV143" s="623"/>
      <c r="AW143" s="624"/>
      <c r="AX143" s="623"/>
      <c r="AY143" s="624"/>
      <c r="AZ143"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43" s="623"/>
      <c r="BB143" s="623"/>
      <c r="BC143" s="623"/>
      <c r="BD143" s="623"/>
      <c r="BF143" s="631"/>
      <c r="BG143" s="631"/>
      <c r="BH143" s="631"/>
      <c r="BI143" s="631"/>
      <c r="BJ143" s="631"/>
      <c r="BK143" s="631"/>
      <c r="BL143" s="631"/>
      <c r="BM143" s="631"/>
      <c r="BN143" s="631"/>
      <c r="BO143" s="631"/>
      <c r="BP143" s="631"/>
      <c r="BQ143" s="631"/>
      <c r="BR143" s="631"/>
      <c r="BS143" s="631"/>
      <c r="BT143" s="631"/>
      <c r="BU143" s="659" t="str" cm="1">
        <f t="array" ref="BU143">IFERROR(_xlfn.LET(_xlpm.i,ROWS($BU$2:BU143),_xlpm.cur,INDEX(tblLaminateStructures[Laminate],_xlpm.i),_xlpm.prev,IF(_xlpm.i=1,"",INDEX(tblLaminateStructures[Laminate],_xlpm.i-1)),IF(_xlpm.cur&lt;&gt;_xlpm.prev,_xlpm.cur,"")),"")</f>
        <v/>
      </c>
      <c r="BV143" s="647" t="str" cm="1">
        <f t="array" ref="BV143">IFERROR(_xlfn.LET(_xlpm.i,ROWS($BV$2:BV143),_xlpm.cur,INDEX(tblLaminateStructures[Total Thickness (µ)],_xlpm.i),_xlpm.prev,IF(_xlpm.i=1,"",INDEX(tblLaminateStructures[Total Thickness (µ)],_xlpm.i-1)),IF(OR(_xlpm.cur&lt;&gt;_xlpm.prev,BU143&lt;&gt;""),_xlpm.cur,"")),"")</f>
        <v/>
      </c>
      <c r="BW143" s="648" cm="1">
        <f t="array" ref="BW143">IFERROR(INDEX(tblLaminateStructures[Material / Layer],ROWS($BW$2:BW143)),"")</f>
        <v>0</v>
      </c>
      <c r="BX143" s="647" cm="1">
        <f t="array" ref="BX143">IFERROR(INDEX(tblLaminateStructures[Layer Thickness (µ)],ROWS($BX$2:BX143)),"")</f>
        <v>0</v>
      </c>
      <c r="BY143" s="647" t="str" cm="1">
        <f t="array" ref="BY143">IFERROR(INDEX(tblLaminateStructures[Structure Check],ROWS($BY$2:BY143)),"")</f>
        <v/>
      </c>
      <c r="BZ143" s="660" cm="1">
        <f t="array" ref="BZ143">IFERROR(INDEX(tblLaminateStructures[Laminate],ROWS($BZ$2:BZ143)),"")</f>
        <v>0</v>
      </c>
      <c r="CA143" s="648"/>
      <c r="CB143" s="648"/>
      <c r="CC143" s="647" cm="1">
        <f t="array" ref="CC143">IFERROR(INDEX(tblLaminateStructures[Total Thickness (µ)],ROWS($CC$2:CC143)),"")</f>
        <v>0</v>
      </c>
      <c r="CD143" s="647"/>
      <c r="CE143" s="647"/>
      <c r="CF143" s="647"/>
      <c r="CG143" s="648"/>
      <c r="CH143" s="649"/>
    </row>
    <row r="144" spans="48:86">
      <c r="AV144" s="623"/>
      <c r="AW144" s="624"/>
      <c r="AX144" s="623"/>
      <c r="AY144" s="624"/>
      <c r="AZ144"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44" s="623"/>
      <c r="BB144" s="623"/>
      <c r="BC144" s="623"/>
      <c r="BD144" s="623"/>
      <c r="BF144" s="631"/>
      <c r="BG144" s="631"/>
      <c r="BH144" s="631"/>
      <c r="BI144" s="631"/>
      <c r="BJ144" s="631"/>
      <c r="BK144" s="631"/>
      <c r="BL144" s="631"/>
      <c r="BM144" s="631"/>
      <c r="BN144" s="631"/>
      <c r="BO144" s="631"/>
      <c r="BP144" s="631"/>
      <c r="BQ144" s="631"/>
      <c r="BR144" s="631"/>
      <c r="BS144" s="631"/>
      <c r="BT144" s="631"/>
      <c r="BU144" s="659" t="str" cm="1">
        <f t="array" ref="BU144">IFERROR(_xlfn.LET(_xlpm.i,ROWS($BU$2:BU144),_xlpm.cur,INDEX(tblLaminateStructures[Laminate],_xlpm.i),_xlpm.prev,IF(_xlpm.i=1,"",INDEX(tblLaminateStructures[Laminate],_xlpm.i-1)),IF(_xlpm.cur&lt;&gt;_xlpm.prev,_xlpm.cur,"")),"")</f>
        <v/>
      </c>
      <c r="BV144" s="647" t="str" cm="1">
        <f t="array" ref="BV144">IFERROR(_xlfn.LET(_xlpm.i,ROWS($BV$2:BV144),_xlpm.cur,INDEX(tblLaminateStructures[Total Thickness (µ)],_xlpm.i),_xlpm.prev,IF(_xlpm.i=1,"",INDEX(tblLaminateStructures[Total Thickness (µ)],_xlpm.i-1)),IF(OR(_xlpm.cur&lt;&gt;_xlpm.prev,BU144&lt;&gt;""),_xlpm.cur,"")),"")</f>
        <v/>
      </c>
      <c r="BW144" s="648" cm="1">
        <f t="array" ref="BW144">IFERROR(INDEX(tblLaminateStructures[Material / Layer],ROWS($BW$2:BW144)),"")</f>
        <v>0</v>
      </c>
      <c r="BX144" s="647" cm="1">
        <f t="array" ref="BX144">IFERROR(INDEX(tblLaminateStructures[Layer Thickness (µ)],ROWS($BX$2:BX144)),"")</f>
        <v>0</v>
      </c>
      <c r="BY144" s="647" t="str" cm="1">
        <f t="array" ref="BY144">IFERROR(INDEX(tblLaminateStructures[Structure Check],ROWS($BY$2:BY144)),"")</f>
        <v/>
      </c>
      <c r="BZ144" s="660" cm="1">
        <f t="array" ref="BZ144">IFERROR(INDEX(tblLaminateStructures[Laminate],ROWS($BZ$2:BZ144)),"")</f>
        <v>0</v>
      </c>
      <c r="CA144" s="648"/>
      <c r="CB144" s="648"/>
      <c r="CC144" s="647" cm="1">
        <f t="array" ref="CC144">IFERROR(INDEX(tblLaminateStructures[Total Thickness (µ)],ROWS($CC$2:CC144)),"")</f>
        <v>0</v>
      </c>
      <c r="CD144" s="647"/>
      <c r="CE144" s="647"/>
      <c r="CF144" s="647"/>
      <c r="CG144" s="648"/>
      <c r="CH144" s="649"/>
    </row>
    <row r="145" spans="48:86">
      <c r="AV145" s="623"/>
      <c r="AW145" s="624"/>
      <c r="AX145" s="623"/>
      <c r="AY145" s="624"/>
      <c r="AZ145"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45" s="623"/>
      <c r="BB145" s="623"/>
      <c r="BC145" s="623"/>
      <c r="BD145" s="623"/>
      <c r="BF145" s="631"/>
      <c r="BG145" s="631"/>
      <c r="BH145" s="631"/>
      <c r="BI145" s="631"/>
      <c r="BJ145" s="631"/>
      <c r="BK145" s="631"/>
      <c r="BL145" s="631"/>
      <c r="BM145" s="631"/>
      <c r="BN145" s="631"/>
      <c r="BO145" s="631"/>
      <c r="BP145" s="631"/>
      <c r="BQ145" s="631"/>
      <c r="BR145" s="631"/>
      <c r="BS145" s="631"/>
      <c r="BT145" s="631"/>
      <c r="BU145" s="659" t="str" cm="1">
        <f t="array" ref="BU145">IFERROR(_xlfn.LET(_xlpm.i,ROWS($BU$2:BU145),_xlpm.cur,INDEX(tblLaminateStructures[Laminate],_xlpm.i),_xlpm.prev,IF(_xlpm.i=1,"",INDEX(tblLaminateStructures[Laminate],_xlpm.i-1)),IF(_xlpm.cur&lt;&gt;_xlpm.prev,_xlpm.cur,"")),"")</f>
        <v/>
      </c>
      <c r="BV145" s="647" t="str" cm="1">
        <f t="array" ref="BV145">IFERROR(_xlfn.LET(_xlpm.i,ROWS($BV$2:BV145),_xlpm.cur,INDEX(tblLaminateStructures[Total Thickness (µ)],_xlpm.i),_xlpm.prev,IF(_xlpm.i=1,"",INDEX(tblLaminateStructures[Total Thickness (µ)],_xlpm.i-1)),IF(OR(_xlpm.cur&lt;&gt;_xlpm.prev,BU145&lt;&gt;""),_xlpm.cur,"")),"")</f>
        <v/>
      </c>
      <c r="BW145" s="648" cm="1">
        <f t="array" ref="BW145">IFERROR(INDEX(tblLaminateStructures[Material / Layer],ROWS($BW$2:BW145)),"")</f>
        <v>0</v>
      </c>
      <c r="BX145" s="647" cm="1">
        <f t="array" ref="BX145">IFERROR(INDEX(tblLaminateStructures[Layer Thickness (µ)],ROWS($BX$2:BX145)),"")</f>
        <v>0</v>
      </c>
      <c r="BY145" s="647" t="str" cm="1">
        <f t="array" ref="BY145">IFERROR(INDEX(tblLaminateStructures[Structure Check],ROWS($BY$2:BY145)),"")</f>
        <v/>
      </c>
      <c r="BZ145" s="660" cm="1">
        <f t="array" ref="BZ145">IFERROR(INDEX(tblLaminateStructures[Laminate],ROWS($BZ$2:BZ145)),"")</f>
        <v>0</v>
      </c>
      <c r="CA145" s="648"/>
      <c r="CB145" s="648"/>
      <c r="CC145" s="647" cm="1">
        <f t="array" ref="CC145">IFERROR(INDEX(tblLaminateStructures[Total Thickness (µ)],ROWS($CC$2:CC145)),"")</f>
        <v>0</v>
      </c>
      <c r="CD145" s="647"/>
      <c r="CE145" s="647"/>
      <c r="CF145" s="647"/>
      <c r="CG145" s="648"/>
      <c r="CH145" s="649"/>
    </row>
    <row r="146" spans="48:86">
      <c r="AV146" s="623"/>
      <c r="AW146" s="624"/>
      <c r="AX146" s="623"/>
      <c r="AY146" s="624"/>
      <c r="AZ146"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46" s="623"/>
      <c r="BB146" s="623"/>
      <c r="BC146" s="623"/>
      <c r="BD146" s="623"/>
      <c r="BF146" s="631"/>
      <c r="BG146" s="631"/>
      <c r="BH146" s="631"/>
      <c r="BI146" s="631"/>
      <c r="BJ146" s="631"/>
      <c r="BK146" s="631"/>
      <c r="BL146" s="631"/>
      <c r="BM146" s="631"/>
      <c r="BN146" s="631"/>
      <c r="BO146" s="631"/>
      <c r="BP146" s="631"/>
      <c r="BQ146" s="631"/>
      <c r="BR146" s="631"/>
      <c r="BS146" s="631"/>
      <c r="BT146" s="631"/>
      <c r="BU146" s="659" t="str" cm="1">
        <f t="array" ref="BU146">IFERROR(_xlfn.LET(_xlpm.i,ROWS($BU$2:BU146),_xlpm.cur,INDEX(tblLaminateStructures[Laminate],_xlpm.i),_xlpm.prev,IF(_xlpm.i=1,"",INDEX(tblLaminateStructures[Laminate],_xlpm.i-1)),IF(_xlpm.cur&lt;&gt;_xlpm.prev,_xlpm.cur,"")),"")</f>
        <v/>
      </c>
      <c r="BV146" s="647" t="str" cm="1">
        <f t="array" ref="BV146">IFERROR(_xlfn.LET(_xlpm.i,ROWS($BV$2:BV146),_xlpm.cur,INDEX(tblLaminateStructures[Total Thickness (µ)],_xlpm.i),_xlpm.prev,IF(_xlpm.i=1,"",INDEX(tblLaminateStructures[Total Thickness (µ)],_xlpm.i-1)),IF(OR(_xlpm.cur&lt;&gt;_xlpm.prev,BU146&lt;&gt;""),_xlpm.cur,"")),"")</f>
        <v/>
      </c>
      <c r="BW146" s="648" cm="1">
        <f t="array" ref="BW146">IFERROR(INDEX(tblLaminateStructures[Material / Layer],ROWS($BW$2:BW146)),"")</f>
        <v>0</v>
      </c>
      <c r="BX146" s="647" cm="1">
        <f t="array" ref="BX146">IFERROR(INDEX(tblLaminateStructures[Layer Thickness (µ)],ROWS($BX$2:BX146)),"")</f>
        <v>0</v>
      </c>
      <c r="BY146" s="647" t="str" cm="1">
        <f t="array" ref="BY146">IFERROR(INDEX(tblLaminateStructures[Structure Check],ROWS($BY$2:BY146)),"")</f>
        <v/>
      </c>
      <c r="BZ146" s="660" cm="1">
        <f t="array" ref="BZ146">IFERROR(INDEX(tblLaminateStructures[Laminate],ROWS($BZ$2:BZ146)),"")</f>
        <v>0</v>
      </c>
      <c r="CA146" s="648"/>
      <c r="CB146" s="648"/>
      <c r="CC146" s="647" cm="1">
        <f t="array" ref="CC146">IFERROR(INDEX(tblLaminateStructures[Total Thickness (µ)],ROWS($CC$2:CC146)),"")</f>
        <v>0</v>
      </c>
      <c r="CD146" s="647"/>
      <c r="CE146" s="647"/>
      <c r="CF146" s="647"/>
      <c r="CG146" s="648"/>
      <c r="CH146" s="649"/>
    </row>
    <row r="147" spans="48:86">
      <c r="AV147" s="623"/>
      <c r="AW147" s="624"/>
      <c r="AX147" s="623"/>
      <c r="AY147" s="624"/>
      <c r="AZ147"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47" s="623"/>
      <c r="BB147" s="623"/>
      <c r="BC147" s="623"/>
      <c r="BD147" s="623"/>
      <c r="BF147" s="631"/>
      <c r="BG147" s="631"/>
      <c r="BH147" s="631"/>
      <c r="BI147" s="631"/>
      <c r="BJ147" s="631"/>
      <c r="BK147" s="631"/>
      <c r="BL147" s="631"/>
      <c r="BM147" s="631"/>
      <c r="BN147" s="631"/>
      <c r="BO147" s="631"/>
      <c r="BP147" s="631"/>
      <c r="BQ147" s="631"/>
      <c r="BR147" s="631"/>
      <c r="BS147" s="631"/>
      <c r="BT147" s="631"/>
      <c r="BU147" s="659" t="str" cm="1">
        <f t="array" ref="BU147">IFERROR(_xlfn.LET(_xlpm.i,ROWS($BU$2:BU147),_xlpm.cur,INDEX(tblLaminateStructures[Laminate],_xlpm.i),_xlpm.prev,IF(_xlpm.i=1,"",INDEX(tblLaminateStructures[Laminate],_xlpm.i-1)),IF(_xlpm.cur&lt;&gt;_xlpm.prev,_xlpm.cur,"")),"")</f>
        <v/>
      </c>
      <c r="BV147" s="647" t="str" cm="1">
        <f t="array" ref="BV147">IFERROR(_xlfn.LET(_xlpm.i,ROWS($BV$2:BV147),_xlpm.cur,INDEX(tblLaminateStructures[Total Thickness (µ)],_xlpm.i),_xlpm.prev,IF(_xlpm.i=1,"",INDEX(tblLaminateStructures[Total Thickness (µ)],_xlpm.i-1)),IF(OR(_xlpm.cur&lt;&gt;_xlpm.prev,BU147&lt;&gt;""),_xlpm.cur,"")),"")</f>
        <v/>
      </c>
      <c r="BW147" s="648" cm="1">
        <f t="array" ref="BW147">IFERROR(INDEX(tblLaminateStructures[Material / Layer],ROWS($BW$2:BW147)),"")</f>
        <v>0</v>
      </c>
      <c r="BX147" s="647" cm="1">
        <f t="array" ref="BX147">IFERROR(INDEX(tblLaminateStructures[Layer Thickness (µ)],ROWS($BX$2:BX147)),"")</f>
        <v>0</v>
      </c>
      <c r="BY147" s="647" t="str" cm="1">
        <f t="array" ref="BY147">IFERROR(INDEX(tblLaminateStructures[Structure Check],ROWS($BY$2:BY147)),"")</f>
        <v/>
      </c>
      <c r="BZ147" s="660" cm="1">
        <f t="array" ref="BZ147">IFERROR(INDEX(tblLaminateStructures[Laminate],ROWS($BZ$2:BZ147)),"")</f>
        <v>0</v>
      </c>
      <c r="CA147" s="648"/>
      <c r="CB147" s="648"/>
      <c r="CC147" s="647" cm="1">
        <f t="array" ref="CC147">IFERROR(INDEX(tblLaminateStructures[Total Thickness (µ)],ROWS($CC$2:CC147)),"")</f>
        <v>0</v>
      </c>
      <c r="CD147" s="647"/>
      <c r="CE147" s="647"/>
      <c r="CF147" s="647"/>
      <c r="CG147" s="648"/>
      <c r="CH147" s="649"/>
    </row>
    <row r="148" spans="48:86">
      <c r="AV148" s="623"/>
      <c r="AW148" s="624"/>
      <c r="AX148" s="623"/>
      <c r="AY148" s="624"/>
      <c r="AZ148"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48" s="623"/>
      <c r="BB148" s="623"/>
      <c r="BC148" s="623"/>
      <c r="BD148" s="623"/>
      <c r="BF148" s="631"/>
      <c r="BG148" s="631"/>
      <c r="BH148" s="631"/>
      <c r="BI148" s="631"/>
      <c r="BJ148" s="631"/>
      <c r="BK148" s="631"/>
      <c r="BL148" s="631"/>
      <c r="BM148" s="631"/>
      <c r="BN148" s="631"/>
      <c r="BO148" s="631"/>
      <c r="BP148" s="631"/>
      <c r="BQ148" s="631"/>
      <c r="BR148" s="631"/>
      <c r="BS148" s="631"/>
      <c r="BT148" s="631"/>
      <c r="BU148" s="659" t="str" cm="1">
        <f t="array" ref="BU148">IFERROR(_xlfn.LET(_xlpm.i,ROWS($BU$2:BU148),_xlpm.cur,INDEX(tblLaminateStructures[Laminate],_xlpm.i),_xlpm.prev,IF(_xlpm.i=1,"",INDEX(tblLaminateStructures[Laminate],_xlpm.i-1)),IF(_xlpm.cur&lt;&gt;_xlpm.prev,_xlpm.cur,"")),"")</f>
        <v/>
      </c>
      <c r="BV148" s="647" t="str" cm="1">
        <f t="array" ref="BV148">IFERROR(_xlfn.LET(_xlpm.i,ROWS($BV$2:BV148),_xlpm.cur,INDEX(tblLaminateStructures[Total Thickness (µ)],_xlpm.i),_xlpm.prev,IF(_xlpm.i=1,"",INDEX(tblLaminateStructures[Total Thickness (µ)],_xlpm.i-1)),IF(OR(_xlpm.cur&lt;&gt;_xlpm.prev,BU148&lt;&gt;""),_xlpm.cur,"")),"")</f>
        <v/>
      </c>
      <c r="BW148" s="648" cm="1">
        <f t="array" ref="BW148">IFERROR(INDEX(tblLaminateStructures[Material / Layer],ROWS($BW$2:BW148)),"")</f>
        <v>0</v>
      </c>
      <c r="BX148" s="647" cm="1">
        <f t="array" ref="BX148">IFERROR(INDEX(tblLaminateStructures[Layer Thickness (µ)],ROWS($BX$2:BX148)),"")</f>
        <v>0</v>
      </c>
      <c r="BY148" s="647" t="str" cm="1">
        <f t="array" ref="BY148">IFERROR(INDEX(tblLaminateStructures[Structure Check],ROWS($BY$2:BY148)),"")</f>
        <v/>
      </c>
      <c r="BZ148" s="660" cm="1">
        <f t="array" ref="BZ148">IFERROR(INDEX(tblLaminateStructures[Laminate],ROWS($BZ$2:BZ148)),"")</f>
        <v>0</v>
      </c>
      <c r="CA148" s="648"/>
      <c r="CB148" s="648"/>
      <c r="CC148" s="647" cm="1">
        <f t="array" ref="CC148">IFERROR(INDEX(tblLaminateStructures[Total Thickness (µ)],ROWS($CC$2:CC148)),"")</f>
        <v>0</v>
      </c>
      <c r="CD148" s="647"/>
      <c r="CE148" s="647"/>
      <c r="CF148" s="647"/>
      <c r="CG148" s="648"/>
      <c r="CH148" s="649"/>
    </row>
    <row r="149" spans="48:86">
      <c r="AV149" s="623"/>
      <c r="AW149" s="624"/>
      <c r="AX149" s="623"/>
      <c r="AY149" s="624"/>
      <c r="AZ149"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49" s="623"/>
      <c r="BB149" s="623"/>
      <c r="BC149" s="623"/>
      <c r="BD149" s="623"/>
      <c r="BF149" s="631"/>
      <c r="BG149" s="631"/>
      <c r="BH149" s="631"/>
      <c r="BI149" s="631"/>
      <c r="BJ149" s="631"/>
      <c r="BK149" s="631"/>
      <c r="BL149" s="631"/>
      <c r="BM149" s="631"/>
      <c r="BN149" s="631"/>
      <c r="BO149" s="631"/>
      <c r="BP149" s="631"/>
      <c r="BQ149" s="631"/>
      <c r="BR149" s="631"/>
      <c r="BS149" s="631"/>
      <c r="BT149" s="631"/>
      <c r="BU149" s="659" t="str" cm="1">
        <f t="array" ref="BU149">IFERROR(_xlfn.LET(_xlpm.i,ROWS($BU$2:BU149),_xlpm.cur,INDEX(tblLaminateStructures[Laminate],_xlpm.i),_xlpm.prev,IF(_xlpm.i=1,"",INDEX(tblLaminateStructures[Laminate],_xlpm.i-1)),IF(_xlpm.cur&lt;&gt;_xlpm.prev,_xlpm.cur,"")),"")</f>
        <v/>
      </c>
      <c r="BV149" s="647" t="str" cm="1">
        <f t="array" ref="BV149">IFERROR(_xlfn.LET(_xlpm.i,ROWS($BV$2:BV149),_xlpm.cur,INDEX(tblLaminateStructures[Total Thickness (µ)],_xlpm.i),_xlpm.prev,IF(_xlpm.i=1,"",INDEX(tblLaminateStructures[Total Thickness (µ)],_xlpm.i-1)),IF(OR(_xlpm.cur&lt;&gt;_xlpm.prev,BU149&lt;&gt;""),_xlpm.cur,"")),"")</f>
        <v/>
      </c>
      <c r="BW149" s="648" cm="1">
        <f t="array" ref="BW149">IFERROR(INDEX(tblLaminateStructures[Material / Layer],ROWS($BW$2:BW149)),"")</f>
        <v>0</v>
      </c>
      <c r="BX149" s="647" cm="1">
        <f t="array" ref="BX149">IFERROR(INDEX(tblLaminateStructures[Layer Thickness (µ)],ROWS($BX$2:BX149)),"")</f>
        <v>0</v>
      </c>
      <c r="BY149" s="647" t="str" cm="1">
        <f t="array" ref="BY149">IFERROR(INDEX(tblLaminateStructures[Structure Check],ROWS($BY$2:BY149)),"")</f>
        <v/>
      </c>
      <c r="BZ149" s="660" cm="1">
        <f t="array" ref="BZ149">IFERROR(INDEX(tblLaminateStructures[Laminate],ROWS($BZ$2:BZ149)),"")</f>
        <v>0</v>
      </c>
      <c r="CA149" s="648"/>
      <c r="CB149" s="648"/>
      <c r="CC149" s="647" cm="1">
        <f t="array" ref="CC149">IFERROR(INDEX(tblLaminateStructures[Total Thickness (µ)],ROWS($CC$2:CC149)),"")</f>
        <v>0</v>
      </c>
      <c r="CD149" s="647"/>
      <c r="CE149" s="647"/>
      <c r="CF149" s="647"/>
      <c r="CG149" s="648"/>
      <c r="CH149" s="649"/>
    </row>
    <row r="150" spans="48:86">
      <c r="AV150" s="623"/>
      <c r="AW150" s="624"/>
      <c r="AX150" s="623"/>
      <c r="AY150" s="624"/>
      <c r="AZ150"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50" s="623"/>
      <c r="BB150" s="623"/>
      <c r="BC150" s="623"/>
      <c r="BD150" s="623"/>
      <c r="BF150" s="631"/>
      <c r="BG150" s="631"/>
      <c r="BH150" s="631"/>
      <c r="BI150" s="631"/>
      <c r="BJ150" s="631"/>
      <c r="BK150" s="631"/>
      <c r="BL150" s="631"/>
      <c r="BM150" s="631"/>
      <c r="BN150" s="631"/>
      <c r="BO150" s="631"/>
      <c r="BP150" s="631"/>
      <c r="BQ150" s="631"/>
      <c r="BR150" s="631"/>
      <c r="BS150" s="631"/>
      <c r="BT150" s="631"/>
      <c r="BU150" s="659" t="str" cm="1">
        <f t="array" ref="BU150">IFERROR(_xlfn.LET(_xlpm.i,ROWS($BU$2:BU150),_xlpm.cur,INDEX(tblLaminateStructures[Laminate],_xlpm.i),_xlpm.prev,IF(_xlpm.i=1,"",INDEX(tblLaminateStructures[Laminate],_xlpm.i-1)),IF(_xlpm.cur&lt;&gt;_xlpm.prev,_xlpm.cur,"")),"")</f>
        <v/>
      </c>
      <c r="BV150" s="647" t="str" cm="1">
        <f t="array" ref="BV150">IFERROR(_xlfn.LET(_xlpm.i,ROWS($BV$2:BV150),_xlpm.cur,INDEX(tblLaminateStructures[Total Thickness (µ)],_xlpm.i),_xlpm.prev,IF(_xlpm.i=1,"",INDEX(tblLaminateStructures[Total Thickness (µ)],_xlpm.i-1)),IF(OR(_xlpm.cur&lt;&gt;_xlpm.prev,BU150&lt;&gt;""),_xlpm.cur,"")),"")</f>
        <v/>
      </c>
      <c r="BW150" s="648" cm="1">
        <f t="array" ref="BW150">IFERROR(INDEX(tblLaminateStructures[Material / Layer],ROWS($BW$2:BW150)),"")</f>
        <v>0</v>
      </c>
      <c r="BX150" s="647" cm="1">
        <f t="array" ref="BX150">IFERROR(INDEX(tblLaminateStructures[Layer Thickness (µ)],ROWS($BX$2:BX150)),"")</f>
        <v>0</v>
      </c>
      <c r="BY150" s="647" t="str" cm="1">
        <f t="array" ref="BY150">IFERROR(INDEX(tblLaminateStructures[Structure Check],ROWS($BY$2:BY150)),"")</f>
        <v/>
      </c>
      <c r="BZ150" s="660" cm="1">
        <f t="array" ref="BZ150">IFERROR(INDEX(tblLaminateStructures[Laminate],ROWS($BZ$2:BZ150)),"")</f>
        <v>0</v>
      </c>
      <c r="CA150" s="648"/>
      <c r="CB150" s="648"/>
      <c r="CC150" s="647" cm="1">
        <f t="array" ref="CC150">IFERROR(INDEX(tblLaminateStructures[Total Thickness (µ)],ROWS($CC$2:CC150)),"")</f>
        <v>0</v>
      </c>
      <c r="CD150" s="647"/>
      <c r="CE150" s="647"/>
      <c r="CF150" s="647"/>
      <c r="CG150" s="648"/>
      <c r="CH150" s="649"/>
    </row>
    <row r="151" spans="48:86">
      <c r="AV151" s="623"/>
      <c r="AW151" s="624"/>
      <c r="AX151" s="623"/>
      <c r="AY151" s="624"/>
      <c r="AZ151"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51" s="623"/>
      <c r="BB151" s="623"/>
      <c r="BC151" s="623"/>
      <c r="BD151" s="623"/>
      <c r="BF151" s="631"/>
      <c r="BG151" s="631"/>
      <c r="BH151" s="631"/>
      <c r="BI151" s="631"/>
      <c r="BJ151" s="631"/>
      <c r="BK151" s="631"/>
      <c r="BL151" s="631"/>
      <c r="BM151" s="631"/>
      <c r="BN151" s="631"/>
      <c r="BO151" s="631"/>
      <c r="BP151" s="631"/>
      <c r="BQ151" s="631"/>
      <c r="BR151" s="631"/>
      <c r="BS151" s="631"/>
      <c r="BT151" s="631"/>
      <c r="BU151" s="659" t="str" cm="1">
        <f t="array" ref="BU151">IFERROR(_xlfn.LET(_xlpm.i,ROWS($BU$2:BU151),_xlpm.cur,INDEX(tblLaminateStructures[Laminate],_xlpm.i),_xlpm.prev,IF(_xlpm.i=1,"",INDEX(tblLaminateStructures[Laminate],_xlpm.i-1)),IF(_xlpm.cur&lt;&gt;_xlpm.prev,_xlpm.cur,"")),"")</f>
        <v/>
      </c>
      <c r="BV151" s="647" t="str" cm="1">
        <f t="array" ref="BV151">IFERROR(_xlfn.LET(_xlpm.i,ROWS($BV$2:BV151),_xlpm.cur,INDEX(tblLaminateStructures[Total Thickness (µ)],_xlpm.i),_xlpm.prev,IF(_xlpm.i=1,"",INDEX(tblLaminateStructures[Total Thickness (µ)],_xlpm.i-1)),IF(OR(_xlpm.cur&lt;&gt;_xlpm.prev,BU151&lt;&gt;""),_xlpm.cur,"")),"")</f>
        <v/>
      </c>
      <c r="BW151" s="648" cm="1">
        <f t="array" ref="BW151">IFERROR(INDEX(tblLaminateStructures[Material / Layer],ROWS($BW$2:BW151)),"")</f>
        <v>0</v>
      </c>
      <c r="BX151" s="647" cm="1">
        <f t="array" ref="BX151">IFERROR(INDEX(tblLaminateStructures[Layer Thickness (µ)],ROWS($BX$2:BX151)),"")</f>
        <v>0</v>
      </c>
      <c r="BY151" s="647" t="str" cm="1">
        <f t="array" ref="BY151">IFERROR(INDEX(tblLaminateStructures[Structure Check],ROWS($BY$2:BY151)),"")</f>
        <v/>
      </c>
      <c r="BZ151" s="660" cm="1">
        <f t="array" ref="BZ151">IFERROR(INDEX(tblLaminateStructures[Laminate],ROWS($BZ$2:BZ151)),"")</f>
        <v>0</v>
      </c>
      <c r="CA151" s="648"/>
      <c r="CB151" s="648"/>
      <c r="CC151" s="647" cm="1">
        <f t="array" ref="CC151">IFERROR(INDEX(tblLaminateStructures[Total Thickness (µ)],ROWS($CC$2:CC151)),"")</f>
        <v>0</v>
      </c>
      <c r="CD151" s="647"/>
      <c r="CE151" s="647"/>
      <c r="CF151" s="647"/>
      <c r="CG151" s="648"/>
      <c r="CH151" s="649"/>
    </row>
    <row r="152" spans="48:86">
      <c r="AV152" s="623"/>
      <c r="AW152" s="624"/>
      <c r="AX152" s="623"/>
      <c r="AY152" s="624"/>
      <c r="AZ152"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52" s="623"/>
      <c r="BB152" s="623"/>
      <c r="BC152" s="623"/>
      <c r="BD152" s="623"/>
      <c r="BF152" s="631"/>
      <c r="BG152" s="631"/>
      <c r="BH152" s="631"/>
      <c r="BI152" s="631"/>
      <c r="BJ152" s="631"/>
      <c r="BK152" s="631"/>
      <c r="BL152" s="631"/>
      <c r="BM152" s="631"/>
      <c r="BN152" s="631"/>
      <c r="BO152" s="631"/>
      <c r="BP152" s="631"/>
      <c r="BQ152" s="631"/>
      <c r="BR152" s="631"/>
      <c r="BS152" s="631"/>
      <c r="BT152" s="631"/>
      <c r="BU152" s="659" t="str" cm="1">
        <f t="array" ref="BU152">IFERROR(_xlfn.LET(_xlpm.i,ROWS($BU$2:BU152),_xlpm.cur,INDEX(tblLaminateStructures[Laminate],_xlpm.i),_xlpm.prev,IF(_xlpm.i=1,"",INDEX(tblLaminateStructures[Laminate],_xlpm.i-1)),IF(_xlpm.cur&lt;&gt;_xlpm.prev,_xlpm.cur,"")),"")</f>
        <v/>
      </c>
      <c r="BV152" s="647" t="str" cm="1">
        <f t="array" ref="BV152">IFERROR(_xlfn.LET(_xlpm.i,ROWS($BV$2:BV152),_xlpm.cur,INDEX(tblLaminateStructures[Total Thickness (µ)],_xlpm.i),_xlpm.prev,IF(_xlpm.i=1,"",INDEX(tblLaminateStructures[Total Thickness (µ)],_xlpm.i-1)),IF(OR(_xlpm.cur&lt;&gt;_xlpm.prev,BU152&lt;&gt;""),_xlpm.cur,"")),"")</f>
        <v/>
      </c>
      <c r="BW152" s="648" cm="1">
        <f t="array" ref="BW152">IFERROR(INDEX(tblLaminateStructures[Material / Layer],ROWS($BW$2:BW152)),"")</f>
        <v>0</v>
      </c>
      <c r="BX152" s="647" cm="1">
        <f t="array" ref="BX152">IFERROR(INDEX(tblLaminateStructures[Layer Thickness (µ)],ROWS($BX$2:BX152)),"")</f>
        <v>0</v>
      </c>
      <c r="BY152" s="647" t="str" cm="1">
        <f t="array" ref="BY152">IFERROR(INDEX(tblLaminateStructures[Structure Check],ROWS($BY$2:BY152)),"")</f>
        <v/>
      </c>
      <c r="BZ152" s="660" cm="1">
        <f t="array" ref="BZ152">IFERROR(INDEX(tblLaminateStructures[Laminate],ROWS($BZ$2:BZ152)),"")</f>
        <v>0</v>
      </c>
      <c r="CA152" s="648"/>
      <c r="CB152" s="648"/>
      <c r="CC152" s="647" cm="1">
        <f t="array" ref="CC152">IFERROR(INDEX(tblLaminateStructures[Total Thickness (µ)],ROWS($CC$2:CC152)),"")</f>
        <v>0</v>
      </c>
      <c r="CD152" s="647"/>
      <c r="CE152" s="647"/>
      <c r="CF152" s="647"/>
      <c r="CG152" s="648"/>
      <c r="CH152" s="649"/>
    </row>
    <row r="153" spans="48:86">
      <c r="AV153" s="623"/>
      <c r="AW153" s="624"/>
      <c r="AX153" s="623"/>
      <c r="AY153" s="624"/>
      <c r="AZ153"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53" s="623"/>
      <c r="BB153" s="623"/>
      <c r="BC153" s="623"/>
      <c r="BD153" s="623"/>
      <c r="BF153" s="631"/>
      <c r="BG153" s="631"/>
      <c r="BH153" s="631"/>
      <c r="BI153" s="631"/>
      <c r="BJ153" s="631"/>
      <c r="BK153" s="631"/>
      <c r="BL153" s="631"/>
      <c r="BM153" s="631"/>
      <c r="BN153" s="631"/>
      <c r="BO153" s="631"/>
      <c r="BP153" s="631"/>
      <c r="BQ153" s="631"/>
      <c r="BR153" s="631"/>
      <c r="BS153" s="631"/>
      <c r="BT153" s="631"/>
      <c r="BU153" s="659" t="str" cm="1">
        <f t="array" ref="BU153">IFERROR(_xlfn.LET(_xlpm.i,ROWS($BU$2:BU153),_xlpm.cur,INDEX(tblLaminateStructures[Laminate],_xlpm.i),_xlpm.prev,IF(_xlpm.i=1,"",INDEX(tblLaminateStructures[Laminate],_xlpm.i-1)),IF(_xlpm.cur&lt;&gt;_xlpm.prev,_xlpm.cur,"")),"")</f>
        <v/>
      </c>
      <c r="BV153" s="647" t="str" cm="1">
        <f t="array" ref="BV153">IFERROR(_xlfn.LET(_xlpm.i,ROWS($BV$2:BV153),_xlpm.cur,INDEX(tblLaminateStructures[Total Thickness (µ)],_xlpm.i),_xlpm.prev,IF(_xlpm.i=1,"",INDEX(tblLaminateStructures[Total Thickness (µ)],_xlpm.i-1)),IF(OR(_xlpm.cur&lt;&gt;_xlpm.prev,BU153&lt;&gt;""),_xlpm.cur,"")),"")</f>
        <v/>
      </c>
      <c r="BW153" s="648" cm="1">
        <f t="array" ref="BW153">IFERROR(INDEX(tblLaminateStructures[Material / Layer],ROWS($BW$2:BW153)),"")</f>
        <v>0</v>
      </c>
      <c r="BX153" s="647" cm="1">
        <f t="array" ref="BX153">IFERROR(INDEX(tblLaminateStructures[Layer Thickness (µ)],ROWS($BX$2:BX153)),"")</f>
        <v>0</v>
      </c>
      <c r="BY153" s="647" t="str" cm="1">
        <f t="array" ref="BY153">IFERROR(INDEX(tblLaminateStructures[Structure Check],ROWS($BY$2:BY153)),"")</f>
        <v/>
      </c>
      <c r="BZ153" s="660" cm="1">
        <f t="array" ref="BZ153">IFERROR(INDEX(tblLaminateStructures[Laminate],ROWS($BZ$2:BZ153)),"")</f>
        <v>0</v>
      </c>
      <c r="CA153" s="648"/>
      <c r="CB153" s="648"/>
      <c r="CC153" s="647" cm="1">
        <f t="array" ref="CC153">IFERROR(INDEX(tblLaminateStructures[Total Thickness (µ)],ROWS($CC$2:CC153)),"")</f>
        <v>0</v>
      </c>
      <c r="CD153" s="647"/>
      <c r="CE153" s="647"/>
      <c r="CF153" s="647"/>
      <c r="CG153" s="648"/>
      <c r="CH153" s="649"/>
    </row>
    <row r="154" spans="48:86">
      <c r="AV154" s="623"/>
      <c r="AW154" s="624"/>
      <c r="AX154" s="623"/>
      <c r="AY154" s="624"/>
      <c r="AZ154"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54" s="623"/>
      <c r="BB154" s="623"/>
      <c r="BC154" s="623"/>
      <c r="BD154" s="623"/>
      <c r="BF154" s="631"/>
      <c r="BG154" s="631"/>
      <c r="BH154" s="631"/>
      <c r="BI154" s="631"/>
      <c r="BJ154" s="631"/>
      <c r="BK154" s="631"/>
      <c r="BL154" s="631"/>
      <c r="BM154" s="631"/>
      <c r="BN154" s="631"/>
      <c r="BO154" s="631"/>
      <c r="BP154" s="631"/>
      <c r="BQ154" s="631"/>
      <c r="BR154" s="631"/>
      <c r="BS154" s="631"/>
      <c r="BT154" s="631"/>
      <c r="BU154" s="659" t="str" cm="1">
        <f t="array" ref="BU154">IFERROR(_xlfn.LET(_xlpm.i,ROWS($BU$2:BU154),_xlpm.cur,INDEX(tblLaminateStructures[Laminate],_xlpm.i),_xlpm.prev,IF(_xlpm.i=1,"",INDEX(tblLaminateStructures[Laminate],_xlpm.i-1)),IF(_xlpm.cur&lt;&gt;_xlpm.prev,_xlpm.cur,"")),"")</f>
        <v/>
      </c>
      <c r="BV154" s="647" t="str" cm="1">
        <f t="array" ref="BV154">IFERROR(_xlfn.LET(_xlpm.i,ROWS($BV$2:BV154),_xlpm.cur,INDEX(tblLaminateStructures[Total Thickness (µ)],_xlpm.i),_xlpm.prev,IF(_xlpm.i=1,"",INDEX(tblLaminateStructures[Total Thickness (µ)],_xlpm.i-1)),IF(OR(_xlpm.cur&lt;&gt;_xlpm.prev,BU154&lt;&gt;""),_xlpm.cur,"")),"")</f>
        <v/>
      </c>
      <c r="BW154" s="648" cm="1">
        <f t="array" ref="BW154">IFERROR(INDEX(tblLaminateStructures[Material / Layer],ROWS($BW$2:BW154)),"")</f>
        <v>0</v>
      </c>
      <c r="BX154" s="647" cm="1">
        <f t="array" ref="BX154">IFERROR(INDEX(tblLaminateStructures[Layer Thickness (µ)],ROWS($BX$2:BX154)),"")</f>
        <v>0</v>
      </c>
      <c r="BY154" s="647" t="str" cm="1">
        <f t="array" ref="BY154">IFERROR(INDEX(tblLaminateStructures[Structure Check],ROWS($BY$2:BY154)),"")</f>
        <v/>
      </c>
      <c r="BZ154" s="660" cm="1">
        <f t="array" ref="BZ154">IFERROR(INDEX(tblLaminateStructures[Laminate],ROWS($BZ$2:BZ154)),"")</f>
        <v>0</v>
      </c>
      <c r="CA154" s="648"/>
      <c r="CB154" s="648"/>
      <c r="CC154" s="647" cm="1">
        <f t="array" ref="CC154">IFERROR(INDEX(tblLaminateStructures[Total Thickness (µ)],ROWS($CC$2:CC154)),"")</f>
        <v>0</v>
      </c>
      <c r="CD154" s="647"/>
      <c r="CE154" s="647"/>
      <c r="CF154" s="647"/>
      <c r="CG154" s="648"/>
      <c r="CH154" s="649"/>
    </row>
    <row r="155" spans="48:86">
      <c r="AV155" s="623"/>
      <c r="AW155" s="624"/>
      <c r="AX155" s="623"/>
      <c r="AY155" s="624"/>
      <c r="AZ155"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55" s="623"/>
      <c r="BB155" s="623"/>
      <c r="BC155" s="623"/>
      <c r="BD155" s="623"/>
      <c r="BF155" s="631"/>
      <c r="BG155" s="631"/>
      <c r="BH155" s="631"/>
      <c r="BI155" s="631"/>
      <c r="BJ155" s="631"/>
      <c r="BK155" s="631"/>
      <c r="BL155" s="631"/>
      <c r="BM155" s="631"/>
      <c r="BN155" s="631"/>
      <c r="BO155" s="631"/>
      <c r="BP155" s="631"/>
      <c r="BQ155" s="631"/>
      <c r="BR155" s="631"/>
      <c r="BS155" s="631"/>
      <c r="BT155" s="631"/>
      <c r="BU155" s="659" t="str" cm="1">
        <f t="array" ref="BU155">IFERROR(_xlfn.LET(_xlpm.i,ROWS($BU$2:BU155),_xlpm.cur,INDEX(tblLaminateStructures[Laminate],_xlpm.i),_xlpm.prev,IF(_xlpm.i=1,"",INDEX(tblLaminateStructures[Laminate],_xlpm.i-1)),IF(_xlpm.cur&lt;&gt;_xlpm.prev,_xlpm.cur,"")),"")</f>
        <v/>
      </c>
      <c r="BV155" s="647" t="str" cm="1">
        <f t="array" ref="BV155">IFERROR(_xlfn.LET(_xlpm.i,ROWS($BV$2:BV155),_xlpm.cur,INDEX(tblLaminateStructures[Total Thickness (µ)],_xlpm.i),_xlpm.prev,IF(_xlpm.i=1,"",INDEX(tblLaminateStructures[Total Thickness (µ)],_xlpm.i-1)),IF(OR(_xlpm.cur&lt;&gt;_xlpm.prev,BU155&lt;&gt;""),_xlpm.cur,"")),"")</f>
        <v/>
      </c>
      <c r="BW155" s="648" cm="1">
        <f t="array" ref="BW155">IFERROR(INDEX(tblLaminateStructures[Material / Layer],ROWS($BW$2:BW155)),"")</f>
        <v>0</v>
      </c>
      <c r="BX155" s="647" cm="1">
        <f t="array" ref="BX155">IFERROR(INDEX(tblLaminateStructures[Layer Thickness (µ)],ROWS($BX$2:BX155)),"")</f>
        <v>0</v>
      </c>
      <c r="BY155" s="647" t="str" cm="1">
        <f t="array" ref="BY155">IFERROR(INDEX(tblLaminateStructures[Structure Check],ROWS($BY$2:BY155)),"")</f>
        <v/>
      </c>
      <c r="BZ155" s="660" cm="1">
        <f t="array" ref="BZ155">IFERROR(INDEX(tblLaminateStructures[Laminate],ROWS($BZ$2:BZ155)),"")</f>
        <v>0</v>
      </c>
      <c r="CA155" s="648"/>
      <c r="CB155" s="648"/>
      <c r="CC155" s="647" cm="1">
        <f t="array" ref="CC155">IFERROR(INDEX(tblLaminateStructures[Total Thickness (µ)],ROWS($CC$2:CC155)),"")</f>
        <v>0</v>
      </c>
      <c r="CD155" s="647"/>
      <c r="CE155" s="647"/>
      <c r="CF155" s="647"/>
      <c r="CG155" s="648"/>
      <c r="CH155" s="649"/>
    </row>
    <row r="156" spans="48:86">
      <c r="AV156" s="623"/>
      <c r="AW156" s="624"/>
      <c r="AX156" s="623"/>
      <c r="AY156" s="624"/>
      <c r="AZ156" s="624"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56" s="623"/>
      <c r="BB156" s="623"/>
      <c r="BC156" s="623"/>
      <c r="BD156" s="623"/>
      <c r="BF156" s="631"/>
      <c r="BG156" s="631"/>
      <c r="BH156" s="631"/>
      <c r="BI156" s="631"/>
      <c r="BJ156" s="631"/>
      <c r="BK156" s="631"/>
      <c r="BL156" s="631"/>
      <c r="BM156" s="631"/>
      <c r="BN156" s="631"/>
      <c r="BO156" s="631"/>
      <c r="BP156" s="631"/>
      <c r="BQ156" s="631"/>
      <c r="BR156" s="631"/>
      <c r="BS156" s="631"/>
      <c r="BT156" s="631"/>
      <c r="BU156" s="661" t="str" cm="1">
        <f t="array" ref="BU156">IFERROR(_xlfn.LET(_xlpm.i,ROWS($BU$2:BU156),_xlpm.cur,INDEX(tblLaminateStructures[Laminate],_xlpm.i),_xlpm.prev,IF(_xlpm.i=1,"",INDEX(tblLaminateStructures[Laminate],_xlpm.i-1)),IF(_xlpm.cur&lt;&gt;_xlpm.prev,_xlpm.cur,"")),"")</f>
        <v/>
      </c>
      <c r="BV156" s="662" t="str" cm="1">
        <f t="array" ref="BV156">IFERROR(_xlfn.LET(_xlpm.i,ROWS($BV$2:BV156),_xlpm.cur,INDEX(tblLaminateStructures[Total Thickness (µ)],_xlpm.i),_xlpm.prev,IF(_xlpm.i=1,"",INDEX(tblLaminateStructures[Total Thickness (µ)],_xlpm.i-1)),IF(OR(_xlpm.cur&lt;&gt;_xlpm.prev,BU156&lt;&gt;""),_xlpm.cur,"")),"")</f>
        <v/>
      </c>
      <c r="BW156" s="663" cm="1">
        <f t="array" ref="BW156">IFERROR(INDEX(tblLaminateStructures[Material / Layer],ROWS($BW$2:BW156)),"")</f>
        <v>0</v>
      </c>
      <c r="BX156" s="662" cm="1">
        <f t="array" ref="BX156">IFERROR(INDEX(tblLaminateStructures[Layer Thickness (µ)],ROWS($BX$2:BX156)),"")</f>
        <v>0</v>
      </c>
      <c r="BY156" s="662" t="str" cm="1">
        <f t="array" ref="BY156">IFERROR(INDEX(tblLaminateStructures[Structure Check],ROWS($BY$2:BY156)),"")</f>
        <v/>
      </c>
      <c r="BZ156" s="664" cm="1">
        <f t="array" ref="BZ156">IFERROR(INDEX(tblLaminateStructures[Laminate],ROWS($BZ$2:BZ156)),"")</f>
        <v>0</v>
      </c>
      <c r="CA156" s="663"/>
      <c r="CB156" s="663"/>
      <c r="CC156" s="662" cm="1">
        <f t="array" ref="CC156">IFERROR(INDEX(tblLaminateStructures[Total Thickness (µ)],ROWS($CC$2:CC156)),"")</f>
        <v>0</v>
      </c>
      <c r="CD156" s="662"/>
      <c r="CE156" s="662"/>
      <c r="CF156" s="662"/>
      <c r="CG156" s="663"/>
      <c r="CH156" s="665"/>
    </row>
    <row r="157" spans="48:86">
      <c r="AV157" s="821"/>
      <c r="AW157" s="822"/>
      <c r="AX157" s="821"/>
      <c r="AY157" s="822"/>
      <c r="AZ157" s="82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57" s="821"/>
      <c r="BB157" s="821"/>
      <c r="BC157" s="821"/>
      <c r="BD157" s="821"/>
      <c r="BF157" s="631"/>
      <c r="BG157" s="631"/>
      <c r="BH157" s="631"/>
      <c r="BI157" s="631"/>
      <c r="BJ157" s="631"/>
      <c r="BK157" s="631"/>
      <c r="BL157" s="631"/>
      <c r="BM157" s="631"/>
      <c r="BN157" s="631"/>
      <c r="BO157" s="631"/>
      <c r="BP157" s="631"/>
      <c r="BQ157" s="631"/>
      <c r="BR157" s="631"/>
      <c r="BS157" s="631"/>
      <c r="BT157" s="631"/>
      <c r="BU157" s="666" t="str" cm="1">
        <f t="array" ref="BU157">IFERROR(_xlfn.LET(_xlpm.i,ROWS($BU$2:BU157),_xlpm.cur,INDEX(tblLaminateStructures[Laminate],_xlpm.i),_xlpm.prev,IF(_xlpm.i=1,"",INDEX(tblLaminateStructures[Laminate],_xlpm.i-1)),IF(_xlpm.cur&lt;&gt;_xlpm.prev,_xlpm.cur,"")),"")</f>
        <v/>
      </c>
      <c r="BV157" s="631" t="str" cm="1">
        <f t="array" ref="BV157">IFERROR(_xlfn.LET(_xlpm.i,ROWS($BV$2:BV157),_xlpm.cur,INDEX(tblLaminateStructures[Total Thickness (µ)],_xlpm.i),_xlpm.prev,IF(_xlpm.i=1,"",INDEX(tblLaminateStructures[Total Thickness (µ)],_xlpm.i-1)),IF(OR(_xlpm.cur&lt;&gt;_xlpm.prev,BU157&lt;&gt;""),_xlpm.cur,"")),"")</f>
        <v/>
      </c>
      <c r="BW157" s="631" cm="1">
        <f t="array" ref="BW157">IFERROR(INDEX(tblLaminateStructures[Material / Layer],ROWS($BW$2:BW157)),"")</f>
        <v>0</v>
      </c>
      <c r="BX157" s="631" cm="1">
        <f t="array" ref="BX157">IFERROR(INDEX(tblLaminateStructures[Layer Thickness (µ)],ROWS($BX$2:BX157)),"")</f>
        <v>0</v>
      </c>
      <c r="BY157" s="631" t="str" cm="1">
        <f t="array" ref="BY157">IFERROR(INDEX(tblLaminateStructures[Structure Check],ROWS($BY$2:BY157)),"")</f>
        <v/>
      </c>
      <c r="BZ157" s="666" cm="1">
        <f t="array" ref="BZ157">IFERROR(INDEX(tblLaminateStructures[Laminate],ROWS($BZ$2:BZ157)),"")</f>
        <v>0</v>
      </c>
      <c r="CA157" s="631"/>
      <c r="CB157" s="631"/>
      <c r="CC157" s="631" cm="1">
        <f t="array" ref="CC157">IFERROR(INDEX(tblLaminateStructures[Total Thickness (µ)],ROWS($CC$2:CC157)),"")</f>
        <v>0</v>
      </c>
      <c r="CD157" s="631"/>
      <c r="CE157" s="631"/>
      <c r="CF157" s="631"/>
      <c r="CG157" s="631"/>
      <c r="CH157" s="631"/>
    </row>
    <row r="158" spans="48:86">
      <c r="AV158" s="821"/>
      <c r="AW158" s="822"/>
      <c r="AX158" s="821"/>
      <c r="AY158" s="822"/>
      <c r="AZ158" s="82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58" s="821"/>
      <c r="BB158" s="821"/>
      <c r="BC158" s="821"/>
      <c r="BD158" s="821"/>
      <c r="BF158" s="631"/>
      <c r="BG158" s="631"/>
      <c r="BH158" s="631"/>
      <c r="BI158" s="631"/>
      <c r="BJ158" s="631"/>
      <c r="BK158" s="631"/>
      <c r="BL158" s="631"/>
      <c r="BM158" s="631"/>
      <c r="BN158" s="631"/>
      <c r="BO158" s="631"/>
      <c r="BP158" s="631"/>
      <c r="BQ158" s="631"/>
      <c r="BR158" s="631"/>
      <c r="BS158" s="631"/>
      <c r="BT158" s="631"/>
      <c r="BU158" s="666" t="str" cm="1">
        <f t="array" ref="BU158">IFERROR(_xlfn.LET(_xlpm.i,ROWS($BU$2:BU158),_xlpm.cur,INDEX(tblLaminateStructures[Laminate],_xlpm.i),_xlpm.prev,IF(_xlpm.i=1,"",INDEX(tblLaminateStructures[Laminate],_xlpm.i-1)),IF(_xlpm.cur&lt;&gt;_xlpm.prev,_xlpm.cur,"")),"")</f>
        <v/>
      </c>
      <c r="BV158" s="631" t="str" cm="1">
        <f t="array" ref="BV158">IFERROR(_xlfn.LET(_xlpm.i,ROWS($BV$2:BV158),_xlpm.cur,INDEX(tblLaminateStructures[Total Thickness (µ)],_xlpm.i),_xlpm.prev,IF(_xlpm.i=1,"",INDEX(tblLaminateStructures[Total Thickness (µ)],_xlpm.i-1)),IF(OR(_xlpm.cur&lt;&gt;_xlpm.prev,BU158&lt;&gt;""),_xlpm.cur,"")),"")</f>
        <v/>
      </c>
      <c r="BW158" s="631" cm="1">
        <f t="array" ref="BW158">IFERROR(INDEX(tblLaminateStructures[Material / Layer],ROWS($BW$2:BW158)),"")</f>
        <v>0</v>
      </c>
      <c r="BX158" s="631" cm="1">
        <f t="array" ref="BX158">IFERROR(INDEX(tblLaminateStructures[Layer Thickness (µ)],ROWS($BX$2:BX158)),"")</f>
        <v>0</v>
      </c>
      <c r="BY158" s="631" t="str" cm="1">
        <f t="array" ref="BY158">IFERROR(INDEX(tblLaminateStructures[Structure Check],ROWS($BY$2:BY158)),"")</f>
        <v/>
      </c>
      <c r="BZ158" s="666" cm="1">
        <f t="array" ref="BZ158">IFERROR(INDEX(tblLaminateStructures[Laminate],ROWS($BZ$2:BZ158)),"")</f>
        <v>0</v>
      </c>
      <c r="CA158" s="631"/>
      <c r="CB158" s="631"/>
      <c r="CC158" s="631" cm="1">
        <f t="array" ref="CC158">IFERROR(INDEX(tblLaminateStructures[Total Thickness (µ)],ROWS($CC$2:CC158)),"")</f>
        <v>0</v>
      </c>
      <c r="CD158" s="631"/>
      <c r="CE158" s="631"/>
      <c r="CF158" s="631"/>
      <c r="CG158" s="631"/>
      <c r="CH158" s="631"/>
    </row>
    <row r="159" spans="48:86">
      <c r="AV159" s="821"/>
      <c r="AW159" s="822"/>
      <c r="AX159" s="821"/>
      <c r="AY159" s="822"/>
      <c r="AZ159" s="82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59" s="821"/>
      <c r="BB159" s="821"/>
      <c r="BC159" s="821"/>
      <c r="BD159" s="821"/>
      <c r="BF159" s="631"/>
      <c r="BG159" s="631"/>
      <c r="BH159" s="631"/>
      <c r="BI159" s="631"/>
      <c r="BJ159" s="631"/>
      <c r="BK159" s="631"/>
      <c r="BL159" s="631"/>
      <c r="BM159" s="631"/>
      <c r="BN159" s="631"/>
      <c r="BO159" s="631"/>
      <c r="BP159" s="631"/>
      <c r="BQ159" s="631"/>
      <c r="BR159" s="631"/>
      <c r="BS159" s="631"/>
      <c r="BT159" s="631"/>
      <c r="BU159" s="666" t="str" cm="1">
        <f t="array" ref="BU159">IFERROR(_xlfn.LET(_xlpm.i,ROWS($BU$2:BU159),_xlpm.cur,INDEX(tblLaminateStructures[Laminate],_xlpm.i),_xlpm.prev,IF(_xlpm.i=1,"",INDEX(tblLaminateStructures[Laminate],_xlpm.i-1)),IF(_xlpm.cur&lt;&gt;_xlpm.prev,_xlpm.cur,"")),"")</f>
        <v/>
      </c>
      <c r="BV159" s="631" t="str" cm="1">
        <f t="array" ref="BV159">IFERROR(_xlfn.LET(_xlpm.i,ROWS($BV$2:BV159),_xlpm.cur,INDEX(tblLaminateStructures[Total Thickness (µ)],_xlpm.i),_xlpm.prev,IF(_xlpm.i=1,"",INDEX(tblLaminateStructures[Total Thickness (µ)],_xlpm.i-1)),IF(OR(_xlpm.cur&lt;&gt;_xlpm.prev,BU159&lt;&gt;""),_xlpm.cur,"")),"")</f>
        <v/>
      </c>
      <c r="BW159" s="631" cm="1">
        <f t="array" ref="BW159">IFERROR(INDEX(tblLaminateStructures[Material / Layer],ROWS($BW$2:BW159)),"")</f>
        <v>0</v>
      </c>
      <c r="BX159" s="631" cm="1">
        <f t="array" ref="BX159">IFERROR(INDEX(tblLaminateStructures[Layer Thickness (µ)],ROWS($BX$2:BX159)),"")</f>
        <v>0</v>
      </c>
      <c r="BY159" s="631" t="str" cm="1">
        <f t="array" ref="BY159">IFERROR(INDEX(tblLaminateStructures[Structure Check],ROWS($BY$2:BY159)),"")</f>
        <v/>
      </c>
      <c r="BZ159" s="666" cm="1">
        <f t="array" ref="BZ159">IFERROR(INDEX(tblLaminateStructures[Laminate],ROWS($BZ$2:BZ159)),"")</f>
        <v>0</v>
      </c>
      <c r="CA159" s="631"/>
      <c r="CB159" s="631"/>
      <c r="CC159" s="631" cm="1">
        <f t="array" ref="CC159">IFERROR(INDEX(tblLaminateStructures[Total Thickness (µ)],ROWS($CC$2:CC159)),"")</f>
        <v>0</v>
      </c>
      <c r="CD159" s="631"/>
      <c r="CE159" s="631"/>
      <c r="CF159" s="631"/>
      <c r="CG159" s="631"/>
      <c r="CH159" s="631"/>
    </row>
    <row r="160" spans="48:86">
      <c r="AV160" s="821"/>
      <c r="AW160" s="822"/>
      <c r="AX160" s="821"/>
      <c r="AY160" s="827"/>
      <c r="AZ160" s="82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60" s="821"/>
      <c r="BB160" s="821"/>
      <c r="BC160" s="821"/>
      <c r="BD160" s="821"/>
      <c r="BF160" s="631"/>
      <c r="BG160" s="631"/>
      <c r="BH160" s="631"/>
      <c r="BI160" s="631"/>
      <c r="BJ160" s="631"/>
      <c r="BK160" s="631"/>
      <c r="BL160" s="631"/>
      <c r="BM160" s="631"/>
      <c r="BN160" s="631"/>
      <c r="BO160" s="631"/>
      <c r="BP160" s="631"/>
      <c r="BQ160" s="631"/>
      <c r="BR160" s="631"/>
      <c r="BS160" s="631"/>
      <c r="BT160" s="631"/>
      <c r="BU160" s="666" t="str" cm="1">
        <f t="array" ref="BU160">IFERROR(_xlfn.LET(_xlpm.i,ROWS($BU$2:BU160),_xlpm.cur,INDEX(tblLaminateStructures[Laminate],_xlpm.i),_xlpm.prev,IF(_xlpm.i=1,"",INDEX(tblLaminateStructures[Laminate],_xlpm.i-1)),IF(_xlpm.cur&lt;&gt;_xlpm.prev,_xlpm.cur,"")),"")</f>
        <v/>
      </c>
      <c r="BV160" s="631" t="str" cm="1">
        <f t="array" ref="BV160">IFERROR(_xlfn.LET(_xlpm.i,ROWS($BV$2:BV160),_xlpm.cur,INDEX(tblLaminateStructures[Total Thickness (µ)],_xlpm.i),_xlpm.prev,IF(_xlpm.i=1,"",INDEX(tblLaminateStructures[Total Thickness (µ)],_xlpm.i-1)),IF(OR(_xlpm.cur&lt;&gt;_xlpm.prev,BU160&lt;&gt;""),_xlpm.cur,"")),"")</f>
        <v/>
      </c>
      <c r="BW160" s="631" cm="1">
        <f t="array" ref="BW160">IFERROR(INDEX(tblLaminateStructures[Material / Layer],ROWS($BW$2:BW160)),"")</f>
        <v>0</v>
      </c>
      <c r="BX160" s="631" cm="1">
        <f t="array" ref="BX160">IFERROR(INDEX(tblLaminateStructures[Layer Thickness (µ)],ROWS($BX$2:BX160)),"")</f>
        <v>0</v>
      </c>
      <c r="BY160" s="631" t="str" cm="1">
        <f t="array" ref="BY160">IFERROR(INDEX(tblLaminateStructures[Structure Check],ROWS($BY$2:BY160)),"")</f>
        <v/>
      </c>
      <c r="BZ160" s="666" cm="1">
        <f t="array" ref="BZ160">IFERROR(INDEX(tblLaminateStructures[Laminate],ROWS($BZ$2:BZ160)),"")</f>
        <v>0</v>
      </c>
      <c r="CA160" s="631"/>
      <c r="CB160" s="631"/>
      <c r="CC160" s="631" cm="1">
        <f t="array" ref="CC160">IFERROR(INDEX(tblLaminateStructures[Total Thickness (µ)],ROWS($CC$2:CC160)),"")</f>
        <v>0</v>
      </c>
      <c r="CD160" s="631"/>
      <c r="CE160" s="631"/>
      <c r="CF160" s="631"/>
      <c r="CG160" s="631"/>
      <c r="CH160" s="631"/>
    </row>
    <row r="161" spans="48:86">
      <c r="AV161" s="821"/>
      <c r="AW161" s="822"/>
      <c r="AX161" s="821"/>
      <c r="AY161" s="827"/>
      <c r="AZ161" s="82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61" s="821"/>
      <c r="BB161" s="821"/>
      <c r="BC161" s="821"/>
      <c r="BD161" s="821"/>
      <c r="BF161" s="631"/>
      <c r="BG161" s="631"/>
      <c r="BH161" s="631"/>
      <c r="BI161" s="631"/>
      <c r="BJ161" s="631"/>
      <c r="BK161" s="631"/>
      <c r="BL161" s="631"/>
      <c r="BM161" s="631"/>
      <c r="BN161" s="631"/>
      <c r="BO161" s="631"/>
      <c r="BP161" s="631"/>
      <c r="BQ161" s="631"/>
      <c r="BR161" s="631"/>
      <c r="BS161" s="631"/>
      <c r="BT161" s="631"/>
      <c r="BU161" s="666" t="str" cm="1">
        <f t="array" ref="BU161">IFERROR(_xlfn.LET(_xlpm.i,ROWS($BU$2:BU161),_xlpm.cur,INDEX(tblLaminateStructures[Laminate],_xlpm.i),_xlpm.prev,IF(_xlpm.i=1,"",INDEX(tblLaminateStructures[Laminate],_xlpm.i-1)),IF(_xlpm.cur&lt;&gt;_xlpm.prev,_xlpm.cur,"")),"")</f>
        <v/>
      </c>
      <c r="BV161" s="631" t="str" cm="1">
        <f t="array" ref="BV161">IFERROR(_xlfn.LET(_xlpm.i,ROWS($BV$2:BV161),_xlpm.cur,INDEX(tblLaminateStructures[Total Thickness (µ)],_xlpm.i),_xlpm.prev,IF(_xlpm.i=1,"",INDEX(tblLaminateStructures[Total Thickness (µ)],_xlpm.i-1)),IF(OR(_xlpm.cur&lt;&gt;_xlpm.prev,BU161&lt;&gt;""),_xlpm.cur,"")),"")</f>
        <v/>
      </c>
      <c r="BW161" s="631" cm="1">
        <f t="array" ref="BW161">IFERROR(INDEX(tblLaminateStructures[Material / Layer],ROWS($BW$2:BW161)),"")</f>
        <v>0</v>
      </c>
      <c r="BX161" s="631" cm="1">
        <f t="array" ref="BX161">IFERROR(INDEX(tblLaminateStructures[Layer Thickness (µ)],ROWS($BX$2:BX161)),"")</f>
        <v>0</v>
      </c>
      <c r="BY161" s="631" t="str" cm="1">
        <f t="array" ref="BY161">IFERROR(INDEX(tblLaminateStructures[Structure Check],ROWS($BY$2:BY161)),"")</f>
        <v/>
      </c>
      <c r="BZ161" s="666" cm="1">
        <f t="array" ref="BZ161">IFERROR(INDEX(tblLaminateStructures[Laminate],ROWS($BZ$2:BZ161)),"")</f>
        <v>0</v>
      </c>
      <c r="CA161" s="631"/>
      <c r="CB161" s="631"/>
      <c r="CC161" s="631" cm="1">
        <f t="array" ref="CC161">IFERROR(INDEX(tblLaminateStructures[Total Thickness (µ)],ROWS($CC$2:CC161)),"")</f>
        <v>0</v>
      </c>
      <c r="CD161" s="631"/>
      <c r="CE161" s="631"/>
      <c r="CF161" s="631"/>
      <c r="CG161" s="631"/>
      <c r="CH161" s="631"/>
    </row>
    <row r="162" spans="48:86">
      <c r="AV162" s="821"/>
      <c r="AW162" s="822"/>
      <c r="AX162" s="821"/>
      <c r="AY162" s="827"/>
      <c r="AZ162" s="82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62" s="821"/>
      <c r="BB162" s="821"/>
      <c r="BC162" s="821"/>
      <c r="BD162" s="821"/>
      <c r="BF162" s="631"/>
      <c r="BG162" s="631"/>
      <c r="BH162" s="631"/>
      <c r="BI162" s="631"/>
      <c r="BJ162" s="631"/>
      <c r="BK162" s="631"/>
      <c r="BL162" s="631"/>
      <c r="BM162" s="631"/>
      <c r="BN162" s="631"/>
      <c r="BO162" s="631"/>
      <c r="BP162" s="631"/>
      <c r="BQ162" s="631"/>
      <c r="BR162" s="631"/>
      <c r="BS162" s="631"/>
      <c r="BT162" s="631"/>
      <c r="BU162" s="666" t="str" cm="1">
        <f t="array" ref="BU162">IFERROR(_xlfn.LET(_xlpm.i,ROWS($BU$2:BU162),_xlpm.cur,INDEX(tblLaminateStructures[Laminate],_xlpm.i),_xlpm.prev,IF(_xlpm.i=1,"",INDEX(tblLaminateStructures[Laminate],_xlpm.i-1)),IF(_xlpm.cur&lt;&gt;_xlpm.prev,_xlpm.cur,"")),"")</f>
        <v/>
      </c>
      <c r="BV162" s="631" t="str" cm="1">
        <f t="array" ref="BV162">IFERROR(_xlfn.LET(_xlpm.i,ROWS($BV$2:BV162),_xlpm.cur,INDEX(tblLaminateStructures[Total Thickness (µ)],_xlpm.i),_xlpm.prev,IF(_xlpm.i=1,"",INDEX(tblLaminateStructures[Total Thickness (µ)],_xlpm.i-1)),IF(OR(_xlpm.cur&lt;&gt;_xlpm.prev,BU162&lt;&gt;""),_xlpm.cur,"")),"")</f>
        <v/>
      </c>
      <c r="BW162" s="631" cm="1">
        <f t="array" ref="BW162">IFERROR(INDEX(tblLaminateStructures[Material / Layer],ROWS($BW$2:BW162)),"")</f>
        <v>0</v>
      </c>
      <c r="BX162" s="631" cm="1">
        <f t="array" ref="BX162">IFERROR(INDEX(tblLaminateStructures[Layer Thickness (µ)],ROWS($BX$2:BX162)),"")</f>
        <v>0</v>
      </c>
      <c r="BY162" s="631" t="str" cm="1">
        <f t="array" ref="BY162">IFERROR(INDEX(tblLaminateStructures[Structure Check],ROWS($BY$2:BY162)),"")</f>
        <v/>
      </c>
      <c r="BZ162" s="666" cm="1">
        <f t="array" ref="BZ162">IFERROR(INDEX(tblLaminateStructures[Laminate],ROWS($BZ$2:BZ162)),"")</f>
        <v>0</v>
      </c>
      <c r="CA162" s="631"/>
      <c r="CB162" s="631"/>
      <c r="CC162" s="631" cm="1">
        <f t="array" ref="CC162">IFERROR(INDEX(tblLaminateStructures[Total Thickness (µ)],ROWS($CC$2:CC162)),"")</f>
        <v>0</v>
      </c>
      <c r="CD162" s="631"/>
      <c r="CE162" s="631"/>
      <c r="CF162" s="631"/>
      <c r="CG162" s="631"/>
      <c r="CH162" s="631"/>
    </row>
    <row r="163" spans="48:86">
      <c r="AV163" s="821"/>
      <c r="AW163" s="822"/>
      <c r="AX163" s="821"/>
      <c r="AY163" s="827"/>
      <c r="AZ163" s="82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63" s="821"/>
      <c r="BB163" s="821"/>
      <c r="BC163" s="821"/>
      <c r="BD163" s="821"/>
      <c r="BF163" s="631"/>
      <c r="BG163" s="631"/>
      <c r="BH163" s="631"/>
      <c r="BI163" s="631"/>
      <c r="BJ163" s="631"/>
      <c r="BK163" s="631"/>
      <c r="BL163" s="631"/>
      <c r="BM163" s="631"/>
      <c r="BN163" s="631"/>
      <c r="BO163" s="631"/>
      <c r="BP163" s="631"/>
      <c r="BQ163" s="631"/>
      <c r="BR163" s="631"/>
      <c r="BS163" s="631"/>
      <c r="BT163" s="631"/>
      <c r="BU163" s="666" t="str" cm="1">
        <f t="array" ref="BU163">IFERROR(_xlfn.LET(_xlpm.i,ROWS($BU$2:BU163),_xlpm.cur,INDEX(tblLaminateStructures[Laminate],_xlpm.i),_xlpm.prev,IF(_xlpm.i=1,"",INDEX(tblLaminateStructures[Laminate],_xlpm.i-1)),IF(_xlpm.cur&lt;&gt;_xlpm.prev,_xlpm.cur,"")),"")</f>
        <v/>
      </c>
      <c r="BV163" s="631" t="str" cm="1">
        <f t="array" ref="BV163">IFERROR(_xlfn.LET(_xlpm.i,ROWS($BV$2:BV163),_xlpm.cur,INDEX(tblLaminateStructures[Total Thickness (µ)],_xlpm.i),_xlpm.prev,IF(_xlpm.i=1,"",INDEX(tblLaminateStructures[Total Thickness (µ)],_xlpm.i-1)),IF(OR(_xlpm.cur&lt;&gt;_xlpm.prev,BU163&lt;&gt;""),_xlpm.cur,"")),"")</f>
        <v/>
      </c>
      <c r="BW163" s="631" cm="1">
        <f t="array" ref="BW163">IFERROR(INDEX(tblLaminateStructures[Material / Layer],ROWS($BW$2:BW163)),"")</f>
        <v>0</v>
      </c>
      <c r="BX163" s="631" cm="1">
        <f t="array" ref="BX163">IFERROR(INDEX(tblLaminateStructures[Layer Thickness (µ)],ROWS($BX$2:BX163)),"")</f>
        <v>0</v>
      </c>
      <c r="BY163" s="631" t="str" cm="1">
        <f t="array" ref="BY163">IFERROR(INDEX(tblLaminateStructures[Structure Check],ROWS($BY$2:BY163)),"")</f>
        <v/>
      </c>
      <c r="BZ163" s="666" cm="1">
        <f t="array" ref="BZ163">IFERROR(INDEX(tblLaminateStructures[Laminate],ROWS($BZ$2:BZ163)),"")</f>
        <v>0</v>
      </c>
      <c r="CA163" s="631"/>
      <c r="CB163" s="631"/>
      <c r="CC163" s="631" cm="1">
        <f t="array" ref="CC163">IFERROR(INDEX(tblLaminateStructures[Total Thickness (µ)],ROWS($CC$2:CC163)),"")</f>
        <v>0</v>
      </c>
      <c r="CD163" s="631"/>
      <c r="CE163" s="631"/>
      <c r="CF163" s="631"/>
      <c r="CG163" s="631"/>
      <c r="CH163" s="631"/>
    </row>
    <row r="164" spans="48:86">
      <c r="AV164" s="821"/>
      <c r="AW164" s="822"/>
      <c r="AX164" s="821"/>
      <c r="AY164" s="827"/>
      <c r="AZ164" s="822"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64" s="821"/>
      <c r="BB164" s="821"/>
      <c r="BC164" s="821"/>
      <c r="BD164" s="821"/>
      <c r="BF164" s="631"/>
      <c r="BG164" s="631"/>
      <c r="BH164" s="631"/>
      <c r="BI164" s="631"/>
      <c r="BJ164" s="631"/>
      <c r="BK164" s="631"/>
      <c r="BL164" s="631"/>
      <c r="BM164" s="631"/>
      <c r="BN164" s="631"/>
      <c r="BO164" s="631"/>
      <c r="BP164" s="631"/>
      <c r="BQ164" s="631"/>
      <c r="BR164" s="631"/>
      <c r="BS164" s="631"/>
      <c r="BT164" s="631"/>
      <c r="BU164" s="666" t="str" cm="1">
        <f t="array" ref="BU164">IFERROR(_xlfn.LET(_xlpm.i,ROWS($BU$2:BU164),_xlpm.cur,INDEX(tblLaminateStructures[Laminate],_xlpm.i),_xlpm.prev,IF(_xlpm.i=1,"",INDEX(tblLaminateStructures[Laminate],_xlpm.i-1)),IF(_xlpm.cur&lt;&gt;_xlpm.prev,_xlpm.cur,"")),"")</f>
        <v/>
      </c>
      <c r="BV164" s="631" t="str" cm="1">
        <f t="array" ref="BV164">IFERROR(_xlfn.LET(_xlpm.i,ROWS($BV$2:BV164),_xlpm.cur,INDEX(tblLaminateStructures[Total Thickness (µ)],_xlpm.i),_xlpm.prev,IF(_xlpm.i=1,"",INDEX(tblLaminateStructures[Total Thickness (µ)],_xlpm.i-1)),IF(OR(_xlpm.cur&lt;&gt;_xlpm.prev,BU164&lt;&gt;""),_xlpm.cur,"")),"")</f>
        <v/>
      </c>
      <c r="BW164" s="631" cm="1">
        <f t="array" ref="BW164">IFERROR(INDEX(tblLaminateStructures[Material / Layer],ROWS($BW$2:BW164)),"")</f>
        <v>0</v>
      </c>
      <c r="BX164" s="631" cm="1">
        <f t="array" ref="BX164">IFERROR(INDEX(tblLaminateStructures[Layer Thickness (µ)],ROWS($BX$2:BX164)),"")</f>
        <v>0</v>
      </c>
      <c r="BY164" s="631" t="str" cm="1">
        <f t="array" ref="BY164">IFERROR(INDEX(tblLaminateStructures[Structure Check],ROWS($BY$2:BY164)),"")</f>
        <v/>
      </c>
      <c r="BZ164" s="666" cm="1">
        <f t="array" ref="BZ164">IFERROR(INDEX(tblLaminateStructures[Laminate],ROWS($BZ$2:BZ164)),"")</f>
        <v>0</v>
      </c>
      <c r="CA164" s="631"/>
      <c r="CB164" s="631"/>
      <c r="CC164" s="631" cm="1">
        <f t="array" ref="CC164">IFERROR(INDEX(tblLaminateStructures[Total Thickness (µ)],ROWS($CC$2:CC164)),"")</f>
        <v>0</v>
      </c>
      <c r="CD164" s="631"/>
      <c r="CE164" s="631"/>
      <c r="CF164" s="631"/>
      <c r="CG164" s="631"/>
      <c r="CH164" s="631"/>
    </row>
    <row r="165" spans="48:86">
      <c r="AV165" s="617"/>
      <c r="AW165" s="618"/>
      <c r="AX165" s="617"/>
      <c r="AY165" s="618"/>
      <c r="AZ165" s="618"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65" s="617"/>
      <c r="BB165" s="617"/>
      <c r="BC165" s="617"/>
      <c r="BD165" s="617"/>
      <c r="BF165" s="631"/>
      <c r="BG165" s="631"/>
      <c r="BH165" s="631"/>
      <c r="BI165" s="631"/>
      <c r="BJ165" s="631"/>
      <c r="BK165" s="631"/>
      <c r="BL165" s="631"/>
      <c r="BM165" s="631"/>
      <c r="BN165" s="631"/>
      <c r="BO165" s="631"/>
      <c r="BP165" s="631"/>
      <c r="BQ165" s="631"/>
      <c r="BR165" s="631"/>
      <c r="BS165" s="631"/>
      <c r="BT165" s="631"/>
      <c r="BU165" s="666" t="str" cm="1">
        <f t="array" ref="BU165">IFERROR(_xlfn.LET(_xlpm.i,ROWS($BU$2:BU165),_xlpm.cur,INDEX(tblLaminateStructures[Laminate],_xlpm.i),_xlpm.prev,IF(_xlpm.i=1,"",INDEX(tblLaminateStructures[Laminate],_xlpm.i-1)),IF(_xlpm.cur&lt;&gt;_xlpm.prev,_xlpm.cur,"")),"")</f>
        <v/>
      </c>
      <c r="BV165" s="631" t="str" cm="1">
        <f t="array" ref="BV165">IFERROR(_xlfn.LET(_xlpm.i,ROWS($BV$2:BV165),_xlpm.cur,INDEX(tblLaminateStructures[Total Thickness (µ)],_xlpm.i),_xlpm.prev,IF(_xlpm.i=1,"",INDEX(tblLaminateStructures[Total Thickness (µ)],_xlpm.i-1)),IF(OR(_xlpm.cur&lt;&gt;_xlpm.prev,BU165&lt;&gt;""),_xlpm.cur,"")),"")</f>
        <v/>
      </c>
      <c r="BW165" s="631" cm="1">
        <f t="array" ref="BW165">IFERROR(INDEX(tblLaminateStructures[Material / Layer],ROWS($BW$2:BW165)),"")</f>
        <v>0</v>
      </c>
      <c r="BX165" s="631" cm="1">
        <f t="array" ref="BX165">IFERROR(INDEX(tblLaminateStructures[Layer Thickness (µ)],ROWS($BX$2:BX165)),"")</f>
        <v>0</v>
      </c>
      <c r="BY165" s="631" t="str" cm="1">
        <f t="array" ref="BY165">IFERROR(INDEX(tblLaminateStructures[Structure Check],ROWS($BY$2:BY165)),"")</f>
        <v/>
      </c>
      <c r="BZ165" s="666" cm="1">
        <f t="array" ref="BZ165">IFERROR(INDEX(tblLaminateStructures[Laminate],ROWS($BZ$2:BZ165)),"")</f>
        <v>0</v>
      </c>
      <c r="CA165" s="631"/>
      <c r="CB165" s="631"/>
      <c r="CC165" s="631" cm="1">
        <f t="array" ref="CC165">IFERROR(INDEX(tblLaminateStructures[Total Thickness (µ)],ROWS($CC$2:CC165)),"")</f>
        <v>0</v>
      </c>
      <c r="CD165" s="631"/>
      <c r="CE165" s="631"/>
      <c r="CF165" s="631"/>
      <c r="CG165" s="631"/>
      <c r="CH165" s="631"/>
    </row>
    <row r="166" spans="48:86">
      <c r="AV166" s="617"/>
      <c r="AW166" s="618"/>
      <c r="AX166" s="617"/>
      <c r="AY166" s="618"/>
      <c r="AZ166" s="618"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66" s="617"/>
      <c r="BB166" s="617"/>
      <c r="BC166" s="617"/>
      <c r="BD166" s="617"/>
      <c r="BF166" s="631"/>
      <c r="BG166" s="631"/>
      <c r="BH166" s="631"/>
      <c r="BI166" s="631"/>
      <c r="BJ166" s="631"/>
      <c r="BK166" s="631"/>
      <c r="BL166" s="631"/>
      <c r="BM166" s="631"/>
      <c r="BN166" s="631"/>
      <c r="BO166" s="631"/>
      <c r="BP166" s="631"/>
      <c r="BQ166" s="631"/>
      <c r="BR166" s="631"/>
      <c r="BS166" s="631"/>
      <c r="BT166" s="631"/>
      <c r="BU166" s="666" t="str" cm="1">
        <f t="array" ref="BU166">IFERROR(_xlfn.LET(_xlpm.i,ROWS($BU$2:BU166),_xlpm.cur,INDEX(tblLaminateStructures[Laminate],_xlpm.i),_xlpm.prev,IF(_xlpm.i=1,"",INDEX(tblLaminateStructures[Laminate],_xlpm.i-1)),IF(_xlpm.cur&lt;&gt;_xlpm.prev,_xlpm.cur,"")),"")</f>
        <v/>
      </c>
      <c r="BV166" s="631" t="str" cm="1">
        <f t="array" ref="BV166">IFERROR(_xlfn.LET(_xlpm.i,ROWS($BV$2:BV166),_xlpm.cur,INDEX(tblLaminateStructures[Total Thickness (µ)],_xlpm.i),_xlpm.prev,IF(_xlpm.i=1,"",INDEX(tblLaminateStructures[Total Thickness (µ)],_xlpm.i-1)),IF(OR(_xlpm.cur&lt;&gt;_xlpm.prev,BU166&lt;&gt;""),_xlpm.cur,"")),"")</f>
        <v/>
      </c>
      <c r="BW166" s="631" cm="1">
        <f t="array" ref="BW166">IFERROR(INDEX(tblLaminateStructures[Material / Layer],ROWS($BW$2:BW166)),"")</f>
        <v>0</v>
      </c>
      <c r="BX166" s="631" cm="1">
        <f t="array" ref="BX166">IFERROR(INDEX(tblLaminateStructures[Layer Thickness (µ)],ROWS($BX$2:BX166)),"")</f>
        <v>0</v>
      </c>
      <c r="BY166" s="631" t="str" cm="1">
        <f t="array" ref="BY166">IFERROR(INDEX(tblLaminateStructures[Structure Check],ROWS($BY$2:BY166)),"")</f>
        <v/>
      </c>
      <c r="BZ166" s="666" cm="1">
        <f t="array" ref="BZ166">IFERROR(INDEX(tblLaminateStructures[Laminate],ROWS($BZ$2:BZ166)),"")</f>
        <v>0</v>
      </c>
      <c r="CA166" s="631"/>
      <c r="CB166" s="631"/>
      <c r="CC166" s="631" cm="1">
        <f t="array" ref="CC166">IFERROR(INDEX(tblLaminateStructures[Total Thickness (µ)],ROWS($CC$2:CC166)),"")</f>
        <v>0</v>
      </c>
      <c r="CD166" s="631"/>
      <c r="CE166" s="631"/>
      <c r="CF166" s="631"/>
      <c r="CG166" s="631"/>
      <c r="CH166" s="631"/>
    </row>
    <row r="167" spans="48:86">
      <c r="AV167" s="617"/>
      <c r="AW167" s="618"/>
      <c r="AX167" s="617"/>
      <c r="AY167" s="618"/>
      <c r="AZ167" s="618"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67" s="617"/>
      <c r="BB167" s="617"/>
      <c r="BC167" s="617"/>
      <c r="BD167" s="617"/>
      <c r="BF167" s="631"/>
      <c r="BG167" s="631"/>
      <c r="BH167" s="631"/>
      <c r="BI167" s="631"/>
      <c r="BJ167" s="631"/>
      <c r="BK167" s="631"/>
      <c r="BL167" s="631"/>
      <c r="BM167" s="631"/>
      <c r="BN167" s="631"/>
      <c r="BO167" s="631"/>
      <c r="BP167" s="631"/>
      <c r="BQ167" s="631"/>
      <c r="BR167" s="631"/>
      <c r="BS167" s="631"/>
      <c r="BT167" s="631"/>
      <c r="BU167" s="666" t="str" cm="1">
        <f t="array" ref="BU167">IFERROR(_xlfn.LET(_xlpm.i,ROWS($BU$2:BU167),_xlpm.cur,INDEX(tblLaminateStructures[Laminate],_xlpm.i),_xlpm.prev,IF(_xlpm.i=1,"",INDEX(tblLaminateStructures[Laminate],_xlpm.i-1)),IF(_xlpm.cur&lt;&gt;_xlpm.prev,_xlpm.cur,"")),"")</f>
        <v/>
      </c>
      <c r="BV167" s="631" t="str" cm="1">
        <f t="array" ref="BV167">IFERROR(_xlfn.LET(_xlpm.i,ROWS($BV$2:BV167),_xlpm.cur,INDEX(tblLaminateStructures[Total Thickness (µ)],_xlpm.i),_xlpm.prev,IF(_xlpm.i=1,"",INDEX(tblLaminateStructures[Total Thickness (µ)],_xlpm.i-1)),IF(OR(_xlpm.cur&lt;&gt;_xlpm.prev,BU167&lt;&gt;""),_xlpm.cur,"")),"")</f>
        <v/>
      </c>
      <c r="BW167" s="631" cm="1">
        <f t="array" ref="BW167">IFERROR(INDEX(tblLaminateStructures[Material / Layer],ROWS($BW$2:BW167)),"")</f>
        <v>0</v>
      </c>
      <c r="BX167" s="631" cm="1">
        <f t="array" ref="BX167">IFERROR(INDEX(tblLaminateStructures[Layer Thickness (µ)],ROWS($BX$2:BX167)),"")</f>
        <v>0</v>
      </c>
      <c r="BY167" s="631" t="str" cm="1">
        <f t="array" ref="BY167">IFERROR(INDEX(tblLaminateStructures[Structure Check],ROWS($BY$2:BY167)),"")</f>
        <v/>
      </c>
      <c r="BZ167" s="666" cm="1">
        <f t="array" ref="BZ167">IFERROR(INDEX(tblLaminateStructures[Laminate],ROWS($BZ$2:BZ167)),"")</f>
        <v>0</v>
      </c>
      <c r="CA167" s="631"/>
      <c r="CB167" s="631"/>
      <c r="CC167" s="631" cm="1">
        <f t="array" ref="CC167">IFERROR(INDEX(tblLaminateStructures[Total Thickness (µ)],ROWS($CC$2:CC167)),"")</f>
        <v>0</v>
      </c>
      <c r="CD167" s="631"/>
      <c r="CE167" s="631"/>
      <c r="CF167" s="631"/>
      <c r="CG167" s="631"/>
      <c r="CH167" s="631"/>
    </row>
    <row r="168" spans="48:86">
      <c r="AV168" s="617"/>
      <c r="AW168" s="618"/>
      <c r="AX168" s="617"/>
      <c r="AY168" s="618"/>
      <c r="AZ168" s="618" t="str">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
      </c>
      <c r="BA168" s="617"/>
      <c r="BB168" s="617"/>
      <c r="BC168" s="617"/>
      <c r="BD168" s="617"/>
      <c r="BF168" s="631"/>
      <c r="BG168" s="631"/>
      <c r="BH168" s="631"/>
      <c r="BI168" s="631"/>
      <c r="BJ168" s="631"/>
      <c r="BK168" s="631"/>
      <c r="BL168" s="631"/>
      <c r="BM168" s="631"/>
      <c r="BN168" s="631"/>
      <c r="BO168" s="631"/>
      <c r="BP168" s="631"/>
      <c r="BQ168" s="631"/>
      <c r="BR168" s="631"/>
      <c r="BS168" s="631"/>
      <c r="BT168" s="631"/>
      <c r="BU168" s="666" t="str" cm="1">
        <f t="array" ref="BU168">IFERROR(_xlfn.LET(_xlpm.i,ROWS($BU$2:BU168),_xlpm.cur,INDEX(tblLaminateStructures[Laminate],_xlpm.i),_xlpm.prev,IF(_xlpm.i=1,"",INDEX(tblLaminateStructures[Laminate],_xlpm.i-1)),IF(_xlpm.cur&lt;&gt;_xlpm.prev,_xlpm.cur,"")),"")</f>
        <v/>
      </c>
      <c r="BV168" s="631" t="str" cm="1">
        <f t="array" ref="BV168">IFERROR(_xlfn.LET(_xlpm.i,ROWS($BV$2:BV168),_xlpm.cur,INDEX(tblLaminateStructures[Total Thickness (µ)],_xlpm.i),_xlpm.prev,IF(_xlpm.i=1,"",INDEX(tblLaminateStructures[Total Thickness (µ)],_xlpm.i-1)),IF(OR(_xlpm.cur&lt;&gt;_xlpm.prev,BU168&lt;&gt;""),_xlpm.cur,"")),"")</f>
        <v/>
      </c>
      <c r="BW168" s="631" cm="1">
        <f t="array" ref="BW168">IFERROR(INDEX(tblLaminateStructures[Material / Layer],ROWS($BW$2:BW168)),"")</f>
        <v>0</v>
      </c>
      <c r="BX168" s="631" cm="1">
        <f t="array" ref="BX168">IFERROR(INDEX(tblLaminateStructures[Layer Thickness (µ)],ROWS($BX$2:BX168)),"")</f>
        <v>0</v>
      </c>
      <c r="BY168" s="631" t="str" cm="1">
        <f t="array" ref="BY168">IFERROR(INDEX(tblLaminateStructures[Structure Check],ROWS($BY$2:BY168)),"")</f>
        <v/>
      </c>
      <c r="BZ168" s="666" cm="1">
        <f t="array" ref="BZ168">IFERROR(INDEX(tblLaminateStructures[Laminate],ROWS($BZ$2:BZ168)),"")</f>
        <v>0</v>
      </c>
      <c r="CA168" s="631"/>
      <c r="CB168" s="631"/>
      <c r="CC168" s="631" cm="1">
        <f t="array" ref="CC168">IFERROR(INDEX(tblLaminateStructures[Total Thickness (µ)],ROWS($CC$2:CC168)),"")</f>
        <v>0</v>
      </c>
      <c r="CD168" s="631"/>
      <c r="CE168" s="631"/>
      <c r="CF168" s="631"/>
      <c r="CG168" s="631"/>
      <c r="CH168" s="631"/>
    </row>
    <row r="169" spans="48:86">
      <c r="AV169" s="617" t="s">
        <v>1223</v>
      </c>
      <c r="AW169" s="618">
        <v>106</v>
      </c>
      <c r="AX169" s="617" t="s">
        <v>190</v>
      </c>
      <c r="AY169" s="618">
        <v>23</v>
      </c>
      <c r="AZ169"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106</v>
      </c>
      <c r="BA169" s="617"/>
      <c r="BB169" s="617"/>
      <c r="BC169" s="617" t="s">
        <v>1090</v>
      </c>
      <c r="BD169" s="617"/>
      <c r="BF169" s="631"/>
      <c r="BG169" s="631"/>
      <c r="BH169" s="631"/>
      <c r="BI169" s="631"/>
      <c r="BJ169" s="631"/>
      <c r="BK169" s="631"/>
      <c r="BL169" s="631"/>
      <c r="BM169" s="631"/>
      <c r="BN169" s="631"/>
      <c r="BO169" s="631"/>
      <c r="BP169" s="631"/>
      <c r="BQ169" s="631"/>
      <c r="BR169" s="631"/>
      <c r="BS169" s="631"/>
      <c r="BT169" s="631"/>
      <c r="BU169" s="666" t="str" cm="1">
        <f t="array" ref="BU169">IFERROR(_xlfn.LET(_xlpm.i,ROWS($BU$2:BU169),_xlpm.cur,INDEX(tblLaminateStructures[Laminate],_xlpm.i),_xlpm.prev,IF(_xlpm.i=1,"",INDEX(tblLaminateStructures[Laminate],_xlpm.i-1)),IF(_xlpm.cur&lt;&gt;_xlpm.prev,_xlpm.cur,"")),"")</f>
        <v>648W</v>
      </c>
      <c r="BV169" s="631" cm="1">
        <f t="array" ref="BV169">IFERROR(_xlfn.LET(_xlpm.i,ROWS($BV$2:BV169),_xlpm.cur,INDEX(tblLaminateStructures[Total Thickness (µ)],_xlpm.i),_xlpm.prev,IF(_xlpm.i=1,"",INDEX(tblLaminateStructures[Total Thickness (µ)],_xlpm.i-1)),IF(OR(_xlpm.cur&lt;&gt;_xlpm.prev,BU169&lt;&gt;""),_xlpm.cur,"")),"")</f>
        <v>106</v>
      </c>
      <c r="BW169" s="631" t="str" cm="1">
        <f t="array" ref="BW169">IFERROR(INDEX(tblLaminateStructures[Material / Layer],ROWS($BW$2:BW169)),"")</f>
        <v>NK</v>
      </c>
      <c r="BX169" s="631" cm="1">
        <f t="array" ref="BX169">IFERROR(INDEX(tblLaminateStructures[Layer Thickness (µ)],ROWS($BX$2:BX169)),"")</f>
        <v>23</v>
      </c>
      <c r="BY169" s="631" cm="1">
        <f t="array" ref="BY169">IFERROR(INDEX(tblLaminateStructures[Structure Check],ROWS($BY$2:BY169)),"")</f>
        <v>106</v>
      </c>
      <c r="BZ169" s="666" t="str" cm="1">
        <f t="array" ref="BZ169">IFERROR(INDEX(tblLaminateStructures[Laminate],ROWS($BZ$2:BZ169)),"")</f>
        <v>648W</v>
      </c>
      <c r="CA169" s="631"/>
      <c r="CB169" s="631"/>
      <c r="CC169" s="631" cm="1">
        <f t="array" ref="CC169">IFERROR(INDEX(tblLaminateStructures[Total Thickness (µ)],ROWS($CC$2:CC169)),"")</f>
        <v>106</v>
      </c>
      <c r="CD169" s="631"/>
      <c r="CE169" s="631"/>
      <c r="CF169" s="631"/>
      <c r="CG169" s="631"/>
      <c r="CH169" s="631"/>
    </row>
    <row r="170" spans="48:86">
      <c r="AV170" s="617" t="s">
        <v>1223</v>
      </c>
      <c r="AW170" s="618">
        <v>106</v>
      </c>
      <c r="AX170" s="617" t="s">
        <v>43</v>
      </c>
      <c r="AY170" s="618">
        <v>80</v>
      </c>
      <c r="AZ170"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106</v>
      </c>
      <c r="BA170" s="617"/>
      <c r="BB170" s="617"/>
      <c r="BC170" s="617" t="s">
        <v>1090</v>
      </c>
      <c r="BD170" s="617"/>
      <c r="BF170" s="631"/>
      <c r="BG170" s="631"/>
      <c r="BH170" s="631"/>
      <c r="BI170" s="631"/>
      <c r="BJ170" s="631"/>
      <c r="BK170" s="631"/>
      <c r="BL170" s="631"/>
      <c r="BM170" s="631"/>
      <c r="BN170" s="631"/>
      <c r="BO170" s="631"/>
      <c r="BP170" s="631"/>
      <c r="BQ170" s="631"/>
      <c r="BR170" s="631"/>
      <c r="BS170" s="631"/>
      <c r="BT170" s="631"/>
      <c r="BU170" s="666" t="str" cm="1">
        <f t="array" ref="BU170">IFERROR(_xlfn.LET(_xlpm.i,ROWS($BU$2:BU170),_xlpm.cur,INDEX(tblLaminateStructures[Laminate],_xlpm.i),_xlpm.prev,IF(_xlpm.i=1,"",INDEX(tblLaminateStructures[Laminate],_xlpm.i-1)),IF(_xlpm.cur&lt;&gt;_xlpm.prev,_xlpm.cur,"")),"")</f>
        <v/>
      </c>
      <c r="BV170" s="631" t="str" cm="1">
        <f t="array" ref="BV170">IFERROR(_xlfn.LET(_xlpm.i,ROWS($BV$2:BV170),_xlpm.cur,INDEX(tblLaminateStructures[Total Thickness (µ)],_xlpm.i),_xlpm.prev,IF(_xlpm.i=1,"",INDEX(tblLaminateStructures[Total Thickness (µ)],_xlpm.i-1)),IF(OR(_xlpm.cur&lt;&gt;_xlpm.prev,BU170&lt;&gt;""),_xlpm.cur,"")),"")</f>
        <v/>
      </c>
      <c r="BW170" s="631" t="str" cm="1">
        <f t="array" ref="BW170">IFERROR(INDEX(tblLaminateStructures[Material / Layer],ROWS($BW$2:BW170)),"")</f>
        <v>TIPA 302FG W</v>
      </c>
      <c r="BX170" s="631" cm="1">
        <f t="array" ref="BX170">IFERROR(INDEX(tblLaminateStructures[Layer Thickness (µ)],ROWS($BX$2:BX170)),"")</f>
        <v>80</v>
      </c>
      <c r="BY170" s="631" cm="1">
        <f t="array" ref="BY170">IFERROR(INDEX(tblLaminateStructures[Structure Check],ROWS($BY$2:BY170)),"")</f>
        <v>106</v>
      </c>
      <c r="BZ170" s="666" t="str" cm="1">
        <f t="array" ref="BZ170">IFERROR(INDEX(tblLaminateStructures[Laminate],ROWS($BZ$2:BZ170)),"")</f>
        <v>648W</v>
      </c>
      <c r="CA170" s="631"/>
      <c r="CB170" s="631"/>
      <c r="CC170" s="631" cm="1">
        <f t="array" ref="CC170">IFERROR(INDEX(tblLaminateStructures[Total Thickness (µ)],ROWS($CC$2:CC170)),"")</f>
        <v>106</v>
      </c>
      <c r="CD170" s="631"/>
      <c r="CE170" s="631"/>
      <c r="CF170" s="631"/>
      <c r="CG170" s="631"/>
      <c r="CH170" s="631"/>
    </row>
    <row r="171" spans="48:86">
      <c r="AV171" s="617" t="s">
        <v>1223</v>
      </c>
      <c r="AW171" s="618">
        <v>106</v>
      </c>
      <c r="AX171" s="617" t="s">
        <v>195</v>
      </c>
      <c r="AY171" s="618">
        <v>2.91</v>
      </c>
      <c r="AZ171"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106</v>
      </c>
      <c r="BA171" s="617"/>
      <c r="BB171" s="617"/>
      <c r="BC171" s="617" t="s">
        <v>1090</v>
      </c>
      <c r="BD171" s="617"/>
      <c r="BF171" s="631"/>
      <c r="BG171" s="631"/>
      <c r="BH171" s="631"/>
      <c r="BI171" s="631"/>
      <c r="BJ171" s="631"/>
      <c r="BK171" s="631"/>
      <c r="BL171" s="631"/>
      <c r="BM171" s="631"/>
      <c r="BN171" s="631"/>
      <c r="BO171" s="631"/>
      <c r="BP171" s="631"/>
      <c r="BQ171" s="631"/>
      <c r="BR171" s="631"/>
      <c r="BS171" s="631"/>
      <c r="BT171" s="631"/>
      <c r="BU171" s="666" t="str" cm="1">
        <f t="array" ref="BU171">IFERROR(_xlfn.LET(_xlpm.i,ROWS($BU$2:BU171),_xlpm.cur,INDEX(tblLaminateStructures[Laminate],_xlpm.i),_xlpm.prev,IF(_xlpm.i=1,"",INDEX(tblLaminateStructures[Laminate],_xlpm.i-1)),IF(_xlpm.cur&lt;&gt;_xlpm.prev,_xlpm.cur,"")),"")</f>
        <v/>
      </c>
      <c r="BV171" s="631" t="str" cm="1">
        <f t="array" ref="BV171">IFERROR(_xlfn.LET(_xlpm.i,ROWS($BV$2:BV171),_xlpm.cur,INDEX(tblLaminateStructures[Total Thickness (µ)],_xlpm.i),_xlpm.prev,IF(_xlpm.i=1,"",INDEX(tblLaminateStructures[Total Thickness (µ)],_xlpm.i-1)),IF(OR(_xlpm.cur&lt;&gt;_xlpm.prev,BU171&lt;&gt;""),_xlpm.cur,"")),"")</f>
        <v/>
      </c>
      <c r="BW171" s="631" t="str" cm="1">
        <f t="array" ref="BW171">IFERROR(INDEX(tblLaminateStructures[Material / Layer],ROWS($BW$2:BW171)),"")</f>
        <v>RM G Epotal Eco 3702</v>
      </c>
      <c r="BX171" s="631" cm="1">
        <f t="array" ref="BX171">IFERROR(INDEX(tblLaminateStructures[Layer Thickness (µ)],ROWS($BX$2:BX171)),"")</f>
        <v>2.91</v>
      </c>
      <c r="BY171" s="631" cm="1">
        <f t="array" ref="BY171">IFERROR(INDEX(tblLaminateStructures[Structure Check],ROWS($BY$2:BY171)),"")</f>
        <v>106</v>
      </c>
      <c r="BZ171" s="666" t="str" cm="1">
        <f t="array" ref="BZ171">IFERROR(INDEX(tblLaminateStructures[Laminate],ROWS($BZ$2:BZ171)),"")</f>
        <v>648W</v>
      </c>
      <c r="CA171" s="631"/>
      <c r="CB171" s="631"/>
      <c r="CC171" s="631" cm="1">
        <f t="array" ref="CC171">IFERROR(INDEX(tblLaminateStructures[Total Thickness (µ)],ROWS($CC$2:CC171)),"")</f>
        <v>106</v>
      </c>
      <c r="CD171" s="631"/>
      <c r="CE171" s="631"/>
      <c r="CF171" s="631"/>
      <c r="CG171" s="631"/>
      <c r="CH171" s="631"/>
    </row>
    <row r="172" spans="48:86">
      <c r="AV172" s="617" t="s">
        <v>1223</v>
      </c>
      <c r="AW172" s="618">
        <v>106</v>
      </c>
      <c r="AX172" s="617" t="s">
        <v>196</v>
      </c>
      <c r="AY172" s="618">
        <v>8.99999999999999E-2</v>
      </c>
      <c r="AZ172"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106</v>
      </c>
      <c r="BA172" s="617"/>
      <c r="BB172" s="617"/>
      <c r="BC172" s="617" t="s">
        <v>1090</v>
      </c>
      <c r="BD172" s="617"/>
      <c r="BF172" s="631"/>
      <c r="BG172" s="631"/>
      <c r="BH172" s="631"/>
      <c r="BI172" s="631"/>
      <c r="BJ172" s="631"/>
      <c r="BK172" s="631"/>
      <c r="BL172" s="631"/>
      <c r="BM172" s="631"/>
      <c r="BN172" s="631"/>
      <c r="BO172" s="631"/>
      <c r="BP172" s="631"/>
      <c r="BQ172" s="631"/>
      <c r="BR172" s="631"/>
      <c r="BS172" s="631"/>
      <c r="BT172" s="631"/>
      <c r="BU172" s="666" t="str" cm="1">
        <f t="array" ref="BU172">IFERROR(_xlfn.LET(_xlpm.i,ROWS($BU$2:BU172),_xlpm.cur,INDEX(tblLaminateStructures[Laminate],_xlpm.i),_xlpm.prev,IF(_xlpm.i=1,"",INDEX(tblLaminateStructures[Laminate],_xlpm.i-1)),IF(_xlpm.cur&lt;&gt;_xlpm.prev,_xlpm.cur,"")),"")</f>
        <v/>
      </c>
      <c r="BV172" s="631" t="str" cm="1">
        <f t="array" ref="BV172">IFERROR(_xlfn.LET(_xlpm.i,ROWS($BV$2:BV172),_xlpm.cur,INDEX(tblLaminateStructures[Total Thickness (µ)],_xlpm.i),_xlpm.prev,IF(_xlpm.i=1,"",INDEX(tblLaminateStructures[Total Thickness (µ)],_xlpm.i-1)),IF(OR(_xlpm.cur&lt;&gt;_xlpm.prev,BU172&lt;&gt;""),_xlpm.cur,"")),"")</f>
        <v/>
      </c>
      <c r="BW172" s="631" t="str" cm="1">
        <f t="array" ref="BW172">IFERROR(INDEX(tblLaminateStructures[Material / Layer],ROWS($BW$2:BW172)),"")</f>
        <v>RM G Basonat HW 2270</v>
      </c>
      <c r="BX172" s="631" cm="1">
        <f t="array" ref="BX172">IFERROR(INDEX(tblLaminateStructures[Layer Thickness (µ)],ROWS($BX$2:BX172)),"")</f>
        <v>8.99999999999999E-2</v>
      </c>
      <c r="BY172" s="631" cm="1">
        <f t="array" ref="BY172">IFERROR(INDEX(tblLaminateStructures[Structure Check],ROWS($BY$2:BY172)),"")</f>
        <v>106</v>
      </c>
      <c r="BZ172" s="666" t="str" cm="1">
        <f t="array" ref="BZ172">IFERROR(INDEX(tblLaminateStructures[Laminate],ROWS($BZ$2:BZ172)),"")</f>
        <v>648W</v>
      </c>
      <c r="CA172" s="631"/>
      <c r="CB172" s="631"/>
      <c r="CC172" s="631" cm="1">
        <f t="array" ref="CC172">IFERROR(INDEX(tblLaminateStructures[Total Thickness (µ)],ROWS($CC$2:CC172)),"")</f>
        <v>106</v>
      </c>
      <c r="CD172" s="631"/>
      <c r="CE172" s="631"/>
      <c r="CF172" s="631"/>
      <c r="CG172" s="631"/>
      <c r="CH172" s="631"/>
    </row>
    <row r="173" spans="48:86">
      <c r="AV173" s="617" t="s">
        <v>1223</v>
      </c>
      <c r="AW173" s="618">
        <v>63</v>
      </c>
      <c r="AX173" s="617" t="s">
        <v>190</v>
      </c>
      <c r="AY173" s="618">
        <v>23</v>
      </c>
      <c r="AZ173"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63.09</v>
      </c>
      <c r="BA173" s="617"/>
      <c r="BB173" s="617"/>
      <c r="BC173" s="617" t="s">
        <v>1090</v>
      </c>
      <c r="BD173" s="617"/>
      <c r="BF173" s="631"/>
      <c r="BG173" s="631"/>
      <c r="BH173" s="631"/>
      <c r="BI173" s="631"/>
      <c r="BJ173" s="631"/>
      <c r="BK173" s="631"/>
      <c r="BL173" s="631"/>
      <c r="BM173" s="631"/>
      <c r="BN173" s="631"/>
      <c r="BO173" s="631"/>
      <c r="BP173" s="631"/>
      <c r="BQ173" s="631"/>
      <c r="BR173" s="631"/>
      <c r="BS173" s="631"/>
      <c r="BT173" s="631"/>
      <c r="BU173" s="666" t="str" cm="1">
        <f t="array" ref="BU173">IFERROR(_xlfn.LET(_xlpm.i,ROWS($BU$2:BU173),_xlpm.cur,INDEX(tblLaminateStructures[Laminate],_xlpm.i),_xlpm.prev,IF(_xlpm.i=1,"",INDEX(tblLaminateStructures[Laminate],_xlpm.i-1)),IF(_xlpm.cur&lt;&gt;_xlpm.prev,_xlpm.cur,"")),"")</f>
        <v/>
      </c>
      <c r="BV173" s="631" cm="1">
        <f t="array" ref="BV173">IFERROR(_xlfn.LET(_xlpm.i,ROWS($BV$2:BV173),_xlpm.cur,INDEX(tblLaminateStructures[Total Thickness (µ)],_xlpm.i),_xlpm.prev,IF(_xlpm.i=1,"",INDEX(tblLaminateStructures[Total Thickness (µ)],_xlpm.i-1)),IF(OR(_xlpm.cur&lt;&gt;_xlpm.prev,BU173&lt;&gt;""),_xlpm.cur,"")),"")</f>
        <v>63</v>
      </c>
      <c r="BW173" s="631" t="str" cm="1">
        <f t="array" ref="BW173">IFERROR(INDEX(tblLaminateStructures[Material / Layer],ROWS($BW$2:BW173)),"")</f>
        <v>NK</v>
      </c>
      <c r="BX173" s="631" cm="1">
        <f t="array" ref="BX173">IFERROR(INDEX(tblLaminateStructures[Layer Thickness (µ)],ROWS($BX$2:BX173)),"")</f>
        <v>23</v>
      </c>
      <c r="BY173" s="631" cm="1">
        <f t="array" ref="BY173">IFERROR(INDEX(tblLaminateStructures[Structure Check],ROWS($BY$2:BY173)),"")</f>
        <v>63.09</v>
      </c>
      <c r="BZ173" s="666" t="str" cm="1">
        <f t="array" ref="BZ173">IFERROR(INDEX(tblLaminateStructures[Laminate],ROWS($BZ$2:BZ173)),"")</f>
        <v>648W</v>
      </c>
      <c r="CA173" s="631"/>
      <c r="CB173" s="631"/>
      <c r="CC173" s="631" cm="1">
        <f t="array" ref="CC173">IFERROR(INDEX(tblLaminateStructures[Total Thickness (µ)],ROWS($CC$2:CC173)),"")</f>
        <v>63</v>
      </c>
      <c r="CD173" s="631"/>
      <c r="CE173" s="631"/>
      <c r="CF173" s="631"/>
      <c r="CG173" s="631"/>
      <c r="CH173" s="631"/>
    </row>
    <row r="174" spans="48:86">
      <c r="AV174" s="617" t="s">
        <v>1223</v>
      </c>
      <c r="AW174" s="618">
        <v>63</v>
      </c>
      <c r="AX174" s="617" t="s">
        <v>43</v>
      </c>
      <c r="AY174" s="618">
        <v>35</v>
      </c>
      <c r="AZ174"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63.09</v>
      </c>
      <c r="BA174" s="617"/>
      <c r="BB174" s="617"/>
      <c r="BC174" s="617" t="s">
        <v>1090</v>
      </c>
      <c r="BD174" s="617"/>
      <c r="BF174" s="631"/>
      <c r="BG174" s="631"/>
      <c r="BH174" s="631"/>
      <c r="BI174" s="631"/>
      <c r="BJ174" s="631"/>
      <c r="BK174" s="631"/>
      <c r="BL174" s="631"/>
      <c r="BM174" s="631"/>
      <c r="BN174" s="631"/>
      <c r="BO174" s="631"/>
      <c r="BP174" s="631"/>
      <c r="BQ174" s="631"/>
      <c r="BR174" s="631"/>
      <c r="BS174" s="631"/>
      <c r="BT174" s="631"/>
      <c r="BU174" s="666" t="str" cm="1">
        <f t="array" ref="BU174">IFERROR(_xlfn.LET(_xlpm.i,ROWS($BU$2:BU174),_xlpm.cur,INDEX(tblLaminateStructures[Laminate],_xlpm.i),_xlpm.prev,IF(_xlpm.i=1,"",INDEX(tblLaminateStructures[Laminate],_xlpm.i-1)),IF(_xlpm.cur&lt;&gt;_xlpm.prev,_xlpm.cur,"")),"")</f>
        <v/>
      </c>
      <c r="BV174" s="631" t="str" cm="1">
        <f t="array" ref="BV174">IFERROR(_xlfn.LET(_xlpm.i,ROWS($BV$2:BV174),_xlpm.cur,INDEX(tblLaminateStructures[Total Thickness (µ)],_xlpm.i),_xlpm.prev,IF(_xlpm.i=1,"",INDEX(tblLaminateStructures[Total Thickness (µ)],_xlpm.i-1)),IF(OR(_xlpm.cur&lt;&gt;_xlpm.prev,BU174&lt;&gt;""),_xlpm.cur,"")),"")</f>
        <v/>
      </c>
      <c r="BW174" s="631" t="str" cm="1">
        <f t="array" ref="BW174">IFERROR(INDEX(tblLaminateStructures[Material / Layer],ROWS($BW$2:BW174)),"")</f>
        <v>TIPA 302FG W</v>
      </c>
      <c r="BX174" s="631" cm="1">
        <f t="array" ref="BX174">IFERROR(INDEX(tblLaminateStructures[Layer Thickness (µ)],ROWS($BX$2:BX174)),"")</f>
        <v>35</v>
      </c>
      <c r="BY174" s="631" cm="1">
        <f t="array" ref="BY174">IFERROR(INDEX(tblLaminateStructures[Structure Check],ROWS($BY$2:BY174)),"")</f>
        <v>63.09</v>
      </c>
      <c r="BZ174" s="666" t="str" cm="1">
        <f t="array" ref="BZ174">IFERROR(INDEX(tblLaminateStructures[Laminate],ROWS($BZ$2:BZ174)),"")</f>
        <v>648W</v>
      </c>
      <c r="CA174" s="631"/>
      <c r="CB174" s="631"/>
      <c r="CC174" s="631" cm="1">
        <f t="array" ref="CC174">IFERROR(INDEX(tblLaminateStructures[Total Thickness (µ)],ROWS($CC$2:CC174)),"")</f>
        <v>63</v>
      </c>
      <c r="CD174" s="631"/>
      <c r="CE174" s="631"/>
      <c r="CF174" s="631"/>
      <c r="CG174" s="631"/>
      <c r="CH174" s="631"/>
    </row>
    <row r="175" spans="48:86">
      <c r="AV175" s="617" t="s">
        <v>1223</v>
      </c>
      <c r="AW175" s="618">
        <v>63</v>
      </c>
      <c r="AX175" s="617" t="s">
        <v>195</v>
      </c>
      <c r="AY175" s="618">
        <v>5</v>
      </c>
      <c r="AZ175"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63.09</v>
      </c>
      <c r="BA175" s="617"/>
      <c r="BB175" s="617"/>
      <c r="BC175" s="617" t="s">
        <v>1090</v>
      </c>
      <c r="BD175" s="617"/>
      <c r="BF175" s="631"/>
      <c r="BG175" s="631"/>
      <c r="BH175" s="631"/>
      <c r="BI175" s="631"/>
      <c r="BJ175" s="631"/>
      <c r="BK175" s="631"/>
      <c r="BL175" s="631"/>
      <c r="BM175" s="631"/>
      <c r="BN175" s="631"/>
      <c r="BO175" s="631"/>
      <c r="BP175" s="631"/>
      <c r="BQ175" s="631"/>
      <c r="BR175" s="631"/>
      <c r="BS175" s="631"/>
      <c r="BT175" s="631"/>
      <c r="BU175" s="666" t="str" cm="1">
        <f t="array" ref="BU175">IFERROR(_xlfn.LET(_xlpm.i,ROWS($BU$2:BU175),_xlpm.cur,INDEX(tblLaminateStructures[Laminate],_xlpm.i),_xlpm.prev,IF(_xlpm.i=1,"",INDEX(tblLaminateStructures[Laminate],_xlpm.i-1)),IF(_xlpm.cur&lt;&gt;_xlpm.prev,_xlpm.cur,"")),"")</f>
        <v/>
      </c>
      <c r="BV175" s="631" t="str" cm="1">
        <f t="array" ref="BV175">IFERROR(_xlfn.LET(_xlpm.i,ROWS($BV$2:BV175),_xlpm.cur,INDEX(tblLaminateStructures[Total Thickness (µ)],_xlpm.i),_xlpm.prev,IF(_xlpm.i=1,"",INDEX(tblLaminateStructures[Total Thickness (µ)],_xlpm.i-1)),IF(OR(_xlpm.cur&lt;&gt;_xlpm.prev,BU175&lt;&gt;""),_xlpm.cur,"")),"")</f>
        <v/>
      </c>
      <c r="BW175" s="631" t="str" cm="1">
        <f t="array" ref="BW175">IFERROR(INDEX(tblLaminateStructures[Material / Layer],ROWS($BW$2:BW175)),"")</f>
        <v>RM G Epotal Eco 3702</v>
      </c>
      <c r="BX175" s="631" cm="1">
        <f t="array" ref="BX175">IFERROR(INDEX(tblLaminateStructures[Layer Thickness (µ)],ROWS($BX$2:BX175)),"")</f>
        <v>5</v>
      </c>
      <c r="BY175" s="631" cm="1">
        <f t="array" ref="BY175">IFERROR(INDEX(tblLaminateStructures[Structure Check],ROWS($BY$2:BY175)),"")</f>
        <v>63.09</v>
      </c>
      <c r="BZ175" s="666" t="str" cm="1">
        <f t="array" ref="BZ175">IFERROR(INDEX(tblLaminateStructures[Laminate],ROWS($BZ$2:BZ175)),"")</f>
        <v>648W</v>
      </c>
      <c r="CA175" s="631"/>
      <c r="CB175" s="631"/>
      <c r="CC175" s="631" cm="1">
        <f t="array" ref="CC175">IFERROR(INDEX(tblLaminateStructures[Total Thickness (µ)],ROWS($CC$2:CC175)),"")</f>
        <v>63</v>
      </c>
      <c r="CD175" s="631"/>
      <c r="CE175" s="631"/>
      <c r="CF175" s="631"/>
      <c r="CG175" s="631"/>
      <c r="CH175" s="631"/>
    </row>
    <row r="176" spans="48:86">
      <c r="AV176" s="617" t="s">
        <v>1223</v>
      </c>
      <c r="AW176" s="618">
        <v>63</v>
      </c>
      <c r="AX176" s="617" t="s">
        <v>196</v>
      </c>
      <c r="AY176" s="618">
        <v>8.99999999999999E-2</v>
      </c>
      <c r="AZ176" s="618">
        <f>IF(OR(tblLaminateStructures[[#This Row],[Laminate]]="",tblLaminateStructures[[#This Row],[Total Thickness (µ)]]=""),"",SUMIFS(tblLaminateStructures[Layer Thickness (µ)],tblLaminateStructures[Laminate],tblLaminateStructures[[#This Row],[Laminate]],tblLaminateStructures[Total Thickness (µ)],tblLaminateStructures[[#This Row],[Total Thickness (µ)]]))</f>
        <v>63.09</v>
      </c>
      <c r="BA176" s="617"/>
      <c r="BB176" s="617"/>
      <c r="BC176" s="617" t="s">
        <v>1090</v>
      </c>
      <c r="BD176" s="617"/>
      <c r="BF176" s="631"/>
      <c r="BG176" s="631"/>
      <c r="BH176" s="631"/>
      <c r="BI176" s="631"/>
      <c r="BJ176" s="631"/>
      <c r="BK176" s="631"/>
      <c r="BL176" s="631"/>
      <c r="BM176" s="631"/>
      <c r="BN176" s="631"/>
      <c r="BO176" s="631"/>
      <c r="BP176" s="631"/>
      <c r="BQ176" s="631"/>
      <c r="BR176" s="631"/>
      <c r="BS176" s="631"/>
      <c r="BT176" s="631"/>
      <c r="BU176" s="666" t="str" cm="1">
        <f t="array" ref="BU176">IFERROR(_xlfn.LET(_xlpm.i,ROWS($BU$2:BU176),_xlpm.cur,INDEX(tblLaminateStructures[Laminate],_xlpm.i),_xlpm.prev,IF(_xlpm.i=1,"",INDEX(tblLaminateStructures[Laminate],_xlpm.i-1)),IF(_xlpm.cur&lt;&gt;_xlpm.prev,_xlpm.cur,"")),"")</f>
        <v/>
      </c>
      <c r="BV176" s="631" t="str" cm="1">
        <f t="array" ref="BV176">IFERROR(_xlfn.LET(_xlpm.i,ROWS($BV$2:BV176),_xlpm.cur,INDEX(tblLaminateStructures[Total Thickness (µ)],_xlpm.i),_xlpm.prev,IF(_xlpm.i=1,"",INDEX(tblLaminateStructures[Total Thickness (µ)],_xlpm.i-1)),IF(OR(_xlpm.cur&lt;&gt;_xlpm.prev,BU176&lt;&gt;""),_xlpm.cur,"")),"")</f>
        <v/>
      </c>
      <c r="BW176" s="631" t="str" cm="1">
        <f t="array" ref="BW176">IFERROR(INDEX(tblLaminateStructures[Material / Layer],ROWS($BW$2:BW176)),"")</f>
        <v>RM G Basonat HW 2270</v>
      </c>
      <c r="BX176" s="631" cm="1">
        <f t="array" ref="BX176">IFERROR(INDEX(tblLaminateStructures[Layer Thickness (µ)],ROWS($BX$2:BX176)),"")</f>
        <v>8.99999999999999E-2</v>
      </c>
      <c r="BY176" s="631" cm="1">
        <f t="array" ref="BY176">IFERROR(INDEX(tblLaminateStructures[Structure Check],ROWS($BY$2:BY176)),"")</f>
        <v>63.09</v>
      </c>
      <c r="BZ176" s="666" t="str" cm="1">
        <f t="array" ref="BZ176">IFERROR(INDEX(tblLaminateStructures[Laminate],ROWS($BZ$2:BZ176)),"")</f>
        <v>648W</v>
      </c>
      <c r="CA176" s="631"/>
      <c r="CB176" s="631"/>
      <c r="CC176" s="631" cm="1">
        <f t="array" ref="CC176">IFERROR(INDEX(tblLaminateStructures[Total Thickness (µ)],ROWS($CC$2:CC176)),"")</f>
        <v>63</v>
      </c>
      <c r="CD176" s="631"/>
      <c r="CE176" s="631"/>
      <c r="CF176" s="631"/>
      <c r="CG176" s="631"/>
      <c r="CH176" s="631"/>
    </row>
    <row r="177" spans="48:86">
      <c r="AV177" s="620"/>
      <c r="AW177" s="621"/>
      <c r="AX177" s="620"/>
      <c r="AY177" s="621"/>
      <c r="AZ177" s="621"/>
      <c r="BA177" s="620"/>
      <c r="BB177" s="620"/>
      <c r="BC177" s="620"/>
      <c r="BD177" s="620"/>
      <c r="BF177" s="631"/>
      <c r="BG177" s="631"/>
      <c r="BH177" s="631"/>
      <c r="BI177" s="631"/>
      <c r="BJ177" s="631"/>
      <c r="BK177" s="631"/>
      <c r="BL177" s="631"/>
      <c r="BM177" s="631"/>
      <c r="BN177" s="631"/>
      <c r="BO177" s="631"/>
      <c r="BP177" s="631"/>
      <c r="BQ177" s="631"/>
      <c r="BR177" s="631"/>
      <c r="BS177" s="631"/>
      <c r="BT177" s="631"/>
      <c r="BU177" s="666" t="str" cm="1">
        <f t="array" ref="BU177">IFERROR(_xlfn.LET(_xlpm.i,ROWS($BU$2:BU177),_xlpm.cur,INDEX(tblLaminateStructures[Laminate],_xlpm.i),_xlpm.prev,IF(_xlpm.i=1,"",INDEX(tblLaminateStructures[Laminate],_xlpm.i-1)),IF(_xlpm.cur&lt;&gt;_xlpm.prev,_xlpm.cur,"")),"")</f>
        <v/>
      </c>
      <c r="BV177" s="631" t="str" cm="1">
        <f t="array" ref="BV177">IFERROR(_xlfn.LET(_xlpm.i,ROWS($BV$2:BV177),_xlpm.cur,INDEX(tblLaminateStructures[Total Thickness (µ)],_xlpm.i),_xlpm.prev,IF(_xlpm.i=1,"",INDEX(tblLaminateStructures[Total Thickness (µ)],_xlpm.i-1)),IF(OR(_xlpm.cur&lt;&gt;_xlpm.prev,BU177&lt;&gt;""),_xlpm.cur,"")),"")</f>
        <v/>
      </c>
      <c r="BW177" s="631" t="str" cm="1">
        <f t="array" ref="BW177">IFERROR(INDEX(tblLaminateStructures[Material / Layer],ROWS($BW$2:BW177)),"")</f>
        <v/>
      </c>
      <c r="BX177" s="631" t="str" cm="1">
        <f t="array" ref="BX177">IFERROR(INDEX(tblLaminateStructures[Layer Thickness (µ)],ROWS($BX$2:BX177)),"")</f>
        <v/>
      </c>
      <c r="BY177" s="631" t="str" cm="1">
        <f t="array" ref="BY177">IFERROR(INDEX(tblLaminateStructures[Structure Check],ROWS($BY$2:BY177)),"")</f>
        <v/>
      </c>
      <c r="BZ177" s="666" t="str" cm="1">
        <f t="array" ref="BZ177">IFERROR(INDEX(tblLaminateStructures[Laminate],ROWS($BZ$2:BZ177)),"")</f>
        <v/>
      </c>
      <c r="CA177" s="631"/>
      <c r="CB177" s="631"/>
      <c r="CC177" s="631" t="str" cm="1">
        <f t="array" ref="CC177">IFERROR(INDEX(tblLaminateStructures[Total Thickness (µ)],ROWS($CC$2:CC177)),"")</f>
        <v/>
      </c>
      <c r="CD177" s="631"/>
      <c r="CE177" s="631"/>
      <c r="CF177" s="631"/>
      <c r="CG177" s="631"/>
      <c r="CH177" s="631"/>
    </row>
    <row r="178" spans="48:86">
      <c r="AV178" s="620"/>
      <c r="AW178" s="621"/>
      <c r="AX178" s="620"/>
      <c r="AY178" s="621"/>
      <c r="AZ178" s="621"/>
      <c r="BA178" s="620"/>
      <c r="BB178" s="620"/>
      <c r="BC178" s="620"/>
      <c r="BD178" s="620"/>
      <c r="BF178" s="631"/>
      <c r="BG178" s="631"/>
      <c r="BH178" s="631"/>
      <c r="BI178" s="631"/>
      <c r="BJ178" s="631"/>
      <c r="BK178" s="631"/>
      <c r="BL178" s="631"/>
      <c r="BM178" s="631"/>
      <c r="BN178" s="631"/>
      <c r="BO178" s="631"/>
      <c r="BP178" s="631"/>
      <c r="BQ178" s="631"/>
      <c r="BR178" s="631"/>
      <c r="BS178" s="631"/>
      <c r="BT178" s="631"/>
      <c r="BU178" s="666" t="str" cm="1">
        <f t="array" ref="BU178">IFERROR(_xlfn.LET(_xlpm.i,ROWS($BU$2:BU178),_xlpm.cur,INDEX(tblLaminateStructures[Laminate],_xlpm.i),_xlpm.prev,IF(_xlpm.i=1,"",INDEX(tblLaminateStructures[Laminate],_xlpm.i-1)),IF(_xlpm.cur&lt;&gt;_xlpm.prev,_xlpm.cur,"")),"")</f>
        <v/>
      </c>
      <c r="BV178" s="631" t="str" cm="1">
        <f t="array" ref="BV178">IFERROR(_xlfn.LET(_xlpm.i,ROWS($BV$2:BV178),_xlpm.cur,INDEX(tblLaminateStructures[Total Thickness (µ)],_xlpm.i),_xlpm.prev,IF(_xlpm.i=1,"",INDEX(tblLaminateStructures[Total Thickness (µ)],_xlpm.i-1)),IF(OR(_xlpm.cur&lt;&gt;_xlpm.prev,BU178&lt;&gt;""),_xlpm.cur,"")),"")</f>
        <v/>
      </c>
      <c r="BW178" s="631" t="str" cm="1">
        <f t="array" ref="BW178">IFERROR(INDEX(tblLaminateStructures[Material / Layer],ROWS($BW$2:BW178)),"")</f>
        <v/>
      </c>
      <c r="BX178" s="631" t="str" cm="1">
        <f t="array" ref="BX178">IFERROR(INDEX(tblLaminateStructures[Layer Thickness (µ)],ROWS($BX$2:BX178)),"")</f>
        <v/>
      </c>
      <c r="BY178" s="631" t="str" cm="1">
        <f t="array" ref="BY178">IFERROR(INDEX(tblLaminateStructures[Structure Check],ROWS($BY$2:BY178)),"")</f>
        <v/>
      </c>
      <c r="BZ178" s="666" t="str" cm="1">
        <f t="array" ref="BZ178">IFERROR(INDEX(tblLaminateStructures[Laminate],ROWS($BZ$2:BZ178)),"")</f>
        <v/>
      </c>
      <c r="CA178" s="631"/>
      <c r="CB178" s="631"/>
      <c r="CC178" s="631" t="str" cm="1">
        <f t="array" ref="CC178">IFERROR(INDEX(tblLaminateStructures[Total Thickness (µ)],ROWS($CC$2:CC178)),"")</f>
        <v/>
      </c>
      <c r="CD178" s="631"/>
      <c r="CE178" s="631"/>
      <c r="CF178" s="631"/>
      <c r="CG178" s="631"/>
      <c r="CH178" s="631"/>
    </row>
    <row r="179" spans="48:86">
      <c r="AV179" s="620"/>
      <c r="AW179" s="621"/>
      <c r="AX179" s="620"/>
      <c r="AY179" s="621"/>
      <c r="AZ179" s="621"/>
      <c r="BA179" s="620"/>
      <c r="BB179" s="620"/>
      <c r="BC179" s="620"/>
      <c r="BD179" s="620"/>
      <c r="BF179" s="631"/>
      <c r="BG179" s="631"/>
      <c r="BH179" s="631"/>
      <c r="BI179" s="631"/>
      <c r="BJ179" s="631"/>
      <c r="BK179" s="631"/>
      <c r="BL179" s="631"/>
      <c r="BM179" s="631"/>
      <c r="BN179" s="631"/>
      <c r="BO179" s="631"/>
      <c r="BP179" s="631"/>
      <c r="BQ179" s="631"/>
      <c r="BR179" s="631"/>
      <c r="BS179" s="631"/>
      <c r="BT179" s="631"/>
      <c r="BU179" s="666" t="str" cm="1">
        <f t="array" ref="BU179">IFERROR(_xlfn.LET(_xlpm.i,ROWS($BU$2:BU179),_xlpm.cur,INDEX(tblLaminateStructures[Laminate],_xlpm.i),_xlpm.prev,IF(_xlpm.i=1,"",INDEX(tblLaminateStructures[Laminate],_xlpm.i-1)),IF(_xlpm.cur&lt;&gt;_xlpm.prev,_xlpm.cur,"")),"")</f>
        <v/>
      </c>
      <c r="BV179" s="631" t="str" cm="1">
        <f t="array" ref="BV179">IFERROR(_xlfn.LET(_xlpm.i,ROWS($BV$2:BV179),_xlpm.cur,INDEX(tblLaminateStructures[Total Thickness (µ)],_xlpm.i),_xlpm.prev,IF(_xlpm.i=1,"",INDEX(tblLaminateStructures[Total Thickness (µ)],_xlpm.i-1)),IF(OR(_xlpm.cur&lt;&gt;_xlpm.prev,BU179&lt;&gt;""),_xlpm.cur,"")),"")</f>
        <v/>
      </c>
      <c r="BW179" s="631" t="str" cm="1">
        <f t="array" ref="BW179">IFERROR(INDEX(tblLaminateStructures[Material / Layer],ROWS($BW$2:BW179)),"")</f>
        <v/>
      </c>
      <c r="BX179" s="631" t="str" cm="1">
        <f t="array" ref="BX179">IFERROR(INDEX(tblLaminateStructures[Layer Thickness (µ)],ROWS($BX$2:BX179)),"")</f>
        <v/>
      </c>
      <c r="BY179" s="631" t="str" cm="1">
        <f t="array" ref="BY179">IFERROR(INDEX(tblLaminateStructures[Structure Check],ROWS($BY$2:BY179)),"")</f>
        <v/>
      </c>
      <c r="BZ179" s="666" t="str" cm="1">
        <f t="array" ref="BZ179">IFERROR(INDEX(tblLaminateStructures[Laminate],ROWS($BZ$2:BZ179)),"")</f>
        <v/>
      </c>
      <c r="CA179" s="631"/>
      <c r="CB179" s="631"/>
      <c r="CC179" s="631" t="str" cm="1">
        <f t="array" ref="CC179">IFERROR(INDEX(tblLaminateStructures[Total Thickness (µ)],ROWS($CC$2:CC179)),"")</f>
        <v/>
      </c>
      <c r="CD179" s="631"/>
      <c r="CE179" s="631"/>
      <c r="CF179" s="631"/>
      <c r="CG179" s="631"/>
      <c r="CH179" s="631"/>
    </row>
    <row r="180" spans="48:86">
      <c r="AV180" s="620"/>
      <c r="AW180" s="621"/>
      <c r="AX180" s="620"/>
      <c r="AY180" s="621"/>
      <c r="AZ180" s="621"/>
      <c r="BA180" s="620"/>
      <c r="BB180" s="620"/>
      <c r="BC180" s="620"/>
      <c r="BD180" s="620"/>
      <c r="BF180" s="631"/>
      <c r="BG180" s="631"/>
      <c r="BH180" s="631"/>
      <c r="BI180" s="631"/>
      <c r="BJ180" s="631"/>
      <c r="BK180" s="631"/>
      <c r="BL180" s="631"/>
      <c r="BM180" s="631"/>
      <c r="BN180" s="631"/>
      <c r="BO180" s="631"/>
      <c r="BP180" s="631"/>
      <c r="BQ180" s="631"/>
      <c r="BR180" s="631"/>
      <c r="BS180" s="631"/>
      <c r="BT180" s="631"/>
      <c r="BU180" s="666" t="str" cm="1">
        <f t="array" ref="BU180">IFERROR(_xlfn.LET(_xlpm.i,ROWS($BU$2:BU180),_xlpm.cur,INDEX(tblLaminateStructures[Laminate],_xlpm.i),_xlpm.prev,IF(_xlpm.i=1,"",INDEX(tblLaminateStructures[Laminate],_xlpm.i-1)),IF(_xlpm.cur&lt;&gt;_xlpm.prev,_xlpm.cur,"")),"")</f>
        <v/>
      </c>
      <c r="BV180" s="631" t="str" cm="1">
        <f t="array" ref="BV180">IFERROR(_xlfn.LET(_xlpm.i,ROWS($BV$2:BV180),_xlpm.cur,INDEX(tblLaminateStructures[Total Thickness (µ)],_xlpm.i),_xlpm.prev,IF(_xlpm.i=1,"",INDEX(tblLaminateStructures[Total Thickness (µ)],_xlpm.i-1)),IF(OR(_xlpm.cur&lt;&gt;_xlpm.prev,BU180&lt;&gt;""),_xlpm.cur,"")),"")</f>
        <v/>
      </c>
      <c r="BW180" s="631" t="str" cm="1">
        <f t="array" ref="BW180">IFERROR(INDEX(tblLaminateStructures[Material / Layer],ROWS($BW$2:BW180)),"")</f>
        <v/>
      </c>
      <c r="BX180" s="631" t="str" cm="1">
        <f t="array" ref="BX180">IFERROR(INDEX(tblLaminateStructures[Layer Thickness (µ)],ROWS($BX$2:BX180)),"")</f>
        <v/>
      </c>
      <c r="BY180" s="631" t="str" cm="1">
        <f t="array" ref="BY180">IFERROR(INDEX(tblLaminateStructures[Structure Check],ROWS($BY$2:BY180)),"")</f>
        <v/>
      </c>
      <c r="BZ180" s="666" t="str" cm="1">
        <f t="array" ref="BZ180">IFERROR(INDEX(tblLaminateStructures[Laminate],ROWS($BZ$2:BZ180)),"")</f>
        <v/>
      </c>
      <c r="CA180" s="631"/>
      <c r="CB180" s="631"/>
      <c r="CC180" s="631" t="str" cm="1">
        <f t="array" ref="CC180">IFERROR(INDEX(tblLaminateStructures[Total Thickness (µ)],ROWS($CC$2:CC180)),"")</f>
        <v/>
      </c>
      <c r="CD180" s="631"/>
      <c r="CE180" s="631"/>
      <c r="CF180" s="631"/>
      <c r="CG180" s="631"/>
      <c r="CH180" s="631"/>
    </row>
    <row r="181" spans="48:86">
      <c r="AV181" s="620"/>
      <c r="AW181" s="621"/>
      <c r="AX181" s="620"/>
      <c r="AY181" s="621"/>
      <c r="AZ181" s="621"/>
      <c r="BA181" s="620"/>
      <c r="BB181" s="620"/>
      <c r="BC181" s="620"/>
      <c r="BD181" s="620"/>
      <c r="BF181" s="631"/>
      <c r="BG181" s="631"/>
      <c r="BH181" s="631"/>
      <c r="BI181" s="631"/>
      <c r="BJ181" s="631"/>
      <c r="BK181" s="631"/>
      <c r="BL181" s="631"/>
      <c r="BM181" s="631"/>
      <c r="BN181" s="631"/>
      <c r="BO181" s="631"/>
      <c r="BP181" s="631"/>
      <c r="BQ181" s="631"/>
      <c r="BR181" s="631"/>
      <c r="BS181" s="631"/>
      <c r="BT181" s="631"/>
      <c r="BU181" s="666" t="str" cm="1">
        <f t="array" ref="BU181">IFERROR(_xlfn.LET(_xlpm.i,ROWS($BU$2:BU181),_xlpm.cur,INDEX(tblLaminateStructures[Laminate],_xlpm.i),_xlpm.prev,IF(_xlpm.i=1,"",INDEX(tblLaminateStructures[Laminate],_xlpm.i-1)),IF(_xlpm.cur&lt;&gt;_xlpm.prev,_xlpm.cur,"")),"")</f>
        <v/>
      </c>
      <c r="BV181" s="631" t="str" cm="1">
        <f t="array" ref="BV181">IFERROR(_xlfn.LET(_xlpm.i,ROWS($BV$2:BV181),_xlpm.cur,INDEX(tblLaminateStructures[Total Thickness (µ)],_xlpm.i),_xlpm.prev,IF(_xlpm.i=1,"",INDEX(tblLaminateStructures[Total Thickness (µ)],_xlpm.i-1)),IF(OR(_xlpm.cur&lt;&gt;_xlpm.prev,BU181&lt;&gt;""),_xlpm.cur,"")),"")</f>
        <v/>
      </c>
      <c r="BW181" s="631" t="str" cm="1">
        <f t="array" ref="BW181">IFERROR(INDEX(tblLaminateStructures[Material / Layer],ROWS($BW$2:BW181)),"")</f>
        <v/>
      </c>
      <c r="BX181" s="631" t="str" cm="1">
        <f t="array" ref="BX181">IFERROR(INDEX(tblLaminateStructures[Layer Thickness (µ)],ROWS($BX$2:BX181)),"")</f>
        <v/>
      </c>
      <c r="BY181" s="631" t="str" cm="1">
        <f t="array" ref="BY181">IFERROR(INDEX(tblLaminateStructures[Structure Check],ROWS($BY$2:BY181)),"")</f>
        <v/>
      </c>
      <c r="BZ181" s="666" t="str" cm="1">
        <f t="array" ref="BZ181">IFERROR(INDEX(tblLaminateStructures[Laminate],ROWS($BZ$2:BZ181)),"")</f>
        <v/>
      </c>
      <c r="CA181" s="631"/>
      <c r="CB181" s="631"/>
      <c r="CC181" s="631" t="str" cm="1">
        <f t="array" ref="CC181">IFERROR(INDEX(tblLaminateStructures[Total Thickness (µ)],ROWS($CC$2:CC181)),"")</f>
        <v/>
      </c>
      <c r="CD181" s="631"/>
      <c r="CE181" s="631"/>
      <c r="CF181" s="631"/>
      <c r="CG181" s="631"/>
      <c r="CH181" s="631"/>
    </row>
    <row r="182" spans="48:86">
      <c r="AV182" s="620"/>
      <c r="AW182" s="621"/>
      <c r="AX182" s="620"/>
      <c r="AY182" s="621"/>
      <c r="AZ182" s="621"/>
      <c r="BA182" s="620"/>
      <c r="BB182" s="620"/>
      <c r="BC182" s="620"/>
      <c r="BD182" s="620"/>
      <c r="BF182" s="631"/>
      <c r="BG182" s="631"/>
      <c r="BH182" s="631"/>
      <c r="BI182" s="631"/>
      <c r="BJ182" s="631"/>
      <c r="BK182" s="631"/>
      <c r="BL182" s="631"/>
      <c r="BM182" s="631"/>
      <c r="BN182" s="631"/>
      <c r="BO182" s="631"/>
      <c r="BP182" s="631"/>
      <c r="BQ182" s="631"/>
      <c r="BR182" s="631"/>
      <c r="BS182" s="631"/>
      <c r="BT182" s="631"/>
      <c r="BU182" s="666" t="str" cm="1">
        <f t="array" ref="BU182">IFERROR(_xlfn.LET(_xlpm.i,ROWS($BU$2:BU182),_xlpm.cur,INDEX(tblLaminateStructures[Laminate],_xlpm.i),_xlpm.prev,IF(_xlpm.i=1,"",INDEX(tblLaminateStructures[Laminate],_xlpm.i-1)),IF(_xlpm.cur&lt;&gt;_xlpm.prev,_xlpm.cur,"")),"")</f>
        <v/>
      </c>
      <c r="BV182" s="631" t="str" cm="1">
        <f t="array" ref="BV182">IFERROR(_xlfn.LET(_xlpm.i,ROWS($BV$2:BV182),_xlpm.cur,INDEX(tblLaminateStructures[Total Thickness (µ)],_xlpm.i),_xlpm.prev,IF(_xlpm.i=1,"",INDEX(tblLaminateStructures[Total Thickness (µ)],_xlpm.i-1)),IF(OR(_xlpm.cur&lt;&gt;_xlpm.prev,BU182&lt;&gt;""),_xlpm.cur,"")),"")</f>
        <v/>
      </c>
      <c r="BW182" s="631" t="str" cm="1">
        <f t="array" ref="BW182">IFERROR(INDEX(tblLaminateStructures[Material / Layer],ROWS($BW$2:BW182)),"")</f>
        <v/>
      </c>
      <c r="BX182" s="631" t="str" cm="1">
        <f t="array" ref="BX182">IFERROR(INDEX(tblLaminateStructures[Layer Thickness (µ)],ROWS($BX$2:BX182)),"")</f>
        <v/>
      </c>
      <c r="BY182" s="631" t="str" cm="1">
        <f t="array" ref="BY182">IFERROR(INDEX(tblLaminateStructures[Structure Check],ROWS($BY$2:BY182)),"")</f>
        <v/>
      </c>
      <c r="BZ182" s="666" t="str" cm="1">
        <f t="array" ref="BZ182">IFERROR(INDEX(tblLaminateStructures[Laminate],ROWS($BZ$2:BZ182)),"")</f>
        <v/>
      </c>
      <c r="CA182" s="631"/>
      <c r="CB182" s="631"/>
      <c r="CC182" s="631" t="str" cm="1">
        <f t="array" ref="CC182">IFERROR(INDEX(tblLaminateStructures[Total Thickness (µ)],ROWS($CC$2:CC182)),"")</f>
        <v/>
      </c>
      <c r="CD182" s="631"/>
      <c r="CE182" s="631"/>
      <c r="CF182" s="631"/>
      <c r="CG182" s="631"/>
      <c r="CH182" s="631"/>
    </row>
    <row r="183" spans="48:86">
      <c r="AV183" s="620"/>
      <c r="AW183" s="621"/>
      <c r="AX183" s="620"/>
      <c r="AY183" s="621"/>
      <c r="AZ183" s="621"/>
      <c r="BA183" s="620"/>
      <c r="BB183" s="620"/>
      <c r="BC183" s="620"/>
      <c r="BD183" s="620"/>
      <c r="BF183" s="631"/>
      <c r="BG183" s="631"/>
      <c r="BH183" s="631"/>
      <c r="BI183" s="631"/>
      <c r="BJ183" s="631"/>
      <c r="BK183" s="631"/>
      <c r="BL183" s="631"/>
      <c r="BM183" s="631"/>
      <c r="BN183" s="631"/>
      <c r="BO183" s="631"/>
      <c r="BP183" s="631"/>
      <c r="BQ183" s="631"/>
      <c r="BR183" s="631"/>
      <c r="BS183" s="631"/>
      <c r="BT183" s="631"/>
      <c r="BU183" s="666" t="str" cm="1">
        <f t="array" ref="BU183">IFERROR(_xlfn.LET(_xlpm.i,ROWS($BU$2:BU183),_xlpm.cur,INDEX(tblLaminateStructures[Laminate],_xlpm.i),_xlpm.prev,IF(_xlpm.i=1,"",INDEX(tblLaminateStructures[Laminate],_xlpm.i-1)),IF(_xlpm.cur&lt;&gt;_xlpm.prev,_xlpm.cur,"")),"")</f>
        <v/>
      </c>
      <c r="BV183" s="631" t="str" cm="1">
        <f t="array" ref="BV183">IFERROR(_xlfn.LET(_xlpm.i,ROWS($BV$2:BV183),_xlpm.cur,INDEX(tblLaminateStructures[Total Thickness (µ)],_xlpm.i),_xlpm.prev,IF(_xlpm.i=1,"",INDEX(tblLaminateStructures[Total Thickness (µ)],_xlpm.i-1)),IF(OR(_xlpm.cur&lt;&gt;_xlpm.prev,BU183&lt;&gt;""),_xlpm.cur,"")),"")</f>
        <v/>
      </c>
      <c r="BW183" s="631" t="str" cm="1">
        <f t="array" ref="BW183">IFERROR(INDEX(tblLaminateStructures[Material / Layer],ROWS($BW$2:BW183)),"")</f>
        <v/>
      </c>
      <c r="BX183" s="631" t="str" cm="1">
        <f t="array" ref="BX183">IFERROR(INDEX(tblLaminateStructures[Layer Thickness (µ)],ROWS($BX$2:BX183)),"")</f>
        <v/>
      </c>
      <c r="BY183" s="631" t="str" cm="1">
        <f t="array" ref="BY183">IFERROR(INDEX(tblLaminateStructures[Structure Check],ROWS($BY$2:BY183)),"")</f>
        <v/>
      </c>
      <c r="BZ183" s="666" t="str" cm="1">
        <f t="array" ref="BZ183">IFERROR(INDEX(tblLaminateStructures[Laminate],ROWS($BZ$2:BZ183)),"")</f>
        <v/>
      </c>
      <c r="CA183" s="631"/>
      <c r="CB183" s="631"/>
      <c r="CC183" s="631" t="str" cm="1">
        <f t="array" ref="CC183">IFERROR(INDEX(tblLaminateStructures[Total Thickness (µ)],ROWS($CC$2:CC183)),"")</f>
        <v/>
      </c>
      <c r="CD183" s="631"/>
      <c r="CE183" s="631"/>
      <c r="CF183" s="631"/>
      <c r="CG183" s="631"/>
      <c r="CH183" s="631"/>
    </row>
    <row r="184" spans="48:86">
      <c r="AV184" s="620"/>
      <c r="AW184" s="621"/>
      <c r="AX184" s="620"/>
      <c r="AY184" s="621"/>
      <c r="AZ184" s="621"/>
      <c r="BA184" s="620"/>
      <c r="BB184" s="620"/>
      <c r="BC184" s="620"/>
      <c r="BD184" s="620"/>
      <c r="BF184" s="631"/>
      <c r="BG184" s="631"/>
      <c r="BH184" s="631"/>
      <c r="BI184" s="631"/>
      <c r="BJ184" s="631"/>
      <c r="BK184" s="631"/>
      <c r="BL184" s="631"/>
      <c r="BM184" s="631"/>
      <c r="BN184" s="631"/>
      <c r="BO184" s="631"/>
      <c r="BP184" s="631"/>
      <c r="BQ184" s="631"/>
      <c r="BR184" s="631"/>
      <c r="BS184" s="631"/>
      <c r="BT184" s="631"/>
      <c r="BU184" s="666" t="str" cm="1">
        <f t="array" ref="BU184">IFERROR(_xlfn.LET(_xlpm.i,ROWS($BU$2:BU184),_xlpm.cur,INDEX(tblLaminateStructures[Laminate],_xlpm.i),_xlpm.prev,IF(_xlpm.i=1,"",INDEX(tblLaminateStructures[Laminate],_xlpm.i-1)),IF(_xlpm.cur&lt;&gt;_xlpm.prev,_xlpm.cur,"")),"")</f>
        <v/>
      </c>
      <c r="BV184" s="631" t="str" cm="1">
        <f t="array" ref="BV184">IFERROR(_xlfn.LET(_xlpm.i,ROWS($BV$2:BV184),_xlpm.cur,INDEX(tblLaminateStructures[Total Thickness (µ)],_xlpm.i),_xlpm.prev,IF(_xlpm.i=1,"",INDEX(tblLaminateStructures[Total Thickness (µ)],_xlpm.i-1)),IF(OR(_xlpm.cur&lt;&gt;_xlpm.prev,BU184&lt;&gt;""),_xlpm.cur,"")),"")</f>
        <v/>
      </c>
      <c r="BW184" s="631" t="str" cm="1">
        <f t="array" ref="BW184">IFERROR(INDEX(tblLaminateStructures[Material / Layer],ROWS($BW$2:BW184)),"")</f>
        <v/>
      </c>
      <c r="BX184" s="631" t="str" cm="1">
        <f t="array" ref="BX184">IFERROR(INDEX(tblLaminateStructures[Layer Thickness (µ)],ROWS($BX$2:BX184)),"")</f>
        <v/>
      </c>
      <c r="BY184" s="631" t="str" cm="1">
        <f t="array" ref="BY184">IFERROR(INDEX(tblLaminateStructures[Structure Check],ROWS($BY$2:BY184)),"")</f>
        <v/>
      </c>
      <c r="BZ184" s="666" t="str" cm="1">
        <f t="array" ref="BZ184">IFERROR(INDEX(tblLaminateStructures[Laminate],ROWS($BZ$2:BZ184)),"")</f>
        <v/>
      </c>
      <c r="CA184" s="631"/>
      <c r="CB184" s="631"/>
      <c r="CC184" s="631" t="str" cm="1">
        <f t="array" ref="CC184">IFERROR(INDEX(tblLaminateStructures[Total Thickness (µ)],ROWS($CC$2:CC184)),"")</f>
        <v/>
      </c>
      <c r="CD184" s="631"/>
      <c r="CE184" s="631"/>
      <c r="CF184" s="631"/>
      <c r="CG184" s="631"/>
      <c r="CH184" s="631"/>
    </row>
    <row r="185" spans="48:86">
      <c r="AV185" s="620"/>
      <c r="AW185" s="621"/>
      <c r="AX185" s="620"/>
      <c r="AY185" s="621"/>
      <c r="AZ185" s="621"/>
      <c r="BA185" s="620"/>
      <c r="BB185" s="620"/>
      <c r="BC185" s="620"/>
      <c r="BD185" s="620"/>
      <c r="BF185" s="631"/>
      <c r="BG185" s="631"/>
      <c r="BH185" s="631"/>
      <c r="BI185" s="631"/>
      <c r="BJ185" s="631"/>
      <c r="BK185" s="631"/>
      <c r="BL185" s="631"/>
      <c r="BM185" s="631"/>
      <c r="BN185" s="631"/>
      <c r="BO185" s="631"/>
      <c r="BP185" s="631"/>
      <c r="BQ185" s="631"/>
      <c r="BR185" s="631"/>
      <c r="BS185" s="631"/>
      <c r="BT185" s="631"/>
      <c r="BU185" s="666" t="str" cm="1">
        <f t="array" ref="BU185">IFERROR(_xlfn.LET(_xlpm.i,ROWS($BU$2:BU185),_xlpm.cur,INDEX(tblLaminateStructures[Laminate],_xlpm.i),_xlpm.prev,IF(_xlpm.i=1,"",INDEX(tblLaminateStructures[Laminate],_xlpm.i-1)),IF(_xlpm.cur&lt;&gt;_xlpm.prev,_xlpm.cur,"")),"")</f>
        <v/>
      </c>
      <c r="BV185" s="631" t="str" cm="1">
        <f t="array" ref="BV185">IFERROR(_xlfn.LET(_xlpm.i,ROWS($BV$2:BV185),_xlpm.cur,INDEX(tblLaminateStructures[Total Thickness (µ)],_xlpm.i),_xlpm.prev,IF(_xlpm.i=1,"",INDEX(tblLaminateStructures[Total Thickness (µ)],_xlpm.i-1)),IF(OR(_xlpm.cur&lt;&gt;_xlpm.prev,BU185&lt;&gt;""),_xlpm.cur,"")),"")</f>
        <v/>
      </c>
      <c r="BW185" s="631" t="str" cm="1">
        <f t="array" ref="BW185">IFERROR(INDEX(tblLaminateStructures[Material / Layer],ROWS($BW$2:BW185)),"")</f>
        <v/>
      </c>
      <c r="BX185" s="631" t="str" cm="1">
        <f t="array" ref="BX185">IFERROR(INDEX(tblLaminateStructures[Layer Thickness (µ)],ROWS($BX$2:BX185)),"")</f>
        <v/>
      </c>
      <c r="BY185" s="631" t="str" cm="1">
        <f t="array" ref="BY185">IFERROR(INDEX(tblLaminateStructures[Structure Check],ROWS($BY$2:BY185)),"")</f>
        <v/>
      </c>
      <c r="BZ185" s="666" t="str" cm="1">
        <f t="array" ref="BZ185">IFERROR(INDEX(tblLaminateStructures[Laminate],ROWS($BZ$2:BZ185)),"")</f>
        <v/>
      </c>
      <c r="CA185" s="631"/>
      <c r="CB185" s="631"/>
      <c r="CC185" s="631" t="str" cm="1">
        <f t="array" ref="CC185">IFERROR(INDEX(tblLaminateStructures[Total Thickness (µ)],ROWS($CC$2:CC185)),"")</f>
        <v/>
      </c>
      <c r="CD185" s="631"/>
      <c r="CE185" s="631"/>
      <c r="CF185" s="631"/>
      <c r="CG185" s="631"/>
      <c r="CH185" s="631"/>
    </row>
    <row r="186" spans="48:86">
      <c r="AV186" s="620"/>
      <c r="AW186" s="621"/>
      <c r="AX186" s="620"/>
      <c r="AY186" s="621"/>
      <c r="AZ186" s="621"/>
      <c r="BA186" s="620"/>
      <c r="BB186" s="620"/>
      <c r="BC186" s="620"/>
      <c r="BD186" s="620"/>
      <c r="BF186" s="631"/>
      <c r="BG186" s="631"/>
      <c r="BH186" s="631"/>
      <c r="BI186" s="631"/>
      <c r="BJ186" s="631"/>
      <c r="BK186" s="631"/>
      <c r="BL186" s="631"/>
      <c r="BM186" s="631"/>
      <c r="BN186" s="631"/>
      <c r="BO186" s="631"/>
      <c r="BP186" s="631"/>
      <c r="BQ186" s="631"/>
      <c r="BR186" s="631"/>
      <c r="BS186" s="631"/>
      <c r="BT186" s="631"/>
      <c r="BU186" s="666" t="str" cm="1">
        <f t="array" ref="BU186">IFERROR(_xlfn.LET(_xlpm.i,ROWS($BU$2:BU186),_xlpm.cur,INDEX(tblLaminateStructures[Laminate],_xlpm.i),_xlpm.prev,IF(_xlpm.i=1,"",INDEX(tblLaminateStructures[Laminate],_xlpm.i-1)),IF(_xlpm.cur&lt;&gt;_xlpm.prev,_xlpm.cur,"")),"")</f>
        <v/>
      </c>
      <c r="BV186" s="631" t="str" cm="1">
        <f t="array" ref="BV186">IFERROR(_xlfn.LET(_xlpm.i,ROWS($BV$2:BV186),_xlpm.cur,INDEX(tblLaminateStructures[Total Thickness (µ)],_xlpm.i),_xlpm.prev,IF(_xlpm.i=1,"",INDEX(tblLaminateStructures[Total Thickness (µ)],_xlpm.i-1)),IF(OR(_xlpm.cur&lt;&gt;_xlpm.prev,BU186&lt;&gt;""),_xlpm.cur,"")),"")</f>
        <v/>
      </c>
      <c r="BW186" s="631" t="str" cm="1">
        <f t="array" ref="BW186">IFERROR(INDEX(tblLaminateStructures[Material / Layer],ROWS($BW$2:BW186)),"")</f>
        <v/>
      </c>
      <c r="BX186" s="631" t="str" cm="1">
        <f t="array" ref="BX186">IFERROR(INDEX(tblLaminateStructures[Layer Thickness (µ)],ROWS($BX$2:BX186)),"")</f>
        <v/>
      </c>
      <c r="BY186" s="631" t="str" cm="1">
        <f t="array" ref="BY186">IFERROR(INDEX(tblLaminateStructures[Structure Check],ROWS($BY$2:BY186)),"")</f>
        <v/>
      </c>
      <c r="BZ186" s="666" t="str" cm="1">
        <f t="array" ref="BZ186">IFERROR(INDEX(tblLaminateStructures[Laminate],ROWS($BZ$2:BZ186)),"")</f>
        <v/>
      </c>
      <c r="CA186" s="631"/>
      <c r="CB186" s="631"/>
      <c r="CC186" s="631" t="str" cm="1">
        <f t="array" ref="CC186">IFERROR(INDEX(tblLaminateStructures[Total Thickness (µ)],ROWS($CC$2:CC186)),"")</f>
        <v/>
      </c>
      <c r="CD186" s="631"/>
      <c r="CE186" s="631"/>
      <c r="CF186" s="631"/>
      <c r="CG186" s="631"/>
      <c r="CH186" s="631"/>
    </row>
    <row r="187" spans="48:86">
      <c r="AV187" s="620"/>
      <c r="AW187" s="621"/>
      <c r="AX187" s="620"/>
      <c r="AY187" s="621"/>
      <c r="AZ187" s="621"/>
      <c r="BA187" s="620"/>
      <c r="BB187" s="620"/>
      <c r="BC187" s="620"/>
      <c r="BD187" s="620"/>
      <c r="BF187" s="631"/>
      <c r="BG187" s="631"/>
      <c r="BH187" s="631"/>
      <c r="BI187" s="631"/>
      <c r="BJ187" s="631"/>
      <c r="BK187" s="631"/>
      <c r="BL187" s="631"/>
      <c r="BM187" s="631"/>
      <c r="BN187" s="631"/>
      <c r="BO187" s="631"/>
      <c r="BP187" s="631"/>
      <c r="BQ187" s="631"/>
      <c r="BR187" s="631"/>
      <c r="BS187" s="631"/>
      <c r="BT187" s="631"/>
      <c r="BU187" s="666" t="str" cm="1">
        <f t="array" ref="BU187">IFERROR(_xlfn.LET(_xlpm.i,ROWS($BU$2:BU187),_xlpm.cur,INDEX(tblLaminateStructures[Laminate],_xlpm.i),_xlpm.prev,IF(_xlpm.i=1,"",INDEX(tblLaminateStructures[Laminate],_xlpm.i-1)),IF(_xlpm.cur&lt;&gt;_xlpm.prev,_xlpm.cur,"")),"")</f>
        <v/>
      </c>
      <c r="BV187" s="631" t="str" cm="1">
        <f t="array" ref="BV187">IFERROR(_xlfn.LET(_xlpm.i,ROWS($BV$2:BV187),_xlpm.cur,INDEX(tblLaminateStructures[Total Thickness (µ)],_xlpm.i),_xlpm.prev,IF(_xlpm.i=1,"",INDEX(tblLaminateStructures[Total Thickness (µ)],_xlpm.i-1)),IF(OR(_xlpm.cur&lt;&gt;_xlpm.prev,BU187&lt;&gt;""),_xlpm.cur,"")),"")</f>
        <v/>
      </c>
      <c r="BW187" s="631" t="str" cm="1">
        <f t="array" ref="BW187">IFERROR(INDEX(tblLaminateStructures[Material / Layer],ROWS($BW$2:BW187)),"")</f>
        <v/>
      </c>
      <c r="BX187" s="631" t="str" cm="1">
        <f t="array" ref="BX187">IFERROR(INDEX(tblLaminateStructures[Layer Thickness (µ)],ROWS($BX$2:BX187)),"")</f>
        <v/>
      </c>
      <c r="BY187" s="631" t="str" cm="1">
        <f t="array" ref="BY187">IFERROR(INDEX(tblLaminateStructures[Structure Check],ROWS($BY$2:BY187)),"")</f>
        <v/>
      </c>
      <c r="BZ187" s="666" t="str" cm="1">
        <f t="array" ref="BZ187">IFERROR(INDEX(tblLaminateStructures[Laminate],ROWS($BZ$2:BZ187)),"")</f>
        <v/>
      </c>
      <c r="CA187" s="631"/>
      <c r="CB187" s="631"/>
      <c r="CC187" s="631" t="str" cm="1">
        <f t="array" ref="CC187">IFERROR(INDEX(tblLaminateStructures[Total Thickness (µ)],ROWS($CC$2:CC187)),"")</f>
        <v/>
      </c>
      <c r="CD187" s="631"/>
      <c r="CE187" s="631"/>
      <c r="CF187" s="631"/>
      <c r="CG187" s="631"/>
      <c r="CH187" s="631"/>
    </row>
    <row r="188" spans="48:86">
      <c r="AV188" s="620"/>
      <c r="AW188" s="621"/>
      <c r="AX188" s="620"/>
      <c r="AY188" s="621"/>
      <c r="AZ188" s="621"/>
      <c r="BA188" s="620"/>
      <c r="BB188" s="620"/>
      <c r="BC188" s="620"/>
      <c r="BD188" s="620"/>
      <c r="BF188" s="631"/>
      <c r="BG188" s="631"/>
      <c r="BH188" s="631"/>
      <c r="BI188" s="631"/>
      <c r="BJ188" s="631"/>
      <c r="BK188" s="631"/>
      <c r="BL188" s="631"/>
      <c r="BM188" s="631"/>
      <c r="BN188" s="631"/>
      <c r="BO188" s="631"/>
      <c r="BP188" s="631"/>
      <c r="BQ188" s="631"/>
      <c r="BR188" s="631"/>
      <c r="BS188" s="631"/>
      <c r="BT188" s="631"/>
      <c r="BU188" s="666" t="str" cm="1">
        <f t="array" ref="BU188">IFERROR(_xlfn.LET(_xlpm.i,ROWS($BU$2:BU188),_xlpm.cur,INDEX(tblLaminateStructures[Laminate],_xlpm.i),_xlpm.prev,IF(_xlpm.i=1,"",INDEX(tblLaminateStructures[Laminate],_xlpm.i-1)),IF(_xlpm.cur&lt;&gt;_xlpm.prev,_xlpm.cur,"")),"")</f>
        <v/>
      </c>
      <c r="BV188" s="631" t="str" cm="1">
        <f t="array" ref="BV188">IFERROR(_xlfn.LET(_xlpm.i,ROWS($BV$2:BV188),_xlpm.cur,INDEX(tblLaminateStructures[Total Thickness (µ)],_xlpm.i),_xlpm.prev,IF(_xlpm.i=1,"",INDEX(tblLaminateStructures[Total Thickness (µ)],_xlpm.i-1)),IF(OR(_xlpm.cur&lt;&gt;_xlpm.prev,BU188&lt;&gt;""),_xlpm.cur,"")),"")</f>
        <v/>
      </c>
      <c r="BW188" s="631" t="str" cm="1">
        <f t="array" ref="BW188">IFERROR(INDEX(tblLaminateStructures[Material / Layer],ROWS($BW$2:BW188)),"")</f>
        <v/>
      </c>
      <c r="BX188" s="631" t="str" cm="1">
        <f t="array" ref="BX188">IFERROR(INDEX(tblLaminateStructures[Layer Thickness (µ)],ROWS($BX$2:BX188)),"")</f>
        <v/>
      </c>
      <c r="BY188" s="631" t="str" cm="1">
        <f t="array" ref="BY188">IFERROR(INDEX(tblLaminateStructures[Structure Check],ROWS($BY$2:BY188)),"")</f>
        <v/>
      </c>
      <c r="BZ188" s="666" t="str" cm="1">
        <f t="array" ref="BZ188">IFERROR(INDEX(tblLaminateStructures[Laminate],ROWS($BZ$2:BZ188)),"")</f>
        <v/>
      </c>
      <c r="CA188" s="631"/>
      <c r="CB188" s="631"/>
      <c r="CC188" s="631" t="str" cm="1">
        <f t="array" ref="CC188">IFERROR(INDEX(tblLaminateStructures[Total Thickness (µ)],ROWS($CC$2:CC188)),"")</f>
        <v/>
      </c>
      <c r="CD188" s="631"/>
      <c r="CE188" s="631"/>
      <c r="CF188" s="631"/>
      <c r="CG188" s="631"/>
      <c r="CH188" s="631"/>
    </row>
    <row r="189" spans="48:86">
      <c r="AV189" s="620"/>
      <c r="AW189" s="621"/>
      <c r="AX189" s="620"/>
      <c r="AY189" s="621"/>
      <c r="AZ189" s="621"/>
      <c r="BA189" s="620"/>
      <c r="BB189" s="620"/>
      <c r="BC189" s="620"/>
      <c r="BD189" s="620"/>
      <c r="BF189" s="631"/>
      <c r="BG189" s="631"/>
      <c r="BH189" s="631"/>
      <c r="BI189" s="631"/>
      <c r="BJ189" s="631"/>
      <c r="BK189" s="631"/>
      <c r="BL189" s="631"/>
      <c r="BM189" s="631"/>
      <c r="BN189" s="631"/>
      <c r="BO189" s="631"/>
      <c r="BP189" s="631"/>
      <c r="BQ189" s="631"/>
      <c r="BR189" s="631"/>
      <c r="BS189" s="631"/>
      <c r="BT189" s="631"/>
      <c r="BU189" s="666" t="str" cm="1">
        <f t="array" ref="BU189">IFERROR(_xlfn.LET(_xlpm.i,ROWS($BU$2:BU189),_xlpm.cur,INDEX(tblLaminateStructures[Laminate],_xlpm.i),_xlpm.prev,IF(_xlpm.i=1,"",INDEX(tblLaminateStructures[Laminate],_xlpm.i-1)),IF(_xlpm.cur&lt;&gt;_xlpm.prev,_xlpm.cur,"")),"")</f>
        <v/>
      </c>
      <c r="BV189" s="631" t="str" cm="1">
        <f t="array" ref="BV189">IFERROR(_xlfn.LET(_xlpm.i,ROWS($BV$2:BV189),_xlpm.cur,INDEX(tblLaminateStructures[Total Thickness (µ)],_xlpm.i),_xlpm.prev,IF(_xlpm.i=1,"",INDEX(tblLaminateStructures[Total Thickness (µ)],_xlpm.i-1)),IF(OR(_xlpm.cur&lt;&gt;_xlpm.prev,BU189&lt;&gt;""),_xlpm.cur,"")),"")</f>
        <v/>
      </c>
      <c r="BW189" s="631" t="str" cm="1">
        <f t="array" ref="BW189">IFERROR(INDEX(tblLaminateStructures[Material / Layer],ROWS($BW$2:BW189)),"")</f>
        <v/>
      </c>
      <c r="BX189" s="631" t="str" cm="1">
        <f t="array" ref="BX189">IFERROR(INDEX(tblLaminateStructures[Layer Thickness (µ)],ROWS($BX$2:BX189)),"")</f>
        <v/>
      </c>
      <c r="BY189" s="631" t="str" cm="1">
        <f t="array" ref="BY189">IFERROR(INDEX(tblLaminateStructures[Structure Check],ROWS($BY$2:BY189)),"")</f>
        <v/>
      </c>
      <c r="BZ189" s="666" t="str" cm="1">
        <f t="array" ref="BZ189">IFERROR(INDEX(tblLaminateStructures[Laminate],ROWS($BZ$2:BZ189)),"")</f>
        <v/>
      </c>
      <c r="CA189" s="631"/>
      <c r="CB189" s="631"/>
      <c r="CC189" s="631" t="str" cm="1">
        <f t="array" ref="CC189">IFERROR(INDEX(tblLaminateStructures[Total Thickness (µ)],ROWS($CC$2:CC189)),"")</f>
        <v/>
      </c>
      <c r="CD189" s="631"/>
      <c r="CE189" s="631"/>
      <c r="CF189" s="631"/>
      <c r="CG189" s="631"/>
      <c r="CH189" s="631"/>
    </row>
    <row r="190" spans="48:86">
      <c r="AV190" s="620"/>
      <c r="AW190" s="621"/>
      <c r="AX190" s="620"/>
      <c r="AY190" s="621"/>
      <c r="AZ190" s="621"/>
      <c r="BA190" s="620"/>
      <c r="BB190" s="620"/>
      <c r="BC190" s="620"/>
      <c r="BD190" s="620"/>
      <c r="BF190" s="631"/>
      <c r="BG190" s="631"/>
      <c r="BH190" s="631"/>
      <c r="BI190" s="631"/>
      <c r="BJ190" s="631"/>
      <c r="BK190" s="631"/>
      <c r="BL190" s="631"/>
      <c r="BM190" s="631"/>
      <c r="BN190" s="631"/>
      <c r="BO190" s="631"/>
      <c r="BP190" s="631"/>
      <c r="BQ190" s="631"/>
      <c r="BR190" s="631"/>
      <c r="BS190" s="631"/>
      <c r="BT190" s="631"/>
      <c r="BU190" s="666" t="str" cm="1">
        <f t="array" ref="BU190">IFERROR(_xlfn.LET(_xlpm.i,ROWS($BU$2:BU190),_xlpm.cur,INDEX(tblLaminateStructures[Laminate],_xlpm.i),_xlpm.prev,IF(_xlpm.i=1,"",INDEX(tblLaminateStructures[Laminate],_xlpm.i-1)),IF(_xlpm.cur&lt;&gt;_xlpm.prev,_xlpm.cur,"")),"")</f>
        <v/>
      </c>
      <c r="BV190" s="631" t="str" cm="1">
        <f t="array" ref="BV190">IFERROR(_xlfn.LET(_xlpm.i,ROWS($BV$2:BV190),_xlpm.cur,INDEX(tblLaminateStructures[Total Thickness (µ)],_xlpm.i),_xlpm.prev,IF(_xlpm.i=1,"",INDEX(tblLaminateStructures[Total Thickness (µ)],_xlpm.i-1)),IF(OR(_xlpm.cur&lt;&gt;_xlpm.prev,BU190&lt;&gt;""),_xlpm.cur,"")),"")</f>
        <v/>
      </c>
      <c r="BW190" s="631" t="str" cm="1">
        <f t="array" ref="BW190">IFERROR(INDEX(tblLaminateStructures[Material / Layer],ROWS($BW$2:BW190)),"")</f>
        <v/>
      </c>
      <c r="BX190" s="631" t="str" cm="1">
        <f t="array" ref="BX190">IFERROR(INDEX(tblLaminateStructures[Layer Thickness (µ)],ROWS($BX$2:BX190)),"")</f>
        <v/>
      </c>
      <c r="BY190" s="631" t="str" cm="1">
        <f t="array" ref="BY190">IFERROR(INDEX(tblLaminateStructures[Structure Check],ROWS($BY$2:BY190)),"")</f>
        <v/>
      </c>
      <c r="BZ190" s="666" t="str" cm="1">
        <f t="array" ref="BZ190">IFERROR(INDEX(tblLaminateStructures[Laminate],ROWS($BZ$2:BZ190)),"")</f>
        <v/>
      </c>
      <c r="CA190" s="631"/>
      <c r="CB190" s="631"/>
      <c r="CC190" s="631" t="str" cm="1">
        <f t="array" ref="CC190">IFERROR(INDEX(tblLaminateStructures[Total Thickness (µ)],ROWS($CC$2:CC190)),"")</f>
        <v/>
      </c>
      <c r="CD190" s="631"/>
      <c r="CE190" s="631"/>
      <c r="CF190" s="631"/>
      <c r="CG190" s="631"/>
      <c r="CH190" s="631"/>
    </row>
    <row r="191" spans="48:86">
      <c r="AV191" s="620"/>
      <c r="AW191" s="621"/>
      <c r="AX191" s="620"/>
      <c r="AY191" s="621"/>
      <c r="AZ191" s="621"/>
      <c r="BA191" s="620"/>
      <c r="BB191" s="620"/>
      <c r="BC191" s="620"/>
      <c r="BD191" s="620"/>
      <c r="BF191" s="631"/>
      <c r="BG191" s="631"/>
      <c r="BH191" s="631"/>
      <c r="BI191" s="631"/>
      <c r="BJ191" s="631"/>
      <c r="BK191" s="631"/>
      <c r="BL191" s="631"/>
      <c r="BM191" s="631"/>
      <c r="BN191" s="631"/>
      <c r="BO191" s="631"/>
      <c r="BP191" s="631"/>
      <c r="BQ191" s="631"/>
      <c r="BR191" s="631"/>
      <c r="BS191" s="631"/>
      <c r="BT191" s="631"/>
      <c r="BU191" s="666" t="str" cm="1">
        <f t="array" ref="BU191">IFERROR(_xlfn.LET(_xlpm.i,ROWS($BU$2:BU191),_xlpm.cur,INDEX(tblLaminateStructures[Laminate],_xlpm.i),_xlpm.prev,IF(_xlpm.i=1,"",INDEX(tblLaminateStructures[Laminate],_xlpm.i-1)),IF(_xlpm.cur&lt;&gt;_xlpm.prev,_xlpm.cur,"")),"")</f>
        <v/>
      </c>
      <c r="BV191" s="631" t="str" cm="1">
        <f t="array" ref="BV191">IFERROR(_xlfn.LET(_xlpm.i,ROWS($BV$2:BV191),_xlpm.cur,INDEX(tblLaminateStructures[Total Thickness (µ)],_xlpm.i),_xlpm.prev,IF(_xlpm.i=1,"",INDEX(tblLaminateStructures[Total Thickness (µ)],_xlpm.i-1)),IF(OR(_xlpm.cur&lt;&gt;_xlpm.prev,BU191&lt;&gt;""),_xlpm.cur,"")),"")</f>
        <v/>
      </c>
      <c r="BW191" s="631" t="str" cm="1">
        <f t="array" ref="BW191">IFERROR(INDEX(tblLaminateStructures[Material / Layer],ROWS($BW$2:BW191)),"")</f>
        <v/>
      </c>
      <c r="BX191" s="631" t="str" cm="1">
        <f t="array" ref="BX191">IFERROR(INDEX(tblLaminateStructures[Layer Thickness (µ)],ROWS($BX$2:BX191)),"")</f>
        <v/>
      </c>
      <c r="BY191" s="631" t="str" cm="1">
        <f t="array" ref="BY191">IFERROR(INDEX(tblLaminateStructures[Structure Check],ROWS($BY$2:BY191)),"")</f>
        <v/>
      </c>
      <c r="BZ191" s="666" t="str" cm="1">
        <f t="array" ref="BZ191">IFERROR(INDEX(tblLaminateStructures[Laminate],ROWS($BZ$2:BZ191)),"")</f>
        <v/>
      </c>
      <c r="CA191" s="631"/>
      <c r="CB191" s="631"/>
      <c r="CC191" s="631" t="str" cm="1">
        <f t="array" ref="CC191">IFERROR(INDEX(tblLaminateStructures[Total Thickness (µ)],ROWS($CC$2:CC191)),"")</f>
        <v/>
      </c>
      <c r="CD191" s="631"/>
      <c r="CE191" s="631"/>
      <c r="CF191" s="631"/>
      <c r="CG191" s="631"/>
      <c r="CH191" s="631"/>
    </row>
    <row r="192" spans="48:86">
      <c r="AV192" s="620"/>
      <c r="AW192" s="621"/>
      <c r="AX192" s="620"/>
      <c r="AY192" s="621"/>
      <c r="AZ192" s="621"/>
      <c r="BA192" s="620"/>
      <c r="BB192" s="620"/>
      <c r="BC192" s="620"/>
      <c r="BD192" s="620"/>
      <c r="BF192" s="631"/>
      <c r="BG192" s="631"/>
      <c r="BH192" s="631"/>
      <c r="BI192" s="631"/>
      <c r="BJ192" s="631"/>
      <c r="BK192" s="631"/>
      <c r="BL192" s="631"/>
      <c r="BM192" s="631"/>
      <c r="BN192" s="631"/>
      <c r="BO192" s="631"/>
      <c r="BP192" s="631"/>
      <c r="BQ192" s="631"/>
      <c r="BR192" s="631"/>
      <c r="BS192" s="631"/>
      <c r="BT192" s="631"/>
      <c r="BU192" s="666" t="str" cm="1">
        <f t="array" ref="BU192">IFERROR(_xlfn.LET(_xlpm.i,ROWS($BU$2:BU192),_xlpm.cur,INDEX(tblLaminateStructures[Laminate],_xlpm.i),_xlpm.prev,IF(_xlpm.i=1,"",INDEX(tblLaminateStructures[Laminate],_xlpm.i-1)),IF(_xlpm.cur&lt;&gt;_xlpm.prev,_xlpm.cur,"")),"")</f>
        <v/>
      </c>
      <c r="BV192" s="631" t="str" cm="1">
        <f t="array" ref="BV192">IFERROR(_xlfn.LET(_xlpm.i,ROWS($BV$2:BV192),_xlpm.cur,INDEX(tblLaminateStructures[Total Thickness (µ)],_xlpm.i),_xlpm.prev,IF(_xlpm.i=1,"",INDEX(tblLaminateStructures[Total Thickness (µ)],_xlpm.i-1)),IF(OR(_xlpm.cur&lt;&gt;_xlpm.prev,BU192&lt;&gt;""),_xlpm.cur,"")),"")</f>
        <v/>
      </c>
      <c r="BW192" s="631" t="str" cm="1">
        <f t="array" ref="BW192">IFERROR(INDEX(tblLaminateStructures[Material / Layer],ROWS($BW$2:BW192)),"")</f>
        <v/>
      </c>
      <c r="BX192" s="631" t="str" cm="1">
        <f t="array" ref="BX192">IFERROR(INDEX(tblLaminateStructures[Layer Thickness (µ)],ROWS($BX$2:BX192)),"")</f>
        <v/>
      </c>
      <c r="BY192" s="631" t="str" cm="1">
        <f t="array" ref="BY192">IFERROR(INDEX(tblLaminateStructures[Structure Check],ROWS($BY$2:BY192)),"")</f>
        <v/>
      </c>
      <c r="BZ192" s="666" t="str" cm="1">
        <f t="array" ref="BZ192">IFERROR(INDEX(tblLaminateStructures[Laminate],ROWS($BZ$2:BZ192)),"")</f>
        <v/>
      </c>
      <c r="CA192" s="631"/>
      <c r="CB192" s="631"/>
      <c r="CC192" s="631" t="str" cm="1">
        <f t="array" ref="CC192">IFERROR(INDEX(tblLaminateStructures[Total Thickness (µ)],ROWS($CC$2:CC192)),"")</f>
        <v/>
      </c>
      <c r="CD192" s="631"/>
      <c r="CE192" s="631"/>
      <c r="CF192" s="631"/>
      <c r="CG192" s="631"/>
      <c r="CH192" s="631"/>
    </row>
    <row r="193" spans="48:86">
      <c r="AV193" s="620"/>
      <c r="AW193" s="621"/>
      <c r="AX193" s="620"/>
      <c r="AY193" s="621"/>
      <c r="AZ193" s="621"/>
      <c r="BA193" s="620"/>
      <c r="BB193" s="620"/>
      <c r="BC193" s="620"/>
      <c r="BD193" s="620"/>
      <c r="BF193" s="631"/>
      <c r="BG193" s="631"/>
      <c r="BH193" s="631"/>
      <c r="BI193" s="631"/>
      <c r="BJ193" s="631"/>
      <c r="BK193" s="631"/>
      <c r="BL193" s="631"/>
      <c r="BM193" s="631"/>
      <c r="BN193" s="631"/>
      <c r="BO193" s="631"/>
      <c r="BP193" s="631"/>
      <c r="BQ193" s="631"/>
      <c r="BR193" s="631"/>
      <c r="BS193" s="631"/>
      <c r="BT193" s="631"/>
      <c r="BU193" s="666" t="str" cm="1">
        <f t="array" ref="BU193">IFERROR(_xlfn.LET(_xlpm.i,ROWS($BU$2:BU193),_xlpm.cur,INDEX(tblLaminateStructures[Laminate],_xlpm.i),_xlpm.prev,IF(_xlpm.i=1,"",INDEX(tblLaminateStructures[Laminate],_xlpm.i-1)),IF(_xlpm.cur&lt;&gt;_xlpm.prev,_xlpm.cur,"")),"")</f>
        <v/>
      </c>
      <c r="BV193" s="631" t="str" cm="1">
        <f t="array" ref="BV193">IFERROR(_xlfn.LET(_xlpm.i,ROWS($BV$2:BV193),_xlpm.cur,INDEX(tblLaminateStructures[Total Thickness (µ)],_xlpm.i),_xlpm.prev,IF(_xlpm.i=1,"",INDEX(tblLaminateStructures[Total Thickness (µ)],_xlpm.i-1)),IF(OR(_xlpm.cur&lt;&gt;_xlpm.prev,BU193&lt;&gt;""),_xlpm.cur,"")),"")</f>
        <v/>
      </c>
      <c r="BW193" s="631" t="str" cm="1">
        <f t="array" ref="BW193">IFERROR(INDEX(tblLaminateStructures[Material / Layer],ROWS($BW$2:BW193)),"")</f>
        <v/>
      </c>
      <c r="BX193" s="631" t="str" cm="1">
        <f t="array" ref="BX193">IFERROR(INDEX(tblLaminateStructures[Layer Thickness (µ)],ROWS($BX$2:BX193)),"")</f>
        <v/>
      </c>
      <c r="BY193" s="631" t="str" cm="1">
        <f t="array" ref="BY193">IFERROR(INDEX(tblLaminateStructures[Structure Check],ROWS($BY$2:BY193)),"")</f>
        <v/>
      </c>
      <c r="BZ193" s="666" t="str" cm="1">
        <f t="array" ref="BZ193">IFERROR(INDEX(tblLaminateStructures[Laminate],ROWS($BZ$2:BZ193)),"")</f>
        <v/>
      </c>
      <c r="CA193" s="631"/>
      <c r="CB193" s="631"/>
      <c r="CC193" s="631" t="str" cm="1">
        <f t="array" ref="CC193">IFERROR(INDEX(tblLaminateStructures[Total Thickness (µ)],ROWS($CC$2:CC193)),"")</f>
        <v/>
      </c>
      <c r="CD193" s="631"/>
      <c r="CE193" s="631"/>
      <c r="CF193" s="631"/>
      <c r="CG193" s="631"/>
      <c r="CH193" s="631"/>
    </row>
    <row r="194" spans="48:86">
      <c r="AV194" s="620"/>
      <c r="AW194" s="621"/>
      <c r="AX194" s="620"/>
      <c r="AY194" s="621"/>
      <c r="AZ194" s="621"/>
      <c r="BA194" s="620"/>
      <c r="BB194" s="620"/>
      <c r="BC194" s="620"/>
      <c r="BD194" s="620"/>
      <c r="BF194" s="631"/>
      <c r="BG194" s="631"/>
      <c r="BH194" s="631"/>
      <c r="BI194" s="631"/>
      <c r="BJ194" s="631"/>
      <c r="BK194" s="631"/>
      <c r="BL194" s="631"/>
      <c r="BM194" s="631"/>
      <c r="BN194" s="631"/>
      <c r="BO194" s="631"/>
      <c r="BP194" s="631"/>
      <c r="BQ194" s="631"/>
      <c r="BR194" s="631"/>
      <c r="BS194" s="631"/>
      <c r="BT194" s="631"/>
      <c r="BU194" s="666" t="str" cm="1">
        <f t="array" ref="BU194">IFERROR(_xlfn.LET(_xlpm.i,ROWS($BU$2:BU194),_xlpm.cur,INDEX(tblLaminateStructures[Laminate],_xlpm.i),_xlpm.prev,IF(_xlpm.i=1,"",INDEX(tblLaminateStructures[Laminate],_xlpm.i-1)),IF(_xlpm.cur&lt;&gt;_xlpm.prev,_xlpm.cur,"")),"")</f>
        <v/>
      </c>
      <c r="BV194" s="631" t="str" cm="1">
        <f t="array" ref="BV194">IFERROR(_xlfn.LET(_xlpm.i,ROWS($BV$2:BV194),_xlpm.cur,INDEX(tblLaminateStructures[Total Thickness (µ)],_xlpm.i),_xlpm.prev,IF(_xlpm.i=1,"",INDEX(tblLaminateStructures[Total Thickness (µ)],_xlpm.i-1)),IF(OR(_xlpm.cur&lt;&gt;_xlpm.prev,BU194&lt;&gt;""),_xlpm.cur,"")),"")</f>
        <v/>
      </c>
      <c r="BW194" s="631" t="str" cm="1">
        <f t="array" ref="BW194">IFERROR(INDEX(tblLaminateStructures[Material / Layer],ROWS($BW$2:BW194)),"")</f>
        <v/>
      </c>
      <c r="BX194" s="631" t="str" cm="1">
        <f t="array" ref="BX194">IFERROR(INDEX(tblLaminateStructures[Layer Thickness (µ)],ROWS($BX$2:BX194)),"")</f>
        <v/>
      </c>
      <c r="BY194" s="631" t="str" cm="1">
        <f t="array" ref="BY194">IFERROR(INDEX(tblLaminateStructures[Structure Check],ROWS($BY$2:BY194)),"")</f>
        <v/>
      </c>
      <c r="BZ194" s="666" t="str" cm="1">
        <f t="array" ref="BZ194">IFERROR(INDEX(tblLaminateStructures[Laminate],ROWS($BZ$2:BZ194)),"")</f>
        <v/>
      </c>
      <c r="CA194" s="631"/>
      <c r="CB194" s="631"/>
      <c r="CC194" s="631" t="str" cm="1">
        <f t="array" ref="CC194">IFERROR(INDEX(tblLaminateStructures[Total Thickness (µ)],ROWS($CC$2:CC194)),"")</f>
        <v/>
      </c>
      <c r="CD194" s="631"/>
      <c r="CE194" s="631"/>
      <c r="CF194" s="631"/>
      <c r="CG194" s="631"/>
      <c r="CH194" s="631"/>
    </row>
    <row r="195" spans="48:86">
      <c r="AV195" s="620"/>
      <c r="AW195" s="621"/>
      <c r="AX195" s="620"/>
      <c r="AY195" s="621"/>
      <c r="AZ195" s="621"/>
      <c r="BA195" s="620"/>
      <c r="BB195" s="620"/>
      <c r="BC195" s="620"/>
      <c r="BD195" s="620"/>
      <c r="BF195" s="631"/>
      <c r="BG195" s="631"/>
      <c r="BH195" s="631"/>
      <c r="BI195" s="631"/>
      <c r="BJ195" s="631"/>
      <c r="BK195" s="631"/>
      <c r="BL195" s="631"/>
      <c r="BM195" s="631"/>
      <c r="BN195" s="631"/>
      <c r="BO195" s="631"/>
      <c r="BP195" s="631"/>
      <c r="BQ195" s="631"/>
      <c r="BR195" s="631"/>
      <c r="BS195" s="631"/>
      <c r="BT195" s="631"/>
      <c r="BU195" s="666" t="str" cm="1">
        <f t="array" ref="BU195">IFERROR(_xlfn.LET(_xlpm.i,ROWS($BU$2:BU195),_xlpm.cur,INDEX(tblLaminateStructures[Laminate],_xlpm.i),_xlpm.prev,IF(_xlpm.i=1,"",INDEX(tblLaminateStructures[Laminate],_xlpm.i-1)),IF(_xlpm.cur&lt;&gt;_xlpm.prev,_xlpm.cur,"")),"")</f>
        <v/>
      </c>
      <c r="BV195" s="631" t="str" cm="1">
        <f t="array" ref="BV195">IFERROR(_xlfn.LET(_xlpm.i,ROWS($BV$2:BV195),_xlpm.cur,INDEX(tblLaminateStructures[Total Thickness (µ)],_xlpm.i),_xlpm.prev,IF(_xlpm.i=1,"",INDEX(tblLaminateStructures[Total Thickness (µ)],_xlpm.i-1)),IF(OR(_xlpm.cur&lt;&gt;_xlpm.prev,BU195&lt;&gt;""),_xlpm.cur,"")),"")</f>
        <v/>
      </c>
      <c r="BW195" s="631" t="str" cm="1">
        <f t="array" ref="BW195">IFERROR(INDEX(tblLaminateStructures[Material / Layer],ROWS($BW$2:BW195)),"")</f>
        <v/>
      </c>
      <c r="BX195" s="631" t="str" cm="1">
        <f t="array" ref="BX195">IFERROR(INDEX(tblLaminateStructures[Layer Thickness (µ)],ROWS($BX$2:BX195)),"")</f>
        <v/>
      </c>
      <c r="BY195" s="631" t="str" cm="1">
        <f t="array" ref="BY195">IFERROR(INDEX(tblLaminateStructures[Structure Check],ROWS($BY$2:BY195)),"")</f>
        <v/>
      </c>
      <c r="BZ195" s="666" t="str" cm="1">
        <f t="array" ref="BZ195">IFERROR(INDEX(tblLaminateStructures[Laminate],ROWS($BZ$2:BZ195)),"")</f>
        <v/>
      </c>
      <c r="CA195" s="631"/>
      <c r="CB195" s="631"/>
      <c r="CC195" s="631" t="str" cm="1">
        <f t="array" ref="CC195">IFERROR(INDEX(tblLaminateStructures[Total Thickness (µ)],ROWS($CC$2:CC195)),"")</f>
        <v/>
      </c>
      <c r="CD195" s="631"/>
      <c r="CE195" s="631"/>
      <c r="CF195" s="631"/>
      <c r="CG195" s="631"/>
      <c r="CH195" s="631"/>
    </row>
    <row r="196" spans="48:86">
      <c r="AV196" s="620"/>
      <c r="AW196" s="621"/>
      <c r="AX196" s="620"/>
      <c r="AY196" s="621"/>
      <c r="AZ196" s="621"/>
      <c r="BA196" s="620"/>
      <c r="BB196" s="620"/>
      <c r="BC196" s="620"/>
      <c r="BD196" s="620"/>
      <c r="BF196" s="631"/>
      <c r="BG196" s="631"/>
      <c r="BH196" s="631"/>
      <c r="BI196" s="631"/>
      <c r="BJ196" s="631"/>
      <c r="BK196" s="631"/>
      <c r="BL196" s="631"/>
      <c r="BM196" s="631"/>
      <c r="BN196" s="631"/>
      <c r="BO196" s="631"/>
      <c r="BP196" s="631"/>
      <c r="BQ196" s="631"/>
      <c r="BR196" s="631"/>
      <c r="BS196" s="631"/>
      <c r="BT196" s="631"/>
      <c r="BU196" s="666" t="str" cm="1">
        <f t="array" ref="BU196">IFERROR(_xlfn.LET(_xlpm.i,ROWS($BU$2:BU196),_xlpm.cur,INDEX(tblLaminateStructures[Laminate],_xlpm.i),_xlpm.prev,IF(_xlpm.i=1,"",INDEX(tblLaminateStructures[Laminate],_xlpm.i-1)),IF(_xlpm.cur&lt;&gt;_xlpm.prev,_xlpm.cur,"")),"")</f>
        <v/>
      </c>
      <c r="BV196" s="631" t="str" cm="1">
        <f t="array" ref="BV196">IFERROR(_xlfn.LET(_xlpm.i,ROWS($BV$2:BV196),_xlpm.cur,INDEX(tblLaminateStructures[Total Thickness (µ)],_xlpm.i),_xlpm.prev,IF(_xlpm.i=1,"",INDEX(tblLaminateStructures[Total Thickness (µ)],_xlpm.i-1)),IF(OR(_xlpm.cur&lt;&gt;_xlpm.prev,BU196&lt;&gt;""),_xlpm.cur,"")),"")</f>
        <v/>
      </c>
      <c r="BW196" s="631" t="str" cm="1">
        <f t="array" ref="BW196">IFERROR(INDEX(tblLaminateStructures[Material / Layer],ROWS($BW$2:BW196)),"")</f>
        <v/>
      </c>
      <c r="BX196" s="631" t="str" cm="1">
        <f t="array" ref="BX196">IFERROR(INDEX(tblLaminateStructures[Layer Thickness (µ)],ROWS($BX$2:BX196)),"")</f>
        <v/>
      </c>
      <c r="BY196" s="631" t="str" cm="1">
        <f t="array" ref="BY196">IFERROR(INDEX(tblLaminateStructures[Structure Check],ROWS($BY$2:BY196)),"")</f>
        <v/>
      </c>
      <c r="BZ196" s="666" t="str" cm="1">
        <f t="array" ref="BZ196">IFERROR(INDEX(tblLaminateStructures[Laminate],ROWS($BZ$2:BZ196)),"")</f>
        <v/>
      </c>
      <c r="CA196" s="631"/>
      <c r="CB196" s="631"/>
      <c r="CC196" s="631" t="str" cm="1">
        <f t="array" ref="CC196">IFERROR(INDEX(tblLaminateStructures[Total Thickness (µ)],ROWS($CC$2:CC196)),"")</f>
        <v/>
      </c>
      <c r="CD196" s="631"/>
      <c r="CE196" s="631"/>
      <c r="CF196" s="631"/>
      <c r="CG196" s="631"/>
      <c r="CH196" s="631"/>
    </row>
    <row r="197" spans="48:86">
      <c r="AV197" s="620"/>
      <c r="AW197" s="621"/>
      <c r="AX197" s="620"/>
      <c r="AY197" s="621"/>
      <c r="AZ197" s="621"/>
      <c r="BA197" s="620"/>
      <c r="BB197" s="620"/>
      <c r="BC197" s="620"/>
      <c r="BD197" s="620"/>
      <c r="BF197" s="631"/>
      <c r="BG197" s="631"/>
      <c r="BH197" s="631"/>
      <c r="BI197" s="631"/>
      <c r="BJ197" s="631"/>
      <c r="BK197" s="631"/>
      <c r="BL197" s="631"/>
      <c r="BM197" s="631"/>
      <c r="BN197" s="631"/>
      <c r="BO197" s="631"/>
      <c r="BP197" s="631"/>
      <c r="BQ197" s="631"/>
      <c r="BR197" s="631"/>
      <c r="BS197" s="631"/>
      <c r="BT197" s="631"/>
      <c r="BU197" s="666" t="str" cm="1">
        <f t="array" ref="BU197">IFERROR(_xlfn.LET(_xlpm.i,ROWS($BU$2:BU197),_xlpm.cur,INDEX(tblLaminateStructures[Laminate],_xlpm.i),_xlpm.prev,IF(_xlpm.i=1,"",INDEX(tblLaminateStructures[Laminate],_xlpm.i-1)),IF(_xlpm.cur&lt;&gt;_xlpm.prev,_xlpm.cur,"")),"")</f>
        <v/>
      </c>
      <c r="BV197" s="631" t="str" cm="1">
        <f t="array" ref="BV197">IFERROR(_xlfn.LET(_xlpm.i,ROWS($BV$2:BV197),_xlpm.cur,INDEX(tblLaminateStructures[Total Thickness (µ)],_xlpm.i),_xlpm.prev,IF(_xlpm.i=1,"",INDEX(tblLaminateStructures[Total Thickness (µ)],_xlpm.i-1)),IF(OR(_xlpm.cur&lt;&gt;_xlpm.prev,BU197&lt;&gt;""),_xlpm.cur,"")),"")</f>
        <v/>
      </c>
      <c r="BW197" s="631" t="str" cm="1">
        <f t="array" ref="BW197">IFERROR(INDEX(tblLaminateStructures[Material / Layer],ROWS($BW$2:BW197)),"")</f>
        <v/>
      </c>
      <c r="BX197" s="631" t="str" cm="1">
        <f t="array" ref="BX197">IFERROR(INDEX(tblLaminateStructures[Layer Thickness (µ)],ROWS($BX$2:BX197)),"")</f>
        <v/>
      </c>
      <c r="BY197" s="631" t="str" cm="1">
        <f t="array" ref="BY197">IFERROR(INDEX(tblLaminateStructures[Structure Check],ROWS($BY$2:BY197)),"")</f>
        <v/>
      </c>
      <c r="BZ197" s="666" t="str" cm="1">
        <f t="array" ref="BZ197">IFERROR(INDEX(tblLaminateStructures[Laminate],ROWS($BZ$2:BZ197)),"")</f>
        <v/>
      </c>
      <c r="CA197" s="631"/>
      <c r="CB197" s="631"/>
      <c r="CC197" s="631" t="str" cm="1">
        <f t="array" ref="CC197">IFERROR(INDEX(tblLaminateStructures[Total Thickness (µ)],ROWS($CC$2:CC197)),"")</f>
        <v/>
      </c>
      <c r="CD197" s="631"/>
      <c r="CE197" s="631"/>
      <c r="CF197" s="631"/>
      <c r="CG197" s="631"/>
      <c r="CH197" s="631"/>
    </row>
    <row r="198" spans="48:86">
      <c r="AV198" s="620"/>
      <c r="AW198" s="621"/>
      <c r="AX198" s="620"/>
      <c r="AY198" s="621"/>
      <c r="AZ198" s="621"/>
      <c r="BA198" s="620"/>
      <c r="BB198" s="620"/>
      <c r="BC198" s="620"/>
      <c r="BD198" s="620"/>
      <c r="BF198" s="631"/>
      <c r="BG198" s="631"/>
      <c r="BH198" s="631"/>
      <c r="BI198" s="631"/>
      <c r="BJ198" s="631"/>
      <c r="BK198" s="631"/>
      <c r="BL198" s="631"/>
      <c r="BM198" s="631"/>
      <c r="BN198" s="631"/>
      <c r="BO198" s="631"/>
      <c r="BP198" s="631"/>
      <c r="BQ198" s="631"/>
      <c r="BR198" s="631"/>
      <c r="BS198" s="631"/>
      <c r="BT198" s="631"/>
      <c r="BU198" s="666" t="str" cm="1">
        <f t="array" ref="BU198">IFERROR(_xlfn.LET(_xlpm.i,ROWS($BU$2:BU198),_xlpm.cur,INDEX(tblLaminateStructures[Laminate],_xlpm.i),_xlpm.prev,IF(_xlpm.i=1,"",INDEX(tblLaminateStructures[Laminate],_xlpm.i-1)),IF(_xlpm.cur&lt;&gt;_xlpm.prev,_xlpm.cur,"")),"")</f>
        <v/>
      </c>
      <c r="BV198" s="631" t="str" cm="1">
        <f t="array" ref="BV198">IFERROR(_xlfn.LET(_xlpm.i,ROWS($BV$2:BV198),_xlpm.cur,INDEX(tblLaminateStructures[Total Thickness (µ)],_xlpm.i),_xlpm.prev,IF(_xlpm.i=1,"",INDEX(tblLaminateStructures[Total Thickness (µ)],_xlpm.i-1)),IF(OR(_xlpm.cur&lt;&gt;_xlpm.prev,BU198&lt;&gt;""),_xlpm.cur,"")),"")</f>
        <v/>
      </c>
      <c r="BW198" s="631" t="str" cm="1">
        <f t="array" ref="BW198">IFERROR(INDEX(tblLaminateStructures[Material / Layer],ROWS($BW$2:BW198)),"")</f>
        <v/>
      </c>
      <c r="BX198" s="631" t="str" cm="1">
        <f t="array" ref="BX198">IFERROR(INDEX(tblLaminateStructures[Layer Thickness (µ)],ROWS($BX$2:BX198)),"")</f>
        <v/>
      </c>
      <c r="BY198" s="631" t="str" cm="1">
        <f t="array" ref="BY198">IFERROR(INDEX(tblLaminateStructures[Structure Check],ROWS($BY$2:BY198)),"")</f>
        <v/>
      </c>
      <c r="BZ198" s="666" t="str" cm="1">
        <f t="array" ref="BZ198">IFERROR(INDEX(tblLaminateStructures[Laminate],ROWS($BZ$2:BZ198)),"")</f>
        <v/>
      </c>
      <c r="CA198" s="631"/>
      <c r="CB198" s="631"/>
      <c r="CC198" s="631" t="str" cm="1">
        <f t="array" ref="CC198">IFERROR(INDEX(tblLaminateStructures[Total Thickness (µ)],ROWS($CC$2:CC198)),"")</f>
        <v/>
      </c>
      <c r="CD198" s="631"/>
      <c r="CE198" s="631"/>
      <c r="CF198" s="631"/>
      <c r="CG198" s="631"/>
      <c r="CH198" s="631"/>
    </row>
    <row r="199" spans="48:86">
      <c r="AV199" s="620"/>
      <c r="AW199" s="621"/>
      <c r="AX199" s="620"/>
      <c r="AY199" s="621"/>
      <c r="AZ199" s="621"/>
      <c r="BA199" s="620"/>
      <c r="BB199" s="620"/>
      <c r="BC199" s="620"/>
      <c r="BD199" s="620"/>
      <c r="BF199" s="631"/>
      <c r="BG199" s="631"/>
      <c r="BH199" s="631"/>
      <c r="BI199" s="631"/>
      <c r="BJ199" s="631"/>
      <c r="BK199" s="631"/>
      <c r="BL199" s="631"/>
      <c r="BM199" s="631"/>
      <c r="BN199" s="631"/>
      <c r="BO199" s="631"/>
      <c r="BP199" s="631"/>
      <c r="BQ199" s="631"/>
      <c r="BR199" s="631"/>
      <c r="BS199" s="631"/>
      <c r="BT199" s="631"/>
      <c r="BU199" s="666" t="str" cm="1">
        <f t="array" ref="BU199">IFERROR(_xlfn.LET(_xlpm.i,ROWS($BU$2:BU199),_xlpm.cur,INDEX(tblLaminateStructures[Laminate],_xlpm.i),_xlpm.prev,IF(_xlpm.i=1,"",INDEX(tblLaminateStructures[Laminate],_xlpm.i-1)),IF(_xlpm.cur&lt;&gt;_xlpm.prev,_xlpm.cur,"")),"")</f>
        <v/>
      </c>
      <c r="BV199" s="631" t="str" cm="1">
        <f t="array" ref="BV199">IFERROR(_xlfn.LET(_xlpm.i,ROWS($BV$2:BV199),_xlpm.cur,INDEX(tblLaminateStructures[Total Thickness (µ)],_xlpm.i),_xlpm.prev,IF(_xlpm.i=1,"",INDEX(tblLaminateStructures[Total Thickness (µ)],_xlpm.i-1)),IF(OR(_xlpm.cur&lt;&gt;_xlpm.prev,BU199&lt;&gt;""),_xlpm.cur,"")),"")</f>
        <v/>
      </c>
      <c r="BW199" s="631" t="str" cm="1">
        <f t="array" ref="BW199">IFERROR(INDEX(tblLaminateStructures[Material / Layer],ROWS($BW$2:BW199)),"")</f>
        <v/>
      </c>
      <c r="BX199" s="631" t="str" cm="1">
        <f t="array" ref="BX199">IFERROR(INDEX(tblLaminateStructures[Layer Thickness (µ)],ROWS($BX$2:BX199)),"")</f>
        <v/>
      </c>
      <c r="BY199" s="631" t="str" cm="1">
        <f t="array" ref="BY199">IFERROR(INDEX(tblLaminateStructures[Structure Check],ROWS($BY$2:BY199)),"")</f>
        <v/>
      </c>
      <c r="BZ199" s="666" t="str" cm="1">
        <f t="array" ref="BZ199">IFERROR(INDEX(tblLaminateStructures[Laminate],ROWS($BZ$2:BZ199)),"")</f>
        <v/>
      </c>
      <c r="CA199" s="631"/>
      <c r="CB199" s="631"/>
      <c r="CC199" s="631" t="str" cm="1">
        <f t="array" ref="CC199">IFERROR(INDEX(tblLaminateStructures[Total Thickness (µ)],ROWS($CC$2:CC199)),"")</f>
        <v/>
      </c>
      <c r="CD199" s="631"/>
      <c r="CE199" s="631"/>
      <c r="CF199" s="631"/>
      <c r="CG199" s="631"/>
      <c r="CH199" s="631"/>
    </row>
    <row r="200" spans="48:86">
      <c r="AV200" s="620"/>
      <c r="AW200" s="621"/>
      <c r="AX200" s="620"/>
      <c r="AY200" s="621"/>
      <c r="AZ200" s="621"/>
      <c r="BA200" s="620"/>
      <c r="BB200" s="620"/>
      <c r="BC200" s="620"/>
      <c r="BD200" s="620"/>
      <c r="BF200" s="631"/>
      <c r="BG200" s="631"/>
      <c r="BH200" s="631"/>
      <c r="BI200" s="631"/>
      <c r="BJ200" s="631"/>
      <c r="BK200" s="631"/>
      <c r="BL200" s="631"/>
      <c r="BM200" s="631"/>
      <c r="BN200" s="631"/>
      <c r="BO200" s="631"/>
      <c r="BP200" s="631"/>
      <c r="BQ200" s="631"/>
      <c r="BR200" s="631"/>
      <c r="BS200" s="631"/>
      <c r="BT200" s="631"/>
      <c r="BU200" s="666" t="str" cm="1">
        <f t="array" ref="BU200">IFERROR(_xlfn.LET(_xlpm.i,ROWS($BU$2:BU200),_xlpm.cur,INDEX(tblLaminateStructures[Laminate],_xlpm.i),_xlpm.prev,IF(_xlpm.i=1,"",INDEX(tblLaminateStructures[Laminate],_xlpm.i-1)),IF(_xlpm.cur&lt;&gt;_xlpm.prev,_xlpm.cur,"")),"")</f>
        <v/>
      </c>
      <c r="BV200" s="631" t="str" cm="1">
        <f t="array" ref="BV200">IFERROR(_xlfn.LET(_xlpm.i,ROWS($BV$2:BV200),_xlpm.cur,INDEX(tblLaminateStructures[Total Thickness (µ)],_xlpm.i),_xlpm.prev,IF(_xlpm.i=1,"",INDEX(tblLaminateStructures[Total Thickness (µ)],_xlpm.i-1)),IF(OR(_xlpm.cur&lt;&gt;_xlpm.prev,BU200&lt;&gt;""),_xlpm.cur,"")),"")</f>
        <v/>
      </c>
      <c r="BW200" s="631" t="str" cm="1">
        <f t="array" ref="BW200">IFERROR(INDEX(tblLaminateStructures[Material / Layer],ROWS($BW$2:BW200)),"")</f>
        <v/>
      </c>
      <c r="BX200" s="631" t="str" cm="1">
        <f t="array" ref="BX200">IFERROR(INDEX(tblLaminateStructures[Layer Thickness (µ)],ROWS($BX$2:BX200)),"")</f>
        <v/>
      </c>
      <c r="BY200" s="631" t="str" cm="1">
        <f t="array" ref="BY200">IFERROR(INDEX(tblLaminateStructures[Structure Check],ROWS($BY$2:BY200)),"")</f>
        <v/>
      </c>
      <c r="BZ200" s="666" t="str" cm="1">
        <f t="array" ref="BZ200">IFERROR(INDEX(tblLaminateStructures[Laminate],ROWS($BZ$2:BZ200)),"")</f>
        <v/>
      </c>
      <c r="CA200" s="631"/>
      <c r="CB200" s="631"/>
      <c r="CC200" s="631" t="str" cm="1">
        <f t="array" ref="CC200">IFERROR(INDEX(tblLaminateStructures[Total Thickness (µ)],ROWS($CC$2:CC200)),"")</f>
        <v/>
      </c>
      <c r="CD200" s="631"/>
      <c r="CE200" s="631"/>
      <c r="CF200" s="631"/>
      <c r="CG200" s="631"/>
      <c r="CH200" s="631"/>
    </row>
    <row r="201" spans="48:86">
      <c r="AV201" s="620"/>
      <c r="AW201" s="621"/>
      <c r="AX201" s="620"/>
      <c r="AY201" s="621"/>
      <c r="AZ201" s="621"/>
      <c r="BA201" s="620"/>
      <c r="BB201" s="620"/>
      <c r="BC201" s="620"/>
      <c r="BD201" s="620"/>
      <c r="BF201" s="631"/>
      <c r="BG201" s="631"/>
      <c r="BH201" s="631"/>
      <c r="BI201" s="631"/>
      <c r="BJ201" s="631"/>
      <c r="BK201" s="631"/>
      <c r="BL201" s="631"/>
      <c r="BM201" s="631"/>
      <c r="BN201" s="631"/>
      <c r="BO201" s="631"/>
      <c r="BP201" s="631"/>
      <c r="BQ201" s="631"/>
      <c r="BR201" s="631"/>
      <c r="BS201" s="631"/>
      <c r="BT201" s="631"/>
      <c r="BU201" s="666" t="str" cm="1">
        <f t="array" ref="BU201">IFERROR(_xlfn.LET(_xlpm.i,ROWS($BU$2:BU201),_xlpm.cur,INDEX(tblLaminateStructures[Laminate],_xlpm.i),_xlpm.prev,IF(_xlpm.i=1,"",INDEX(tblLaminateStructures[Laminate],_xlpm.i-1)),IF(_xlpm.cur&lt;&gt;_xlpm.prev,_xlpm.cur,"")),"")</f>
        <v/>
      </c>
      <c r="BV201" s="631" t="str" cm="1">
        <f t="array" ref="BV201">IFERROR(_xlfn.LET(_xlpm.i,ROWS($BV$2:BV201),_xlpm.cur,INDEX(tblLaminateStructures[Total Thickness (µ)],_xlpm.i),_xlpm.prev,IF(_xlpm.i=1,"",INDEX(tblLaminateStructures[Total Thickness (µ)],_xlpm.i-1)),IF(OR(_xlpm.cur&lt;&gt;_xlpm.prev,BU201&lt;&gt;""),_xlpm.cur,"")),"")</f>
        <v/>
      </c>
      <c r="BW201" s="631" t="str" cm="1">
        <f t="array" ref="BW201">IFERROR(INDEX(tblLaminateStructures[Material / Layer],ROWS($BW$2:BW201)),"")</f>
        <v/>
      </c>
      <c r="BX201" s="631" t="str" cm="1">
        <f t="array" ref="BX201">IFERROR(INDEX(tblLaminateStructures[Layer Thickness (µ)],ROWS($BX$2:BX201)),"")</f>
        <v/>
      </c>
      <c r="BY201" s="631" t="str" cm="1">
        <f t="array" ref="BY201">IFERROR(INDEX(tblLaminateStructures[Structure Check],ROWS($BY$2:BY201)),"")</f>
        <v/>
      </c>
      <c r="BZ201" s="666" t="str" cm="1">
        <f t="array" ref="BZ201">IFERROR(INDEX(tblLaminateStructures[Laminate],ROWS($BZ$2:BZ201)),"")</f>
        <v/>
      </c>
      <c r="CA201" s="631"/>
      <c r="CB201" s="631"/>
      <c r="CC201" s="631" t="str" cm="1">
        <f t="array" ref="CC201">IFERROR(INDEX(tblLaminateStructures[Total Thickness (µ)],ROWS($CC$2:CC201)),"")</f>
        <v/>
      </c>
      <c r="CD201" s="631"/>
      <c r="CE201" s="631"/>
      <c r="CF201" s="631"/>
      <c r="CG201" s="631"/>
      <c r="CH201" s="631"/>
    </row>
    <row r="202" spans="48:86">
      <c r="AV202" s="620"/>
      <c r="AW202" s="621"/>
      <c r="AX202" s="620"/>
      <c r="AY202" s="621"/>
      <c r="AZ202" s="621"/>
      <c r="BA202" s="620"/>
      <c r="BB202" s="620"/>
      <c r="BC202" s="620"/>
      <c r="BD202" s="620"/>
      <c r="BF202" s="631"/>
      <c r="BG202" s="631"/>
      <c r="BH202" s="631"/>
      <c r="BI202" s="631"/>
      <c r="BJ202" s="631"/>
      <c r="BK202" s="631"/>
      <c r="BL202" s="631"/>
      <c r="BM202" s="631"/>
      <c r="BN202" s="631"/>
      <c r="BO202" s="631"/>
      <c r="BP202" s="631"/>
      <c r="BQ202" s="631"/>
      <c r="BR202" s="631"/>
      <c r="BS202" s="631"/>
      <c r="BT202" s="631"/>
      <c r="BU202" s="666" t="str" cm="1">
        <f t="array" ref="BU202">IFERROR(_xlfn.LET(_xlpm.i,ROWS($BU$2:BU202),_xlpm.cur,INDEX(tblLaminateStructures[Laminate],_xlpm.i),_xlpm.prev,IF(_xlpm.i=1,"",INDEX(tblLaminateStructures[Laminate],_xlpm.i-1)),IF(_xlpm.cur&lt;&gt;_xlpm.prev,_xlpm.cur,"")),"")</f>
        <v/>
      </c>
      <c r="BV202" s="631" t="str" cm="1">
        <f t="array" ref="BV202">IFERROR(_xlfn.LET(_xlpm.i,ROWS($BV$2:BV202),_xlpm.cur,INDEX(tblLaminateStructures[Total Thickness (µ)],_xlpm.i),_xlpm.prev,IF(_xlpm.i=1,"",INDEX(tblLaminateStructures[Total Thickness (µ)],_xlpm.i-1)),IF(OR(_xlpm.cur&lt;&gt;_xlpm.prev,BU202&lt;&gt;""),_xlpm.cur,"")),"")</f>
        <v/>
      </c>
      <c r="BW202" s="631" t="str" cm="1">
        <f t="array" ref="BW202">IFERROR(INDEX(tblLaminateStructures[Material / Layer],ROWS($BW$2:BW202)),"")</f>
        <v/>
      </c>
      <c r="BX202" s="631" t="str" cm="1">
        <f t="array" ref="BX202">IFERROR(INDEX(tblLaminateStructures[Layer Thickness (µ)],ROWS($BX$2:BX202)),"")</f>
        <v/>
      </c>
      <c r="BY202" s="631" t="str" cm="1">
        <f t="array" ref="BY202">IFERROR(INDEX(tblLaminateStructures[Structure Check],ROWS($BY$2:BY202)),"")</f>
        <v/>
      </c>
      <c r="BZ202" s="666" t="str" cm="1">
        <f t="array" ref="BZ202">IFERROR(INDEX(tblLaminateStructures[Laminate],ROWS($BZ$2:BZ202)),"")</f>
        <v/>
      </c>
      <c r="CA202" s="631"/>
      <c r="CB202" s="631"/>
      <c r="CC202" s="631" t="str" cm="1">
        <f t="array" ref="CC202">IFERROR(INDEX(tblLaminateStructures[Total Thickness (µ)],ROWS($CC$2:CC202)),"")</f>
        <v/>
      </c>
      <c r="CD202" s="631"/>
      <c r="CE202" s="631"/>
      <c r="CF202" s="631"/>
      <c r="CG202" s="631"/>
      <c r="CH202" s="631"/>
    </row>
    <row r="203" spans="48:86">
      <c r="AV203" s="620"/>
      <c r="AW203" s="621"/>
      <c r="AX203" s="620"/>
      <c r="AY203" s="621"/>
      <c r="AZ203" s="621"/>
      <c r="BA203" s="620"/>
      <c r="BB203" s="620"/>
      <c r="BC203" s="620"/>
      <c r="BD203" s="620"/>
      <c r="BF203" s="631"/>
      <c r="BG203" s="631"/>
      <c r="BH203" s="631"/>
      <c r="BI203" s="631"/>
      <c r="BJ203" s="631"/>
      <c r="BK203" s="631"/>
      <c r="BL203" s="631"/>
      <c r="BM203" s="631"/>
      <c r="BN203" s="631"/>
      <c r="BO203" s="631"/>
      <c r="BP203" s="631"/>
      <c r="BQ203" s="631"/>
      <c r="BR203" s="631"/>
      <c r="BS203" s="631"/>
      <c r="BT203" s="631"/>
      <c r="BU203" s="666" t="str" cm="1">
        <f t="array" ref="BU203">IFERROR(_xlfn.LET(_xlpm.i,ROWS($BU$2:BU203),_xlpm.cur,INDEX(tblLaminateStructures[Laminate],_xlpm.i),_xlpm.prev,IF(_xlpm.i=1,"",INDEX(tblLaminateStructures[Laminate],_xlpm.i-1)),IF(_xlpm.cur&lt;&gt;_xlpm.prev,_xlpm.cur,"")),"")</f>
        <v/>
      </c>
      <c r="BV203" s="631" t="str" cm="1">
        <f t="array" ref="BV203">IFERROR(_xlfn.LET(_xlpm.i,ROWS($BV$2:BV203),_xlpm.cur,INDEX(tblLaminateStructures[Total Thickness (µ)],_xlpm.i),_xlpm.prev,IF(_xlpm.i=1,"",INDEX(tblLaminateStructures[Total Thickness (µ)],_xlpm.i-1)),IF(OR(_xlpm.cur&lt;&gt;_xlpm.prev,BU203&lt;&gt;""),_xlpm.cur,"")),"")</f>
        <v/>
      </c>
      <c r="BW203" s="631" t="str" cm="1">
        <f t="array" ref="BW203">IFERROR(INDEX(tblLaminateStructures[Material / Layer],ROWS($BW$2:BW203)),"")</f>
        <v/>
      </c>
      <c r="BX203" s="631" t="str" cm="1">
        <f t="array" ref="BX203">IFERROR(INDEX(tblLaminateStructures[Layer Thickness (µ)],ROWS($BX$2:BX203)),"")</f>
        <v/>
      </c>
      <c r="BY203" s="631" t="str" cm="1">
        <f t="array" ref="BY203">IFERROR(INDEX(tblLaminateStructures[Structure Check],ROWS($BY$2:BY203)),"")</f>
        <v/>
      </c>
      <c r="BZ203" s="666" t="str" cm="1">
        <f t="array" ref="BZ203">IFERROR(INDEX(tblLaminateStructures[Laminate],ROWS($BZ$2:BZ203)),"")</f>
        <v/>
      </c>
      <c r="CA203" s="631"/>
      <c r="CB203" s="631"/>
      <c r="CC203" s="631" t="str" cm="1">
        <f t="array" ref="CC203">IFERROR(INDEX(tblLaminateStructures[Total Thickness (µ)],ROWS($CC$2:CC203)),"")</f>
        <v/>
      </c>
      <c r="CD203" s="631"/>
      <c r="CE203" s="631"/>
      <c r="CF203" s="631"/>
      <c r="CG203" s="631"/>
      <c r="CH203" s="631"/>
    </row>
    <row r="204" spans="48:86">
      <c r="AV204" s="620"/>
      <c r="AW204" s="621"/>
      <c r="AX204" s="620"/>
      <c r="AY204" s="621"/>
      <c r="AZ204" s="621"/>
      <c r="BA204" s="620"/>
      <c r="BB204" s="620"/>
      <c r="BC204" s="620"/>
      <c r="BD204" s="620"/>
      <c r="BF204" s="631"/>
      <c r="BG204" s="631"/>
      <c r="BH204" s="631"/>
      <c r="BI204" s="631"/>
      <c r="BJ204" s="631"/>
      <c r="BK204" s="631"/>
      <c r="BL204" s="631"/>
      <c r="BM204" s="631"/>
      <c r="BN204" s="631"/>
      <c r="BO204" s="631"/>
      <c r="BP204" s="631"/>
      <c r="BQ204" s="631"/>
      <c r="BR204" s="631"/>
      <c r="BS204" s="631"/>
      <c r="BT204" s="631"/>
      <c r="BU204" s="666" t="str" cm="1">
        <f t="array" ref="BU204">IFERROR(_xlfn.LET(_xlpm.i,ROWS($BU$2:BU204),_xlpm.cur,INDEX(tblLaminateStructures[Laminate],_xlpm.i),_xlpm.prev,IF(_xlpm.i=1,"",INDEX(tblLaminateStructures[Laminate],_xlpm.i-1)),IF(_xlpm.cur&lt;&gt;_xlpm.prev,_xlpm.cur,"")),"")</f>
        <v/>
      </c>
      <c r="BV204" s="631" t="str" cm="1">
        <f t="array" ref="BV204">IFERROR(_xlfn.LET(_xlpm.i,ROWS($BV$2:BV204),_xlpm.cur,INDEX(tblLaminateStructures[Total Thickness (µ)],_xlpm.i),_xlpm.prev,IF(_xlpm.i=1,"",INDEX(tblLaminateStructures[Total Thickness (µ)],_xlpm.i-1)),IF(OR(_xlpm.cur&lt;&gt;_xlpm.prev,BU204&lt;&gt;""),_xlpm.cur,"")),"")</f>
        <v/>
      </c>
      <c r="BW204" s="631" t="str" cm="1">
        <f t="array" ref="BW204">IFERROR(INDEX(tblLaminateStructures[Material / Layer],ROWS($BW$2:BW204)),"")</f>
        <v/>
      </c>
      <c r="BX204" s="631" t="str" cm="1">
        <f t="array" ref="BX204">IFERROR(INDEX(tblLaminateStructures[Layer Thickness (µ)],ROWS($BX$2:BX204)),"")</f>
        <v/>
      </c>
      <c r="BY204" s="631" t="str" cm="1">
        <f t="array" ref="BY204">IFERROR(INDEX(tblLaminateStructures[Structure Check],ROWS($BY$2:BY204)),"")</f>
        <v/>
      </c>
      <c r="BZ204" s="666" t="str" cm="1">
        <f t="array" ref="BZ204">IFERROR(INDEX(tblLaminateStructures[Laminate],ROWS($BZ$2:BZ204)),"")</f>
        <v/>
      </c>
      <c r="CA204" s="631"/>
      <c r="CB204" s="631"/>
      <c r="CC204" s="631" t="str" cm="1">
        <f t="array" ref="CC204">IFERROR(INDEX(tblLaminateStructures[Total Thickness (µ)],ROWS($CC$2:CC204)),"")</f>
        <v/>
      </c>
      <c r="CD204" s="631"/>
      <c r="CE204" s="631"/>
      <c r="CF204" s="631"/>
      <c r="CG204" s="631"/>
      <c r="CH204" s="631"/>
    </row>
    <row r="205" spans="48:86">
      <c r="AV205" s="620"/>
      <c r="AW205" s="621"/>
      <c r="AX205" s="620"/>
      <c r="AY205" s="621"/>
      <c r="AZ205" s="621"/>
      <c r="BA205" s="620"/>
      <c r="BB205" s="620"/>
      <c r="BC205" s="620"/>
      <c r="BD205" s="620"/>
      <c r="BF205" s="631"/>
      <c r="BG205" s="631"/>
      <c r="BH205" s="631"/>
      <c r="BI205" s="631"/>
      <c r="BJ205" s="631"/>
      <c r="BK205" s="631"/>
      <c r="BL205" s="631"/>
      <c r="BM205" s="631"/>
      <c r="BN205" s="631"/>
      <c r="BO205" s="631"/>
      <c r="BP205" s="631"/>
      <c r="BQ205" s="631"/>
      <c r="BR205" s="631"/>
      <c r="BS205" s="631"/>
      <c r="BT205" s="631"/>
      <c r="BU205" s="666" t="str" cm="1">
        <f t="array" ref="BU205">IFERROR(_xlfn.LET(_xlpm.i,ROWS($BU$2:BU205),_xlpm.cur,INDEX(tblLaminateStructures[Laminate],_xlpm.i),_xlpm.prev,IF(_xlpm.i=1,"",INDEX(tblLaminateStructures[Laminate],_xlpm.i-1)),IF(_xlpm.cur&lt;&gt;_xlpm.prev,_xlpm.cur,"")),"")</f>
        <v/>
      </c>
      <c r="BV205" s="631" t="str" cm="1">
        <f t="array" ref="BV205">IFERROR(_xlfn.LET(_xlpm.i,ROWS($BV$2:BV205),_xlpm.cur,INDEX(tblLaminateStructures[Total Thickness (µ)],_xlpm.i),_xlpm.prev,IF(_xlpm.i=1,"",INDEX(tblLaminateStructures[Total Thickness (µ)],_xlpm.i-1)),IF(OR(_xlpm.cur&lt;&gt;_xlpm.prev,BU205&lt;&gt;""),_xlpm.cur,"")),"")</f>
        <v/>
      </c>
      <c r="BW205" s="631" t="str" cm="1">
        <f t="array" ref="BW205">IFERROR(INDEX(tblLaminateStructures[Material / Layer],ROWS($BW$2:BW205)),"")</f>
        <v/>
      </c>
      <c r="BX205" s="631" t="str" cm="1">
        <f t="array" ref="BX205">IFERROR(INDEX(tblLaminateStructures[Layer Thickness (µ)],ROWS($BX$2:BX205)),"")</f>
        <v/>
      </c>
      <c r="BY205" s="631" t="str" cm="1">
        <f t="array" ref="BY205">IFERROR(INDEX(tblLaminateStructures[Structure Check],ROWS($BY$2:BY205)),"")</f>
        <v/>
      </c>
      <c r="BZ205" s="666" t="str" cm="1">
        <f t="array" ref="BZ205">IFERROR(INDEX(tblLaminateStructures[Laminate],ROWS($BZ$2:BZ205)),"")</f>
        <v/>
      </c>
      <c r="CA205" s="631"/>
      <c r="CB205" s="631"/>
      <c r="CC205" s="631" t="str" cm="1">
        <f t="array" ref="CC205">IFERROR(INDEX(tblLaminateStructures[Total Thickness (µ)],ROWS($CC$2:CC205)),"")</f>
        <v/>
      </c>
      <c r="CD205" s="631"/>
      <c r="CE205" s="631"/>
      <c r="CF205" s="631"/>
      <c r="CG205" s="631"/>
      <c r="CH205" s="631"/>
    </row>
    <row r="206" spans="48:86">
      <c r="AV206" s="620"/>
      <c r="AW206" s="621"/>
      <c r="AX206" s="620"/>
      <c r="AY206" s="621"/>
      <c r="AZ206" s="621"/>
      <c r="BA206" s="620"/>
      <c r="BB206" s="620"/>
      <c r="BC206" s="620"/>
      <c r="BD206" s="620"/>
      <c r="BF206" s="631"/>
      <c r="BG206" s="631"/>
      <c r="BH206" s="631"/>
      <c r="BI206" s="631"/>
      <c r="BJ206" s="631"/>
      <c r="BK206" s="631"/>
      <c r="BL206" s="631"/>
      <c r="BM206" s="631"/>
      <c r="BN206" s="631"/>
      <c r="BO206" s="631"/>
      <c r="BP206" s="631"/>
      <c r="BQ206" s="631"/>
      <c r="BR206" s="631"/>
      <c r="BS206" s="631"/>
      <c r="BT206" s="631"/>
      <c r="BU206" s="666" t="str" cm="1">
        <f t="array" ref="BU206">IFERROR(_xlfn.LET(_xlpm.i,ROWS($BU$2:BU206),_xlpm.cur,INDEX(tblLaminateStructures[Laminate],_xlpm.i),_xlpm.prev,IF(_xlpm.i=1,"",INDEX(tblLaminateStructures[Laminate],_xlpm.i-1)),IF(_xlpm.cur&lt;&gt;_xlpm.prev,_xlpm.cur,"")),"")</f>
        <v/>
      </c>
      <c r="BV206" s="631" t="str" cm="1">
        <f t="array" ref="BV206">IFERROR(_xlfn.LET(_xlpm.i,ROWS($BV$2:BV206),_xlpm.cur,INDEX(tblLaminateStructures[Total Thickness (µ)],_xlpm.i),_xlpm.prev,IF(_xlpm.i=1,"",INDEX(tblLaminateStructures[Total Thickness (µ)],_xlpm.i-1)),IF(OR(_xlpm.cur&lt;&gt;_xlpm.prev,BU206&lt;&gt;""),_xlpm.cur,"")),"")</f>
        <v/>
      </c>
      <c r="BW206" s="631" t="str" cm="1">
        <f t="array" ref="BW206">IFERROR(INDEX(tblLaminateStructures[Material / Layer],ROWS($BW$2:BW206)),"")</f>
        <v/>
      </c>
      <c r="BX206" s="631" t="str" cm="1">
        <f t="array" ref="BX206">IFERROR(INDEX(tblLaminateStructures[Layer Thickness (µ)],ROWS($BX$2:BX206)),"")</f>
        <v/>
      </c>
      <c r="BY206" s="631" t="str" cm="1">
        <f t="array" ref="BY206">IFERROR(INDEX(tblLaminateStructures[Structure Check],ROWS($BY$2:BY206)),"")</f>
        <v/>
      </c>
      <c r="BZ206" s="666" t="str" cm="1">
        <f t="array" ref="BZ206">IFERROR(INDEX(tblLaminateStructures[Laminate],ROWS($BZ$2:BZ206)),"")</f>
        <v/>
      </c>
      <c r="CA206" s="631"/>
      <c r="CB206" s="631"/>
      <c r="CC206" s="631" t="str" cm="1">
        <f t="array" ref="CC206">IFERROR(INDEX(tblLaminateStructures[Total Thickness (µ)],ROWS($CC$2:CC206)),"")</f>
        <v/>
      </c>
      <c r="CD206" s="631"/>
      <c r="CE206" s="631"/>
      <c r="CF206" s="631"/>
      <c r="CG206" s="631"/>
      <c r="CH206" s="631"/>
    </row>
    <row r="207" spans="48:86">
      <c r="AV207" s="620"/>
      <c r="AW207" s="621"/>
      <c r="AX207" s="620"/>
      <c r="AY207" s="621"/>
      <c r="AZ207" s="621"/>
      <c r="BA207" s="620"/>
      <c r="BB207" s="620"/>
      <c r="BC207" s="620"/>
      <c r="BD207" s="620"/>
      <c r="BF207" s="631"/>
      <c r="BG207" s="631"/>
      <c r="BH207" s="631"/>
      <c r="BI207" s="631"/>
      <c r="BJ207" s="631"/>
      <c r="BK207" s="631"/>
      <c r="BL207" s="631"/>
      <c r="BM207" s="631"/>
      <c r="BN207" s="631"/>
      <c r="BO207" s="631"/>
      <c r="BP207" s="631"/>
      <c r="BQ207" s="631"/>
      <c r="BR207" s="631"/>
      <c r="BS207" s="631"/>
      <c r="BT207" s="631"/>
      <c r="BU207" s="666" t="str" cm="1">
        <f t="array" ref="BU207">IFERROR(_xlfn.LET(_xlpm.i,ROWS($BU$2:BU207),_xlpm.cur,INDEX(tblLaminateStructures[Laminate],_xlpm.i),_xlpm.prev,IF(_xlpm.i=1,"",INDEX(tblLaminateStructures[Laminate],_xlpm.i-1)),IF(_xlpm.cur&lt;&gt;_xlpm.prev,_xlpm.cur,"")),"")</f>
        <v/>
      </c>
      <c r="BV207" s="631" t="str" cm="1">
        <f t="array" ref="BV207">IFERROR(_xlfn.LET(_xlpm.i,ROWS($BV$2:BV207),_xlpm.cur,INDEX(tblLaminateStructures[Total Thickness (µ)],_xlpm.i),_xlpm.prev,IF(_xlpm.i=1,"",INDEX(tblLaminateStructures[Total Thickness (µ)],_xlpm.i-1)),IF(OR(_xlpm.cur&lt;&gt;_xlpm.prev,BU207&lt;&gt;""),_xlpm.cur,"")),"")</f>
        <v/>
      </c>
      <c r="BW207" s="631" t="str" cm="1">
        <f t="array" ref="BW207">IFERROR(INDEX(tblLaminateStructures[Material / Layer],ROWS($BW$2:BW207)),"")</f>
        <v/>
      </c>
      <c r="BX207" s="631" t="str" cm="1">
        <f t="array" ref="BX207">IFERROR(INDEX(tblLaminateStructures[Layer Thickness (µ)],ROWS($BX$2:BX207)),"")</f>
        <v/>
      </c>
      <c r="BY207" s="631" t="str" cm="1">
        <f t="array" ref="BY207">IFERROR(INDEX(tblLaminateStructures[Structure Check],ROWS($BY$2:BY207)),"")</f>
        <v/>
      </c>
      <c r="BZ207" s="666" t="str" cm="1">
        <f t="array" ref="BZ207">IFERROR(INDEX(tblLaminateStructures[Laminate],ROWS($BZ$2:BZ207)),"")</f>
        <v/>
      </c>
      <c r="CA207" s="631"/>
      <c r="CB207" s="631"/>
      <c r="CC207" s="631" t="str" cm="1">
        <f t="array" ref="CC207">IFERROR(INDEX(tblLaminateStructures[Total Thickness (µ)],ROWS($CC$2:CC207)),"")</f>
        <v/>
      </c>
      <c r="CD207" s="631"/>
      <c r="CE207" s="631"/>
      <c r="CF207" s="631"/>
      <c r="CG207" s="631"/>
      <c r="CH207" s="631"/>
    </row>
    <row r="208" spans="48:86">
      <c r="AV208" s="620"/>
      <c r="AW208" s="621"/>
      <c r="AX208" s="620"/>
      <c r="AY208" s="621"/>
      <c r="AZ208" s="621"/>
      <c r="BA208" s="620"/>
      <c r="BB208" s="620"/>
      <c r="BC208" s="620"/>
      <c r="BD208" s="620"/>
      <c r="BF208" s="631"/>
      <c r="BG208" s="631"/>
      <c r="BH208" s="631"/>
      <c r="BI208" s="631"/>
      <c r="BJ208" s="631"/>
      <c r="BK208" s="631"/>
      <c r="BL208" s="631"/>
      <c r="BM208" s="631"/>
      <c r="BN208" s="631"/>
      <c r="BO208" s="631"/>
      <c r="BP208" s="631"/>
      <c r="BQ208" s="631"/>
      <c r="BR208" s="631"/>
      <c r="BS208" s="631"/>
      <c r="BT208" s="631"/>
      <c r="BU208" s="666" t="str" cm="1">
        <f t="array" ref="BU208">IFERROR(_xlfn.LET(_xlpm.i,ROWS($BU$2:BU208),_xlpm.cur,INDEX(tblLaminateStructures[Laminate],_xlpm.i),_xlpm.prev,IF(_xlpm.i=1,"",INDEX(tblLaminateStructures[Laminate],_xlpm.i-1)),IF(_xlpm.cur&lt;&gt;_xlpm.prev,_xlpm.cur,"")),"")</f>
        <v/>
      </c>
      <c r="BV208" s="631" t="str" cm="1">
        <f t="array" ref="BV208">IFERROR(_xlfn.LET(_xlpm.i,ROWS($BV$2:BV208),_xlpm.cur,INDEX(tblLaminateStructures[Total Thickness (µ)],_xlpm.i),_xlpm.prev,IF(_xlpm.i=1,"",INDEX(tblLaminateStructures[Total Thickness (µ)],_xlpm.i-1)),IF(OR(_xlpm.cur&lt;&gt;_xlpm.prev,BU208&lt;&gt;""),_xlpm.cur,"")),"")</f>
        <v/>
      </c>
      <c r="BW208" s="631" t="str" cm="1">
        <f t="array" ref="BW208">IFERROR(INDEX(tblLaminateStructures[Material / Layer],ROWS($BW$2:BW208)),"")</f>
        <v/>
      </c>
      <c r="BX208" s="631" t="str" cm="1">
        <f t="array" ref="BX208">IFERROR(INDEX(tblLaminateStructures[Layer Thickness (µ)],ROWS($BX$2:BX208)),"")</f>
        <v/>
      </c>
      <c r="BY208" s="631" t="str" cm="1">
        <f t="array" ref="BY208">IFERROR(INDEX(tblLaminateStructures[Structure Check],ROWS($BY$2:BY208)),"")</f>
        <v/>
      </c>
      <c r="BZ208" s="666" t="str" cm="1">
        <f t="array" ref="BZ208">IFERROR(INDEX(tblLaminateStructures[Laminate],ROWS($BZ$2:BZ208)),"")</f>
        <v/>
      </c>
      <c r="CA208" s="631"/>
      <c r="CB208" s="631"/>
      <c r="CC208" s="631" t="str" cm="1">
        <f t="array" ref="CC208">IFERROR(INDEX(tblLaminateStructures[Total Thickness (µ)],ROWS($CC$2:CC208)),"")</f>
        <v/>
      </c>
      <c r="CD208" s="631"/>
      <c r="CE208" s="631"/>
      <c r="CF208" s="631"/>
      <c r="CG208" s="631"/>
      <c r="CH208" s="631"/>
    </row>
    <row r="209" spans="48:86">
      <c r="AV209" s="620"/>
      <c r="AW209" s="621"/>
      <c r="AX209" s="620"/>
      <c r="AY209" s="621"/>
      <c r="AZ209" s="621"/>
      <c r="BA209" s="620"/>
      <c r="BB209" s="620"/>
      <c r="BC209" s="620"/>
      <c r="BD209" s="620"/>
      <c r="BF209" s="631"/>
      <c r="BG209" s="631"/>
      <c r="BH209" s="631"/>
      <c r="BI209" s="631"/>
      <c r="BJ209" s="631"/>
      <c r="BK209" s="631"/>
      <c r="BL209" s="631"/>
      <c r="BM209" s="631"/>
      <c r="BN209" s="631"/>
      <c r="BO209" s="631"/>
      <c r="BP209" s="631"/>
      <c r="BQ209" s="631"/>
      <c r="BR209" s="631"/>
      <c r="BS209" s="631"/>
      <c r="BT209" s="631"/>
      <c r="BU209" s="666" t="str" cm="1">
        <f t="array" ref="BU209">IFERROR(_xlfn.LET(_xlpm.i,ROWS($BU$2:BU209),_xlpm.cur,INDEX(tblLaminateStructures[Laminate],_xlpm.i),_xlpm.prev,IF(_xlpm.i=1,"",INDEX(tblLaminateStructures[Laminate],_xlpm.i-1)),IF(_xlpm.cur&lt;&gt;_xlpm.prev,_xlpm.cur,"")),"")</f>
        <v/>
      </c>
      <c r="BV209" s="631" t="str" cm="1">
        <f t="array" ref="BV209">IFERROR(_xlfn.LET(_xlpm.i,ROWS($BV$2:BV209),_xlpm.cur,INDEX(tblLaminateStructures[Total Thickness (µ)],_xlpm.i),_xlpm.prev,IF(_xlpm.i=1,"",INDEX(tblLaminateStructures[Total Thickness (µ)],_xlpm.i-1)),IF(OR(_xlpm.cur&lt;&gt;_xlpm.prev,BU209&lt;&gt;""),_xlpm.cur,"")),"")</f>
        <v/>
      </c>
      <c r="BW209" s="631" t="str" cm="1">
        <f t="array" ref="BW209">IFERROR(INDEX(tblLaminateStructures[Material / Layer],ROWS($BW$2:BW209)),"")</f>
        <v/>
      </c>
      <c r="BX209" s="631" t="str" cm="1">
        <f t="array" ref="BX209">IFERROR(INDEX(tblLaminateStructures[Layer Thickness (µ)],ROWS($BX$2:BX209)),"")</f>
        <v/>
      </c>
      <c r="BY209" s="631" t="str" cm="1">
        <f t="array" ref="BY209">IFERROR(INDEX(tblLaminateStructures[Structure Check],ROWS($BY$2:BY209)),"")</f>
        <v/>
      </c>
      <c r="BZ209" s="666" t="str" cm="1">
        <f t="array" ref="BZ209">IFERROR(INDEX(tblLaminateStructures[Laminate],ROWS($BZ$2:BZ209)),"")</f>
        <v/>
      </c>
      <c r="CA209" s="631"/>
      <c r="CB209" s="631"/>
      <c r="CC209" s="631" t="str" cm="1">
        <f t="array" ref="CC209">IFERROR(INDEX(tblLaminateStructures[Total Thickness (µ)],ROWS($CC$2:CC209)),"")</f>
        <v/>
      </c>
      <c r="CD209" s="631"/>
      <c r="CE209" s="631"/>
      <c r="CF209" s="631"/>
      <c r="CG209" s="631"/>
      <c r="CH209" s="631"/>
    </row>
    <row r="210" spans="48:86">
      <c r="AV210" s="620"/>
      <c r="AW210" s="621"/>
      <c r="AX210" s="620"/>
      <c r="AY210" s="621"/>
      <c r="AZ210" s="621"/>
      <c r="BA210" s="620"/>
      <c r="BB210" s="620"/>
      <c r="BC210" s="620"/>
      <c r="BD210" s="620"/>
      <c r="BF210" s="631"/>
      <c r="BG210" s="631"/>
      <c r="BH210" s="631"/>
      <c r="BI210" s="631"/>
      <c r="BJ210" s="631"/>
      <c r="BK210" s="631"/>
      <c r="BL210" s="631"/>
      <c r="BM210" s="631"/>
      <c r="BN210" s="631"/>
      <c r="BO210" s="631"/>
      <c r="BP210" s="631"/>
      <c r="BQ210" s="631"/>
      <c r="BR210" s="631"/>
      <c r="BS210" s="631"/>
      <c r="BT210" s="631"/>
      <c r="BU210" s="666" t="str" cm="1">
        <f t="array" ref="BU210">IFERROR(_xlfn.LET(_xlpm.i,ROWS($BU$2:BU210),_xlpm.cur,INDEX(tblLaminateStructures[Laminate],_xlpm.i),_xlpm.prev,IF(_xlpm.i=1,"",INDEX(tblLaminateStructures[Laminate],_xlpm.i-1)),IF(_xlpm.cur&lt;&gt;_xlpm.prev,_xlpm.cur,"")),"")</f>
        <v/>
      </c>
      <c r="BV210" s="631" t="str" cm="1">
        <f t="array" ref="BV210">IFERROR(_xlfn.LET(_xlpm.i,ROWS($BV$2:BV210),_xlpm.cur,INDEX(tblLaminateStructures[Total Thickness (µ)],_xlpm.i),_xlpm.prev,IF(_xlpm.i=1,"",INDEX(tblLaminateStructures[Total Thickness (µ)],_xlpm.i-1)),IF(OR(_xlpm.cur&lt;&gt;_xlpm.prev,BU210&lt;&gt;""),_xlpm.cur,"")),"")</f>
        <v/>
      </c>
      <c r="BW210" s="631" t="str" cm="1">
        <f t="array" ref="BW210">IFERROR(INDEX(tblLaminateStructures[Material / Layer],ROWS($BW$2:BW210)),"")</f>
        <v/>
      </c>
      <c r="BX210" s="631" t="str" cm="1">
        <f t="array" ref="BX210">IFERROR(INDEX(tblLaminateStructures[Layer Thickness (µ)],ROWS($BX$2:BX210)),"")</f>
        <v/>
      </c>
      <c r="BY210" s="631" t="str" cm="1">
        <f t="array" ref="BY210">IFERROR(INDEX(tblLaminateStructures[Structure Check],ROWS($BY$2:BY210)),"")</f>
        <v/>
      </c>
      <c r="BZ210" s="666" t="str" cm="1">
        <f t="array" ref="BZ210">IFERROR(INDEX(tblLaminateStructures[Laminate],ROWS($BZ$2:BZ210)),"")</f>
        <v/>
      </c>
      <c r="CA210" s="631"/>
      <c r="CB210" s="631"/>
      <c r="CC210" s="631" t="str" cm="1">
        <f t="array" ref="CC210">IFERROR(INDEX(tblLaminateStructures[Total Thickness (µ)],ROWS($CC$2:CC210)),"")</f>
        <v/>
      </c>
      <c r="CD210" s="631"/>
      <c r="CE210" s="631"/>
      <c r="CF210" s="631"/>
      <c r="CG210" s="631"/>
      <c r="CH210" s="631"/>
    </row>
    <row r="211" spans="48:86">
      <c r="AV211" s="620"/>
      <c r="AW211" s="621"/>
      <c r="AX211" s="620"/>
      <c r="AY211" s="621"/>
      <c r="AZ211" s="621"/>
      <c r="BA211" s="620"/>
      <c r="BB211" s="620"/>
      <c r="BC211" s="620"/>
      <c r="BD211" s="620"/>
      <c r="BF211" s="631"/>
      <c r="BG211" s="631"/>
      <c r="BH211" s="631"/>
      <c r="BI211" s="631"/>
      <c r="BJ211" s="631"/>
      <c r="BK211" s="631"/>
      <c r="BL211" s="631"/>
      <c r="BM211" s="631"/>
      <c r="BN211" s="631"/>
      <c r="BO211" s="631"/>
      <c r="BP211" s="631"/>
      <c r="BQ211" s="631"/>
      <c r="BR211" s="631"/>
      <c r="BS211" s="631"/>
      <c r="BT211" s="631"/>
      <c r="BU211" s="666" t="str" cm="1">
        <f t="array" ref="BU211">IFERROR(_xlfn.LET(_xlpm.i,ROWS($BU$2:BU211),_xlpm.cur,INDEX(tblLaminateStructures[Laminate],_xlpm.i),_xlpm.prev,IF(_xlpm.i=1,"",INDEX(tblLaminateStructures[Laminate],_xlpm.i-1)),IF(_xlpm.cur&lt;&gt;_xlpm.prev,_xlpm.cur,"")),"")</f>
        <v/>
      </c>
      <c r="BV211" s="631" t="str" cm="1">
        <f t="array" ref="BV211">IFERROR(_xlfn.LET(_xlpm.i,ROWS($BV$2:BV211),_xlpm.cur,INDEX(tblLaminateStructures[Total Thickness (µ)],_xlpm.i),_xlpm.prev,IF(_xlpm.i=1,"",INDEX(tblLaminateStructures[Total Thickness (µ)],_xlpm.i-1)),IF(OR(_xlpm.cur&lt;&gt;_xlpm.prev,BU211&lt;&gt;""),_xlpm.cur,"")),"")</f>
        <v/>
      </c>
      <c r="BW211" s="631" t="str" cm="1">
        <f t="array" ref="BW211">IFERROR(INDEX(tblLaminateStructures[Material / Layer],ROWS($BW$2:BW211)),"")</f>
        <v/>
      </c>
      <c r="BX211" s="631" t="str" cm="1">
        <f t="array" ref="BX211">IFERROR(INDEX(tblLaminateStructures[Layer Thickness (µ)],ROWS($BX$2:BX211)),"")</f>
        <v/>
      </c>
      <c r="BY211" s="631" t="str" cm="1">
        <f t="array" ref="BY211">IFERROR(INDEX(tblLaminateStructures[Structure Check],ROWS($BY$2:BY211)),"")</f>
        <v/>
      </c>
      <c r="BZ211" s="666" t="str" cm="1">
        <f t="array" ref="BZ211">IFERROR(INDEX(tblLaminateStructures[Laminate],ROWS($BZ$2:BZ211)),"")</f>
        <v/>
      </c>
      <c r="CA211" s="631"/>
      <c r="CB211" s="631"/>
      <c r="CC211" s="631" t="str" cm="1">
        <f t="array" ref="CC211">IFERROR(INDEX(tblLaminateStructures[Total Thickness (µ)],ROWS($CC$2:CC211)),"")</f>
        <v/>
      </c>
      <c r="CD211" s="631"/>
      <c r="CE211" s="631"/>
      <c r="CF211" s="631"/>
      <c r="CG211" s="631"/>
      <c r="CH211" s="631"/>
    </row>
    <row r="212" spans="48:86">
      <c r="BF212" s="631"/>
      <c r="BG212" s="631"/>
      <c r="BH212" s="631"/>
      <c r="BI212" s="631"/>
      <c r="BJ212" s="631"/>
      <c r="BK212" s="631"/>
      <c r="BL212" s="631"/>
      <c r="BM212" s="631"/>
      <c r="BN212" s="631"/>
      <c r="BO212" s="631"/>
      <c r="BP212" s="631"/>
      <c r="BQ212" s="631"/>
      <c r="BR212" s="631"/>
      <c r="BS212" s="631"/>
      <c r="BT212" s="631"/>
      <c r="BU212" s="666" t="str" cm="1">
        <f t="array" ref="BU212">IFERROR(_xlfn.LET(_xlpm.i,ROWS($BU$2:BU212),_xlpm.cur,INDEX(tblLaminateStructures[Laminate],_xlpm.i),_xlpm.prev,IF(_xlpm.i=1,"",INDEX(tblLaminateStructures[Laminate],_xlpm.i-1)),IF(_xlpm.cur&lt;&gt;_xlpm.prev,_xlpm.cur,"")),"")</f>
        <v/>
      </c>
      <c r="BV212" s="631" t="str" cm="1">
        <f t="array" ref="BV212">IFERROR(_xlfn.LET(_xlpm.i,ROWS($BV$2:BV212),_xlpm.cur,INDEX(tblLaminateStructures[Total Thickness (µ)],_xlpm.i),_xlpm.prev,IF(_xlpm.i=1,"",INDEX(tblLaminateStructures[Total Thickness (µ)],_xlpm.i-1)),IF(OR(_xlpm.cur&lt;&gt;_xlpm.prev,BU212&lt;&gt;""),_xlpm.cur,"")),"")</f>
        <v/>
      </c>
      <c r="BW212" s="631" t="str" cm="1">
        <f t="array" ref="BW212">IFERROR(INDEX(tblLaminateStructures[Material / Layer],ROWS($BW$2:BW212)),"")</f>
        <v/>
      </c>
      <c r="BX212" s="631" t="str" cm="1">
        <f t="array" ref="BX212">IFERROR(INDEX(tblLaminateStructures[Layer Thickness (µ)],ROWS($BX$2:BX212)),"")</f>
        <v/>
      </c>
      <c r="BY212" s="631" t="str" cm="1">
        <f t="array" ref="BY212">IFERROR(INDEX(tblLaminateStructures[Structure Check],ROWS($BY$2:BY212)),"")</f>
        <v/>
      </c>
      <c r="BZ212" s="666" t="str" cm="1">
        <f t="array" ref="BZ212">IFERROR(INDEX(tblLaminateStructures[Laminate],ROWS($BZ$2:BZ212)),"")</f>
        <v/>
      </c>
      <c r="CA212" s="631"/>
      <c r="CB212" s="631"/>
      <c r="CC212" s="631" t="str" cm="1">
        <f t="array" ref="CC212">IFERROR(INDEX(tblLaminateStructures[Total Thickness (µ)],ROWS($CC$2:CC212)),"")</f>
        <v/>
      </c>
      <c r="CD212" s="631"/>
      <c r="CE212" s="631"/>
      <c r="CF212" s="631"/>
      <c r="CG212" s="631"/>
      <c r="CH212" s="631"/>
    </row>
    <row r="213" spans="48:86">
      <c r="BF213" s="631"/>
      <c r="BG213" s="631"/>
      <c r="BH213" s="631"/>
      <c r="BI213" s="631"/>
      <c r="BJ213" s="631"/>
      <c r="BK213" s="631"/>
      <c r="BL213" s="631"/>
      <c r="BM213" s="631"/>
      <c r="BN213" s="631"/>
      <c r="BO213" s="631"/>
      <c r="BP213" s="631"/>
      <c r="BQ213" s="631"/>
      <c r="BR213" s="631"/>
      <c r="BS213" s="631"/>
      <c r="BT213" s="631"/>
      <c r="BU213" s="666" t="str" cm="1">
        <f t="array" ref="BU213">IFERROR(_xlfn.LET(_xlpm.i,ROWS($BU$2:BU213),_xlpm.cur,INDEX(tblLaminateStructures[Laminate],_xlpm.i),_xlpm.prev,IF(_xlpm.i=1,"",INDEX(tblLaminateStructures[Laminate],_xlpm.i-1)),IF(_xlpm.cur&lt;&gt;_xlpm.prev,_xlpm.cur,"")),"")</f>
        <v/>
      </c>
      <c r="BV213" s="631" t="str" cm="1">
        <f t="array" ref="BV213">IFERROR(_xlfn.LET(_xlpm.i,ROWS($BV$2:BV213),_xlpm.cur,INDEX(tblLaminateStructures[Total Thickness (µ)],_xlpm.i),_xlpm.prev,IF(_xlpm.i=1,"",INDEX(tblLaminateStructures[Total Thickness (µ)],_xlpm.i-1)),IF(OR(_xlpm.cur&lt;&gt;_xlpm.prev,BU213&lt;&gt;""),_xlpm.cur,"")),"")</f>
        <v/>
      </c>
      <c r="BW213" s="631" t="str" cm="1">
        <f t="array" ref="BW213">IFERROR(INDEX(tblLaminateStructures[Material / Layer],ROWS($BW$2:BW213)),"")</f>
        <v/>
      </c>
      <c r="BX213" s="631" t="str" cm="1">
        <f t="array" ref="BX213">IFERROR(INDEX(tblLaminateStructures[Layer Thickness (µ)],ROWS($BX$2:BX213)),"")</f>
        <v/>
      </c>
      <c r="BY213" s="631" t="str" cm="1">
        <f t="array" ref="BY213">IFERROR(INDEX(tblLaminateStructures[Structure Check],ROWS($BY$2:BY213)),"")</f>
        <v/>
      </c>
      <c r="BZ213" s="666" t="str" cm="1">
        <f t="array" ref="BZ213">IFERROR(INDEX(tblLaminateStructures[Laminate],ROWS($BZ$2:BZ213)),"")</f>
        <v/>
      </c>
      <c r="CA213" s="631"/>
      <c r="CB213" s="631"/>
      <c r="CC213" s="631" t="str" cm="1">
        <f t="array" ref="CC213">IFERROR(INDEX(tblLaminateStructures[Total Thickness (µ)],ROWS($CC$2:CC213)),"")</f>
        <v/>
      </c>
      <c r="CD213" s="631"/>
      <c r="CE213" s="631"/>
      <c r="CF213" s="631"/>
      <c r="CG213" s="631"/>
      <c r="CH213" s="631"/>
    </row>
    <row r="214" spans="48:86">
      <c r="BF214" s="631"/>
      <c r="BG214" s="631"/>
      <c r="BH214" s="631"/>
      <c r="BI214" s="631"/>
      <c r="BJ214" s="631"/>
      <c r="BK214" s="631"/>
      <c r="BL214" s="631"/>
      <c r="BM214" s="631"/>
      <c r="BN214" s="631"/>
      <c r="BO214" s="631"/>
      <c r="BP214" s="631"/>
      <c r="BQ214" s="631"/>
      <c r="BR214" s="631"/>
      <c r="BS214" s="631"/>
      <c r="BT214" s="631"/>
      <c r="BU214" s="666" t="str" cm="1">
        <f t="array" ref="BU214">IFERROR(_xlfn.LET(_xlpm.i,ROWS($BU$2:BU214),_xlpm.cur,INDEX(tblLaminateStructures[Laminate],_xlpm.i),_xlpm.prev,IF(_xlpm.i=1,"",INDEX(tblLaminateStructures[Laminate],_xlpm.i-1)),IF(_xlpm.cur&lt;&gt;_xlpm.prev,_xlpm.cur,"")),"")</f>
        <v/>
      </c>
      <c r="BV214" s="631" t="str" cm="1">
        <f t="array" ref="BV214">IFERROR(_xlfn.LET(_xlpm.i,ROWS($BV$2:BV214),_xlpm.cur,INDEX(tblLaminateStructures[Total Thickness (µ)],_xlpm.i),_xlpm.prev,IF(_xlpm.i=1,"",INDEX(tblLaminateStructures[Total Thickness (µ)],_xlpm.i-1)),IF(OR(_xlpm.cur&lt;&gt;_xlpm.prev,BU214&lt;&gt;""),_xlpm.cur,"")),"")</f>
        <v/>
      </c>
      <c r="BW214" s="631" t="str" cm="1">
        <f t="array" ref="BW214">IFERROR(INDEX(tblLaminateStructures[Material / Layer],ROWS($BW$2:BW214)),"")</f>
        <v/>
      </c>
      <c r="BX214" s="631" t="str" cm="1">
        <f t="array" ref="BX214">IFERROR(INDEX(tblLaminateStructures[Layer Thickness (µ)],ROWS($BX$2:BX214)),"")</f>
        <v/>
      </c>
      <c r="BY214" s="631" t="str" cm="1">
        <f t="array" ref="BY214">IFERROR(INDEX(tblLaminateStructures[Structure Check],ROWS($BY$2:BY214)),"")</f>
        <v/>
      </c>
      <c r="BZ214" s="666" t="str" cm="1">
        <f t="array" ref="BZ214">IFERROR(INDEX(tblLaminateStructures[Laminate],ROWS($BZ$2:BZ214)),"")</f>
        <v/>
      </c>
      <c r="CA214" s="631"/>
      <c r="CB214" s="631"/>
      <c r="CC214" s="631" t="str" cm="1">
        <f t="array" ref="CC214">IFERROR(INDEX(tblLaminateStructures[Total Thickness (µ)],ROWS($CC$2:CC214)),"")</f>
        <v/>
      </c>
      <c r="CD214" s="631"/>
      <c r="CE214" s="631"/>
      <c r="CF214" s="631"/>
      <c r="CG214" s="631"/>
      <c r="CH214" s="631"/>
    </row>
    <row r="215" spans="48:86">
      <c r="BF215" s="631"/>
      <c r="BG215" s="631"/>
      <c r="BH215" s="631"/>
      <c r="BI215" s="631"/>
      <c r="BJ215" s="631"/>
      <c r="BK215" s="631"/>
      <c r="BL215" s="631"/>
      <c r="BM215" s="631"/>
      <c r="BN215" s="631"/>
      <c r="BO215" s="631"/>
      <c r="BP215" s="631"/>
      <c r="BQ215" s="631"/>
      <c r="BR215" s="631"/>
      <c r="BS215" s="631"/>
      <c r="BT215" s="631"/>
      <c r="BU215" s="666" t="str" cm="1">
        <f t="array" ref="BU215">IFERROR(_xlfn.LET(_xlpm.i,ROWS($BU$2:BU215),_xlpm.cur,INDEX(tblLaminateStructures[Laminate],_xlpm.i),_xlpm.prev,IF(_xlpm.i=1,"",INDEX(tblLaminateStructures[Laminate],_xlpm.i-1)),IF(_xlpm.cur&lt;&gt;_xlpm.prev,_xlpm.cur,"")),"")</f>
        <v/>
      </c>
      <c r="BV215" s="631" t="str" cm="1">
        <f t="array" ref="BV215">IFERROR(_xlfn.LET(_xlpm.i,ROWS($BV$2:BV215),_xlpm.cur,INDEX(tblLaminateStructures[Total Thickness (µ)],_xlpm.i),_xlpm.prev,IF(_xlpm.i=1,"",INDEX(tblLaminateStructures[Total Thickness (µ)],_xlpm.i-1)),IF(OR(_xlpm.cur&lt;&gt;_xlpm.prev,BU215&lt;&gt;""),_xlpm.cur,"")),"")</f>
        <v/>
      </c>
      <c r="BW215" s="631" t="str" cm="1">
        <f t="array" ref="BW215">IFERROR(INDEX(tblLaminateStructures[Material / Layer],ROWS($BW$2:BW215)),"")</f>
        <v/>
      </c>
      <c r="BX215" s="631" t="str" cm="1">
        <f t="array" ref="BX215">IFERROR(INDEX(tblLaminateStructures[Layer Thickness (µ)],ROWS($BX$2:BX215)),"")</f>
        <v/>
      </c>
      <c r="BY215" s="631" t="str" cm="1">
        <f t="array" ref="BY215">IFERROR(INDEX(tblLaminateStructures[Structure Check],ROWS($BY$2:BY215)),"")</f>
        <v/>
      </c>
      <c r="BZ215" s="666" t="str" cm="1">
        <f t="array" ref="BZ215">IFERROR(INDEX(tblLaminateStructures[Laminate],ROWS($BZ$2:BZ215)),"")</f>
        <v/>
      </c>
      <c r="CA215" s="631"/>
      <c r="CB215" s="631"/>
      <c r="CC215" s="631" t="str" cm="1">
        <f t="array" ref="CC215">IFERROR(INDEX(tblLaminateStructures[Total Thickness (µ)],ROWS($CC$2:CC215)),"")</f>
        <v/>
      </c>
      <c r="CD215" s="631"/>
      <c r="CE215" s="631"/>
      <c r="CF215" s="631"/>
      <c r="CG215" s="631"/>
      <c r="CH215" s="631"/>
    </row>
    <row r="216" spans="48:86">
      <c r="BF216" s="631"/>
      <c r="BG216" s="631"/>
      <c r="BH216" s="631"/>
      <c r="BI216" s="631"/>
      <c r="BJ216" s="631"/>
      <c r="BK216" s="631"/>
      <c r="BL216" s="631"/>
      <c r="BM216" s="631"/>
      <c r="BN216" s="631"/>
      <c r="BO216" s="631"/>
      <c r="BP216" s="631"/>
      <c r="BQ216" s="631"/>
      <c r="BR216" s="631"/>
      <c r="BS216" s="631"/>
      <c r="BT216" s="631"/>
      <c r="BU216" s="666" t="str" cm="1">
        <f t="array" ref="BU216">IFERROR(_xlfn.LET(_xlpm.i,ROWS($BU$2:BU216),_xlpm.cur,INDEX(tblLaminateStructures[Laminate],_xlpm.i),_xlpm.prev,IF(_xlpm.i=1,"",INDEX(tblLaminateStructures[Laminate],_xlpm.i-1)),IF(_xlpm.cur&lt;&gt;_xlpm.prev,_xlpm.cur,"")),"")</f>
        <v/>
      </c>
      <c r="BV216" s="631" t="str" cm="1">
        <f t="array" ref="BV216">IFERROR(_xlfn.LET(_xlpm.i,ROWS($BV$2:BV216),_xlpm.cur,INDEX(tblLaminateStructures[Total Thickness (µ)],_xlpm.i),_xlpm.prev,IF(_xlpm.i=1,"",INDEX(tblLaminateStructures[Total Thickness (µ)],_xlpm.i-1)),IF(OR(_xlpm.cur&lt;&gt;_xlpm.prev,BU216&lt;&gt;""),_xlpm.cur,"")),"")</f>
        <v/>
      </c>
      <c r="BW216" s="631" t="str" cm="1">
        <f t="array" ref="BW216">IFERROR(INDEX(tblLaminateStructures[Material / Layer],ROWS($BW$2:BW216)),"")</f>
        <v/>
      </c>
      <c r="BX216" s="631" t="str" cm="1">
        <f t="array" ref="BX216">IFERROR(INDEX(tblLaminateStructures[Layer Thickness (µ)],ROWS($BX$2:BX216)),"")</f>
        <v/>
      </c>
      <c r="BY216" s="631" t="str" cm="1">
        <f t="array" ref="BY216">IFERROR(INDEX(tblLaminateStructures[Structure Check],ROWS($BY$2:BY216)),"")</f>
        <v/>
      </c>
      <c r="BZ216" s="666" t="str" cm="1">
        <f t="array" ref="BZ216">IFERROR(INDEX(tblLaminateStructures[Laminate],ROWS($BZ$2:BZ216)),"")</f>
        <v/>
      </c>
      <c r="CA216" s="631"/>
      <c r="CB216" s="631"/>
      <c r="CC216" s="631" t="str" cm="1">
        <f t="array" ref="CC216">IFERROR(INDEX(tblLaminateStructures[Total Thickness (µ)],ROWS($CC$2:CC216)),"")</f>
        <v/>
      </c>
      <c r="CD216" s="631"/>
      <c r="CE216" s="631"/>
      <c r="CF216" s="631"/>
      <c r="CG216" s="631"/>
      <c r="CH216" s="631"/>
    </row>
    <row r="217" spans="48:86">
      <c r="BF217" s="631"/>
      <c r="BG217" s="631"/>
      <c r="BH217" s="631"/>
      <c r="BI217" s="631"/>
      <c r="BJ217" s="631"/>
      <c r="BK217" s="631"/>
      <c r="BL217" s="631"/>
      <c r="BM217" s="631"/>
      <c r="BN217" s="631"/>
      <c r="BO217" s="631"/>
      <c r="BP217" s="631"/>
      <c r="BQ217" s="631"/>
      <c r="BR217" s="631"/>
      <c r="BS217" s="631"/>
      <c r="BT217" s="631"/>
      <c r="BU217" s="666" t="str" cm="1">
        <f t="array" ref="BU217">IFERROR(_xlfn.LET(_xlpm.i,ROWS($BU$2:BU217),_xlpm.cur,INDEX(tblLaminateStructures[Laminate],_xlpm.i),_xlpm.prev,IF(_xlpm.i=1,"",INDEX(tblLaminateStructures[Laminate],_xlpm.i-1)),IF(_xlpm.cur&lt;&gt;_xlpm.prev,_xlpm.cur,"")),"")</f>
        <v/>
      </c>
      <c r="BV217" s="631" t="str" cm="1">
        <f t="array" ref="BV217">IFERROR(_xlfn.LET(_xlpm.i,ROWS($BV$2:BV217),_xlpm.cur,INDEX(tblLaminateStructures[Total Thickness (µ)],_xlpm.i),_xlpm.prev,IF(_xlpm.i=1,"",INDEX(tblLaminateStructures[Total Thickness (µ)],_xlpm.i-1)),IF(OR(_xlpm.cur&lt;&gt;_xlpm.prev,BU217&lt;&gt;""),_xlpm.cur,"")),"")</f>
        <v/>
      </c>
      <c r="BW217" s="631" t="str" cm="1">
        <f t="array" ref="BW217">IFERROR(INDEX(tblLaminateStructures[Material / Layer],ROWS($BW$2:BW217)),"")</f>
        <v/>
      </c>
      <c r="BX217" s="631" t="str" cm="1">
        <f t="array" ref="BX217">IFERROR(INDEX(tblLaminateStructures[Layer Thickness (µ)],ROWS($BX$2:BX217)),"")</f>
        <v/>
      </c>
      <c r="BY217" s="631" t="str" cm="1">
        <f t="array" ref="BY217">IFERROR(INDEX(tblLaminateStructures[Structure Check],ROWS($BY$2:BY217)),"")</f>
        <v/>
      </c>
      <c r="BZ217" s="666" t="str" cm="1">
        <f t="array" ref="BZ217">IFERROR(INDEX(tblLaminateStructures[Laminate],ROWS($BZ$2:BZ217)),"")</f>
        <v/>
      </c>
      <c r="CA217" s="631"/>
      <c r="CB217" s="631"/>
      <c r="CC217" s="631" t="str" cm="1">
        <f t="array" ref="CC217">IFERROR(INDEX(tblLaminateStructures[Total Thickness (µ)],ROWS($CC$2:CC217)),"")</f>
        <v/>
      </c>
      <c r="CD217" s="631"/>
      <c r="CE217" s="631"/>
      <c r="CF217" s="631"/>
      <c r="CG217" s="631"/>
      <c r="CH217" s="631"/>
    </row>
    <row r="218" spans="48:86">
      <c r="BF218" s="631"/>
      <c r="BG218" s="631"/>
      <c r="BH218" s="631"/>
      <c r="BI218" s="631"/>
      <c r="BJ218" s="631"/>
      <c r="BK218" s="631"/>
      <c r="BL218" s="631"/>
      <c r="BM218" s="631"/>
      <c r="BN218" s="631"/>
      <c r="BO218" s="631"/>
      <c r="BP218" s="631"/>
      <c r="BQ218" s="631"/>
      <c r="BR218" s="631"/>
      <c r="BS218" s="631"/>
      <c r="BT218" s="631"/>
      <c r="BU218" s="666" t="str" cm="1">
        <f t="array" ref="BU218">IFERROR(_xlfn.LET(_xlpm.i,ROWS($BU$2:BU218),_xlpm.cur,INDEX(tblLaminateStructures[Laminate],_xlpm.i),_xlpm.prev,IF(_xlpm.i=1,"",INDEX(tblLaminateStructures[Laminate],_xlpm.i-1)),IF(_xlpm.cur&lt;&gt;_xlpm.prev,_xlpm.cur,"")),"")</f>
        <v/>
      </c>
      <c r="BV218" s="631" t="str" cm="1">
        <f t="array" ref="BV218">IFERROR(_xlfn.LET(_xlpm.i,ROWS($BV$2:BV218),_xlpm.cur,INDEX(tblLaminateStructures[Total Thickness (µ)],_xlpm.i),_xlpm.prev,IF(_xlpm.i=1,"",INDEX(tblLaminateStructures[Total Thickness (µ)],_xlpm.i-1)),IF(OR(_xlpm.cur&lt;&gt;_xlpm.prev,BU218&lt;&gt;""),_xlpm.cur,"")),"")</f>
        <v/>
      </c>
      <c r="BW218" s="631" t="str" cm="1">
        <f t="array" ref="BW218">IFERROR(INDEX(tblLaminateStructures[Material / Layer],ROWS($BW$2:BW218)),"")</f>
        <v/>
      </c>
      <c r="BX218" s="631" t="str" cm="1">
        <f t="array" ref="BX218">IFERROR(INDEX(tblLaminateStructures[Layer Thickness (µ)],ROWS($BX$2:BX218)),"")</f>
        <v/>
      </c>
      <c r="BY218" s="631" t="str" cm="1">
        <f t="array" ref="BY218">IFERROR(INDEX(tblLaminateStructures[Structure Check],ROWS($BY$2:BY218)),"")</f>
        <v/>
      </c>
      <c r="BZ218" s="666" t="str" cm="1">
        <f t="array" ref="BZ218">IFERROR(INDEX(tblLaminateStructures[Laminate],ROWS($BZ$2:BZ218)),"")</f>
        <v/>
      </c>
      <c r="CA218" s="631"/>
      <c r="CB218" s="631"/>
      <c r="CC218" s="631" t="str" cm="1">
        <f t="array" ref="CC218">IFERROR(INDEX(tblLaminateStructures[Total Thickness (µ)],ROWS($CC$2:CC218)),"")</f>
        <v/>
      </c>
      <c r="CD218" s="631"/>
      <c r="CE218" s="631"/>
      <c r="CF218" s="631"/>
      <c r="CG218" s="631"/>
      <c r="CH218" s="631"/>
    </row>
    <row r="219" spans="48:86">
      <c r="BF219" s="631"/>
      <c r="BG219" s="631"/>
      <c r="BH219" s="631"/>
      <c r="BI219" s="631"/>
      <c r="BJ219" s="631"/>
      <c r="BK219" s="631"/>
      <c r="BL219" s="631"/>
      <c r="BM219" s="631"/>
      <c r="BN219" s="631"/>
      <c r="BO219" s="631"/>
      <c r="BP219" s="631"/>
      <c r="BQ219" s="631"/>
      <c r="BR219" s="631"/>
      <c r="BS219" s="631"/>
      <c r="BT219" s="631"/>
      <c r="BU219" s="666" t="str" cm="1">
        <f t="array" ref="BU219">IFERROR(_xlfn.LET(_xlpm.i,ROWS($BU$2:BU219),_xlpm.cur,INDEX(tblLaminateStructures[Laminate],_xlpm.i),_xlpm.prev,IF(_xlpm.i=1,"",INDEX(tblLaminateStructures[Laminate],_xlpm.i-1)),IF(_xlpm.cur&lt;&gt;_xlpm.prev,_xlpm.cur,"")),"")</f>
        <v/>
      </c>
      <c r="BV219" s="631" t="str" cm="1">
        <f t="array" ref="BV219">IFERROR(_xlfn.LET(_xlpm.i,ROWS($BV$2:BV219),_xlpm.cur,INDEX(tblLaminateStructures[Total Thickness (µ)],_xlpm.i),_xlpm.prev,IF(_xlpm.i=1,"",INDEX(tblLaminateStructures[Total Thickness (µ)],_xlpm.i-1)),IF(OR(_xlpm.cur&lt;&gt;_xlpm.prev,BU219&lt;&gt;""),_xlpm.cur,"")),"")</f>
        <v/>
      </c>
      <c r="BW219" s="631" t="str" cm="1">
        <f t="array" ref="BW219">IFERROR(INDEX(tblLaminateStructures[Material / Layer],ROWS($BW$2:BW219)),"")</f>
        <v/>
      </c>
      <c r="BX219" s="631" t="str" cm="1">
        <f t="array" ref="BX219">IFERROR(INDEX(tblLaminateStructures[Layer Thickness (µ)],ROWS($BX$2:BX219)),"")</f>
        <v/>
      </c>
      <c r="BY219" s="631" t="str" cm="1">
        <f t="array" ref="BY219">IFERROR(INDEX(tblLaminateStructures[Structure Check],ROWS($BY$2:BY219)),"")</f>
        <v/>
      </c>
      <c r="BZ219" s="666" t="str" cm="1">
        <f t="array" ref="BZ219">IFERROR(INDEX(tblLaminateStructures[Laminate],ROWS($BZ$2:BZ219)),"")</f>
        <v/>
      </c>
      <c r="CA219" s="631"/>
      <c r="CB219" s="631"/>
      <c r="CC219" s="631" t="str" cm="1">
        <f t="array" ref="CC219">IFERROR(INDEX(tblLaminateStructures[Total Thickness (µ)],ROWS($CC$2:CC219)),"")</f>
        <v/>
      </c>
      <c r="CD219" s="631"/>
      <c r="CE219" s="631"/>
      <c r="CF219" s="631"/>
      <c r="CG219" s="631"/>
      <c r="CH219" s="631"/>
    </row>
    <row r="220" spans="48:86">
      <c r="BF220" s="631"/>
      <c r="BG220" s="631"/>
      <c r="BH220" s="631"/>
      <c r="BI220" s="631"/>
      <c r="BJ220" s="631"/>
      <c r="BK220" s="631"/>
      <c r="BL220" s="631"/>
      <c r="BM220" s="631"/>
      <c r="BN220" s="631"/>
      <c r="BO220" s="631"/>
      <c r="BP220" s="631"/>
      <c r="BQ220" s="631"/>
      <c r="BR220" s="631"/>
      <c r="BS220" s="631"/>
      <c r="BT220" s="631"/>
      <c r="BU220" s="666" t="str" cm="1">
        <f t="array" ref="BU220">IFERROR(_xlfn.LET(_xlpm.i,ROWS($BU$2:BU220),_xlpm.cur,INDEX(tblLaminateStructures[Laminate],_xlpm.i),_xlpm.prev,IF(_xlpm.i=1,"",INDEX(tblLaminateStructures[Laminate],_xlpm.i-1)),IF(_xlpm.cur&lt;&gt;_xlpm.prev,_xlpm.cur,"")),"")</f>
        <v/>
      </c>
      <c r="BV220" s="631" t="str" cm="1">
        <f t="array" ref="BV220">IFERROR(_xlfn.LET(_xlpm.i,ROWS($BV$2:BV220),_xlpm.cur,INDEX(tblLaminateStructures[Total Thickness (µ)],_xlpm.i),_xlpm.prev,IF(_xlpm.i=1,"",INDEX(tblLaminateStructures[Total Thickness (µ)],_xlpm.i-1)),IF(OR(_xlpm.cur&lt;&gt;_xlpm.prev,BU220&lt;&gt;""),_xlpm.cur,"")),"")</f>
        <v/>
      </c>
      <c r="BW220" s="631" t="str" cm="1">
        <f t="array" ref="BW220">IFERROR(INDEX(tblLaminateStructures[Material / Layer],ROWS($BW$2:BW220)),"")</f>
        <v/>
      </c>
      <c r="BX220" s="631" t="str" cm="1">
        <f t="array" ref="BX220">IFERROR(INDEX(tblLaminateStructures[Layer Thickness (µ)],ROWS($BX$2:BX220)),"")</f>
        <v/>
      </c>
      <c r="BY220" s="631" t="str" cm="1">
        <f t="array" ref="BY220">IFERROR(INDEX(tblLaminateStructures[Structure Check],ROWS($BY$2:BY220)),"")</f>
        <v/>
      </c>
      <c r="BZ220" s="666" t="str" cm="1">
        <f t="array" ref="BZ220">IFERROR(INDEX(tblLaminateStructures[Laminate],ROWS($BZ$2:BZ220)),"")</f>
        <v/>
      </c>
      <c r="CA220" s="631"/>
      <c r="CB220" s="631"/>
      <c r="CC220" s="631" t="str" cm="1">
        <f t="array" ref="CC220">IFERROR(INDEX(tblLaminateStructures[Total Thickness (µ)],ROWS($CC$2:CC220)),"")</f>
        <v/>
      </c>
      <c r="CD220" s="631"/>
      <c r="CE220" s="631"/>
      <c r="CF220" s="631"/>
      <c r="CG220" s="631"/>
      <c r="CH220" s="631"/>
    </row>
    <row r="221" spans="48:86">
      <c r="BF221" s="631"/>
      <c r="BG221" s="631"/>
      <c r="BH221" s="631"/>
      <c r="BI221" s="631"/>
      <c r="BJ221" s="631"/>
      <c r="BK221" s="631"/>
      <c r="BL221" s="631"/>
      <c r="BM221" s="631"/>
      <c r="BN221" s="631"/>
      <c r="BO221" s="631"/>
      <c r="BP221" s="631"/>
      <c r="BQ221" s="631"/>
      <c r="BR221" s="631"/>
      <c r="BS221" s="631"/>
      <c r="BT221" s="631"/>
      <c r="BU221" s="666" t="str" cm="1">
        <f t="array" ref="BU221">IFERROR(_xlfn.LET(_xlpm.i,ROWS($BU$2:BU221),_xlpm.cur,INDEX(tblLaminateStructures[Laminate],_xlpm.i),_xlpm.prev,IF(_xlpm.i=1,"",INDEX(tblLaminateStructures[Laminate],_xlpm.i-1)),IF(_xlpm.cur&lt;&gt;_xlpm.prev,_xlpm.cur,"")),"")</f>
        <v/>
      </c>
      <c r="BV221" s="631" t="str" cm="1">
        <f t="array" ref="BV221">IFERROR(_xlfn.LET(_xlpm.i,ROWS($BV$2:BV221),_xlpm.cur,INDEX(tblLaminateStructures[Total Thickness (µ)],_xlpm.i),_xlpm.prev,IF(_xlpm.i=1,"",INDEX(tblLaminateStructures[Total Thickness (µ)],_xlpm.i-1)),IF(OR(_xlpm.cur&lt;&gt;_xlpm.prev,BU221&lt;&gt;""),_xlpm.cur,"")),"")</f>
        <v/>
      </c>
      <c r="BW221" s="631" t="str" cm="1">
        <f t="array" ref="BW221">IFERROR(INDEX(tblLaminateStructures[Material / Layer],ROWS($BW$2:BW221)),"")</f>
        <v/>
      </c>
      <c r="BX221" s="631" t="str" cm="1">
        <f t="array" ref="BX221">IFERROR(INDEX(tblLaminateStructures[Layer Thickness (µ)],ROWS($BX$2:BX221)),"")</f>
        <v/>
      </c>
      <c r="BY221" s="631" t="str" cm="1">
        <f t="array" ref="BY221">IFERROR(INDEX(tblLaminateStructures[Structure Check],ROWS($BY$2:BY221)),"")</f>
        <v/>
      </c>
      <c r="BZ221" s="666" t="str" cm="1">
        <f t="array" ref="BZ221">IFERROR(INDEX(tblLaminateStructures[Laminate],ROWS($BZ$2:BZ221)),"")</f>
        <v/>
      </c>
      <c r="CA221" s="631"/>
      <c r="CB221" s="631"/>
      <c r="CC221" s="631" t="str" cm="1">
        <f t="array" ref="CC221">IFERROR(INDEX(tblLaminateStructures[Total Thickness (µ)],ROWS($CC$2:CC221)),"")</f>
        <v/>
      </c>
      <c r="CD221" s="631"/>
      <c r="CE221" s="631"/>
      <c r="CF221" s="631"/>
      <c r="CG221" s="631"/>
      <c r="CH221" s="631"/>
    </row>
    <row r="222" spans="48:86">
      <c r="BF222" s="631"/>
      <c r="BG222" s="631"/>
      <c r="BH222" s="631"/>
      <c r="BI222" s="631"/>
      <c r="BJ222" s="631"/>
      <c r="BK222" s="631"/>
      <c r="BL222" s="631"/>
      <c r="BM222" s="631"/>
      <c r="BN222" s="631"/>
      <c r="BO222" s="631"/>
      <c r="BP222" s="631"/>
      <c r="BQ222" s="631"/>
      <c r="BR222" s="631"/>
      <c r="BS222" s="631"/>
      <c r="BT222" s="631"/>
      <c r="BU222" s="666" t="str" cm="1">
        <f t="array" ref="BU222">IFERROR(_xlfn.LET(_xlpm.i,ROWS($BU$2:BU222),_xlpm.cur,INDEX(tblLaminateStructures[Laminate],_xlpm.i),_xlpm.prev,IF(_xlpm.i=1,"",INDEX(tblLaminateStructures[Laminate],_xlpm.i-1)),IF(_xlpm.cur&lt;&gt;_xlpm.prev,_xlpm.cur,"")),"")</f>
        <v/>
      </c>
      <c r="BV222" s="631" t="str" cm="1">
        <f t="array" ref="BV222">IFERROR(_xlfn.LET(_xlpm.i,ROWS($BV$2:BV222),_xlpm.cur,INDEX(tblLaminateStructures[Total Thickness (µ)],_xlpm.i),_xlpm.prev,IF(_xlpm.i=1,"",INDEX(tblLaminateStructures[Total Thickness (µ)],_xlpm.i-1)),IF(OR(_xlpm.cur&lt;&gt;_xlpm.prev,BU222&lt;&gt;""),_xlpm.cur,"")),"")</f>
        <v/>
      </c>
      <c r="BW222" s="631" t="str" cm="1">
        <f t="array" ref="BW222">IFERROR(INDEX(tblLaminateStructures[Material / Layer],ROWS($BW$2:BW222)),"")</f>
        <v/>
      </c>
      <c r="BX222" s="631" t="str" cm="1">
        <f t="array" ref="BX222">IFERROR(INDEX(tblLaminateStructures[Layer Thickness (µ)],ROWS($BX$2:BX222)),"")</f>
        <v/>
      </c>
      <c r="BY222" s="631" t="str" cm="1">
        <f t="array" ref="BY222">IFERROR(INDEX(tblLaminateStructures[Structure Check],ROWS($BY$2:BY222)),"")</f>
        <v/>
      </c>
      <c r="BZ222" s="666" t="str" cm="1">
        <f t="array" ref="BZ222">IFERROR(INDEX(tblLaminateStructures[Laminate],ROWS($BZ$2:BZ222)),"")</f>
        <v/>
      </c>
      <c r="CA222" s="631"/>
      <c r="CB222" s="631"/>
      <c r="CC222" s="631" t="str" cm="1">
        <f t="array" ref="CC222">IFERROR(INDEX(tblLaminateStructures[Total Thickness (µ)],ROWS($CC$2:CC222)),"")</f>
        <v/>
      </c>
      <c r="CD222" s="631"/>
      <c r="CE222" s="631"/>
      <c r="CF222" s="631"/>
      <c r="CG222" s="631"/>
      <c r="CH222" s="631"/>
    </row>
    <row r="223" spans="48:86">
      <c r="BF223" s="631"/>
      <c r="BG223" s="631"/>
      <c r="BH223" s="631"/>
      <c r="BI223" s="631"/>
      <c r="BJ223" s="631"/>
      <c r="BK223" s="631"/>
      <c r="BL223" s="631"/>
      <c r="BM223" s="631"/>
      <c r="BN223" s="631"/>
      <c r="BO223" s="631"/>
      <c r="BP223" s="631"/>
      <c r="BQ223" s="631"/>
      <c r="BR223" s="631"/>
      <c r="BS223" s="631"/>
      <c r="BT223" s="631"/>
      <c r="BU223" s="666" t="str" cm="1">
        <f t="array" ref="BU223">IFERROR(_xlfn.LET(_xlpm.i,ROWS($BU$2:BU223),_xlpm.cur,INDEX(tblLaminateStructures[Laminate],_xlpm.i),_xlpm.prev,IF(_xlpm.i=1,"",INDEX(tblLaminateStructures[Laminate],_xlpm.i-1)),IF(_xlpm.cur&lt;&gt;_xlpm.prev,_xlpm.cur,"")),"")</f>
        <v/>
      </c>
      <c r="BV223" s="631" t="str" cm="1">
        <f t="array" ref="BV223">IFERROR(_xlfn.LET(_xlpm.i,ROWS($BV$2:BV223),_xlpm.cur,INDEX(tblLaminateStructures[Total Thickness (µ)],_xlpm.i),_xlpm.prev,IF(_xlpm.i=1,"",INDEX(tblLaminateStructures[Total Thickness (µ)],_xlpm.i-1)),IF(OR(_xlpm.cur&lt;&gt;_xlpm.prev,BU223&lt;&gt;""),_xlpm.cur,"")),"")</f>
        <v/>
      </c>
      <c r="BW223" s="631" t="str" cm="1">
        <f t="array" ref="BW223">IFERROR(INDEX(tblLaminateStructures[Material / Layer],ROWS($BW$2:BW223)),"")</f>
        <v/>
      </c>
      <c r="BX223" s="631" t="str" cm="1">
        <f t="array" ref="BX223">IFERROR(INDEX(tblLaminateStructures[Layer Thickness (µ)],ROWS($BX$2:BX223)),"")</f>
        <v/>
      </c>
      <c r="BY223" s="631" t="str" cm="1">
        <f t="array" ref="BY223">IFERROR(INDEX(tblLaminateStructures[Structure Check],ROWS($BY$2:BY223)),"")</f>
        <v/>
      </c>
      <c r="BZ223" s="666" t="str" cm="1">
        <f t="array" ref="BZ223">IFERROR(INDEX(tblLaminateStructures[Laminate],ROWS($BZ$2:BZ223)),"")</f>
        <v/>
      </c>
      <c r="CA223" s="631"/>
      <c r="CB223" s="631"/>
      <c r="CC223" s="631" t="str" cm="1">
        <f t="array" ref="CC223">IFERROR(INDEX(tblLaminateStructures[Total Thickness (µ)],ROWS($CC$2:CC223)),"")</f>
        <v/>
      </c>
      <c r="CD223" s="631"/>
      <c r="CE223" s="631"/>
      <c r="CF223" s="631"/>
      <c r="CG223" s="631"/>
      <c r="CH223" s="631"/>
    </row>
    <row r="224" spans="48:86">
      <c r="BF224" s="631"/>
      <c r="BG224" s="631"/>
      <c r="BH224" s="631"/>
      <c r="BI224" s="631"/>
      <c r="BJ224" s="631"/>
      <c r="BK224" s="631"/>
      <c r="BL224" s="631"/>
      <c r="BM224" s="631"/>
      <c r="BN224" s="631"/>
      <c r="BO224" s="631"/>
      <c r="BP224" s="631"/>
      <c r="BQ224" s="631"/>
      <c r="BR224" s="631"/>
      <c r="BS224" s="631"/>
      <c r="BT224" s="631"/>
      <c r="BU224" s="666" t="str" cm="1">
        <f t="array" ref="BU224">IFERROR(_xlfn.LET(_xlpm.i,ROWS($BU$2:BU224),_xlpm.cur,INDEX(tblLaminateStructures[Laminate],_xlpm.i),_xlpm.prev,IF(_xlpm.i=1,"",INDEX(tblLaminateStructures[Laminate],_xlpm.i-1)),IF(_xlpm.cur&lt;&gt;_xlpm.prev,_xlpm.cur,"")),"")</f>
        <v/>
      </c>
      <c r="BV224" s="631" t="str" cm="1">
        <f t="array" ref="BV224">IFERROR(_xlfn.LET(_xlpm.i,ROWS($BV$2:BV224),_xlpm.cur,INDEX(tblLaminateStructures[Total Thickness (µ)],_xlpm.i),_xlpm.prev,IF(_xlpm.i=1,"",INDEX(tblLaminateStructures[Total Thickness (µ)],_xlpm.i-1)),IF(OR(_xlpm.cur&lt;&gt;_xlpm.prev,BU224&lt;&gt;""),_xlpm.cur,"")),"")</f>
        <v/>
      </c>
      <c r="BW224" s="631" t="str" cm="1">
        <f t="array" ref="BW224">IFERROR(INDEX(tblLaminateStructures[Material / Layer],ROWS($BW$2:BW224)),"")</f>
        <v/>
      </c>
      <c r="BX224" s="631" t="str" cm="1">
        <f t="array" ref="BX224">IFERROR(INDEX(tblLaminateStructures[Layer Thickness (µ)],ROWS($BX$2:BX224)),"")</f>
        <v/>
      </c>
      <c r="BY224" s="631" t="str" cm="1">
        <f t="array" ref="BY224">IFERROR(INDEX(tblLaminateStructures[Structure Check],ROWS($BY$2:BY224)),"")</f>
        <v/>
      </c>
      <c r="BZ224" s="666" t="str" cm="1">
        <f t="array" ref="BZ224">IFERROR(INDEX(tblLaminateStructures[Laminate],ROWS($BZ$2:BZ224)),"")</f>
        <v/>
      </c>
      <c r="CA224" s="631"/>
      <c r="CB224" s="631"/>
      <c r="CC224" s="631" t="str" cm="1">
        <f t="array" ref="CC224">IFERROR(INDEX(tblLaminateStructures[Total Thickness (µ)],ROWS($CC$2:CC224)),"")</f>
        <v/>
      </c>
      <c r="CD224" s="631"/>
      <c r="CE224" s="631"/>
      <c r="CF224" s="631"/>
      <c r="CG224" s="631"/>
      <c r="CH224" s="631"/>
    </row>
    <row r="225" spans="58:86">
      <c r="BF225" s="631"/>
      <c r="BG225" s="631"/>
      <c r="BH225" s="631"/>
      <c r="BI225" s="631"/>
      <c r="BJ225" s="631"/>
      <c r="BK225" s="631"/>
      <c r="BL225" s="631"/>
      <c r="BM225" s="631"/>
      <c r="BN225" s="631"/>
      <c r="BO225" s="631"/>
      <c r="BP225" s="631"/>
      <c r="BQ225" s="631"/>
      <c r="BR225" s="631"/>
      <c r="BS225" s="631"/>
      <c r="BT225" s="631"/>
      <c r="BU225" s="666" t="str" cm="1">
        <f t="array" ref="BU225">IFERROR(_xlfn.LET(_xlpm.i,ROWS($BU$2:BU225),_xlpm.cur,INDEX(tblLaminateStructures[Laminate],_xlpm.i),_xlpm.prev,IF(_xlpm.i=1,"",INDEX(tblLaminateStructures[Laminate],_xlpm.i-1)),IF(_xlpm.cur&lt;&gt;_xlpm.prev,_xlpm.cur,"")),"")</f>
        <v/>
      </c>
      <c r="BV225" s="631" t="str" cm="1">
        <f t="array" ref="BV225">IFERROR(_xlfn.LET(_xlpm.i,ROWS($BV$2:BV225),_xlpm.cur,INDEX(tblLaminateStructures[Total Thickness (µ)],_xlpm.i),_xlpm.prev,IF(_xlpm.i=1,"",INDEX(tblLaminateStructures[Total Thickness (µ)],_xlpm.i-1)),IF(OR(_xlpm.cur&lt;&gt;_xlpm.prev,BU225&lt;&gt;""),_xlpm.cur,"")),"")</f>
        <v/>
      </c>
      <c r="BW225" s="631" t="str" cm="1">
        <f t="array" ref="BW225">IFERROR(INDEX(tblLaminateStructures[Material / Layer],ROWS($BW$2:BW225)),"")</f>
        <v/>
      </c>
      <c r="BX225" s="631" t="str" cm="1">
        <f t="array" ref="BX225">IFERROR(INDEX(tblLaminateStructures[Layer Thickness (µ)],ROWS($BX$2:BX225)),"")</f>
        <v/>
      </c>
      <c r="BY225" s="631" t="str" cm="1">
        <f t="array" ref="BY225">IFERROR(INDEX(tblLaminateStructures[Structure Check],ROWS($BY$2:BY225)),"")</f>
        <v/>
      </c>
      <c r="BZ225" s="666" t="str" cm="1">
        <f t="array" ref="BZ225">IFERROR(INDEX(tblLaminateStructures[Laminate],ROWS($BZ$2:BZ225)),"")</f>
        <v/>
      </c>
      <c r="CA225" s="631"/>
      <c r="CB225" s="631"/>
      <c r="CC225" s="631" t="str" cm="1">
        <f t="array" ref="CC225">IFERROR(INDEX(tblLaminateStructures[Total Thickness (µ)],ROWS($CC$2:CC225)),"")</f>
        <v/>
      </c>
      <c r="CD225" s="631"/>
      <c r="CE225" s="631"/>
      <c r="CF225" s="631"/>
      <c r="CG225" s="631"/>
      <c r="CH225" s="631"/>
    </row>
    <row r="226" spans="58:86">
      <c r="BF226" s="631"/>
      <c r="BG226" s="631"/>
      <c r="BH226" s="631"/>
      <c r="BI226" s="631"/>
      <c r="BJ226" s="631"/>
      <c r="BK226" s="631"/>
      <c r="BL226" s="631"/>
      <c r="BM226" s="631"/>
      <c r="BN226" s="631"/>
      <c r="BO226" s="631"/>
      <c r="BP226" s="631"/>
      <c r="BQ226" s="631"/>
      <c r="BR226" s="631"/>
      <c r="BS226" s="631"/>
      <c r="BT226" s="631"/>
      <c r="BU226" s="666" t="str" cm="1">
        <f t="array" ref="BU226">IFERROR(_xlfn.LET(_xlpm.i,ROWS($BU$2:BU226),_xlpm.cur,INDEX(tblLaminateStructures[Laminate],_xlpm.i),_xlpm.prev,IF(_xlpm.i=1,"",INDEX(tblLaminateStructures[Laminate],_xlpm.i-1)),IF(_xlpm.cur&lt;&gt;_xlpm.prev,_xlpm.cur,"")),"")</f>
        <v/>
      </c>
      <c r="BV226" s="631" t="str" cm="1">
        <f t="array" ref="BV226">IFERROR(_xlfn.LET(_xlpm.i,ROWS($BV$2:BV226),_xlpm.cur,INDEX(tblLaminateStructures[Total Thickness (µ)],_xlpm.i),_xlpm.prev,IF(_xlpm.i=1,"",INDEX(tblLaminateStructures[Total Thickness (µ)],_xlpm.i-1)),IF(OR(_xlpm.cur&lt;&gt;_xlpm.prev,BU226&lt;&gt;""),_xlpm.cur,"")),"")</f>
        <v/>
      </c>
      <c r="BW226" s="631" t="str" cm="1">
        <f t="array" ref="BW226">IFERROR(INDEX(tblLaminateStructures[Material / Layer],ROWS($BW$2:BW226)),"")</f>
        <v/>
      </c>
      <c r="BX226" s="631" t="str" cm="1">
        <f t="array" ref="BX226">IFERROR(INDEX(tblLaminateStructures[Layer Thickness (µ)],ROWS($BX$2:BX226)),"")</f>
        <v/>
      </c>
      <c r="BY226" s="631" t="str" cm="1">
        <f t="array" ref="BY226">IFERROR(INDEX(tblLaminateStructures[Structure Check],ROWS($BY$2:BY226)),"")</f>
        <v/>
      </c>
      <c r="BZ226" s="666" t="str" cm="1">
        <f t="array" ref="BZ226">IFERROR(INDEX(tblLaminateStructures[Laminate],ROWS($BZ$2:BZ226)),"")</f>
        <v/>
      </c>
      <c r="CA226" s="631"/>
      <c r="CB226" s="631"/>
      <c r="CC226" s="631" t="str" cm="1">
        <f t="array" ref="CC226">IFERROR(INDEX(tblLaminateStructures[Total Thickness (µ)],ROWS($CC$2:CC226)),"")</f>
        <v/>
      </c>
      <c r="CD226" s="631"/>
      <c r="CE226" s="631"/>
      <c r="CF226" s="631"/>
      <c r="CG226" s="631"/>
      <c r="CH226" s="631"/>
    </row>
    <row r="227" spans="58:86">
      <c r="BF227" s="631"/>
      <c r="BG227" s="631"/>
      <c r="BH227" s="631"/>
      <c r="BI227" s="631"/>
      <c r="BJ227" s="631"/>
      <c r="BK227" s="631"/>
      <c r="BL227" s="631"/>
      <c r="BM227" s="631"/>
      <c r="BN227" s="631"/>
      <c r="BO227" s="631"/>
      <c r="BP227" s="631"/>
      <c r="BQ227" s="631"/>
      <c r="BR227" s="631"/>
      <c r="BS227" s="631"/>
      <c r="BT227" s="631"/>
      <c r="BU227" s="666" t="str" cm="1">
        <f t="array" ref="BU227">IFERROR(_xlfn.LET(_xlpm.i,ROWS($BU$2:BU227),_xlpm.cur,INDEX(tblLaminateStructures[Laminate],_xlpm.i),_xlpm.prev,IF(_xlpm.i=1,"",INDEX(tblLaminateStructures[Laminate],_xlpm.i-1)),IF(_xlpm.cur&lt;&gt;_xlpm.prev,_xlpm.cur,"")),"")</f>
        <v/>
      </c>
      <c r="BV227" s="631" t="str" cm="1">
        <f t="array" ref="BV227">IFERROR(_xlfn.LET(_xlpm.i,ROWS($BV$2:BV227),_xlpm.cur,INDEX(tblLaminateStructures[Total Thickness (µ)],_xlpm.i),_xlpm.prev,IF(_xlpm.i=1,"",INDEX(tblLaminateStructures[Total Thickness (µ)],_xlpm.i-1)),IF(OR(_xlpm.cur&lt;&gt;_xlpm.prev,BU227&lt;&gt;""),_xlpm.cur,"")),"")</f>
        <v/>
      </c>
      <c r="BW227" s="631" t="str" cm="1">
        <f t="array" ref="BW227">IFERROR(INDEX(tblLaminateStructures[Material / Layer],ROWS($BW$2:BW227)),"")</f>
        <v/>
      </c>
      <c r="BX227" s="631" t="str" cm="1">
        <f t="array" ref="BX227">IFERROR(INDEX(tblLaminateStructures[Layer Thickness (µ)],ROWS($BX$2:BX227)),"")</f>
        <v/>
      </c>
      <c r="BY227" s="631" t="str" cm="1">
        <f t="array" ref="BY227">IFERROR(INDEX(tblLaminateStructures[Structure Check],ROWS($BY$2:BY227)),"")</f>
        <v/>
      </c>
      <c r="BZ227" s="666" t="str" cm="1">
        <f t="array" ref="BZ227">IFERROR(INDEX(tblLaminateStructures[Laminate],ROWS($BZ$2:BZ227)),"")</f>
        <v/>
      </c>
      <c r="CA227" s="631"/>
      <c r="CB227" s="631"/>
      <c r="CC227" s="631" t="str" cm="1">
        <f t="array" ref="CC227">IFERROR(INDEX(tblLaminateStructures[Total Thickness (µ)],ROWS($CC$2:CC227)),"")</f>
        <v/>
      </c>
      <c r="CD227" s="631"/>
      <c r="CE227" s="631"/>
      <c r="CF227" s="631"/>
      <c r="CG227" s="631"/>
      <c r="CH227" s="631"/>
    </row>
    <row r="228" spans="58:86">
      <c r="BF228" s="631"/>
      <c r="BG228" s="631"/>
      <c r="BH228" s="631"/>
      <c r="BI228" s="631"/>
      <c r="BJ228" s="631"/>
      <c r="BK228" s="631"/>
      <c r="BL228" s="631"/>
      <c r="BM228" s="631"/>
      <c r="BN228" s="631"/>
      <c r="BO228" s="631"/>
      <c r="BP228" s="631"/>
      <c r="BQ228" s="631"/>
      <c r="BR228" s="631"/>
      <c r="BS228" s="631"/>
      <c r="BT228" s="631"/>
      <c r="BU228" s="666" t="str" cm="1">
        <f t="array" ref="BU228">IFERROR(_xlfn.LET(_xlpm.i,ROWS($BU$2:BU228),_xlpm.cur,INDEX(tblLaminateStructures[Laminate],_xlpm.i),_xlpm.prev,IF(_xlpm.i=1,"",INDEX(tblLaminateStructures[Laminate],_xlpm.i-1)),IF(_xlpm.cur&lt;&gt;_xlpm.prev,_xlpm.cur,"")),"")</f>
        <v/>
      </c>
      <c r="BV228" s="631" t="str" cm="1">
        <f t="array" ref="BV228">IFERROR(_xlfn.LET(_xlpm.i,ROWS($BV$2:BV228),_xlpm.cur,INDEX(tblLaminateStructures[Total Thickness (µ)],_xlpm.i),_xlpm.prev,IF(_xlpm.i=1,"",INDEX(tblLaminateStructures[Total Thickness (µ)],_xlpm.i-1)),IF(OR(_xlpm.cur&lt;&gt;_xlpm.prev,BU228&lt;&gt;""),_xlpm.cur,"")),"")</f>
        <v/>
      </c>
      <c r="BW228" s="631" t="str" cm="1">
        <f t="array" ref="BW228">IFERROR(INDEX(tblLaminateStructures[Material / Layer],ROWS($BW$2:BW228)),"")</f>
        <v/>
      </c>
      <c r="BX228" s="631" t="str" cm="1">
        <f t="array" ref="BX228">IFERROR(INDEX(tblLaminateStructures[Layer Thickness (µ)],ROWS($BX$2:BX228)),"")</f>
        <v/>
      </c>
      <c r="BY228" s="631" t="str" cm="1">
        <f t="array" ref="BY228">IFERROR(INDEX(tblLaminateStructures[Structure Check],ROWS($BY$2:BY228)),"")</f>
        <v/>
      </c>
      <c r="BZ228" s="666" t="str" cm="1">
        <f t="array" ref="BZ228">IFERROR(INDEX(tblLaminateStructures[Laminate],ROWS($BZ$2:BZ228)),"")</f>
        <v/>
      </c>
      <c r="CA228" s="631"/>
      <c r="CB228" s="631"/>
      <c r="CC228" s="631" t="str" cm="1">
        <f t="array" ref="CC228">IFERROR(INDEX(tblLaminateStructures[Total Thickness (µ)],ROWS($CC$2:CC228)),"")</f>
        <v/>
      </c>
      <c r="CD228" s="631"/>
      <c r="CE228" s="631"/>
      <c r="CF228" s="631"/>
      <c r="CG228" s="631"/>
      <c r="CH228" s="631"/>
    </row>
    <row r="229" spans="58:86">
      <c r="BF229" s="631"/>
      <c r="BG229" s="631"/>
      <c r="BH229" s="631"/>
      <c r="BI229" s="631"/>
      <c r="BJ229" s="631"/>
      <c r="BK229" s="631"/>
      <c r="BL229" s="631"/>
      <c r="BM229" s="631"/>
      <c r="BN229" s="631"/>
      <c r="BO229" s="631"/>
      <c r="BP229" s="631"/>
      <c r="BQ229" s="631"/>
      <c r="BR229" s="631"/>
      <c r="BS229" s="631"/>
      <c r="BT229" s="631"/>
      <c r="BU229" s="666" t="str" cm="1">
        <f t="array" ref="BU229">IFERROR(_xlfn.LET(_xlpm.i,ROWS($BU$2:BU229),_xlpm.cur,INDEX(tblLaminateStructures[Laminate],_xlpm.i),_xlpm.prev,IF(_xlpm.i=1,"",INDEX(tblLaminateStructures[Laminate],_xlpm.i-1)),IF(_xlpm.cur&lt;&gt;_xlpm.prev,_xlpm.cur,"")),"")</f>
        <v/>
      </c>
      <c r="BV229" s="631" t="str" cm="1">
        <f t="array" ref="BV229">IFERROR(_xlfn.LET(_xlpm.i,ROWS($BV$2:BV229),_xlpm.cur,INDEX(tblLaminateStructures[Total Thickness (µ)],_xlpm.i),_xlpm.prev,IF(_xlpm.i=1,"",INDEX(tblLaminateStructures[Total Thickness (µ)],_xlpm.i-1)),IF(OR(_xlpm.cur&lt;&gt;_xlpm.prev,BU229&lt;&gt;""),_xlpm.cur,"")),"")</f>
        <v/>
      </c>
      <c r="BW229" s="631" t="str" cm="1">
        <f t="array" ref="BW229">IFERROR(INDEX(tblLaminateStructures[Material / Layer],ROWS($BW$2:BW229)),"")</f>
        <v/>
      </c>
      <c r="BX229" s="631" t="str" cm="1">
        <f t="array" ref="BX229">IFERROR(INDEX(tblLaminateStructures[Layer Thickness (µ)],ROWS($BX$2:BX229)),"")</f>
        <v/>
      </c>
      <c r="BY229" s="631" t="str" cm="1">
        <f t="array" ref="BY229">IFERROR(INDEX(tblLaminateStructures[Structure Check],ROWS($BY$2:BY229)),"")</f>
        <v/>
      </c>
      <c r="BZ229" s="666" t="str" cm="1">
        <f t="array" ref="BZ229">IFERROR(INDEX(tblLaminateStructures[Laminate],ROWS($BZ$2:BZ229)),"")</f>
        <v/>
      </c>
      <c r="CA229" s="631"/>
      <c r="CB229" s="631"/>
      <c r="CC229" s="631" t="str" cm="1">
        <f t="array" ref="CC229">IFERROR(INDEX(tblLaminateStructures[Total Thickness (µ)],ROWS($CC$2:CC229)),"")</f>
        <v/>
      </c>
      <c r="CD229" s="631"/>
      <c r="CE229" s="631"/>
      <c r="CF229" s="631"/>
      <c r="CG229" s="631"/>
      <c r="CH229" s="631"/>
    </row>
    <row r="230" spans="58:86">
      <c r="BF230" s="631"/>
      <c r="BG230" s="631"/>
      <c r="BH230" s="631"/>
      <c r="BI230" s="631"/>
      <c r="BJ230" s="631"/>
      <c r="BK230" s="631"/>
      <c r="BL230" s="631"/>
      <c r="BM230" s="631"/>
      <c r="BN230" s="631"/>
      <c r="BO230" s="631"/>
      <c r="BP230" s="631"/>
      <c r="BQ230" s="631"/>
      <c r="BR230" s="631"/>
      <c r="BS230" s="631"/>
      <c r="BT230" s="631"/>
      <c r="BU230" s="666" t="str" cm="1">
        <f t="array" ref="BU230">IFERROR(_xlfn.LET(_xlpm.i,ROWS($BU$2:BU230),_xlpm.cur,INDEX(tblLaminateStructures[Laminate],_xlpm.i),_xlpm.prev,IF(_xlpm.i=1,"",INDEX(tblLaminateStructures[Laminate],_xlpm.i-1)),IF(_xlpm.cur&lt;&gt;_xlpm.prev,_xlpm.cur,"")),"")</f>
        <v/>
      </c>
      <c r="BV230" s="631" t="str" cm="1">
        <f t="array" ref="BV230">IFERROR(_xlfn.LET(_xlpm.i,ROWS($BV$2:BV230),_xlpm.cur,INDEX(tblLaminateStructures[Total Thickness (µ)],_xlpm.i),_xlpm.prev,IF(_xlpm.i=1,"",INDEX(tblLaminateStructures[Total Thickness (µ)],_xlpm.i-1)),IF(OR(_xlpm.cur&lt;&gt;_xlpm.prev,BU230&lt;&gt;""),_xlpm.cur,"")),"")</f>
        <v/>
      </c>
      <c r="BW230" s="631" t="str" cm="1">
        <f t="array" ref="BW230">IFERROR(INDEX(tblLaminateStructures[Material / Layer],ROWS($BW$2:BW230)),"")</f>
        <v/>
      </c>
      <c r="BX230" s="631" t="str" cm="1">
        <f t="array" ref="BX230">IFERROR(INDEX(tblLaminateStructures[Layer Thickness (µ)],ROWS($BX$2:BX230)),"")</f>
        <v/>
      </c>
      <c r="BY230" s="631" t="str" cm="1">
        <f t="array" ref="BY230">IFERROR(INDEX(tblLaminateStructures[Structure Check],ROWS($BY$2:BY230)),"")</f>
        <v/>
      </c>
      <c r="BZ230" s="666" t="str" cm="1">
        <f t="array" ref="BZ230">IFERROR(INDEX(tblLaminateStructures[Laminate],ROWS($BZ$2:BZ230)),"")</f>
        <v/>
      </c>
      <c r="CA230" s="631"/>
      <c r="CB230" s="631"/>
      <c r="CC230" s="631" t="str" cm="1">
        <f t="array" ref="CC230">IFERROR(INDEX(tblLaminateStructures[Total Thickness (µ)],ROWS($CC$2:CC230)),"")</f>
        <v/>
      </c>
      <c r="CD230" s="631"/>
      <c r="CE230" s="631"/>
      <c r="CF230" s="631"/>
      <c r="CG230" s="631"/>
      <c r="CH230" s="631"/>
    </row>
    <row r="231" spans="58:86">
      <c r="BF231" s="631"/>
      <c r="BG231" s="631"/>
      <c r="BH231" s="631"/>
      <c r="BI231" s="631"/>
      <c r="BJ231" s="631"/>
      <c r="BK231" s="631"/>
      <c r="BL231" s="631"/>
      <c r="BM231" s="631"/>
      <c r="BN231" s="631"/>
      <c r="BO231" s="631"/>
      <c r="BP231" s="631"/>
      <c r="BQ231" s="631"/>
      <c r="BR231" s="631"/>
      <c r="BS231" s="631"/>
      <c r="BT231" s="631"/>
      <c r="BU231" s="666" t="str" cm="1">
        <f t="array" ref="BU231">IFERROR(_xlfn.LET(_xlpm.i,ROWS($BU$2:BU231),_xlpm.cur,INDEX(tblLaminateStructures[Laminate],_xlpm.i),_xlpm.prev,IF(_xlpm.i=1,"",INDEX(tblLaminateStructures[Laminate],_xlpm.i-1)),IF(_xlpm.cur&lt;&gt;_xlpm.prev,_xlpm.cur,"")),"")</f>
        <v/>
      </c>
      <c r="BV231" s="631" t="str" cm="1">
        <f t="array" ref="BV231">IFERROR(_xlfn.LET(_xlpm.i,ROWS($BV$2:BV231),_xlpm.cur,INDEX(tblLaminateStructures[Total Thickness (µ)],_xlpm.i),_xlpm.prev,IF(_xlpm.i=1,"",INDEX(tblLaminateStructures[Total Thickness (µ)],_xlpm.i-1)),IF(OR(_xlpm.cur&lt;&gt;_xlpm.prev,BU231&lt;&gt;""),_xlpm.cur,"")),"")</f>
        <v/>
      </c>
      <c r="BW231" s="631" t="str" cm="1">
        <f t="array" ref="BW231">IFERROR(INDEX(tblLaminateStructures[Material / Layer],ROWS($BW$2:BW231)),"")</f>
        <v/>
      </c>
      <c r="BX231" s="631" t="str" cm="1">
        <f t="array" ref="BX231">IFERROR(INDEX(tblLaminateStructures[Layer Thickness (µ)],ROWS($BX$2:BX231)),"")</f>
        <v/>
      </c>
      <c r="BY231" s="631" t="str" cm="1">
        <f t="array" ref="BY231">IFERROR(INDEX(tblLaminateStructures[Structure Check],ROWS($BY$2:BY231)),"")</f>
        <v/>
      </c>
      <c r="BZ231" s="666" t="str" cm="1">
        <f t="array" ref="BZ231">IFERROR(INDEX(tblLaminateStructures[Laminate],ROWS($BZ$2:BZ231)),"")</f>
        <v/>
      </c>
      <c r="CA231" s="631"/>
      <c r="CB231" s="631"/>
      <c r="CC231" s="631" t="str" cm="1">
        <f t="array" ref="CC231">IFERROR(INDEX(tblLaminateStructures[Total Thickness (µ)],ROWS($CC$2:CC231)),"")</f>
        <v/>
      </c>
      <c r="CD231" s="631"/>
      <c r="CE231" s="631"/>
      <c r="CF231" s="631"/>
      <c r="CG231" s="631"/>
      <c r="CH231" s="631"/>
    </row>
    <row r="232" spans="58:86">
      <c r="BF232" s="631"/>
      <c r="BG232" s="631"/>
      <c r="BH232" s="631"/>
      <c r="BI232" s="631"/>
      <c r="BJ232" s="631"/>
      <c r="BK232" s="631"/>
      <c r="BL232" s="631"/>
      <c r="BM232" s="631"/>
      <c r="BN232" s="631"/>
      <c r="BO232" s="631"/>
      <c r="BP232" s="631"/>
      <c r="BQ232" s="631"/>
      <c r="BR232" s="631"/>
      <c r="BS232" s="631"/>
      <c r="BT232" s="631"/>
      <c r="BU232" s="666" t="str" cm="1">
        <f t="array" ref="BU232">IFERROR(_xlfn.LET(_xlpm.i,ROWS($BU$2:BU232),_xlpm.cur,INDEX(tblLaminateStructures[Laminate],_xlpm.i),_xlpm.prev,IF(_xlpm.i=1,"",INDEX(tblLaminateStructures[Laminate],_xlpm.i-1)),IF(_xlpm.cur&lt;&gt;_xlpm.prev,_xlpm.cur,"")),"")</f>
        <v/>
      </c>
      <c r="BV232" s="631" t="str" cm="1">
        <f t="array" ref="BV232">IFERROR(_xlfn.LET(_xlpm.i,ROWS($BV$2:BV232),_xlpm.cur,INDEX(tblLaminateStructures[Total Thickness (µ)],_xlpm.i),_xlpm.prev,IF(_xlpm.i=1,"",INDEX(tblLaminateStructures[Total Thickness (µ)],_xlpm.i-1)),IF(OR(_xlpm.cur&lt;&gt;_xlpm.prev,BU232&lt;&gt;""),_xlpm.cur,"")),"")</f>
        <v/>
      </c>
      <c r="BW232" s="631" t="str" cm="1">
        <f t="array" ref="BW232">IFERROR(INDEX(tblLaminateStructures[Material / Layer],ROWS($BW$2:BW232)),"")</f>
        <v/>
      </c>
      <c r="BX232" s="631" t="str" cm="1">
        <f t="array" ref="BX232">IFERROR(INDEX(tblLaminateStructures[Layer Thickness (µ)],ROWS($BX$2:BX232)),"")</f>
        <v/>
      </c>
      <c r="BY232" s="631" t="str" cm="1">
        <f t="array" ref="BY232">IFERROR(INDEX(tblLaminateStructures[Structure Check],ROWS($BY$2:BY232)),"")</f>
        <v/>
      </c>
      <c r="BZ232" s="666" t="str" cm="1">
        <f t="array" ref="BZ232">IFERROR(INDEX(tblLaminateStructures[Laminate],ROWS($BZ$2:BZ232)),"")</f>
        <v/>
      </c>
      <c r="CA232" s="631"/>
      <c r="CB232" s="631"/>
      <c r="CC232" s="631" t="str" cm="1">
        <f t="array" ref="CC232">IFERROR(INDEX(tblLaminateStructures[Total Thickness (µ)],ROWS($CC$2:CC232)),"")</f>
        <v/>
      </c>
      <c r="CD232" s="631"/>
      <c r="CE232" s="631"/>
      <c r="CF232" s="631"/>
      <c r="CG232" s="631"/>
      <c r="CH232" s="631"/>
    </row>
    <row r="233" spans="58:86">
      <c r="BF233" s="631"/>
      <c r="BG233" s="631"/>
      <c r="BH233" s="631"/>
      <c r="BI233" s="631"/>
      <c r="BJ233" s="631"/>
      <c r="BK233" s="631"/>
      <c r="BL233" s="631"/>
      <c r="BM233" s="631"/>
      <c r="BN233" s="631"/>
      <c r="BO233" s="631"/>
      <c r="BP233" s="631"/>
      <c r="BQ233" s="631"/>
      <c r="BR233" s="631"/>
      <c r="BS233" s="631"/>
      <c r="BT233" s="631"/>
      <c r="BU233" s="666" t="str" cm="1">
        <f t="array" ref="BU233">IFERROR(_xlfn.LET(_xlpm.i,ROWS($BU$2:BU233),_xlpm.cur,INDEX(tblLaminateStructures[Laminate],_xlpm.i),_xlpm.prev,IF(_xlpm.i=1,"",INDEX(tblLaminateStructures[Laminate],_xlpm.i-1)),IF(_xlpm.cur&lt;&gt;_xlpm.prev,_xlpm.cur,"")),"")</f>
        <v/>
      </c>
      <c r="BV233" s="631" t="str" cm="1">
        <f t="array" ref="BV233">IFERROR(_xlfn.LET(_xlpm.i,ROWS($BV$2:BV233),_xlpm.cur,INDEX(tblLaminateStructures[Total Thickness (µ)],_xlpm.i),_xlpm.prev,IF(_xlpm.i=1,"",INDEX(tblLaminateStructures[Total Thickness (µ)],_xlpm.i-1)),IF(OR(_xlpm.cur&lt;&gt;_xlpm.prev,BU233&lt;&gt;""),_xlpm.cur,"")),"")</f>
        <v/>
      </c>
      <c r="BW233" s="631" t="str" cm="1">
        <f t="array" ref="BW233">IFERROR(INDEX(tblLaminateStructures[Material / Layer],ROWS($BW$2:BW233)),"")</f>
        <v/>
      </c>
      <c r="BX233" s="631" t="str" cm="1">
        <f t="array" ref="BX233">IFERROR(INDEX(tblLaminateStructures[Layer Thickness (µ)],ROWS($BX$2:BX233)),"")</f>
        <v/>
      </c>
      <c r="BY233" s="631" t="str" cm="1">
        <f t="array" ref="BY233">IFERROR(INDEX(tblLaminateStructures[Structure Check],ROWS($BY$2:BY233)),"")</f>
        <v/>
      </c>
      <c r="BZ233" s="666" t="str" cm="1">
        <f t="array" ref="BZ233">IFERROR(INDEX(tblLaminateStructures[Laminate],ROWS($BZ$2:BZ233)),"")</f>
        <v/>
      </c>
      <c r="CA233" s="631"/>
      <c r="CB233" s="631"/>
      <c r="CC233" s="631" t="str" cm="1">
        <f t="array" ref="CC233">IFERROR(INDEX(tblLaminateStructures[Total Thickness (µ)],ROWS($CC$2:CC233)),"")</f>
        <v/>
      </c>
      <c r="CD233" s="631"/>
      <c r="CE233" s="631"/>
      <c r="CF233" s="631"/>
      <c r="CG233" s="631"/>
      <c r="CH233" s="631"/>
    </row>
    <row r="234" spans="58:86">
      <c r="BF234" s="631"/>
      <c r="BG234" s="631"/>
      <c r="BH234" s="631"/>
      <c r="BI234" s="631"/>
      <c r="BJ234" s="631"/>
      <c r="BK234" s="631"/>
      <c r="BL234" s="631"/>
      <c r="BM234" s="631"/>
      <c r="BN234" s="631"/>
      <c r="BO234" s="631"/>
      <c r="BP234" s="631"/>
      <c r="BQ234" s="631"/>
      <c r="BR234" s="631"/>
      <c r="BS234" s="631"/>
      <c r="BT234" s="631"/>
      <c r="BU234" s="666" t="str" cm="1">
        <f t="array" ref="BU234">IFERROR(_xlfn.LET(_xlpm.i,ROWS($BU$2:BU234),_xlpm.cur,INDEX(tblLaminateStructures[Laminate],_xlpm.i),_xlpm.prev,IF(_xlpm.i=1,"",INDEX(tblLaminateStructures[Laminate],_xlpm.i-1)),IF(_xlpm.cur&lt;&gt;_xlpm.prev,_xlpm.cur,"")),"")</f>
        <v/>
      </c>
      <c r="BV234" s="631" t="str" cm="1">
        <f t="array" ref="BV234">IFERROR(_xlfn.LET(_xlpm.i,ROWS($BV$2:BV234),_xlpm.cur,INDEX(tblLaminateStructures[Total Thickness (µ)],_xlpm.i),_xlpm.prev,IF(_xlpm.i=1,"",INDEX(tblLaminateStructures[Total Thickness (µ)],_xlpm.i-1)),IF(OR(_xlpm.cur&lt;&gt;_xlpm.prev,BU234&lt;&gt;""),_xlpm.cur,"")),"")</f>
        <v/>
      </c>
      <c r="BW234" s="631" t="str" cm="1">
        <f t="array" ref="BW234">IFERROR(INDEX(tblLaminateStructures[Material / Layer],ROWS($BW$2:BW234)),"")</f>
        <v/>
      </c>
      <c r="BX234" s="631" t="str" cm="1">
        <f t="array" ref="BX234">IFERROR(INDEX(tblLaminateStructures[Layer Thickness (µ)],ROWS($BX$2:BX234)),"")</f>
        <v/>
      </c>
      <c r="BY234" s="631" t="str" cm="1">
        <f t="array" ref="BY234">IFERROR(INDEX(tblLaminateStructures[Structure Check],ROWS($BY$2:BY234)),"")</f>
        <v/>
      </c>
      <c r="BZ234" s="666" t="str" cm="1">
        <f t="array" ref="BZ234">IFERROR(INDEX(tblLaminateStructures[Laminate],ROWS($BZ$2:BZ234)),"")</f>
        <v/>
      </c>
      <c r="CA234" s="631"/>
      <c r="CB234" s="631"/>
      <c r="CC234" s="631" t="str" cm="1">
        <f t="array" ref="CC234">IFERROR(INDEX(tblLaminateStructures[Total Thickness (µ)],ROWS($CC$2:CC234)),"")</f>
        <v/>
      </c>
      <c r="CD234" s="631"/>
      <c r="CE234" s="631"/>
      <c r="CF234" s="631"/>
      <c r="CG234" s="631"/>
      <c r="CH234" s="631"/>
    </row>
    <row r="235" spans="58:86">
      <c r="BF235" s="631"/>
      <c r="BG235" s="631"/>
      <c r="BH235" s="631"/>
      <c r="BI235" s="631"/>
      <c r="BJ235" s="631"/>
      <c r="BK235" s="631"/>
      <c r="BL235" s="631"/>
      <c r="BM235" s="631"/>
      <c r="BN235" s="631"/>
      <c r="BO235" s="631"/>
      <c r="BP235" s="631"/>
      <c r="BQ235" s="631"/>
      <c r="BR235" s="631"/>
      <c r="BS235" s="631"/>
      <c r="BT235" s="631"/>
      <c r="BU235" s="666" t="str" cm="1">
        <f t="array" ref="BU235">IFERROR(_xlfn.LET(_xlpm.i,ROWS($BU$2:BU235),_xlpm.cur,INDEX(tblLaminateStructures[Laminate],_xlpm.i),_xlpm.prev,IF(_xlpm.i=1,"",INDEX(tblLaminateStructures[Laminate],_xlpm.i-1)),IF(_xlpm.cur&lt;&gt;_xlpm.prev,_xlpm.cur,"")),"")</f>
        <v/>
      </c>
      <c r="BV235" s="631" t="str" cm="1">
        <f t="array" ref="BV235">IFERROR(_xlfn.LET(_xlpm.i,ROWS($BV$2:BV235),_xlpm.cur,INDEX(tblLaminateStructures[Total Thickness (µ)],_xlpm.i),_xlpm.prev,IF(_xlpm.i=1,"",INDEX(tblLaminateStructures[Total Thickness (µ)],_xlpm.i-1)),IF(OR(_xlpm.cur&lt;&gt;_xlpm.prev,BU235&lt;&gt;""),_xlpm.cur,"")),"")</f>
        <v/>
      </c>
      <c r="BW235" s="631" t="str" cm="1">
        <f t="array" ref="BW235">IFERROR(INDEX(tblLaminateStructures[Material / Layer],ROWS($BW$2:BW235)),"")</f>
        <v/>
      </c>
      <c r="BX235" s="631" t="str" cm="1">
        <f t="array" ref="BX235">IFERROR(INDEX(tblLaminateStructures[Layer Thickness (µ)],ROWS($BX$2:BX235)),"")</f>
        <v/>
      </c>
      <c r="BY235" s="631" t="str" cm="1">
        <f t="array" ref="BY235">IFERROR(INDEX(tblLaminateStructures[Structure Check],ROWS($BY$2:BY235)),"")</f>
        <v/>
      </c>
      <c r="BZ235" s="666" t="str" cm="1">
        <f t="array" ref="BZ235">IFERROR(INDEX(tblLaminateStructures[Laminate],ROWS($BZ$2:BZ235)),"")</f>
        <v/>
      </c>
      <c r="CA235" s="631"/>
      <c r="CB235" s="631"/>
      <c r="CC235" s="631" t="str" cm="1">
        <f t="array" ref="CC235">IFERROR(INDEX(tblLaminateStructures[Total Thickness (µ)],ROWS($CC$2:CC235)),"")</f>
        <v/>
      </c>
      <c r="CD235" s="631"/>
      <c r="CE235" s="631"/>
      <c r="CF235" s="631"/>
      <c r="CG235" s="631"/>
      <c r="CH235" s="631"/>
    </row>
    <row r="236" spans="58:86">
      <c r="BF236" s="631"/>
      <c r="BG236" s="631"/>
      <c r="BH236" s="631"/>
      <c r="BI236" s="631"/>
      <c r="BJ236" s="631"/>
      <c r="BK236" s="631"/>
      <c r="BL236" s="631"/>
      <c r="BM236" s="631"/>
      <c r="BN236" s="631"/>
      <c r="BO236" s="631"/>
      <c r="BP236" s="631"/>
      <c r="BQ236" s="631"/>
      <c r="BR236" s="631"/>
      <c r="BS236" s="631"/>
      <c r="BT236" s="631"/>
      <c r="BU236" s="666" t="str" cm="1">
        <f t="array" ref="BU236">IFERROR(_xlfn.LET(_xlpm.i,ROWS($BU$2:BU236),_xlpm.cur,INDEX(tblLaminateStructures[Laminate],_xlpm.i),_xlpm.prev,IF(_xlpm.i=1,"",INDEX(tblLaminateStructures[Laminate],_xlpm.i-1)),IF(_xlpm.cur&lt;&gt;_xlpm.prev,_xlpm.cur,"")),"")</f>
        <v/>
      </c>
      <c r="BV236" s="631" t="str" cm="1">
        <f t="array" ref="BV236">IFERROR(_xlfn.LET(_xlpm.i,ROWS($BV$2:BV236),_xlpm.cur,INDEX(tblLaminateStructures[Total Thickness (µ)],_xlpm.i),_xlpm.prev,IF(_xlpm.i=1,"",INDEX(tblLaminateStructures[Total Thickness (µ)],_xlpm.i-1)),IF(OR(_xlpm.cur&lt;&gt;_xlpm.prev,BU236&lt;&gt;""),_xlpm.cur,"")),"")</f>
        <v/>
      </c>
      <c r="BW236" s="631" t="str" cm="1">
        <f t="array" ref="BW236">IFERROR(INDEX(tblLaminateStructures[Material / Layer],ROWS($BW$2:BW236)),"")</f>
        <v/>
      </c>
      <c r="BX236" s="631" t="str" cm="1">
        <f t="array" ref="BX236">IFERROR(INDEX(tblLaminateStructures[Layer Thickness (µ)],ROWS($BX$2:BX236)),"")</f>
        <v/>
      </c>
      <c r="BY236" s="631" t="str" cm="1">
        <f t="array" ref="BY236">IFERROR(INDEX(tblLaminateStructures[Structure Check],ROWS($BY$2:BY236)),"")</f>
        <v/>
      </c>
      <c r="BZ236" s="666" t="str" cm="1">
        <f t="array" ref="BZ236">IFERROR(INDEX(tblLaminateStructures[Laminate],ROWS($BZ$2:BZ236)),"")</f>
        <v/>
      </c>
      <c r="CA236" s="631"/>
      <c r="CB236" s="631"/>
      <c r="CC236" s="631" t="str" cm="1">
        <f t="array" ref="CC236">IFERROR(INDEX(tblLaminateStructures[Total Thickness (µ)],ROWS($CC$2:CC236)),"")</f>
        <v/>
      </c>
      <c r="CD236" s="631"/>
      <c r="CE236" s="631"/>
      <c r="CF236" s="631"/>
      <c r="CG236" s="631"/>
      <c r="CH236" s="631"/>
    </row>
    <row r="237" spans="58:86">
      <c r="BF237" s="631"/>
      <c r="BG237" s="631"/>
      <c r="BH237" s="631"/>
      <c r="BI237" s="631"/>
      <c r="BJ237" s="631"/>
      <c r="BK237" s="631"/>
      <c r="BL237" s="631"/>
      <c r="BM237" s="631"/>
      <c r="BN237" s="631"/>
      <c r="BO237" s="631"/>
      <c r="BP237" s="631"/>
      <c r="BQ237" s="631"/>
      <c r="BR237" s="631"/>
      <c r="BS237" s="631"/>
      <c r="BT237" s="631"/>
      <c r="BU237" s="666" t="str" cm="1">
        <f t="array" ref="BU237">IFERROR(_xlfn.LET(_xlpm.i,ROWS($BU$2:BU237),_xlpm.cur,INDEX(tblLaminateStructures[Laminate],_xlpm.i),_xlpm.prev,IF(_xlpm.i=1,"",INDEX(tblLaminateStructures[Laminate],_xlpm.i-1)),IF(_xlpm.cur&lt;&gt;_xlpm.prev,_xlpm.cur,"")),"")</f>
        <v/>
      </c>
      <c r="BV237" s="631" t="str" cm="1">
        <f t="array" ref="BV237">IFERROR(_xlfn.LET(_xlpm.i,ROWS($BV$2:BV237),_xlpm.cur,INDEX(tblLaminateStructures[Total Thickness (µ)],_xlpm.i),_xlpm.prev,IF(_xlpm.i=1,"",INDEX(tblLaminateStructures[Total Thickness (µ)],_xlpm.i-1)),IF(OR(_xlpm.cur&lt;&gt;_xlpm.prev,BU237&lt;&gt;""),_xlpm.cur,"")),"")</f>
        <v/>
      </c>
      <c r="BW237" s="631" t="str" cm="1">
        <f t="array" ref="BW237">IFERROR(INDEX(tblLaminateStructures[Material / Layer],ROWS($BW$2:BW237)),"")</f>
        <v/>
      </c>
      <c r="BX237" s="631" t="str" cm="1">
        <f t="array" ref="BX237">IFERROR(INDEX(tblLaminateStructures[Layer Thickness (µ)],ROWS($BX$2:BX237)),"")</f>
        <v/>
      </c>
      <c r="BY237" s="631" t="str" cm="1">
        <f t="array" ref="BY237">IFERROR(INDEX(tblLaminateStructures[Structure Check],ROWS($BY$2:BY237)),"")</f>
        <v/>
      </c>
      <c r="BZ237" s="666" t="str" cm="1">
        <f t="array" ref="BZ237">IFERROR(INDEX(tblLaminateStructures[Laminate],ROWS($BZ$2:BZ237)),"")</f>
        <v/>
      </c>
      <c r="CA237" s="631"/>
      <c r="CB237" s="631"/>
      <c r="CC237" s="631" t="str" cm="1">
        <f t="array" ref="CC237">IFERROR(INDEX(tblLaminateStructures[Total Thickness (µ)],ROWS($CC$2:CC237)),"")</f>
        <v/>
      </c>
      <c r="CD237" s="631"/>
      <c r="CE237" s="631"/>
      <c r="CF237" s="631"/>
      <c r="CG237" s="631"/>
      <c r="CH237" s="631"/>
    </row>
    <row r="238" spans="58:86">
      <c r="BF238" s="631"/>
      <c r="BG238" s="631"/>
      <c r="BH238" s="631"/>
      <c r="BI238" s="631"/>
      <c r="BJ238" s="631"/>
      <c r="BK238" s="631"/>
      <c r="BL238" s="631"/>
      <c r="BM238" s="631"/>
      <c r="BN238" s="631"/>
      <c r="BO238" s="631"/>
      <c r="BP238" s="631"/>
      <c r="BQ238" s="631"/>
      <c r="BR238" s="631"/>
      <c r="BS238" s="631"/>
      <c r="BT238" s="631"/>
      <c r="BU238" s="666" t="str" cm="1">
        <f t="array" ref="BU238">IFERROR(_xlfn.LET(_xlpm.i,ROWS($BU$2:BU238),_xlpm.cur,INDEX(tblLaminateStructures[Laminate],_xlpm.i),_xlpm.prev,IF(_xlpm.i=1,"",INDEX(tblLaminateStructures[Laminate],_xlpm.i-1)),IF(_xlpm.cur&lt;&gt;_xlpm.prev,_xlpm.cur,"")),"")</f>
        <v/>
      </c>
      <c r="BV238" s="631" t="str" cm="1">
        <f t="array" ref="BV238">IFERROR(_xlfn.LET(_xlpm.i,ROWS($BV$2:BV238),_xlpm.cur,INDEX(tblLaminateStructures[Total Thickness (µ)],_xlpm.i),_xlpm.prev,IF(_xlpm.i=1,"",INDEX(tblLaminateStructures[Total Thickness (µ)],_xlpm.i-1)),IF(OR(_xlpm.cur&lt;&gt;_xlpm.prev,BU238&lt;&gt;""),_xlpm.cur,"")),"")</f>
        <v/>
      </c>
      <c r="BW238" s="631" t="str" cm="1">
        <f t="array" ref="BW238">IFERROR(INDEX(tblLaminateStructures[Material / Layer],ROWS($BW$2:BW238)),"")</f>
        <v/>
      </c>
      <c r="BX238" s="631" t="str" cm="1">
        <f t="array" ref="BX238">IFERROR(INDEX(tblLaminateStructures[Layer Thickness (µ)],ROWS($BX$2:BX238)),"")</f>
        <v/>
      </c>
      <c r="BY238" s="631" t="str" cm="1">
        <f t="array" ref="BY238">IFERROR(INDEX(tblLaminateStructures[Structure Check],ROWS($BY$2:BY238)),"")</f>
        <v/>
      </c>
      <c r="BZ238" s="666" t="str" cm="1">
        <f t="array" ref="BZ238">IFERROR(INDEX(tblLaminateStructures[Laminate],ROWS($BZ$2:BZ238)),"")</f>
        <v/>
      </c>
      <c r="CA238" s="631"/>
      <c r="CB238" s="631"/>
      <c r="CC238" s="631" t="str" cm="1">
        <f t="array" ref="CC238">IFERROR(INDEX(tblLaminateStructures[Total Thickness (µ)],ROWS($CC$2:CC238)),"")</f>
        <v/>
      </c>
      <c r="CD238" s="631"/>
      <c r="CE238" s="631"/>
      <c r="CF238" s="631"/>
      <c r="CG238" s="631"/>
      <c r="CH238" s="631"/>
    </row>
    <row r="239" spans="58:86">
      <c r="BF239" s="631"/>
      <c r="BG239" s="631"/>
      <c r="BH239" s="631"/>
      <c r="BI239" s="631"/>
      <c r="BJ239" s="631"/>
      <c r="BK239" s="631"/>
      <c r="BL239" s="631"/>
      <c r="BM239" s="631"/>
      <c r="BN239" s="631"/>
      <c r="BO239" s="631"/>
      <c r="BP239" s="631"/>
      <c r="BQ239" s="631"/>
      <c r="BR239" s="631"/>
      <c r="BS239" s="631"/>
      <c r="BT239" s="631"/>
      <c r="BU239" s="666" t="str" cm="1">
        <f t="array" ref="BU239">IFERROR(_xlfn.LET(_xlpm.i,ROWS($BU$2:BU239),_xlpm.cur,INDEX(tblLaminateStructures[Laminate],_xlpm.i),_xlpm.prev,IF(_xlpm.i=1,"",INDEX(tblLaminateStructures[Laminate],_xlpm.i-1)),IF(_xlpm.cur&lt;&gt;_xlpm.prev,_xlpm.cur,"")),"")</f>
        <v/>
      </c>
      <c r="BV239" s="631" t="str" cm="1">
        <f t="array" ref="BV239">IFERROR(_xlfn.LET(_xlpm.i,ROWS($BV$2:BV239),_xlpm.cur,INDEX(tblLaminateStructures[Total Thickness (µ)],_xlpm.i),_xlpm.prev,IF(_xlpm.i=1,"",INDEX(tblLaminateStructures[Total Thickness (µ)],_xlpm.i-1)),IF(OR(_xlpm.cur&lt;&gt;_xlpm.prev,BU239&lt;&gt;""),_xlpm.cur,"")),"")</f>
        <v/>
      </c>
      <c r="BW239" s="631" t="str" cm="1">
        <f t="array" ref="BW239">IFERROR(INDEX(tblLaminateStructures[Material / Layer],ROWS($BW$2:BW239)),"")</f>
        <v/>
      </c>
      <c r="BX239" s="631" t="str" cm="1">
        <f t="array" ref="BX239">IFERROR(INDEX(tblLaminateStructures[Layer Thickness (µ)],ROWS($BX$2:BX239)),"")</f>
        <v/>
      </c>
      <c r="BY239" s="631" t="str" cm="1">
        <f t="array" ref="BY239">IFERROR(INDEX(tblLaminateStructures[Structure Check],ROWS($BY$2:BY239)),"")</f>
        <v/>
      </c>
      <c r="BZ239" s="666" t="str" cm="1">
        <f t="array" ref="BZ239">IFERROR(INDEX(tblLaminateStructures[Laminate],ROWS($BZ$2:BZ239)),"")</f>
        <v/>
      </c>
      <c r="CA239" s="631"/>
      <c r="CB239" s="631"/>
      <c r="CC239" s="631" t="str" cm="1">
        <f t="array" ref="CC239">IFERROR(INDEX(tblLaminateStructures[Total Thickness (µ)],ROWS($CC$2:CC239)),"")</f>
        <v/>
      </c>
      <c r="CD239" s="631"/>
      <c r="CE239" s="631"/>
      <c r="CF239" s="631"/>
      <c r="CG239" s="631"/>
      <c r="CH239" s="631"/>
    </row>
    <row r="240" spans="58:86">
      <c r="BF240" s="631"/>
      <c r="BG240" s="631"/>
      <c r="BH240" s="631"/>
      <c r="BI240" s="631"/>
      <c r="BJ240" s="631"/>
      <c r="BK240" s="631"/>
      <c r="BL240" s="631"/>
      <c r="BM240" s="631"/>
      <c r="BN240" s="631"/>
      <c r="BO240" s="631"/>
      <c r="BP240" s="631"/>
      <c r="BQ240" s="631"/>
      <c r="BR240" s="631"/>
      <c r="BS240" s="631"/>
      <c r="BT240" s="631"/>
      <c r="BU240" s="666" t="str" cm="1">
        <f t="array" ref="BU240">IFERROR(_xlfn.LET(_xlpm.i,ROWS($BU$2:BU240),_xlpm.cur,INDEX(tblLaminateStructures[Laminate],_xlpm.i),_xlpm.prev,IF(_xlpm.i=1,"",INDEX(tblLaminateStructures[Laminate],_xlpm.i-1)),IF(_xlpm.cur&lt;&gt;_xlpm.prev,_xlpm.cur,"")),"")</f>
        <v/>
      </c>
      <c r="BV240" s="631" t="str" cm="1">
        <f t="array" ref="BV240">IFERROR(_xlfn.LET(_xlpm.i,ROWS($BV$2:BV240),_xlpm.cur,INDEX(tblLaminateStructures[Total Thickness (µ)],_xlpm.i),_xlpm.prev,IF(_xlpm.i=1,"",INDEX(tblLaminateStructures[Total Thickness (µ)],_xlpm.i-1)),IF(OR(_xlpm.cur&lt;&gt;_xlpm.prev,BU240&lt;&gt;""),_xlpm.cur,"")),"")</f>
        <v/>
      </c>
      <c r="BW240" s="631" t="str" cm="1">
        <f t="array" ref="BW240">IFERROR(INDEX(tblLaminateStructures[Material / Layer],ROWS($BW$2:BW240)),"")</f>
        <v/>
      </c>
      <c r="BX240" s="631" t="str" cm="1">
        <f t="array" ref="BX240">IFERROR(INDEX(tblLaminateStructures[Layer Thickness (µ)],ROWS($BX$2:BX240)),"")</f>
        <v/>
      </c>
      <c r="BY240" s="631" t="str" cm="1">
        <f t="array" ref="BY240">IFERROR(INDEX(tblLaminateStructures[Structure Check],ROWS($BY$2:BY240)),"")</f>
        <v/>
      </c>
      <c r="BZ240" s="666" t="str" cm="1">
        <f t="array" ref="BZ240">IFERROR(INDEX(tblLaminateStructures[Laminate],ROWS($BZ$2:BZ240)),"")</f>
        <v/>
      </c>
      <c r="CA240" s="631"/>
      <c r="CB240" s="631"/>
      <c r="CC240" s="631" t="str" cm="1">
        <f t="array" ref="CC240">IFERROR(INDEX(tblLaminateStructures[Total Thickness (µ)],ROWS($CC$2:CC240)),"")</f>
        <v/>
      </c>
      <c r="CD240" s="631"/>
      <c r="CE240" s="631"/>
      <c r="CF240" s="631"/>
      <c r="CG240" s="631"/>
      <c r="CH240" s="631"/>
    </row>
    <row r="241" spans="58:86">
      <c r="BF241" s="631"/>
      <c r="BG241" s="631"/>
      <c r="BH241" s="631"/>
      <c r="BI241" s="631"/>
      <c r="BJ241" s="631"/>
      <c r="BK241" s="631"/>
      <c r="BL241" s="631"/>
      <c r="BM241" s="631"/>
      <c r="BN241" s="631"/>
      <c r="BO241" s="631"/>
      <c r="BP241" s="631"/>
      <c r="BQ241" s="631"/>
      <c r="BR241" s="631"/>
      <c r="BS241" s="631"/>
      <c r="BT241" s="631"/>
      <c r="BU241" s="666" t="str" cm="1">
        <f t="array" ref="BU241">IFERROR(_xlfn.LET(_xlpm.i,ROWS($BU$2:BU241),_xlpm.cur,INDEX(tblLaminateStructures[Laminate],_xlpm.i),_xlpm.prev,IF(_xlpm.i=1,"",INDEX(tblLaminateStructures[Laminate],_xlpm.i-1)),IF(_xlpm.cur&lt;&gt;_xlpm.prev,_xlpm.cur,"")),"")</f>
        <v/>
      </c>
      <c r="BV241" s="631" t="str" cm="1">
        <f t="array" ref="BV241">IFERROR(_xlfn.LET(_xlpm.i,ROWS($BV$2:BV241),_xlpm.cur,INDEX(tblLaminateStructures[Total Thickness (µ)],_xlpm.i),_xlpm.prev,IF(_xlpm.i=1,"",INDEX(tblLaminateStructures[Total Thickness (µ)],_xlpm.i-1)),IF(OR(_xlpm.cur&lt;&gt;_xlpm.prev,BU241&lt;&gt;""),_xlpm.cur,"")),"")</f>
        <v/>
      </c>
      <c r="BW241" s="631" t="str" cm="1">
        <f t="array" ref="BW241">IFERROR(INDEX(tblLaminateStructures[Material / Layer],ROWS($BW$2:BW241)),"")</f>
        <v/>
      </c>
      <c r="BX241" s="631" t="str" cm="1">
        <f t="array" ref="BX241">IFERROR(INDEX(tblLaminateStructures[Layer Thickness (µ)],ROWS($BX$2:BX241)),"")</f>
        <v/>
      </c>
      <c r="BY241" s="631" t="str" cm="1">
        <f t="array" ref="BY241">IFERROR(INDEX(tblLaminateStructures[Structure Check],ROWS($BY$2:BY241)),"")</f>
        <v/>
      </c>
      <c r="BZ241" s="666" t="str" cm="1">
        <f t="array" ref="BZ241">IFERROR(INDEX(tblLaminateStructures[Laminate],ROWS($BZ$2:BZ241)),"")</f>
        <v/>
      </c>
      <c r="CA241" s="631"/>
      <c r="CB241" s="631"/>
      <c r="CC241" s="631" t="str" cm="1">
        <f t="array" ref="CC241">IFERROR(INDEX(tblLaminateStructures[Total Thickness (µ)],ROWS($CC$2:CC241)),"")</f>
        <v/>
      </c>
      <c r="CD241" s="631"/>
      <c r="CE241" s="631"/>
      <c r="CF241" s="631"/>
      <c r="CG241" s="631"/>
      <c r="CH241" s="631"/>
    </row>
    <row r="242" spans="58:86">
      <c r="BF242" s="631"/>
      <c r="BG242" s="631"/>
      <c r="BH242" s="631"/>
      <c r="BI242" s="631"/>
      <c r="BJ242" s="631"/>
      <c r="BK242" s="631"/>
      <c r="BL242" s="631"/>
      <c r="BM242" s="631"/>
      <c r="BN242" s="631"/>
      <c r="BO242" s="631"/>
      <c r="BP242" s="631"/>
      <c r="BQ242" s="631"/>
      <c r="BR242" s="631"/>
      <c r="BS242" s="631"/>
      <c r="BT242" s="631"/>
      <c r="BU242" s="666" t="str" cm="1">
        <f t="array" ref="BU242">IFERROR(_xlfn.LET(_xlpm.i,ROWS($BU$2:BU242),_xlpm.cur,INDEX(tblLaminateStructures[Laminate],_xlpm.i),_xlpm.prev,IF(_xlpm.i=1,"",INDEX(tblLaminateStructures[Laminate],_xlpm.i-1)),IF(_xlpm.cur&lt;&gt;_xlpm.prev,_xlpm.cur,"")),"")</f>
        <v/>
      </c>
      <c r="BV242" s="631" t="str" cm="1">
        <f t="array" ref="BV242">IFERROR(_xlfn.LET(_xlpm.i,ROWS($BV$2:BV242),_xlpm.cur,INDEX(tblLaminateStructures[Total Thickness (µ)],_xlpm.i),_xlpm.prev,IF(_xlpm.i=1,"",INDEX(tblLaminateStructures[Total Thickness (µ)],_xlpm.i-1)),IF(OR(_xlpm.cur&lt;&gt;_xlpm.prev,BU242&lt;&gt;""),_xlpm.cur,"")),"")</f>
        <v/>
      </c>
      <c r="BW242" s="631" t="str" cm="1">
        <f t="array" ref="BW242">IFERROR(INDEX(tblLaminateStructures[Material / Layer],ROWS($BW$2:BW242)),"")</f>
        <v/>
      </c>
      <c r="BX242" s="631" t="str" cm="1">
        <f t="array" ref="BX242">IFERROR(INDEX(tblLaminateStructures[Layer Thickness (µ)],ROWS($BX$2:BX242)),"")</f>
        <v/>
      </c>
      <c r="BY242" s="631" t="str" cm="1">
        <f t="array" ref="BY242">IFERROR(INDEX(tblLaminateStructures[Structure Check],ROWS($BY$2:BY242)),"")</f>
        <v/>
      </c>
      <c r="BZ242" s="666" t="str" cm="1">
        <f t="array" ref="BZ242">IFERROR(INDEX(tblLaminateStructures[Laminate],ROWS($BZ$2:BZ242)),"")</f>
        <v/>
      </c>
      <c r="CA242" s="631"/>
      <c r="CB242" s="631"/>
      <c r="CC242" s="631" t="str" cm="1">
        <f t="array" ref="CC242">IFERROR(INDEX(tblLaminateStructures[Total Thickness (µ)],ROWS($CC$2:CC242)),"")</f>
        <v/>
      </c>
      <c r="CD242" s="631"/>
      <c r="CE242" s="631"/>
      <c r="CF242" s="631"/>
      <c r="CG242" s="631"/>
      <c r="CH242" s="631"/>
    </row>
    <row r="243" spans="58:86">
      <c r="BF243" s="631"/>
      <c r="BG243" s="631"/>
      <c r="BH243" s="631"/>
      <c r="BI243" s="631"/>
      <c r="BJ243" s="631"/>
      <c r="BK243" s="631"/>
      <c r="BL243" s="631"/>
      <c r="BM243" s="631"/>
      <c r="BN243" s="631"/>
      <c r="BO243" s="631"/>
      <c r="BP243" s="631"/>
      <c r="BQ243" s="631"/>
      <c r="BR243" s="631"/>
      <c r="BS243" s="631"/>
      <c r="BT243" s="631"/>
      <c r="BU243" s="666" t="str" cm="1">
        <f t="array" ref="BU243">IFERROR(_xlfn.LET(_xlpm.i,ROWS($BU$2:BU243),_xlpm.cur,INDEX(tblLaminateStructures[Laminate],_xlpm.i),_xlpm.prev,IF(_xlpm.i=1,"",INDEX(tblLaminateStructures[Laminate],_xlpm.i-1)),IF(_xlpm.cur&lt;&gt;_xlpm.prev,_xlpm.cur,"")),"")</f>
        <v/>
      </c>
      <c r="BV243" s="631" t="str" cm="1">
        <f t="array" ref="BV243">IFERROR(_xlfn.LET(_xlpm.i,ROWS($BV$2:BV243),_xlpm.cur,INDEX(tblLaminateStructures[Total Thickness (µ)],_xlpm.i),_xlpm.prev,IF(_xlpm.i=1,"",INDEX(tblLaminateStructures[Total Thickness (µ)],_xlpm.i-1)),IF(OR(_xlpm.cur&lt;&gt;_xlpm.prev,BU243&lt;&gt;""),_xlpm.cur,"")),"")</f>
        <v/>
      </c>
      <c r="BW243" s="631" t="str" cm="1">
        <f t="array" ref="BW243">IFERROR(INDEX(tblLaminateStructures[Material / Layer],ROWS($BW$2:BW243)),"")</f>
        <v/>
      </c>
      <c r="BX243" s="631" t="str" cm="1">
        <f t="array" ref="BX243">IFERROR(INDEX(tblLaminateStructures[Layer Thickness (µ)],ROWS($BX$2:BX243)),"")</f>
        <v/>
      </c>
      <c r="BY243" s="631" t="str" cm="1">
        <f t="array" ref="BY243">IFERROR(INDEX(tblLaminateStructures[Structure Check],ROWS($BY$2:BY243)),"")</f>
        <v/>
      </c>
      <c r="BZ243" s="666" t="str" cm="1">
        <f t="array" ref="BZ243">IFERROR(INDEX(tblLaminateStructures[Laminate],ROWS($BZ$2:BZ243)),"")</f>
        <v/>
      </c>
      <c r="CA243" s="631"/>
      <c r="CB243" s="631"/>
      <c r="CC243" s="631" t="str" cm="1">
        <f t="array" ref="CC243">IFERROR(INDEX(tblLaminateStructures[Total Thickness (µ)],ROWS($CC$2:CC243)),"")</f>
        <v/>
      </c>
      <c r="CD243" s="631"/>
      <c r="CE243" s="631"/>
      <c r="CF243" s="631"/>
      <c r="CG243" s="631"/>
      <c r="CH243" s="631"/>
    </row>
    <row r="244" spans="58:86">
      <c r="BF244" s="631"/>
      <c r="BG244" s="631"/>
      <c r="BH244" s="631"/>
      <c r="BI244" s="631"/>
      <c r="BJ244" s="631"/>
      <c r="BK244" s="631"/>
      <c r="BL244" s="631"/>
      <c r="BM244" s="631"/>
      <c r="BN244" s="631"/>
      <c r="BO244" s="631"/>
      <c r="BP244" s="631"/>
      <c r="BQ244" s="631"/>
      <c r="BR244" s="631"/>
      <c r="BS244" s="631"/>
      <c r="BT244" s="631"/>
      <c r="BU244" s="666" t="str" cm="1">
        <f t="array" ref="BU244">IFERROR(_xlfn.LET(_xlpm.i,ROWS($BU$2:BU244),_xlpm.cur,INDEX(tblLaminateStructures[Laminate],_xlpm.i),_xlpm.prev,IF(_xlpm.i=1,"",INDEX(tblLaminateStructures[Laminate],_xlpm.i-1)),IF(_xlpm.cur&lt;&gt;_xlpm.prev,_xlpm.cur,"")),"")</f>
        <v/>
      </c>
      <c r="BV244" s="631" t="str" cm="1">
        <f t="array" ref="BV244">IFERROR(_xlfn.LET(_xlpm.i,ROWS($BV$2:BV244),_xlpm.cur,INDEX(tblLaminateStructures[Total Thickness (µ)],_xlpm.i),_xlpm.prev,IF(_xlpm.i=1,"",INDEX(tblLaminateStructures[Total Thickness (µ)],_xlpm.i-1)),IF(OR(_xlpm.cur&lt;&gt;_xlpm.prev,BU244&lt;&gt;""),_xlpm.cur,"")),"")</f>
        <v/>
      </c>
      <c r="BW244" s="631" t="str" cm="1">
        <f t="array" ref="BW244">IFERROR(INDEX(tblLaminateStructures[Material / Layer],ROWS($BW$2:BW244)),"")</f>
        <v/>
      </c>
      <c r="BX244" s="631" t="str" cm="1">
        <f t="array" ref="BX244">IFERROR(INDEX(tblLaminateStructures[Layer Thickness (µ)],ROWS($BX$2:BX244)),"")</f>
        <v/>
      </c>
      <c r="BY244" s="631" t="str" cm="1">
        <f t="array" ref="BY244">IFERROR(INDEX(tblLaminateStructures[Structure Check],ROWS($BY$2:BY244)),"")</f>
        <v/>
      </c>
      <c r="BZ244" s="666" t="str" cm="1">
        <f t="array" ref="BZ244">IFERROR(INDEX(tblLaminateStructures[Laminate],ROWS($BZ$2:BZ244)),"")</f>
        <v/>
      </c>
      <c r="CA244" s="631"/>
      <c r="CB244" s="631"/>
      <c r="CC244" s="631" t="str" cm="1">
        <f t="array" ref="CC244">IFERROR(INDEX(tblLaminateStructures[Total Thickness (µ)],ROWS($CC$2:CC244)),"")</f>
        <v/>
      </c>
      <c r="CD244" s="631"/>
      <c r="CE244" s="631"/>
      <c r="CF244" s="631"/>
      <c r="CG244" s="631"/>
      <c r="CH244" s="631"/>
    </row>
    <row r="245" spans="58:86">
      <c r="BF245" s="631"/>
      <c r="BG245" s="631"/>
      <c r="BH245" s="631"/>
      <c r="BI245" s="631"/>
      <c r="BJ245" s="631"/>
      <c r="BK245" s="631"/>
      <c r="BL245" s="631"/>
      <c r="BM245" s="631"/>
      <c r="BN245" s="631"/>
      <c r="BO245" s="631"/>
      <c r="BP245" s="631"/>
      <c r="BQ245" s="631"/>
      <c r="BR245" s="631"/>
      <c r="BS245" s="631"/>
      <c r="BT245" s="631"/>
      <c r="BU245" s="666" t="str" cm="1">
        <f t="array" ref="BU245">IFERROR(_xlfn.LET(_xlpm.i,ROWS($BU$2:BU245),_xlpm.cur,INDEX(tblLaminateStructures[Laminate],_xlpm.i),_xlpm.prev,IF(_xlpm.i=1,"",INDEX(tblLaminateStructures[Laminate],_xlpm.i-1)),IF(_xlpm.cur&lt;&gt;_xlpm.prev,_xlpm.cur,"")),"")</f>
        <v/>
      </c>
      <c r="BV245" s="631" t="str" cm="1">
        <f t="array" ref="BV245">IFERROR(_xlfn.LET(_xlpm.i,ROWS($BV$2:BV245),_xlpm.cur,INDEX(tblLaminateStructures[Total Thickness (µ)],_xlpm.i),_xlpm.prev,IF(_xlpm.i=1,"",INDEX(tblLaminateStructures[Total Thickness (µ)],_xlpm.i-1)),IF(OR(_xlpm.cur&lt;&gt;_xlpm.prev,BU245&lt;&gt;""),_xlpm.cur,"")),"")</f>
        <v/>
      </c>
      <c r="BW245" s="631" t="str" cm="1">
        <f t="array" ref="BW245">IFERROR(INDEX(tblLaminateStructures[Material / Layer],ROWS($BW$2:BW245)),"")</f>
        <v/>
      </c>
      <c r="BX245" s="631" t="str" cm="1">
        <f t="array" ref="BX245">IFERROR(INDEX(tblLaminateStructures[Layer Thickness (µ)],ROWS($BX$2:BX245)),"")</f>
        <v/>
      </c>
      <c r="BY245" s="631" t="str" cm="1">
        <f t="array" ref="BY245">IFERROR(INDEX(tblLaminateStructures[Structure Check],ROWS($BY$2:BY245)),"")</f>
        <v/>
      </c>
      <c r="BZ245" s="666" t="str" cm="1">
        <f t="array" ref="BZ245">IFERROR(INDEX(tblLaminateStructures[Laminate],ROWS($BZ$2:BZ245)),"")</f>
        <v/>
      </c>
      <c r="CA245" s="631"/>
      <c r="CB245" s="631"/>
      <c r="CC245" s="631" t="str" cm="1">
        <f t="array" ref="CC245">IFERROR(INDEX(tblLaminateStructures[Total Thickness (µ)],ROWS($CC$2:CC245)),"")</f>
        <v/>
      </c>
      <c r="CD245" s="631"/>
      <c r="CE245" s="631"/>
      <c r="CF245" s="631"/>
      <c r="CG245" s="631"/>
      <c r="CH245" s="631"/>
    </row>
    <row r="246" spans="58:86">
      <c r="BF246" s="631"/>
      <c r="BG246" s="631"/>
      <c r="BH246" s="631"/>
      <c r="BI246" s="631"/>
      <c r="BJ246" s="631"/>
      <c r="BK246" s="631"/>
      <c r="BL246" s="631"/>
      <c r="BM246" s="631"/>
      <c r="BN246" s="631"/>
      <c r="BO246" s="631"/>
      <c r="BP246" s="631"/>
      <c r="BQ246" s="631"/>
      <c r="BR246" s="631"/>
      <c r="BS246" s="631"/>
      <c r="BT246" s="631"/>
      <c r="BU246" s="666" t="str" cm="1">
        <f t="array" ref="BU246">IFERROR(_xlfn.LET(_xlpm.i,ROWS($BU$2:BU246),_xlpm.cur,INDEX(tblLaminateStructures[Laminate],_xlpm.i),_xlpm.prev,IF(_xlpm.i=1,"",INDEX(tblLaminateStructures[Laminate],_xlpm.i-1)),IF(_xlpm.cur&lt;&gt;_xlpm.prev,_xlpm.cur,"")),"")</f>
        <v/>
      </c>
      <c r="BV246" s="631" t="str" cm="1">
        <f t="array" ref="BV246">IFERROR(_xlfn.LET(_xlpm.i,ROWS($BV$2:BV246),_xlpm.cur,INDEX(tblLaminateStructures[Total Thickness (µ)],_xlpm.i),_xlpm.prev,IF(_xlpm.i=1,"",INDEX(tblLaminateStructures[Total Thickness (µ)],_xlpm.i-1)),IF(OR(_xlpm.cur&lt;&gt;_xlpm.prev,BU246&lt;&gt;""),_xlpm.cur,"")),"")</f>
        <v/>
      </c>
      <c r="BW246" s="631" t="str" cm="1">
        <f t="array" ref="BW246">IFERROR(INDEX(tblLaminateStructures[Material / Layer],ROWS($BW$2:BW246)),"")</f>
        <v/>
      </c>
      <c r="BX246" s="631" t="str" cm="1">
        <f t="array" ref="BX246">IFERROR(INDEX(tblLaminateStructures[Layer Thickness (µ)],ROWS($BX$2:BX246)),"")</f>
        <v/>
      </c>
      <c r="BY246" s="631" t="str" cm="1">
        <f t="array" ref="BY246">IFERROR(INDEX(tblLaminateStructures[Structure Check],ROWS($BY$2:BY246)),"")</f>
        <v/>
      </c>
      <c r="BZ246" s="666" t="str" cm="1">
        <f t="array" ref="BZ246">IFERROR(INDEX(tblLaminateStructures[Laminate],ROWS($BZ$2:BZ246)),"")</f>
        <v/>
      </c>
      <c r="CA246" s="631"/>
      <c r="CB246" s="631"/>
      <c r="CC246" s="631" t="str" cm="1">
        <f t="array" ref="CC246">IFERROR(INDEX(tblLaminateStructures[Total Thickness (µ)],ROWS($CC$2:CC246)),"")</f>
        <v/>
      </c>
      <c r="CD246" s="631"/>
      <c r="CE246" s="631"/>
      <c r="CF246" s="631"/>
      <c r="CG246" s="631"/>
      <c r="CH246" s="631"/>
    </row>
    <row r="247" spans="58:86">
      <c r="BF247" s="631"/>
      <c r="BG247" s="631"/>
      <c r="BH247" s="631"/>
      <c r="BI247" s="631"/>
      <c r="BJ247" s="631"/>
      <c r="BK247" s="631"/>
      <c r="BL247" s="631"/>
      <c r="BM247" s="631"/>
      <c r="BN247" s="631"/>
      <c r="BO247" s="631"/>
      <c r="BP247" s="631"/>
      <c r="BQ247" s="631"/>
      <c r="BR247" s="631"/>
      <c r="BS247" s="631"/>
      <c r="BT247" s="631"/>
      <c r="BU247" s="666" t="str" cm="1">
        <f t="array" ref="BU247">IFERROR(_xlfn.LET(_xlpm.i,ROWS($BU$2:BU247),_xlpm.cur,INDEX(tblLaminateStructures[Laminate],_xlpm.i),_xlpm.prev,IF(_xlpm.i=1,"",INDEX(tblLaminateStructures[Laminate],_xlpm.i-1)),IF(_xlpm.cur&lt;&gt;_xlpm.prev,_xlpm.cur,"")),"")</f>
        <v/>
      </c>
      <c r="BV247" s="631" t="str" cm="1">
        <f t="array" ref="BV247">IFERROR(_xlfn.LET(_xlpm.i,ROWS($BV$2:BV247),_xlpm.cur,INDEX(tblLaminateStructures[Total Thickness (µ)],_xlpm.i),_xlpm.prev,IF(_xlpm.i=1,"",INDEX(tblLaminateStructures[Total Thickness (µ)],_xlpm.i-1)),IF(OR(_xlpm.cur&lt;&gt;_xlpm.prev,BU247&lt;&gt;""),_xlpm.cur,"")),"")</f>
        <v/>
      </c>
      <c r="BW247" s="631" t="str" cm="1">
        <f t="array" ref="BW247">IFERROR(INDEX(tblLaminateStructures[Material / Layer],ROWS($BW$2:BW247)),"")</f>
        <v/>
      </c>
      <c r="BX247" s="631" t="str" cm="1">
        <f t="array" ref="BX247">IFERROR(INDEX(tblLaminateStructures[Layer Thickness (µ)],ROWS($BX$2:BX247)),"")</f>
        <v/>
      </c>
      <c r="BY247" s="631" t="str" cm="1">
        <f t="array" ref="BY247">IFERROR(INDEX(tblLaminateStructures[Structure Check],ROWS($BY$2:BY247)),"")</f>
        <v/>
      </c>
      <c r="BZ247" s="666" t="str" cm="1">
        <f t="array" ref="BZ247">IFERROR(INDEX(tblLaminateStructures[Laminate],ROWS($BZ$2:BZ247)),"")</f>
        <v/>
      </c>
      <c r="CA247" s="631"/>
      <c r="CB247" s="631"/>
      <c r="CC247" s="631" t="str" cm="1">
        <f t="array" ref="CC247">IFERROR(INDEX(tblLaminateStructures[Total Thickness (µ)],ROWS($CC$2:CC247)),"")</f>
        <v/>
      </c>
      <c r="CD247" s="631"/>
      <c r="CE247" s="631"/>
      <c r="CF247" s="631"/>
      <c r="CG247" s="631"/>
      <c r="CH247" s="631"/>
    </row>
    <row r="248" spans="58:86">
      <c r="BF248" s="631"/>
      <c r="BG248" s="631"/>
      <c r="BH248" s="631"/>
      <c r="BI248" s="631"/>
      <c r="BJ248" s="631"/>
      <c r="BK248" s="631"/>
      <c r="BL248" s="631"/>
      <c r="BM248" s="631"/>
      <c r="BN248" s="631"/>
      <c r="BO248" s="631"/>
      <c r="BP248" s="631"/>
      <c r="BQ248" s="631"/>
      <c r="BR248" s="631"/>
      <c r="BS248" s="631"/>
      <c r="BT248" s="631"/>
      <c r="BU248" s="666" t="str" cm="1">
        <f t="array" ref="BU248">IFERROR(_xlfn.LET(_xlpm.i,ROWS($BU$2:BU248),_xlpm.cur,INDEX(tblLaminateStructures[Laminate],_xlpm.i),_xlpm.prev,IF(_xlpm.i=1,"",INDEX(tblLaminateStructures[Laminate],_xlpm.i-1)),IF(_xlpm.cur&lt;&gt;_xlpm.prev,_xlpm.cur,"")),"")</f>
        <v/>
      </c>
      <c r="BV248" s="631" t="str" cm="1">
        <f t="array" ref="BV248">IFERROR(_xlfn.LET(_xlpm.i,ROWS($BV$2:BV248),_xlpm.cur,INDEX(tblLaminateStructures[Total Thickness (µ)],_xlpm.i),_xlpm.prev,IF(_xlpm.i=1,"",INDEX(tblLaminateStructures[Total Thickness (µ)],_xlpm.i-1)),IF(OR(_xlpm.cur&lt;&gt;_xlpm.prev,BU248&lt;&gt;""),_xlpm.cur,"")),"")</f>
        <v/>
      </c>
      <c r="BW248" s="631" t="str" cm="1">
        <f t="array" ref="BW248">IFERROR(INDEX(tblLaminateStructures[Material / Layer],ROWS($BW$2:BW248)),"")</f>
        <v/>
      </c>
      <c r="BX248" s="631" t="str" cm="1">
        <f t="array" ref="BX248">IFERROR(INDEX(tblLaminateStructures[Layer Thickness (µ)],ROWS($BX$2:BX248)),"")</f>
        <v/>
      </c>
      <c r="BY248" s="631" t="str" cm="1">
        <f t="array" ref="BY248">IFERROR(INDEX(tblLaminateStructures[Structure Check],ROWS($BY$2:BY248)),"")</f>
        <v/>
      </c>
      <c r="BZ248" s="666" t="str" cm="1">
        <f t="array" ref="BZ248">IFERROR(INDEX(tblLaminateStructures[Laminate],ROWS($BZ$2:BZ248)),"")</f>
        <v/>
      </c>
      <c r="CA248" s="631"/>
      <c r="CB248" s="631"/>
      <c r="CC248" s="631" t="str" cm="1">
        <f t="array" ref="CC248">IFERROR(INDEX(tblLaminateStructures[Total Thickness (µ)],ROWS($CC$2:CC248)),"")</f>
        <v/>
      </c>
      <c r="CD248" s="631"/>
      <c r="CE248" s="631"/>
      <c r="CF248" s="631"/>
      <c r="CG248" s="631"/>
      <c r="CH248" s="631"/>
    </row>
    <row r="249" spans="58:86">
      <c r="BF249" s="631"/>
      <c r="BG249" s="631"/>
      <c r="BH249" s="631"/>
      <c r="BI249" s="631"/>
      <c r="BJ249" s="631"/>
      <c r="BK249" s="631"/>
      <c r="BL249" s="631"/>
      <c r="BM249" s="631"/>
      <c r="BN249" s="631"/>
      <c r="BO249" s="631"/>
      <c r="BP249" s="631"/>
      <c r="BQ249" s="631"/>
      <c r="BR249" s="631"/>
      <c r="BS249" s="631"/>
      <c r="BT249" s="631"/>
      <c r="BU249" s="666" t="str" cm="1">
        <f t="array" ref="BU249">IFERROR(_xlfn.LET(_xlpm.i,ROWS($BU$2:BU249),_xlpm.cur,INDEX(tblLaminateStructures[Laminate],_xlpm.i),_xlpm.prev,IF(_xlpm.i=1,"",INDEX(tblLaminateStructures[Laminate],_xlpm.i-1)),IF(_xlpm.cur&lt;&gt;_xlpm.prev,_xlpm.cur,"")),"")</f>
        <v/>
      </c>
      <c r="BV249" s="631" t="str" cm="1">
        <f t="array" ref="BV249">IFERROR(_xlfn.LET(_xlpm.i,ROWS($BV$2:BV249),_xlpm.cur,INDEX(tblLaminateStructures[Total Thickness (µ)],_xlpm.i),_xlpm.prev,IF(_xlpm.i=1,"",INDEX(tblLaminateStructures[Total Thickness (µ)],_xlpm.i-1)),IF(OR(_xlpm.cur&lt;&gt;_xlpm.prev,BU249&lt;&gt;""),_xlpm.cur,"")),"")</f>
        <v/>
      </c>
      <c r="BW249" s="631" t="str" cm="1">
        <f t="array" ref="BW249">IFERROR(INDEX(tblLaminateStructures[Material / Layer],ROWS($BW$2:BW249)),"")</f>
        <v/>
      </c>
      <c r="BX249" s="631" t="str" cm="1">
        <f t="array" ref="BX249">IFERROR(INDEX(tblLaminateStructures[Layer Thickness (µ)],ROWS($BX$2:BX249)),"")</f>
        <v/>
      </c>
      <c r="BY249" s="631" t="str" cm="1">
        <f t="array" ref="BY249">IFERROR(INDEX(tblLaminateStructures[Structure Check],ROWS($BY$2:BY249)),"")</f>
        <v/>
      </c>
      <c r="BZ249" s="666" t="str" cm="1">
        <f t="array" ref="BZ249">IFERROR(INDEX(tblLaminateStructures[Laminate],ROWS($BZ$2:BZ249)),"")</f>
        <v/>
      </c>
      <c r="CA249" s="631"/>
      <c r="CB249" s="631"/>
      <c r="CC249" s="631" t="str" cm="1">
        <f t="array" ref="CC249">IFERROR(INDEX(tblLaminateStructures[Total Thickness (µ)],ROWS($CC$2:CC249)),"")</f>
        <v/>
      </c>
      <c r="CD249" s="631"/>
      <c r="CE249" s="631"/>
      <c r="CF249" s="631"/>
      <c r="CG249" s="631"/>
      <c r="CH249" s="631"/>
    </row>
    <row r="250" spans="58:86">
      <c r="BF250" s="631"/>
      <c r="BG250" s="631"/>
      <c r="BH250" s="631"/>
      <c r="BI250" s="631"/>
      <c r="BJ250" s="631"/>
      <c r="BK250" s="631"/>
      <c r="BL250" s="631"/>
      <c r="BM250" s="631"/>
      <c r="BN250" s="631"/>
      <c r="BO250" s="631"/>
      <c r="BP250" s="631"/>
      <c r="BQ250" s="631"/>
      <c r="BR250" s="631"/>
      <c r="BS250" s="631"/>
      <c r="BT250" s="631"/>
      <c r="BU250" s="666" t="str" cm="1">
        <f t="array" ref="BU250">IFERROR(_xlfn.LET(_xlpm.i,ROWS($BU$2:BU250),_xlpm.cur,INDEX(tblLaminateStructures[Laminate],_xlpm.i),_xlpm.prev,IF(_xlpm.i=1,"",INDEX(tblLaminateStructures[Laminate],_xlpm.i-1)),IF(_xlpm.cur&lt;&gt;_xlpm.prev,_xlpm.cur,"")),"")</f>
        <v/>
      </c>
      <c r="BV250" s="631" t="str" cm="1">
        <f t="array" ref="BV250">IFERROR(_xlfn.LET(_xlpm.i,ROWS($BV$2:BV250),_xlpm.cur,INDEX(tblLaminateStructures[Total Thickness (µ)],_xlpm.i),_xlpm.prev,IF(_xlpm.i=1,"",INDEX(tblLaminateStructures[Total Thickness (µ)],_xlpm.i-1)),IF(OR(_xlpm.cur&lt;&gt;_xlpm.prev,BU250&lt;&gt;""),_xlpm.cur,"")),"")</f>
        <v/>
      </c>
      <c r="BW250" s="631" t="str" cm="1">
        <f t="array" ref="BW250">IFERROR(INDEX(tblLaminateStructures[Material / Layer],ROWS($BW$2:BW250)),"")</f>
        <v/>
      </c>
      <c r="BX250" s="631" t="str" cm="1">
        <f t="array" ref="BX250">IFERROR(INDEX(tblLaminateStructures[Layer Thickness (µ)],ROWS($BX$2:BX250)),"")</f>
        <v/>
      </c>
      <c r="BY250" s="631" t="str" cm="1">
        <f t="array" ref="BY250">IFERROR(INDEX(tblLaminateStructures[Structure Check],ROWS($BY$2:BY250)),"")</f>
        <v/>
      </c>
      <c r="BZ250" s="666" t="str" cm="1">
        <f t="array" ref="BZ250">IFERROR(INDEX(tblLaminateStructures[Laminate],ROWS($BZ$2:BZ250)),"")</f>
        <v/>
      </c>
      <c r="CA250" s="631"/>
      <c r="CB250" s="631"/>
      <c r="CC250" s="631" t="str" cm="1">
        <f t="array" ref="CC250">IFERROR(INDEX(tblLaminateStructures[Total Thickness (µ)],ROWS($CC$2:CC250)),"")</f>
        <v/>
      </c>
      <c r="CD250" s="631"/>
      <c r="CE250" s="631"/>
      <c r="CF250" s="631"/>
      <c r="CG250" s="631"/>
      <c r="CH250" s="631"/>
    </row>
    <row r="251" spans="58:86">
      <c r="BF251" s="631"/>
      <c r="BG251" s="631"/>
      <c r="BH251" s="631"/>
      <c r="BI251" s="631"/>
      <c r="BJ251" s="631"/>
      <c r="BK251" s="631"/>
      <c r="BL251" s="631"/>
      <c r="BM251" s="631"/>
      <c r="BN251" s="631"/>
      <c r="BO251" s="631"/>
      <c r="BP251" s="631"/>
      <c r="BQ251" s="631"/>
      <c r="BR251" s="631"/>
      <c r="BS251" s="631"/>
      <c r="BT251" s="631"/>
      <c r="BU251" s="666" t="str" cm="1">
        <f t="array" ref="BU251">IFERROR(_xlfn.LET(_xlpm.i,ROWS($BU$2:BU251),_xlpm.cur,INDEX(tblLaminateStructures[Laminate],_xlpm.i),_xlpm.prev,IF(_xlpm.i=1,"",INDEX(tblLaminateStructures[Laminate],_xlpm.i-1)),IF(_xlpm.cur&lt;&gt;_xlpm.prev,_xlpm.cur,"")),"")</f>
        <v/>
      </c>
      <c r="BV251" s="631" t="str" cm="1">
        <f t="array" ref="BV251">IFERROR(_xlfn.LET(_xlpm.i,ROWS($BV$2:BV251),_xlpm.cur,INDEX(tblLaminateStructures[Total Thickness (µ)],_xlpm.i),_xlpm.prev,IF(_xlpm.i=1,"",INDEX(tblLaminateStructures[Total Thickness (µ)],_xlpm.i-1)),IF(OR(_xlpm.cur&lt;&gt;_xlpm.prev,BU251&lt;&gt;""),_xlpm.cur,"")),"")</f>
        <v/>
      </c>
      <c r="BW251" s="631" t="str" cm="1">
        <f t="array" ref="BW251">IFERROR(INDEX(tblLaminateStructures[Material / Layer],ROWS($BW$2:BW251)),"")</f>
        <v/>
      </c>
      <c r="BX251" s="631" t="str" cm="1">
        <f t="array" ref="BX251">IFERROR(INDEX(tblLaminateStructures[Layer Thickness (µ)],ROWS($BX$2:BX251)),"")</f>
        <v/>
      </c>
      <c r="BY251" s="631" t="str" cm="1">
        <f t="array" ref="BY251">IFERROR(INDEX(tblLaminateStructures[Structure Check],ROWS($BY$2:BY251)),"")</f>
        <v/>
      </c>
      <c r="BZ251" s="666" t="str" cm="1">
        <f t="array" ref="BZ251">IFERROR(INDEX(tblLaminateStructures[Laminate],ROWS($BZ$2:BZ251)),"")</f>
        <v/>
      </c>
      <c r="CA251" s="631"/>
      <c r="CB251" s="631"/>
      <c r="CC251" s="631" t="str" cm="1">
        <f t="array" ref="CC251">IFERROR(INDEX(tblLaminateStructures[Total Thickness (µ)],ROWS($CC$2:CC251)),"")</f>
        <v/>
      </c>
      <c r="CD251" s="631"/>
      <c r="CE251" s="631"/>
      <c r="CF251" s="631"/>
      <c r="CG251" s="631"/>
      <c r="CH251" s="631"/>
    </row>
    <row r="252" spans="58:86">
      <c r="BF252" s="631"/>
      <c r="BG252" s="631"/>
      <c r="BH252" s="631"/>
      <c r="BI252" s="631"/>
      <c r="BJ252" s="631"/>
      <c r="BK252" s="631"/>
      <c r="BL252" s="631"/>
      <c r="BM252" s="631"/>
      <c r="BN252" s="631"/>
      <c r="BO252" s="631"/>
      <c r="BP252" s="631"/>
      <c r="BQ252" s="631"/>
      <c r="BR252" s="631"/>
      <c r="BS252" s="631"/>
      <c r="BT252" s="631"/>
      <c r="BU252" s="666" t="str" cm="1">
        <f t="array" ref="BU252">IFERROR(_xlfn.LET(_xlpm.i,ROWS($BU$2:BU252),_xlpm.cur,INDEX(tblLaminateStructures[Laminate],_xlpm.i),_xlpm.prev,IF(_xlpm.i=1,"",INDEX(tblLaminateStructures[Laminate],_xlpm.i-1)),IF(_xlpm.cur&lt;&gt;_xlpm.prev,_xlpm.cur,"")),"")</f>
        <v/>
      </c>
      <c r="BV252" s="631" t="str" cm="1">
        <f t="array" ref="BV252">IFERROR(_xlfn.LET(_xlpm.i,ROWS($BV$2:BV252),_xlpm.cur,INDEX(tblLaminateStructures[Total Thickness (µ)],_xlpm.i),_xlpm.prev,IF(_xlpm.i=1,"",INDEX(tblLaminateStructures[Total Thickness (µ)],_xlpm.i-1)),IF(OR(_xlpm.cur&lt;&gt;_xlpm.prev,BU252&lt;&gt;""),_xlpm.cur,"")),"")</f>
        <v/>
      </c>
      <c r="BW252" s="631" t="str" cm="1">
        <f t="array" ref="BW252">IFERROR(INDEX(tblLaminateStructures[Material / Layer],ROWS($BW$2:BW252)),"")</f>
        <v/>
      </c>
      <c r="BX252" s="631" t="str" cm="1">
        <f t="array" ref="BX252">IFERROR(INDEX(tblLaminateStructures[Layer Thickness (µ)],ROWS($BX$2:BX252)),"")</f>
        <v/>
      </c>
      <c r="BY252" s="631" t="str" cm="1">
        <f t="array" ref="BY252">IFERROR(INDEX(tblLaminateStructures[Structure Check],ROWS($BY$2:BY252)),"")</f>
        <v/>
      </c>
      <c r="BZ252" s="666" t="str" cm="1">
        <f t="array" ref="BZ252">IFERROR(INDEX(tblLaminateStructures[Laminate],ROWS($BZ$2:BZ252)),"")</f>
        <v/>
      </c>
      <c r="CA252" s="631"/>
      <c r="CB252" s="631"/>
      <c r="CC252" s="631" t="str" cm="1">
        <f t="array" ref="CC252">IFERROR(INDEX(tblLaminateStructures[Total Thickness (µ)],ROWS($CC$2:CC252)),"")</f>
        <v/>
      </c>
      <c r="CD252" s="631"/>
      <c r="CE252" s="631"/>
      <c r="CF252" s="631"/>
      <c r="CG252" s="631"/>
      <c r="CH252" s="631"/>
    </row>
    <row r="253" spans="58:86">
      <c r="BF253" s="631"/>
      <c r="BG253" s="631"/>
      <c r="BH253" s="631"/>
      <c r="BI253" s="631"/>
      <c r="BJ253" s="631"/>
      <c r="BK253" s="631"/>
      <c r="BL253" s="631"/>
      <c r="BM253" s="631"/>
      <c r="BN253" s="631"/>
      <c r="BO253" s="631"/>
      <c r="BP253" s="631"/>
      <c r="BQ253" s="631"/>
      <c r="BR253" s="631"/>
      <c r="BS253" s="631"/>
      <c r="BT253" s="631"/>
      <c r="BU253" s="666" t="str" cm="1">
        <f t="array" ref="BU253">IFERROR(_xlfn.LET(_xlpm.i,ROWS($BU$2:BU253),_xlpm.cur,INDEX(tblLaminateStructures[Laminate],_xlpm.i),_xlpm.prev,IF(_xlpm.i=1,"",INDEX(tblLaminateStructures[Laminate],_xlpm.i-1)),IF(_xlpm.cur&lt;&gt;_xlpm.prev,_xlpm.cur,"")),"")</f>
        <v/>
      </c>
      <c r="BV253" s="631" t="str" cm="1">
        <f t="array" ref="BV253">IFERROR(_xlfn.LET(_xlpm.i,ROWS($BV$2:BV253),_xlpm.cur,INDEX(tblLaminateStructures[Total Thickness (µ)],_xlpm.i),_xlpm.prev,IF(_xlpm.i=1,"",INDEX(tblLaminateStructures[Total Thickness (µ)],_xlpm.i-1)),IF(OR(_xlpm.cur&lt;&gt;_xlpm.prev,BU253&lt;&gt;""),_xlpm.cur,"")),"")</f>
        <v/>
      </c>
      <c r="BW253" s="631" t="str" cm="1">
        <f t="array" ref="BW253">IFERROR(INDEX(tblLaminateStructures[Material / Layer],ROWS($BW$2:BW253)),"")</f>
        <v/>
      </c>
      <c r="BX253" s="631" t="str" cm="1">
        <f t="array" ref="BX253">IFERROR(INDEX(tblLaminateStructures[Layer Thickness (µ)],ROWS($BX$2:BX253)),"")</f>
        <v/>
      </c>
      <c r="BY253" s="631" t="str" cm="1">
        <f t="array" ref="BY253">IFERROR(INDEX(tblLaminateStructures[Structure Check],ROWS($BY$2:BY253)),"")</f>
        <v/>
      </c>
      <c r="BZ253" s="666" t="str" cm="1">
        <f t="array" ref="BZ253">IFERROR(INDEX(tblLaminateStructures[Laminate],ROWS($BZ$2:BZ253)),"")</f>
        <v/>
      </c>
      <c r="CA253" s="631"/>
      <c r="CB253" s="631"/>
      <c r="CC253" s="631" t="str" cm="1">
        <f t="array" ref="CC253">IFERROR(INDEX(tblLaminateStructures[Total Thickness (µ)],ROWS($CC$2:CC253)),"")</f>
        <v/>
      </c>
      <c r="CD253" s="631"/>
      <c r="CE253" s="631"/>
      <c r="CF253" s="631"/>
      <c r="CG253" s="631"/>
      <c r="CH253" s="631"/>
    </row>
    <row r="254" spans="58:86">
      <c r="BF254" s="631"/>
      <c r="BG254" s="631"/>
      <c r="BH254" s="631"/>
      <c r="BI254" s="631"/>
      <c r="BJ254" s="631"/>
      <c r="BK254" s="631"/>
      <c r="BL254" s="631"/>
      <c r="BM254" s="631"/>
      <c r="BN254" s="631"/>
      <c r="BO254" s="631"/>
      <c r="BP254" s="631"/>
      <c r="BQ254" s="631"/>
      <c r="BR254" s="631"/>
      <c r="BS254" s="631"/>
      <c r="BT254" s="631"/>
      <c r="BU254" s="666" t="str" cm="1">
        <f t="array" ref="BU254">IFERROR(_xlfn.LET(_xlpm.i,ROWS($BU$2:BU254),_xlpm.cur,INDEX(tblLaminateStructures[Laminate],_xlpm.i),_xlpm.prev,IF(_xlpm.i=1,"",INDEX(tblLaminateStructures[Laminate],_xlpm.i-1)),IF(_xlpm.cur&lt;&gt;_xlpm.prev,_xlpm.cur,"")),"")</f>
        <v/>
      </c>
      <c r="BV254" s="631" t="str" cm="1">
        <f t="array" ref="BV254">IFERROR(_xlfn.LET(_xlpm.i,ROWS($BV$2:BV254),_xlpm.cur,INDEX(tblLaminateStructures[Total Thickness (µ)],_xlpm.i),_xlpm.prev,IF(_xlpm.i=1,"",INDEX(tblLaminateStructures[Total Thickness (µ)],_xlpm.i-1)),IF(OR(_xlpm.cur&lt;&gt;_xlpm.prev,BU254&lt;&gt;""),_xlpm.cur,"")),"")</f>
        <v/>
      </c>
      <c r="BW254" s="631" t="str" cm="1">
        <f t="array" ref="BW254">IFERROR(INDEX(tblLaminateStructures[Material / Layer],ROWS($BW$2:BW254)),"")</f>
        <v/>
      </c>
      <c r="BX254" s="631" t="str" cm="1">
        <f t="array" ref="BX254">IFERROR(INDEX(tblLaminateStructures[Layer Thickness (µ)],ROWS($BX$2:BX254)),"")</f>
        <v/>
      </c>
      <c r="BY254" s="631" t="str" cm="1">
        <f t="array" ref="BY254">IFERROR(INDEX(tblLaminateStructures[Structure Check],ROWS($BY$2:BY254)),"")</f>
        <v/>
      </c>
      <c r="BZ254" s="666" t="str" cm="1">
        <f t="array" ref="BZ254">IFERROR(INDEX(tblLaminateStructures[Laminate],ROWS($BZ$2:BZ254)),"")</f>
        <v/>
      </c>
      <c r="CA254" s="631"/>
      <c r="CB254" s="631"/>
      <c r="CC254" s="631" t="str" cm="1">
        <f t="array" ref="CC254">IFERROR(INDEX(tblLaminateStructures[Total Thickness (µ)],ROWS($CC$2:CC254)),"")</f>
        <v/>
      </c>
      <c r="CD254" s="631"/>
      <c r="CE254" s="631"/>
      <c r="CF254" s="631"/>
      <c r="CG254" s="631"/>
      <c r="CH254" s="631"/>
    </row>
    <row r="255" spans="58:86">
      <c r="BF255" s="631"/>
      <c r="BG255" s="631"/>
      <c r="BH255" s="631"/>
      <c r="BI255" s="631"/>
      <c r="BJ255" s="631"/>
      <c r="BK255" s="631"/>
      <c r="BL255" s="631"/>
      <c r="BM255" s="631"/>
      <c r="BN255" s="631"/>
      <c r="BO255" s="631"/>
      <c r="BP255" s="631"/>
      <c r="BQ255" s="631"/>
      <c r="BR255" s="631"/>
      <c r="BS255" s="631"/>
      <c r="BT255" s="631"/>
      <c r="BU255" s="666" t="str" cm="1">
        <f t="array" ref="BU255">IFERROR(_xlfn.LET(_xlpm.i,ROWS($BU$2:BU255),_xlpm.cur,INDEX(tblLaminateStructures[Laminate],_xlpm.i),_xlpm.prev,IF(_xlpm.i=1,"",INDEX(tblLaminateStructures[Laminate],_xlpm.i-1)),IF(_xlpm.cur&lt;&gt;_xlpm.prev,_xlpm.cur,"")),"")</f>
        <v/>
      </c>
      <c r="BV255" s="631" t="str" cm="1">
        <f t="array" ref="BV255">IFERROR(_xlfn.LET(_xlpm.i,ROWS($BV$2:BV255),_xlpm.cur,INDEX(tblLaminateStructures[Total Thickness (µ)],_xlpm.i),_xlpm.prev,IF(_xlpm.i=1,"",INDEX(tblLaminateStructures[Total Thickness (µ)],_xlpm.i-1)),IF(OR(_xlpm.cur&lt;&gt;_xlpm.prev,BU255&lt;&gt;""),_xlpm.cur,"")),"")</f>
        <v/>
      </c>
      <c r="BW255" s="631" t="str" cm="1">
        <f t="array" ref="BW255">IFERROR(INDEX(tblLaminateStructures[Material / Layer],ROWS($BW$2:BW255)),"")</f>
        <v/>
      </c>
      <c r="BX255" s="631" t="str" cm="1">
        <f t="array" ref="BX255">IFERROR(INDEX(tblLaminateStructures[Layer Thickness (µ)],ROWS($BX$2:BX255)),"")</f>
        <v/>
      </c>
      <c r="BY255" s="631" t="str" cm="1">
        <f t="array" ref="BY255">IFERROR(INDEX(tblLaminateStructures[Structure Check],ROWS($BY$2:BY255)),"")</f>
        <v/>
      </c>
      <c r="BZ255" s="666" t="str" cm="1">
        <f t="array" ref="BZ255">IFERROR(INDEX(tblLaminateStructures[Laminate],ROWS($BZ$2:BZ255)),"")</f>
        <v/>
      </c>
      <c r="CA255" s="631"/>
      <c r="CB255" s="631"/>
      <c r="CC255" s="631" t="str" cm="1">
        <f t="array" ref="CC255">IFERROR(INDEX(tblLaminateStructures[Total Thickness (µ)],ROWS($CC$2:CC255)),"")</f>
        <v/>
      </c>
      <c r="CD255" s="631"/>
      <c r="CE255" s="631"/>
      <c r="CF255" s="631"/>
      <c r="CG255" s="631"/>
      <c r="CH255" s="631"/>
    </row>
    <row r="256" spans="58:86">
      <c r="BF256" s="631"/>
      <c r="BG256" s="631"/>
      <c r="BH256" s="631"/>
      <c r="BI256" s="631"/>
      <c r="BJ256" s="631"/>
      <c r="BK256" s="631"/>
      <c r="BL256" s="631"/>
      <c r="BM256" s="631"/>
      <c r="BN256" s="631"/>
      <c r="BO256" s="631"/>
      <c r="BP256" s="631"/>
      <c r="BQ256" s="631"/>
      <c r="BR256" s="631"/>
      <c r="BS256" s="631"/>
      <c r="BT256" s="631"/>
      <c r="BU256" s="666" t="str" cm="1">
        <f t="array" ref="BU256">IFERROR(_xlfn.LET(_xlpm.i,ROWS($BU$2:BU256),_xlpm.cur,INDEX(tblLaminateStructures[Laminate],_xlpm.i),_xlpm.prev,IF(_xlpm.i=1,"",INDEX(tblLaminateStructures[Laminate],_xlpm.i-1)),IF(_xlpm.cur&lt;&gt;_xlpm.prev,_xlpm.cur,"")),"")</f>
        <v/>
      </c>
      <c r="BV256" s="631" t="str" cm="1">
        <f t="array" ref="BV256">IFERROR(_xlfn.LET(_xlpm.i,ROWS($BV$2:BV256),_xlpm.cur,INDEX(tblLaminateStructures[Total Thickness (µ)],_xlpm.i),_xlpm.prev,IF(_xlpm.i=1,"",INDEX(tblLaminateStructures[Total Thickness (µ)],_xlpm.i-1)),IF(OR(_xlpm.cur&lt;&gt;_xlpm.prev,BU256&lt;&gt;""),_xlpm.cur,"")),"")</f>
        <v/>
      </c>
      <c r="BW256" s="631" t="str" cm="1">
        <f t="array" ref="BW256">IFERROR(INDEX(tblLaminateStructures[Material / Layer],ROWS($BW$2:BW256)),"")</f>
        <v/>
      </c>
      <c r="BX256" s="631" t="str" cm="1">
        <f t="array" ref="BX256">IFERROR(INDEX(tblLaminateStructures[Layer Thickness (µ)],ROWS($BX$2:BX256)),"")</f>
        <v/>
      </c>
      <c r="BY256" s="631" t="str" cm="1">
        <f t="array" ref="BY256">IFERROR(INDEX(tblLaminateStructures[Structure Check],ROWS($BY$2:BY256)),"")</f>
        <v/>
      </c>
      <c r="BZ256" s="666" t="str" cm="1">
        <f t="array" ref="BZ256">IFERROR(INDEX(tblLaminateStructures[Laminate],ROWS($BZ$2:BZ256)),"")</f>
        <v/>
      </c>
      <c r="CA256" s="631"/>
      <c r="CB256" s="631"/>
      <c r="CC256" s="631" t="str" cm="1">
        <f t="array" ref="CC256">IFERROR(INDEX(tblLaminateStructures[Total Thickness (µ)],ROWS($CC$2:CC256)),"")</f>
        <v/>
      </c>
      <c r="CD256" s="631"/>
      <c r="CE256" s="631"/>
      <c r="CF256" s="631"/>
      <c r="CG256" s="631"/>
      <c r="CH256" s="631"/>
    </row>
  </sheetData>
  <mergeCells count="6">
    <mergeCell ref="AF4:AF8"/>
    <mergeCell ref="AJ1:AK1"/>
    <mergeCell ref="AM1:AN1"/>
    <mergeCell ref="AS1:AT1"/>
    <mergeCell ref="BH1:BI1"/>
    <mergeCell ref="BF2:BO2"/>
  </mergeCells>
  <conditionalFormatting sqref="AP12 AP17">
    <cfRule type="expression" dxfId="3" priority="1">
      <formula>AND(INDIRECT("C"&amp;(3+FLOOR((ROW()-3)/6,1)*6))&lt;&gt;"",AP12="")</formula>
    </cfRule>
  </conditionalFormatting>
  <pageMargins left="0.7" right="0.7" top="0.75" bottom="0.75" header="0.3" footer="0.3"/>
  <drawing r:id="rId1"/>
  <legacyDrawing r:id="rId2"/>
  <tableParts count="4">
    <tablePart r:id="rId3"/>
    <tablePart r:id="rId4"/>
    <tablePart r:id="rId5"/>
    <tablePart r:id="rId6"/>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0806C-7995-4BA8-A494-40C3F50415D6}">
  <sheetPr>
    <tabColor rgb="FFFFFF00"/>
  </sheetPr>
  <dimension ref="A1:AF21"/>
  <sheetViews>
    <sheetView topLeftCell="A3" zoomScaleNormal="100" workbookViewId="0">
      <selection activeCell="E27" sqref="E27"/>
    </sheetView>
  </sheetViews>
  <sheetFormatPr defaultRowHeight="15"/>
  <cols>
    <col min="1" max="1" width="13.140625" bestFit="1" customWidth="1"/>
    <col min="2" max="2" width="13.140625" customWidth="1"/>
    <col min="3" max="3" width="15.140625" customWidth="1"/>
    <col min="4" max="4" width="15" customWidth="1"/>
    <col min="5" max="5" width="22.42578125" customWidth="1"/>
    <col min="6" max="6" width="7.85546875" customWidth="1"/>
    <col min="7" max="7" width="17.140625" customWidth="1"/>
    <col min="8" max="8" width="13.140625" bestFit="1" customWidth="1"/>
    <col min="9" max="9" width="14.42578125" customWidth="1"/>
    <col min="10" max="10" width="13.85546875" customWidth="1"/>
    <col min="11" max="11" width="19.140625" customWidth="1"/>
    <col min="12" max="12" width="22.85546875" customWidth="1"/>
    <col min="13" max="13" width="15.7109375" customWidth="1"/>
    <col min="14" max="14" width="18.85546875" customWidth="1"/>
    <col min="15" max="15" width="26.85546875" customWidth="1"/>
    <col min="16" max="16" width="26.42578125" customWidth="1"/>
    <col min="17" max="17" width="24.85546875" customWidth="1"/>
    <col min="18" max="18" width="17.5703125" customWidth="1"/>
    <col min="19" max="19" width="26.140625" customWidth="1"/>
    <col min="20" max="21" width="24.5703125" customWidth="1"/>
    <col min="22" max="22" width="13.85546875" customWidth="1"/>
    <col min="23" max="23" width="15.140625" customWidth="1"/>
    <col min="24" max="24" width="27.28515625" bestFit="1" customWidth="1"/>
    <col min="25" max="25" width="17.85546875" customWidth="1"/>
    <col min="26" max="26" width="19.5703125" customWidth="1"/>
    <col min="27" max="27" width="18.140625" bestFit="1" customWidth="1"/>
    <col min="28" max="28" width="12.5703125" customWidth="1"/>
    <col min="29" max="29" width="20.140625" customWidth="1"/>
    <col min="30" max="30" width="9" customWidth="1"/>
    <col min="32" max="32" width="22.85546875" bestFit="1" customWidth="1"/>
  </cols>
  <sheetData>
    <row r="1" spans="1:32">
      <c r="D1" s="39"/>
      <c r="E1" s="39"/>
      <c r="N1" s="39"/>
      <c r="O1" s="39"/>
    </row>
    <row r="2" spans="1:32" ht="15.75" thickBot="1">
      <c r="D2" s="39"/>
      <c r="E2" s="39"/>
      <c r="F2" s="39"/>
      <c r="G2" s="39"/>
      <c r="H2" s="39"/>
      <c r="I2" s="39"/>
      <c r="J2" s="986"/>
      <c r="K2" s="986"/>
      <c r="L2" s="39"/>
      <c r="M2" s="39"/>
      <c r="N2" s="39"/>
      <c r="O2" s="39"/>
      <c r="P2" t="s">
        <v>109</v>
      </c>
      <c r="S2" s="40"/>
      <c r="T2" s="40"/>
      <c r="U2" s="40"/>
      <c r="V2" s="40"/>
      <c r="W2" s="40"/>
      <c r="AC2" s="41">
        <v>0.25</v>
      </c>
    </row>
    <row r="3" spans="1:32" s="10" customFormat="1">
      <c r="A3" s="75" t="s">
        <v>136</v>
      </c>
      <c r="B3" s="75" t="s">
        <v>169</v>
      </c>
      <c r="C3" s="76" t="s">
        <v>71</v>
      </c>
      <c r="D3" s="76" t="s">
        <v>71</v>
      </c>
      <c r="E3" s="76" t="s">
        <v>71</v>
      </c>
      <c r="F3" s="76" t="s">
        <v>71</v>
      </c>
      <c r="G3" s="76" t="s">
        <v>71</v>
      </c>
      <c r="H3" s="75" t="s">
        <v>136</v>
      </c>
      <c r="I3" s="75" t="s">
        <v>136</v>
      </c>
      <c r="J3" s="75" t="s">
        <v>136</v>
      </c>
      <c r="K3" s="75" t="s">
        <v>136</v>
      </c>
      <c r="L3" s="76" t="s">
        <v>71</v>
      </c>
      <c r="M3" s="75" t="s">
        <v>136</v>
      </c>
      <c r="N3" s="76" t="s">
        <v>141</v>
      </c>
      <c r="O3" s="76" t="s">
        <v>141</v>
      </c>
      <c r="P3" s="76" t="s">
        <v>141</v>
      </c>
      <c r="Q3" s="76" t="s">
        <v>70</v>
      </c>
      <c r="R3" s="76" t="s">
        <v>141</v>
      </c>
      <c r="S3" s="76" t="s">
        <v>141</v>
      </c>
      <c r="T3" s="76" t="s">
        <v>141</v>
      </c>
      <c r="U3" s="75" t="s">
        <v>136</v>
      </c>
      <c r="V3" s="75" t="s">
        <v>136</v>
      </c>
      <c r="W3" s="76" t="s">
        <v>141</v>
      </c>
      <c r="X3" s="76" t="s">
        <v>141</v>
      </c>
      <c r="Y3" s="76" t="s">
        <v>141</v>
      </c>
      <c r="Z3" s="82" t="s">
        <v>71</v>
      </c>
      <c r="AA3" s="76" t="s">
        <v>141</v>
      </c>
      <c r="AB3" s="76" t="s">
        <v>141</v>
      </c>
      <c r="AC3" s="76" t="s">
        <v>141</v>
      </c>
      <c r="AD3" s="76" t="s">
        <v>141</v>
      </c>
    </row>
    <row r="4" spans="1:32" ht="30.75" thickBot="1">
      <c r="A4" s="71" t="s">
        <v>110</v>
      </c>
      <c r="B4" s="72" t="s">
        <v>55</v>
      </c>
      <c r="C4" s="72" t="s">
        <v>111</v>
      </c>
      <c r="D4" s="72" t="s">
        <v>112</v>
      </c>
      <c r="E4" s="72" t="s">
        <v>113</v>
      </c>
      <c r="F4" s="72" t="s">
        <v>114</v>
      </c>
      <c r="G4" s="72" t="s">
        <v>115</v>
      </c>
      <c r="H4" s="72" t="s">
        <v>1</v>
      </c>
      <c r="I4" s="72" t="s">
        <v>116</v>
      </c>
      <c r="J4" s="72" t="s">
        <v>117</v>
      </c>
      <c r="K4" s="72" t="s">
        <v>118</v>
      </c>
      <c r="L4" s="72" t="s">
        <v>140</v>
      </c>
      <c r="M4" s="72" t="s">
        <v>129</v>
      </c>
      <c r="N4" s="73" t="s">
        <v>119</v>
      </c>
      <c r="O4" s="72" t="s">
        <v>120</v>
      </c>
      <c r="P4" s="72" t="s">
        <v>121</v>
      </c>
      <c r="Q4" s="72" t="s">
        <v>148</v>
      </c>
      <c r="R4" s="72" t="s">
        <v>122</v>
      </c>
      <c r="S4" s="72" t="s">
        <v>123</v>
      </c>
      <c r="T4" s="72" t="s">
        <v>145</v>
      </c>
      <c r="U4" s="72" t="s">
        <v>147</v>
      </c>
      <c r="V4" s="72" t="s">
        <v>144</v>
      </c>
      <c r="W4" s="72" t="s">
        <v>146</v>
      </c>
      <c r="X4" s="72" t="s">
        <v>142</v>
      </c>
      <c r="Y4" s="74" t="s">
        <v>124</v>
      </c>
      <c r="Z4" s="83" t="s">
        <v>178</v>
      </c>
      <c r="AA4" s="71" t="s">
        <v>125</v>
      </c>
      <c r="AB4" s="72" t="s">
        <v>126</v>
      </c>
      <c r="AC4" s="87" t="s">
        <v>128</v>
      </c>
      <c r="AD4" s="74" t="s">
        <v>127</v>
      </c>
      <c r="AF4" s="86" t="s">
        <v>179</v>
      </c>
    </row>
    <row r="5" spans="1:32">
      <c r="A5" t="s">
        <v>130</v>
      </c>
      <c r="B5" t="s">
        <v>0</v>
      </c>
      <c r="C5" s="69">
        <v>56000</v>
      </c>
      <c r="D5">
        <v>330</v>
      </c>
      <c r="E5">
        <v>300</v>
      </c>
      <c r="F5">
        <v>30</v>
      </c>
      <c r="G5">
        <v>0</v>
      </c>
      <c r="H5" t="s">
        <v>0</v>
      </c>
      <c r="I5" t="s">
        <v>134</v>
      </c>
      <c r="J5" t="s">
        <v>138</v>
      </c>
      <c r="K5" s="195" t="s">
        <v>619</v>
      </c>
      <c r="L5" s="64">
        <f>IFERROR(IF(OR(D5=HELPER!Q4,D5=HELPER!$Q$5),D5*2+F5+G5*2,D5*2+G5*2)," ")</f>
        <v>660</v>
      </c>
      <c r="M5">
        <v>40</v>
      </c>
      <c r="N5" s="65">
        <f>(E5/1000)*(L5/1000)*(M5/1000)*1.25</f>
        <v>9.8999999999999991E-3</v>
      </c>
      <c r="O5" s="66">
        <f>N5*(1+X5)</f>
        <v>1.1844642857142856E-2</v>
      </c>
      <c r="P5">
        <f>IFERROR(VLOOKUP(B5,BOM!$Q$1:$R$12,2,FALSE),"")</f>
        <v>5.3805880000000004</v>
      </c>
      <c r="Q5" t="s">
        <v>573</v>
      </c>
      <c r="R5">
        <f>IFERROR(IF(Q5="Europe to Canada",IF(C5*O5&lt;1000,(C5*O5/1000)*VLOOKUP(1000,HELPER!$AG$4:$AH$8,2,FALSE)/(C5*O5),VLOOKUP(C5*O5,HELPER!$AG$4:$AH$8,2,TRUE)/(C5*O5)),VLOOKUP(Q5,HELPER!$AF$2:$AH$3,3,FALSE)),0)</f>
        <v>4.3499999999999996</v>
      </c>
      <c r="S5" s="91">
        <f>IFERROR(Table6[[#This Row],[Bag''s Weight + Fall out (kg)]]*(Table6[[#This Row],[Raw material cost (per kg)]]+Table6[[#This Row],[Shipment costs]])," ")</f>
        <v>0.11525533965</v>
      </c>
      <c r="T5">
        <f>C5*E5/1000</f>
        <v>16800</v>
      </c>
      <c r="U5">
        <v>300</v>
      </c>
      <c r="V5">
        <v>300</v>
      </c>
      <c r="W5" s="67">
        <f>IFERROR((0.05+SUM(U5,V5)/T5)," ")</f>
        <v>8.5714285714285715E-2</v>
      </c>
      <c r="X5" s="68">
        <f t="shared" ref="X5" si="0">IFERROR((0.075+(U5+IF(OR(J5&lt;&gt;"Printed",K5=0,K5="0",K5=""),0,V5))/T5+W5),"no data yet")</f>
        <v>0.19642857142857142</v>
      </c>
      <c r="Y5" s="81">
        <f>IF(OR(C5="",C5=0),"",((D5*E5)/1000000)*0.175*VLOOKUP(C5,HELPER!$AS$3:$AT$7,2,TRUE)*1.2*1.15*IF((D5+E5)*2&gt;=1200,1.5,1))</f>
        <v>6.0966674999999998E-2</v>
      </c>
      <c r="Z5" s="84"/>
      <c r="AA5" s="68">
        <f>IF(A5=HELPER!$Q$2,HELPER!$AD$2,0)</f>
        <v>0.16900000000000001</v>
      </c>
      <c r="AB5" s="69">
        <f t="shared" ref="AB5" si="1">IFERROR((P5+U5+V5+W5+X5+IF(Z5&lt;&gt;"",Z5,Y5)+AA5),0)</f>
        <v>605.89269753214285</v>
      </c>
      <c r="AC5" s="88">
        <f t="shared" ref="AC5:AC14" si="2">IFERROR(AB5/(1-$AC$2)," ")</f>
        <v>807.85693004285713</v>
      </c>
      <c r="AD5" s="70">
        <f>AC5-AB5</f>
        <v>201.96423251071428</v>
      </c>
      <c r="AF5" s="90">
        <f>Table6[[#This Row],[Price for customer]]*HELPER!$AK$2</f>
        <v>937.11403884971423</v>
      </c>
    </row>
    <row r="6" spans="1:32">
      <c r="A6" t="s">
        <v>131</v>
      </c>
      <c r="B6" t="s">
        <v>44</v>
      </c>
      <c r="C6" s="69"/>
      <c r="L6" s="64">
        <f>IFERROR(IF(OR(D6=HELPER!Q5,D6=HELPER!$Q$5),D6*2+F6+G6*2,D6*2+G6*2)," ")</f>
        <v>0</v>
      </c>
      <c r="N6" s="65">
        <f t="shared" ref="N6:N14" si="3">(E6/1000)*(L6/1000)*(M6/1000)*1.25</f>
        <v>0</v>
      </c>
      <c r="O6" s="66" t="e">
        <f t="shared" ref="O6:O14" si="4">N6*(1+X6)</f>
        <v>#VALUE!</v>
      </c>
      <c r="P6" t="str">
        <f>IFERROR(VLOOKUP(B6,BOM!$Q$1:$R$12,2,FALSE),"")</f>
        <v/>
      </c>
      <c r="R6">
        <f>IFERROR(IF(Q6="Europe to Canada",IF(C6*O6&lt;1000,(C6*O6/1000)*VLOOKUP(1000,HELPER!$AG$4:$AH$8,2,FALSE)/(C6*O6),VLOOKUP(C6*O6,HELPER!$AG$4:$AH$8,2,TRUE)/(C6*O6)),VLOOKUP(Q6,HELPER!$AF$2:$AH$3,3,FALSE)),0)</f>
        <v>0</v>
      </c>
      <c r="S6" s="91" t="str">
        <f>IFERROR(Table6[[#This Row],[Bag''s Weight + Fall out (kg)]]*(Table6[[#This Row],[Raw material cost (per kg)]]+Table6[[#This Row],[Shipment costs]])," ")</f>
        <v xml:space="preserve"> </v>
      </c>
      <c r="W6" s="67" t="str">
        <f t="shared" ref="W6:W14" si="5">IFERROR((0.05+SUM(U6,V6)/T6)," ")</f>
        <v xml:space="preserve"> </v>
      </c>
      <c r="X6" s="105" t="str">
        <f t="shared" ref="X6:X14" si="6">IFERROR((0.075+(U6+IF(OR(J6&lt;&gt;"Printed",K6=0,K6="0",K6=""),0,V6))/T6+W6),"no data yet")</f>
        <v>no data yet</v>
      </c>
      <c r="Y6" s="81" t="str">
        <f>IF(OR(C6="",C6=0),"",((D6*E6)/1000000)*0.175*VLOOKUP(C6,HELPER!$AS$3:$AT$7,2,TRUE)*1.2*1.15*IF((D6+E6)*2&gt;=1200,1.5,1))</f>
        <v/>
      </c>
      <c r="Z6" s="84"/>
      <c r="AA6" s="69">
        <f>IF(A6=HELPER!$Q$2,HELPER!$AD$2,0)</f>
        <v>0</v>
      </c>
      <c r="AB6" s="69">
        <f t="shared" ref="AB6:AB14" si="7">IFERROR((P6+U6+V6+W6+X6+IF(Z6&lt;&gt;"",Z6,Y6)+AA6),0)</f>
        <v>0</v>
      </c>
      <c r="AC6" s="88">
        <f t="shared" si="2"/>
        <v>0</v>
      </c>
      <c r="AF6" s="90">
        <f>Table6[[#This Row],[Price for customer]]*HELPER!$AK$2</f>
        <v>0</v>
      </c>
    </row>
    <row r="7" spans="1:32">
      <c r="C7" s="69"/>
      <c r="D7" s="95"/>
      <c r="L7" s="64">
        <f>IFERROR(IF(OR(D7=HELPER!Q6,D7=HELPER!$Q$5),D7*2+F7+G7*2,D7*2+G7*2)," ")</f>
        <v>0</v>
      </c>
      <c r="N7" s="65">
        <f t="shared" si="3"/>
        <v>0</v>
      </c>
      <c r="O7" s="66" t="e">
        <f t="shared" si="4"/>
        <v>#VALUE!</v>
      </c>
      <c r="P7" t="str">
        <f>IFERROR(VLOOKUP(B7,BOM!$Q$1:$R$12,2,FALSE),"")</f>
        <v/>
      </c>
      <c r="R7">
        <f>IFERROR(IF(Q7="Europe to Canada",IF(C7*O7&lt;1000,(C7*O7/1000)*VLOOKUP(1000,HELPER!$AG$4:$AH$8,2,FALSE)/(C7*O7),VLOOKUP(C7*O7,HELPER!$AG$4:$AH$8,2,TRUE)/(C7*O7)),VLOOKUP(Q7,HELPER!$AF$2:$AH$3,3,FALSE)),0)</f>
        <v>0</v>
      </c>
      <c r="S7" s="91" t="str">
        <f>IFERROR(Table6[[#This Row],[Bag''s Weight + Fall out (kg)]]*(Table6[[#This Row],[Raw material cost (per kg)]]+Table6[[#This Row],[Shipment costs]])," ")</f>
        <v xml:space="preserve"> </v>
      </c>
      <c r="W7" s="67" t="str">
        <f t="shared" si="5"/>
        <v xml:space="preserve"> </v>
      </c>
      <c r="X7" s="105" t="str">
        <f t="shared" si="6"/>
        <v>no data yet</v>
      </c>
      <c r="Y7" s="81" t="str">
        <f>IF(OR(C7="",C7=0),"",((D7*E7)/1000000)*0.175*VLOOKUP(C7,HELPER!$AS$3:$AT$7,2,TRUE)*1.2*1.15*IF((D7+E7)*2&gt;=1200,1.5,1))</f>
        <v/>
      </c>
      <c r="Z7" s="84"/>
      <c r="AA7" s="69">
        <f>IF(A7=HELPER!$Q$2,HELPER!$AD$2,0)</f>
        <v>0</v>
      </c>
      <c r="AB7" s="69">
        <f t="shared" si="7"/>
        <v>0</v>
      </c>
      <c r="AC7" s="88">
        <f t="shared" si="2"/>
        <v>0</v>
      </c>
      <c r="AF7" s="90">
        <f>Table6[[#This Row],[Price for customer]]*HELPER!$AK$2</f>
        <v>0</v>
      </c>
    </row>
    <row r="8" spans="1:32">
      <c r="C8" s="69"/>
      <c r="L8" s="64">
        <f>IFERROR(IF(OR(D8=HELPER!Q7,D8=HELPER!$Q$5),D8*2+F8+G8*2,D8*2+G8*2)," ")</f>
        <v>0</v>
      </c>
      <c r="N8" s="65">
        <f t="shared" si="3"/>
        <v>0</v>
      </c>
      <c r="O8" s="66" t="e">
        <f t="shared" si="4"/>
        <v>#VALUE!</v>
      </c>
      <c r="P8" t="str">
        <f>IFERROR(VLOOKUP(B8,BOM!$Q$1:$R$12,2,FALSE),"")</f>
        <v/>
      </c>
      <c r="R8">
        <f>IFERROR(IF(Q8="Europe to Canada",IF(C8*O8&lt;1000,(C8*O8/1000)*VLOOKUP(1000,HELPER!$AG$4:$AH$8,2,FALSE)/(C8*O8),VLOOKUP(C8*O8,HELPER!$AG$4:$AH$8,2,TRUE)/(C8*O8)),VLOOKUP(Q8,HELPER!$AF$2:$AH$3,3,FALSE)),0)</f>
        <v>0</v>
      </c>
      <c r="S8" s="91" t="str">
        <f>IFERROR(Table6[[#This Row],[Bag''s Weight + Fall out (kg)]]*(Table6[[#This Row],[Raw material cost (per kg)]]+Table6[[#This Row],[Shipment costs]])," ")</f>
        <v xml:space="preserve"> </v>
      </c>
      <c r="W8" s="67" t="str">
        <f t="shared" si="5"/>
        <v xml:space="preserve"> </v>
      </c>
      <c r="X8" s="105" t="str">
        <f t="shared" si="6"/>
        <v>no data yet</v>
      </c>
      <c r="Y8" s="81" t="str">
        <f>IF(OR(C8="",C8=0),"",((D8*E8)/1000000)*0.175*VLOOKUP(C8,HELPER!$AS$3:$AT$7,2,TRUE)*1.2*1.15*IF((D8+E8)*2&gt;=1200,1.5,1))</f>
        <v/>
      </c>
      <c r="Z8" s="84"/>
      <c r="AA8" s="69">
        <f>IF(A8=HELPER!$Q$2,HELPER!$AD$2,0)</f>
        <v>0</v>
      </c>
      <c r="AB8" s="69">
        <f t="shared" si="7"/>
        <v>0</v>
      </c>
      <c r="AC8" s="88">
        <f t="shared" si="2"/>
        <v>0</v>
      </c>
      <c r="AF8" s="90">
        <f>Table6[[#This Row],[Price for customer]]*HELPER!$AK$2</f>
        <v>0</v>
      </c>
    </row>
    <row r="9" spans="1:32">
      <c r="C9" s="69"/>
      <c r="L9" s="64">
        <f>IFERROR(IF(OR(D9=HELPER!Q8,D9=HELPER!$Q$5),D9*2+F9+G9*2,D9*2+G9*2)," ")</f>
        <v>0</v>
      </c>
      <c r="N9" s="65">
        <f t="shared" si="3"/>
        <v>0</v>
      </c>
      <c r="O9" s="66" t="e">
        <f t="shared" si="4"/>
        <v>#VALUE!</v>
      </c>
      <c r="P9" t="str">
        <f>IFERROR(VLOOKUP(B9,BOM!$Q$1:$R$12,2,FALSE),"")</f>
        <v/>
      </c>
      <c r="R9">
        <f>IFERROR(IF(Q9="Europe to Canada",IF(C9*O9&lt;1000,(C9*O9/1000)*VLOOKUP(1000,HELPER!$AG$4:$AH$8,2,FALSE)/(C9*O9),VLOOKUP(C9*O9,HELPER!$AG$4:$AH$8,2,TRUE)/(C9*O9)),VLOOKUP(Q9,HELPER!$AF$2:$AH$3,3,FALSE)),0)</f>
        <v>0</v>
      </c>
      <c r="S9" s="91" t="str">
        <f>IFERROR(Table6[[#This Row],[Bag''s Weight + Fall out (kg)]]*(Table6[[#This Row],[Raw material cost (per kg)]]+Table6[[#This Row],[Shipment costs]])," ")</f>
        <v xml:space="preserve"> </v>
      </c>
      <c r="W9" s="67" t="str">
        <f t="shared" si="5"/>
        <v xml:space="preserve"> </v>
      </c>
      <c r="X9" s="105" t="str">
        <f t="shared" si="6"/>
        <v>no data yet</v>
      </c>
      <c r="Y9" s="81" t="str">
        <f>IF(OR(C9="",C9=0),"",((D9*E9)/1000000)*0.175*VLOOKUP(C9,HELPER!$AS$3:$AT$7,2,TRUE)*1.2*1.15*IF((D9+E9)*2&gt;=1200,1.5,1))</f>
        <v/>
      </c>
      <c r="Z9" s="84"/>
      <c r="AA9" s="69">
        <f>IF(A9=HELPER!$Q$2,HELPER!$AD$2,0)</f>
        <v>0</v>
      </c>
      <c r="AB9" s="69">
        <f t="shared" si="7"/>
        <v>0</v>
      </c>
      <c r="AC9" s="88">
        <f t="shared" si="2"/>
        <v>0</v>
      </c>
      <c r="AF9" s="90">
        <f>Table6[[#This Row],[Price for customer]]*HELPER!$AK$2</f>
        <v>0</v>
      </c>
    </row>
    <row r="10" spans="1:32">
      <c r="C10" s="69"/>
      <c r="L10" s="64">
        <f>IFERROR(IF(OR(D10=HELPER!Q9,D10=HELPER!$Q$5),D10*2+F10+G10*2,D10*2+G10*2)," ")</f>
        <v>0</v>
      </c>
      <c r="N10" s="65">
        <f t="shared" si="3"/>
        <v>0</v>
      </c>
      <c r="O10" s="66" t="e">
        <f t="shared" si="4"/>
        <v>#VALUE!</v>
      </c>
      <c r="P10" t="str">
        <f>IFERROR(VLOOKUP(B10,BOM!$Q$1:$R$12,2,FALSE),"")</f>
        <v/>
      </c>
      <c r="R10">
        <f>IFERROR(IF(Q10="Europe to Canada",IF(C10*O10&lt;1000,(C10*O10/1000)*VLOOKUP(1000,HELPER!$AG$4:$AH$8,2,FALSE)/(C10*O10),VLOOKUP(C10*O10,HELPER!$AG$4:$AH$8,2,TRUE)/(C10*O10)),VLOOKUP(Q10,HELPER!$AF$2:$AH$3,3,FALSE)),0)</f>
        <v>0</v>
      </c>
      <c r="S10" s="91" t="str">
        <f>IFERROR(Table6[[#This Row],[Bag''s Weight + Fall out (kg)]]*(Table6[[#This Row],[Raw material cost (per kg)]]+Table6[[#This Row],[Shipment costs]])," ")</f>
        <v xml:space="preserve"> </v>
      </c>
      <c r="W10" s="67" t="str">
        <f t="shared" si="5"/>
        <v xml:space="preserve"> </v>
      </c>
      <c r="X10" s="105" t="str">
        <f t="shared" si="6"/>
        <v>no data yet</v>
      </c>
      <c r="Y10" s="81" t="str">
        <f>IF(OR(C10="",C10=0),"",((D10*E10)/1000000)*0.175*VLOOKUP(C10,HELPER!$AS$3:$AT$7,2,TRUE)*1.2*1.15*IF((D10+E10)*2&gt;=1200,1.5,1))</f>
        <v/>
      </c>
      <c r="Z10" s="84"/>
      <c r="AA10" s="69">
        <f>IF(A10=HELPER!$Q$2,HELPER!$AD$2,0)</f>
        <v>0</v>
      </c>
      <c r="AB10" s="69">
        <f t="shared" si="7"/>
        <v>0</v>
      </c>
      <c r="AC10" s="88">
        <f t="shared" si="2"/>
        <v>0</v>
      </c>
      <c r="AF10" s="90">
        <f>Table6[[#This Row],[Price for customer]]*HELPER!$AK$2</f>
        <v>0</v>
      </c>
    </row>
    <row r="11" spans="1:32">
      <c r="C11" s="69"/>
      <c r="L11" s="64">
        <f>IFERROR(IF(OR(D11=HELPER!Q10,D11=HELPER!$Q$5),D11*2+F11+G11*2,D11*2+G11*2)," ")</f>
        <v>0</v>
      </c>
      <c r="N11" s="65">
        <f t="shared" si="3"/>
        <v>0</v>
      </c>
      <c r="O11" s="66" t="e">
        <f t="shared" si="4"/>
        <v>#VALUE!</v>
      </c>
      <c r="P11" t="str">
        <f>IFERROR(VLOOKUP(B11,BOM!$Q$1:$R$12,2,FALSE),"")</f>
        <v/>
      </c>
      <c r="R11">
        <f>IFERROR(IF(Q11="Europe to Canada",IF(C11*O11&lt;1000,(C11*O11/1000)*VLOOKUP(1000,HELPER!$AG$4:$AH$8,2,FALSE)/(C11*O11),VLOOKUP(C11*O11,HELPER!$AG$4:$AH$8,2,TRUE)/(C11*O11)),VLOOKUP(Q11,HELPER!$AF$2:$AH$3,3,FALSE)),0)</f>
        <v>0</v>
      </c>
      <c r="S11" s="91" t="str">
        <f>IFERROR(Table6[[#This Row],[Bag''s Weight + Fall out (kg)]]*(Table6[[#This Row],[Raw material cost (per kg)]]+Table6[[#This Row],[Shipment costs]])," ")</f>
        <v xml:space="preserve"> </v>
      </c>
      <c r="W11" s="67" t="str">
        <f t="shared" si="5"/>
        <v xml:space="preserve"> </v>
      </c>
      <c r="X11" s="105" t="str">
        <f t="shared" si="6"/>
        <v>no data yet</v>
      </c>
      <c r="Y11" s="81" t="str">
        <f>IF(OR(C11="",C11=0),"",((D11*E11)/1000000)*0.175*VLOOKUP(C11,HELPER!$AS$3:$AT$7,2,TRUE)*1.2*1.15*IF((D11+E11)*2&gt;=1200,1.5,1))</f>
        <v/>
      </c>
      <c r="Z11" s="84"/>
      <c r="AA11" s="69">
        <f>IF(A11=HELPER!$Q$2,HELPER!$AD$2,0)</f>
        <v>0</v>
      </c>
      <c r="AB11" s="69">
        <f t="shared" si="7"/>
        <v>0</v>
      </c>
      <c r="AC11" s="88">
        <f t="shared" si="2"/>
        <v>0</v>
      </c>
      <c r="AF11" s="90">
        <f>Table6[[#This Row],[Price for customer]]*HELPER!$AK$2</f>
        <v>0</v>
      </c>
    </row>
    <row r="12" spans="1:32">
      <c r="C12" s="69"/>
      <c r="L12" s="64">
        <f>IFERROR(IF(OR(D12=HELPER!Q11,D12=HELPER!$Q$5),D12*2+F12+G12*2,D12*2+G12*2)," ")</f>
        <v>0</v>
      </c>
      <c r="N12" s="65">
        <f t="shared" si="3"/>
        <v>0</v>
      </c>
      <c r="O12" s="66" t="e">
        <f t="shared" si="4"/>
        <v>#VALUE!</v>
      </c>
      <c r="P12" t="str">
        <f>IFERROR(VLOOKUP(B12,BOM!$Q$1:$R$12,2,FALSE),"")</f>
        <v/>
      </c>
      <c r="R12">
        <f>IFERROR(IF(Q12="Europe to Canada",IF(C12*O12&lt;1000,(C12*O12/1000)*VLOOKUP(1000,HELPER!$AG$4:$AH$8,2,FALSE)/(C12*O12),VLOOKUP(C12*O12,HELPER!$AG$4:$AH$8,2,TRUE)/(C12*O12)),VLOOKUP(Q12,HELPER!$AF$2:$AH$3,3,FALSE)),0)</f>
        <v>0</v>
      </c>
      <c r="S12" s="91" t="str">
        <f>IFERROR(Table6[[#This Row],[Bag''s Weight + Fall out (kg)]]*(Table6[[#This Row],[Raw material cost (per kg)]]+Table6[[#This Row],[Shipment costs]])," ")</f>
        <v xml:space="preserve"> </v>
      </c>
      <c r="W12" s="67" t="str">
        <f t="shared" si="5"/>
        <v xml:space="preserve"> </v>
      </c>
      <c r="X12" s="105" t="str">
        <f t="shared" si="6"/>
        <v>no data yet</v>
      </c>
      <c r="Y12" s="81" t="str">
        <f>IF(OR(C12="",C12=0),"",((D12*E12)/1000000)*0.175*VLOOKUP(C12,HELPER!$AS$3:$AT$7,2,TRUE)*1.2*1.15*IF((D12+E12)*2&gt;=1200,1.5,1))</f>
        <v/>
      </c>
      <c r="Z12" s="84"/>
      <c r="AA12" s="69">
        <f>IF(A12=HELPER!$Q$2,HELPER!$AD$2,0)</f>
        <v>0</v>
      </c>
      <c r="AB12" s="69">
        <f t="shared" si="7"/>
        <v>0</v>
      </c>
      <c r="AC12" s="88">
        <f t="shared" si="2"/>
        <v>0</v>
      </c>
      <c r="AF12" s="90">
        <f>Table6[[#This Row],[Price for customer]]*HELPER!$AK$2</f>
        <v>0</v>
      </c>
    </row>
    <row r="13" spans="1:32">
      <c r="C13" s="69"/>
      <c r="L13" s="64">
        <f>IFERROR(IF(OR(D13=HELPER!Q12,D13=HELPER!$Q$5),D13*2+F13+G13*2,D13*2+G13*2)," ")</f>
        <v>0</v>
      </c>
      <c r="N13" s="65">
        <f t="shared" si="3"/>
        <v>0</v>
      </c>
      <c r="O13" s="66" t="e">
        <f t="shared" si="4"/>
        <v>#VALUE!</v>
      </c>
      <c r="P13" t="str">
        <f>IFERROR(VLOOKUP(B13,BOM!$Q$1:$R$12,2,FALSE),"")</f>
        <v/>
      </c>
      <c r="R13">
        <f>IFERROR(IF(Q13="Europe to Canada",IF(C13*O13&lt;1000,(C13*O13/1000)*VLOOKUP(1000,HELPER!$AG$4:$AH$8,2,FALSE)/(C13*O13),VLOOKUP(C13*O13,HELPER!$AG$4:$AH$8,2,TRUE)/(C13*O13)),VLOOKUP(Q13,HELPER!$AF$2:$AH$3,3,FALSE)),0)</f>
        <v>0</v>
      </c>
      <c r="S13" s="91" t="str">
        <f>IFERROR(Table6[[#This Row],[Bag''s Weight + Fall out (kg)]]*(Table6[[#This Row],[Raw material cost (per kg)]]+Table6[[#This Row],[Shipment costs]])," ")</f>
        <v xml:space="preserve"> </v>
      </c>
      <c r="W13" s="67" t="str">
        <f t="shared" si="5"/>
        <v xml:space="preserve"> </v>
      </c>
      <c r="X13" s="105" t="str">
        <f t="shared" si="6"/>
        <v>no data yet</v>
      </c>
      <c r="Y13" s="81" t="str">
        <f>IF(OR(C13="",C13=0),"",((D13*E13)/1000000)*0.175*VLOOKUP(C13,HELPER!$AS$3:$AT$7,2,TRUE)*1.2*1.15*IF((D13+E13)*2&gt;=1200,1.5,1))</f>
        <v/>
      </c>
      <c r="Z13" s="84"/>
      <c r="AA13" s="69">
        <f>IF(A13=HELPER!$Q$2,HELPER!$AD$2,0)</f>
        <v>0</v>
      </c>
      <c r="AB13" s="69">
        <f t="shared" si="7"/>
        <v>0</v>
      </c>
      <c r="AC13" s="88">
        <f t="shared" si="2"/>
        <v>0</v>
      </c>
      <c r="AF13" s="90">
        <f>Table6[[#This Row],[Price for customer]]*HELPER!$AK$2</f>
        <v>0</v>
      </c>
    </row>
    <row r="14" spans="1:32" ht="15.75" thickBot="1">
      <c r="C14" s="69"/>
      <c r="L14" s="64">
        <f>IFERROR(IF(OR(D14=HELPER!Q13,D14=HELPER!$Q$5),D14*2+F14+G14*2,D14*2+G14*2)," ")</f>
        <v>0</v>
      </c>
      <c r="N14" s="65">
        <f t="shared" si="3"/>
        <v>0</v>
      </c>
      <c r="O14" s="66" t="e">
        <f t="shared" si="4"/>
        <v>#VALUE!</v>
      </c>
      <c r="P14" t="str">
        <f>IFERROR(VLOOKUP(B14,BOM!$Q$1:$R$12,2,FALSE),"")</f>
        <v/>
      </c>
      <c r="R14">
        <f>IFERROR(IF(Q14="Europe to Canada",IF(C14*O14&lt;1000,(C14*O14/1000)*VLOOKUP(1000,HELPER!$AG$4:$AH$8,2,FALSE)/(C14*O14),VLOOKUP(C14*O14,HELPER!$AG$4:$AH$8,2,TRUE)/(C14*O14)),VLOOKUP(Q14,HELPER!$AF$2:$AH$3,3,FALSE)),0)</f>
        <v>0</v>
      </c>
      <c r="S14" s="91" t="str">
        <f>IFERROR(Table6[[#This Row],[Bag''s Weight + Fall out (kg)]]*(Table6[[#This Row],[Raw material cost (per kg)]]+Table6[[#This Row],[Shipment costs]])," ")</f>
        <v xml:space="preserve"> </v>
      </c>
      <c r="W14" s="67" t="str">
        <f t="shared" si="5"/>
        <v xml:space="preserve"> </v>
      </c>
      <c r="X14" s="105" t="str">
        <f t="shared" si="6"/>
        <v>no data yet</v>
      </c>
      <c r="Y14" s="81" t="str">
        <f>IF(OR(C14="",C14=0),"",((D14*E14)/1000000)*0.175*VLOOKUP(C14,HELPER!$AS$3:$AT$7,2,TRUE)*1.2*1.15*IF((D14+E14)*2&gt;=1200,1.5,1))</f>
        <v/>
      </c>
      <c r="Z14" s="85"/>
      <c r="AA14" s="69">
        <f>IF(A14=HELPER!$Q$2,HELPER!$AD$2,0)</f>
        <v>0</v>
      </c>
      <c r="AB14" s="69">
        <f t="shared" si="7"/>
        <v>0</v>
      </c>
      <c r="AC14" s="88">
        <f t="shared" si="2"/>
        <v>0</v>
      </c>
      <c r="AF14" s="90">
        <f>Table6[[#This Row],[Price for customer]]*HELPER!$AK$2</f>
        <v>0</v>
      </c>
    </row>
    <row r="17" spans="4:30">
      <c r="D17" s="39"/>
      <c r="E17" s="39"/>
      <c r="F17" s="39"/>
      <c r="G17" s="39"/>
      <c r="H17" s="39"/>
      <c r="I17" s="39"/>
      <c r="J17" s="39"/>
      <c r="K17" s="39"/>
      <c r="L17" s="39"/>
      <c r="M17" s="39"/>
      <c r="N17" s="39"/>
      <c r="O17" s="39"/>
      <c r="S17" s="40"/>
      <c r="T17" s="40"/>
      <c r="U17" s="40"/>
      <c r="V17" s="40"/>
      <c r="W17" s="40"/>
    </row>
    <row r="21" spans="4:30">
      <c r="AD21" s="89"/>
    </row>
  </sheetData>
  <mergeCells count="1">
    <mergeCell ref="J2:K2"/>
  </mergeCells>
  <dataValidations count="1">
    <dataValidation type="list" allowBlank="1" showInputMessage="1" showErrorMessage="1" sqref="Q5:Q14" xr:uid="{16843F24-5085-43E1-B807-4EA4C47DCD1C}">
      <formula1>ShippingRoutes</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9">
        <x14:dataValidation type="list" allowBlank="1" showInputMessage="1" showErrorMessage="1" xr:uid="{DC8C9CEC-25CC-4CB0-ABD5-CB4256C64DB5}">
          <x14:formula1>
            <xm:f>HELPER!$Q$2:$Q$18</xm:f>
          </x14:formula1>
          <xm:sqref>A5:A14</xm:sqref>
        </x14:dataValidation>
        <x14:dataValidation type="list" allowBlank="1" showInputMessage="1" showErrorMessage="1" xr:uid="{7DBAC257-12DF-444C-B618-E9B84FFADB93}">
          <x14:formula1>
            <xm:f>HELPER!$T$2:$T$3</xm:f>
          </x14:formula1>
          <xm:sqref>I5:I14</xm:sqref>
        </x14:dataValidation>
        <x14:dataValidation type="list" allowBlank="1" showInputMessage="1" showErrorMessage="1" xr:uid="{A6AB4D20-1F35-4632-853F-E3A9FBDB6F32}">
          <x14:formula1>
            <xm:f>HELPER!$X$2:$X$7</xm:f>
          </x14:formula1>
          <xm:sqref>K5:K14</xm:sqref>
        </x14:dataValidation>
        <x14:dataValidation type="list" allowBlank="1" showInputMessage="1" showErrorMessage="1" xr:uid="{A60697CF-8125-46F3-9371-9A8F65A6BBCB}">
          <x14:formula1>
            <xm:f>HELPER!$I$2:$I$13</xm:f>
          </x14:formula1>
          <xm:sqref>M5:M14</xm:sqref>
        </x14:dataValidation>
        <x14:dataValidation type="list" allowBlank="1" showInputMessage="1" showErrorMessage="1" xr:uid="{2766391E-FEE4-40FF-A9E4-21D9F9E77B8F}">
          <x14:formula1>
            <xm:f>HELPER!$V$2:$V$3</xm:f>
          </x14:formula1>
          <xm:sqref>J5:J14</xm:sqref>
        </x14:dataValidation>
        <x14:dataValidation type="list" allowBlank="1" showInputMessage="1" showErrorMessage="1" xr:uid="{02D85E34-138B-40C8-AD77-BD360BA5714E}">
          <x14:formula1>
            <xm:f>HELPER!$Z$2:$Z$7</xm:f>
          </x14:formula1>
          <xm:sqref>U5:U14</xm:sqref>
        </x14:dataValidation>
        <x14:dataValidation type="list" allowBlank="1" showInputMessage="1" showErrorMessage="1" xr:uid="{273BDA1E-8F2C-4AC2-BCAE-F64EF7167234}">
          <x14:formula1>
            <xm:f>HELPER!$AB$2:$AB$7</xm:f>
          </x14:formula1>
          <xm:sqref>V5:V14</xm:sqref>
        </x14:dataValidation>
        <x14:dataValidation type="list" allowBlank="1" showInputMessage="1" showErrorMessage="1" xr:uid="{1EB2FE71-BE92-44BC-BAEE-C9F51BBF4502}">
          <x14:formula1>
            <xm:f>HELPER!$AP$2:$AP$31</xm:f>
          </x14:formula1>
          <xm:sqref>B5:B14</xm:sqref>
        </x14:dataValidation>
        <x14:dataValidation type="list" allowBlank="1" showInputMessage="1" showErrorMessage="1" xr:uid="{46E9F9F0-8D88-43CE-A320-347AD53FE52B}">
          <x14:formula1>
            <xm:f>'Film Pricing'!$A$3:$A$17</xm:f>
          </x14:formula1>
          <xm:sqref>H5:H14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7F87F-B806-417E-AFF6-2DEBD270FEA0}">
  <dimension ref="A1:N201"/>
  <sheetViews>
    <sheetView topLeftCell="A130" workbookViewId="0">
      <selection activeCell="A147" sqref="A147"/>
    </sheetView>
  </sheetViews>
  <sheetFormatPr defaultRowHeight="15"/>
  <cols>
    <col min="1" max="1" width="255.7109375" bestFit="1" customWidth="1"/>
  </cols>
  <sheetData>
    <row r="1" spans="1:1">
      <c r="A1" s="832" t="s">
        <v>103</v>
      </c>
    </row>
    <row r="2" spans="1:1" ht="15.75" thickBot="1">
      <c r="A2" s="814" t="s">
        <v>104</v>
      </c>
    </row>
    <row r="4" spans="1:1" ht="15.75" thickBot="1">
      <c r="A4" s="38" t="s">
        <v>105</v>
      </c>
    </row>
    <row r="5" spans="1:1">
      <c r="A5" s="812" t="s">
        <v>106</v>
      </c>
    </row>
    <row r="6" spans="1:1" ht="15.75" thickBot="1">
      <c r="A6" s="814" t="s">
        <v>107</v>
      </c>
    </row>
    <row r="9" spans="1:1" ht="15.75" thickBot="1">
      <c r="A9" s="38" t="s">
        <v>163</v>
      </c>
    </row>
    <row r="10" spans="1:1" ht="75.75" thickBot="1">
      <c r="A10" s="833" t="s">
        <v>164</v>
      </c>
    </row>
    <row r="13" spans="1:1" ht="15.75" thickBot="1">
      <c r="A13" t="s">
        <v>170</v>
      </c>
    </row>
    <row r="14" spans="1:1" ht="66.75" thickBot="1">
      <c r="A14" s="831" t="s">
        <v>171</v>
      </c>
    </row>
    <row r="15" spans="1:1" ht="15.75" thickBot="1"/>
    <row r="16" spans="1:1">
      <c r="A16" s="812" t="s">
        <v>236</v>
      </c>
    </row>
    <row r="17" spans="1:1">
      <c r="A17" s="813" t="s">
        <v>206</v>
      </c>
    </row>
    <row r="18" spans="1:1">
      <c r="A18" s="813" t="s">
        <v>207</v>
      </c>
    </row>
    <row r="19" spans="1:1">
      <c r="A19" s="813" t="s">
        <v>208</v>
      </c>
    </row>
    <row r="20" spans="1:1">
      <c r="A20" s="813" t="s">
        <v>209</v>
      </c>
    </row>
    <row r="21" spans="1:1">
      <c r="A21" s="813" t="s">
        <v>210</v>
      </c>
    </row>
    <row r="22" spans="1:1">
      <c r="A22" s="813" t="s">
        <v>211</v>
      </c>
    </row>
    <row r="23" spans="1:1">
      <c r="A23" s="813" t="s">
        <v>212</v>
      </c>
    </row>
    <row r="24" spans="1:1">
      <c r="A24" s="813" t="s">
        <v>213</v>
      </c>
    </row>
    <row r="25" spans="1:1">
      <c r="A25" s="813" t="s">
        <v>214</v>
      </c>
    </row>
    <row r="26" spans="1:1" ht="15.75" thickBot="1">
      <c r="A26" s="814" t="s">
        <v>215</v>
      </c>
    </row>
    <row r="27" spans="1:1" ht="15.75" thickBot="1"/>
    <row r="28" spans="1:1">
      <c r="A28" s="812" t="s">
        <v>237</v>
      </c>
    </row>
    <row r="29" spans="1:1">
      <c r="A29" s="813" t="s">
        <v>228</v>
      </c>
    </row>
    <row r="30" spans="1:1">
      <c r="A30" s="813" t="s">
        <v>229</v>
      </c>
    </row>
    <row r="31" spans="1:1">
      <c r="A31" s="813" t="s">
        <v>230</v>
      </c>
    </row>
    <row r="32" spans="1:1">
      <c r="A32" s="813" t="s">
        <v>231</v>
      </c>
    </row>
    <row r="33" spans="1:1">
      <c r="A33" s="813" t="s">
        <v>232</v>
      </c>
    </row>
    <row r="34" spans="1:1">
      <c r="A34" s="813" t="s">
        <v>233</v>
      </c>
    </row>
    <row r="35" spans="1:1">
      <c r="A35" s="813" t="s">
        <v>234</v>
      </c>
    </row>
    <row r="36" spans="1:1" ht="15.75" thickBot="1">
      <c r="A36" s="814" t="s">
        <v>235</v>
      </c>
    </row>
    <row r="38" spans="1:1" ht="15.75" thickBot="1"/>
    <row r="39" spans="1:1">
      <c r="A39" s="828" t="s">
        <v>295</v>
      </c>
    </row>
    <row r="40" spans="1:1" ht="15.75" thickBot="1">
      <c r="A40" s="830" t="s">
        <v>296</v>
      </c>
    </row>
    <row r="41" spans="1:1" ht="15.75" thickBot="1"/>
    <row r="42" spans="1:1">
      <c r="A42" s="812" t="s">
        <v>490</v>
      </c>
    </row>
    <row r="43" spans="1:1">
      <c r="A43" s="813"/>
    </row>
    <row r="44" spans="1:1">
      <c r="A44" s="813" t="s">
        <v>491</v>
      </c>
    </row>
    <row r="45" spans="1:1">
      <c r="A45" s="813" t="s">
        <v>492</v>
      </c>
    </row>
    <row r="46" spans="1:1">
      <c r="A46" s="813" t="s">
        <v>493</v>
      </c>
    </row>
    <row r="47" spans="1:1">
      <c r="A47" s="813" t="s">
        <v>494</v>
      </c>
    </row>
    <row r="48" spans="1:1">
      <c r="A48" s="813" t="s">
        <v>495</v>
      </c>
    </row>
    <row r="49" spans="1:1">
      <c r="A49" s="813" t="s">
        <v>496</v>
      </c>
    </row>
    <row r="50" spans="1:1">
      <c r="A50" s="813" t="s">
        <v>497</v>
      </c>
    </row>
    <row r="51" spans="1:1">
      <c r="A51" s="813" t="s">
        <v>498</v>
      </c>
    </row>
    <row r="52" spans="1:1">
      <c r="A52" s="813" t="s">
        <v>499</v>
      </c>
    </row>
    <row r="53" spans="1:1">
      <c r="A53" s="813" t="s">
        <v>500</v>
      </c>
    </row>
    <row r="54" spans="1:1">
      <c r="A54" s="813" t="s">
        <v>501</v>
      </c>
    </row>
    <row r="55" spans="1:1">
      <c r="A55" s="813" t="s">
        <v>502</v>
      </c>
    </row>
    <row r="56" spans="1:1">
      <c r="A56" s="813" t="s">
        <v>503</v>
      </c>
    </row>
    <row r="57" spans="1:1">
      <c r="A57" s="813"/>
    </row>
    <row r="58" spans="1:1">
      <c r="A58" s="813" t="s">
        <v>504</v>
      </c>
    </row>
    <row r="59" spans="1:1">
      <c r="A59" s="813" t="s">
        <v>505</v>
      </c>
    </row>
    <row r="60" spans="1:1" ht="15.75" thickBot="1">
      <c r="A60" s="814" t="s">
        <v>506</v>
      </c>
    </row>
    <row r="61" spans="1:1">
      <c r="A61" t="s">
        <v>507</v>
      </c>
    </row>
    <row r="62" spans="1:1" ht="15.75" thickBot="1"/>
    <row r="63" spans="1:1" ht="33.75" thickBot="1">
      <c r="A63" s="831" t="s">
        <v>522</v>
      </c>
    </row>
    <row r="64" spans="1:1" ht="15.75" thickBot="1"/>
    <row r="65" spans="1:1">
      <c r="A65" s="812" t="s">
        <v>578</v>
      </c>
    </row>
    <row r="66" spans="1:1">
      <c r="A66" s="813" t="s">
        <v>574</v>
      </c>
    </row>
    <row r="67" spans="1:1">
      <c r="A67" s="813" t="s">
        <v>575</v>
      </c>
    </row>
    <row r="68" spans="1:1">
      <c r="A68" s="813" t="s">
        <v>576</v>
      </c>
    </row>
    <row r="69" spans="1:1">
      <c r="A69" s="813" t="s">
        <v>577</v>
      </c>
    </row>
    <row r="70" spans="1:1" ht="15.75" thickBot="1">
      <c r="A70" s="814" t="s">
        <v>579</v>
      </c>
    </row>
    <row r="71" spans="1:1">
      <c r="A71">
        <v>3</v>
      </c>
    </row>
    <row r="72" spans="1:1" ht="15.75" thickBot="1"/>
    <row r="73" spans="1:1">
      <c r="A73" s="812" t="s">
        <v>626</v>
      </c>
    </row>
    <row r="74" spans="1:1">
      <c r="A74" s="813" t="s">
        <v>623</v>
      </c>
    </row>
    <row r="75" spans="1:1">
      <c r="A75" s="813" t="s">
        <v>624</v>
      </c>
    </row>
    <row r="76" spans="1:1">
      <c r="A76" s="813"/>
    </row>
    <row r="77" spans="1:1" ht="15.75" thickBot="1">
      <c r="A77" s="814" t="s">
        <v>625</v>
      </c>
    </row>
    <row r="80" spans="1:1" ht="15.75" thickBot="1"/>
    <row r="81" spans="1:1" ht="45.75" thickBot="1">
      <c r="A81" s="833" t="s">
        <v>1039</v>
      </c>
    </row>
    <row r="83" spans="1:1" ht="15.75" thickBot="1"/>
    <row r="84" spans="1:1" ht="30.75" thickBot="1">
      <c r="A84" s="833" t="s">
        <v>1042</v>
      </c>
    </row>
    <row r="86" spans="1:1" ht="15.75" thickBot="1"/>
    <row r="87" spans="1:1">
      <c r="A87" s="538" t="s">
        <v>1043</v>
      </c>
    </row>
    <row r="88" spans="1:1">
      <c r="A88" s="539" t="s">
        <v>1046</v>
      </c>
    </row>
    <row r="89" spans="1:1">
      <c r="A89" s="540"/>
    </row>
    <row r="90" spans="1:1">
      <c r="A90" s="541" t="s">
        <v>1047</v>
      </c>
    </row>
    <row r="91" spans="1:1">
      <c r="A91" s="541" t="s">
        <v>1048</v>
      </c>
    </row>
    <row r="92" spans="1:1">
      <c r="A92" s="541" t="s">
        <v>1049</v>
      </c>
    </row>
    <row r="93" spans="1:1">
      <c r="A93" s="541" t="s">
        <v>1050</v>
      </c>
    </row>
    <row r="94" spans="1:1">
      <c r="A94" s="539" t="s">
        <v>1051</v>
      </c>
    </row>
    <row r="95" spans="1:1">
      <c r="A95" s="540"/>
    </row>
    <row r="96" spans="1:1">
      <c r="A96" s="542" t="s">
        <v>1052</v>
      </c>
    </row>
    <row r="97" spans="1:1">
      <c r="A97" s="542" t="s">
        <v>1053</v>
      </c>
    </row>
    <row r="98" spans="1:1">
      <c r="A98" s="542" t="s">
        <v>1054</v>
      </c>
    </row>
    <row r="99" spans="1:1">
      <c r="A99" s="539" t="s">
        <v>1055</v>
      </c>
    </row>
    <row r="100" spans="1:1">
      <c r="A100" s="540"/>
    </row>
    <row r="101" spans="1:1">
      <c r="A101" s="542" t="s">
        <v>1056</v>
      </c>
    </row>
    <row r="102" spans="1:1">
      <c r="A102" s="542" t="s">
        <v>1044</v>
      </c>
    </row>
    <row r="103" spans="1:1" ht="15.75" thickBot="1">
      <c r="A103" s="543" t="s">
        <v>1045</v>
      </c>
    </row>
    <row r="106" spans="1:1" ht="15.75" thickBot="1"/>
    <row r="107" spans="1:1">
      <c r="A107" s="812" t="s">
        <v>1159</v>
      </c>
    </row>
    <row r="108" spans="1:1">
      <c r="A108" s="813" t="s">
        <v>1160</v>
      </c>
    </row>
    <row r="109" spans="1:1" ht="15.75" thickBot="1">
      <c r="A109" s="814" t="s">
        <v>1161</v>
      </c>
    </row>
    <row r="111" spans="1:1" ht="15.75" thickBot="1"/>
    <row r="112" spans="1:1">
      <c r="A112" s="812" t="s">
        <v>1190</v>
      </c>
    </row>
    <row r="113" spans="1:1">
      <c r="A113" s="813"/>
    </row>
    <row r="114" spans="1:1">
      <c r="A114" s="813" t="s">
        <v>1191</v>
      </c>
    </row>
    <row r="115" spans="1:1">
      <c r="A115" s="813" t="s">
        <v>1192</v>
      </c>
    </row>
    <row r="116" spans="1:1">
      <c r="A116" s="813" t="s">
        <v>1193</v>
      </c>
    </row>
    <row r="117" spans="1:1">
      <c r="A117" s="813" t="s">
        <v>1194</v>
      </c>
    </row>
    <row r="118" spans="1:1">
      <c r="A118" s="813" t="s">
        <v>1195</v>
      </c>
    </row>
    <row r="119" spans="1:1">
      <c r="A119" s="813" t="s">
        <v>1196</v>
      </c>
    </row>
    <row r="120" spans="1:1">
      <c r="A120" s="813" t="s">
        <v>1197</v>
      </c>
    </row>
    <row r="121" spans="1:1">
      <c r="A121" s="813" t="s">
        <v>1198</v>
      </c>
    </row>
    <row r="122" spans="1:1">
      <c r="A122" s="813" t="s">
        <v>1199</v>
      </c>
    </row>
    <row r="123" spans="1:1">
      <c r="A123" s="813" t="s">
        <v>1200</v>
      </c>
    </row>
    <row r="124" spans="1:1" ht="15.75" thickBot="1">
      <c r="A124" s="814" t="s">
        <v>235</v>
      </c>
    </row>
    <row r="126" spans="1:1" ht="15.75" thickBot="1"/>
    <row r="127" spans="1:1">
      <c r="A127" s="828" t="s">
        <v>207</v>
      </c>
    </row>
    <row r="128" spans="1:1">
      <c r="A128" s="829" t="s">
        <v>1221</v>
      </c>
    </row>
    <row r="129" spans="1:14" ht="30">
      <c r="A129" s="829" t="s">
        <v>1222</v>
      </c>
    </row>
    <row r="130" spans="1:14" ht="15.75" thickBot="1">
      <c r="A130" s="830" t="s">
        <v>235</v>
      </c>
    </row>
    <row r="132" spans="1:14" ht="15.75" thickBot="1"/>
    <row r="133" spans="1:14" ht="17.25" thickBot="1">
      <c r="A133" s="831" t="s">
        <v>1229</v>
      </c>
    </row>
    <row r="135" spans="1:14" ht="15.75" thickBot="1"/>
    <row r="136" spans="1:14">
      <c r="A136" s="812" t="s">
        <v>1225</v>
      </c>
    </row>
    <row r="137" spans="1:14">
      <c r="A137" s="813" t="s">
        <v>1226</v>
      </c>
    </row>
    <row r="138" spans="1:14">
      <c r="A138" s="813" t="s">
        <v>1227</v>
      </c>
    </row>
    <row r="139" spans="1:14">
      <c r="A139" s="813" t="s">
        <v>1230</v>
      </c>
    </row>
    <row r="140" spans="1:14">
      <c r="A140" s="813" t="s">
        <v>1228</v>
      </c>
      <c r="N140" s="3"/>
    </row>
    <row r="141" spans="1:14">
      <c r="A141" s="813" t="s">
        <v>1231</v>
      </c>
      <c r="N141" s="3"/>
    </row>
    <row r="142" spans="1:14">
      <c r="A142" s="813" t="s">
        <v>1232</v>
      </c>
      <c r="J142" t="s">
        <v>1233</v>
      </c>
      <c r="K142">
        <v>800</v>
      </c>
      <c r="N142" s="3"/>
    </row>
    <row r="143" spans="1:14">
      <c r="A143" s="813" t="s">
        <v>1240</v>
      </c>
      <c r="J143" t="s">
        <v>1234</v>
      </c>
      <c r="K143">
        <v>140</v>
      </c>
      <c r="N143" s="3"/>
    </row>
    <row r="144" spans="1:14">
      <c r="A144" s="813"/>
      <c r="J144" t="s">
        <v>1233</v>
      </c>
      <c r="K144">
        <v>80</v>
      </c>
      <c r="M144" t="str">
        <f>IFERROR((SUM(L144:L152)+SUM(F144:G144,I144))*(1/A152)*(#REF!/(#REF!*MAX(1,ROUNDDOWN(760/#REF!,0))))+K144,"")</f>
        <v/>
      </c>
      <c r="N144" s="279"/>
    </row>
    <row r="145" spans="1:14">
      <c r="A145" s="813" t="s">
        <v>1241</v>
      </c>
      <c r="J145" t="s">
        <v>1235</v>
      </c>
      <c r="K145" t="s">
        <v>1236</v>
      </c>
      <c r="M145" s="96">
        <f>300*4*8+5%*(K151)</f>
        <v>10720</v>
      </c>
      <c r="N145" s="279" t="s">
        <v>1239</v>
      </c>
    </row>
    <row r="146" spans="1:14">
      <c r="A146" s="813"/>
      <c r="N146" s="279"/>
    </row>
    <row r="147" spans="1:14">
      <c r="A147" s="813" t="s">
        <v>1242</v>
      </c>
      <c r="J147" t="s">
        <v>1237</v>
      </c>
      <c r="N147" s="66"/>
    </row>
    <row r="148" spans="1:14">
      <c r="A148" s="813"/>
      <c r="J148" t="s">
        <v>1238</v>
      </c>
      <c r="N148" s="66"/>
    </row>
    <row r="149" spans="1:14">
      <c r="A149" s="813" t="s">
        <v>1243</v>
      </c>
      <c r="J149" s="117">
        <v>1600000</v>
      </c>
    </row>
    <row r="150" spans="1:14">
      <c r="A150" s="813"/>
      <c r="J150" s="96">
        <f>800/80</f>
        <v>10</v>
      </c>
    </row>
    <row r="151" spans="1:14">
      <c r="A151" s="813" t="s">
        <v>1244</v>
      </c>
      <c r="J151" s="96">
        <f>J149/10</f>
        <v>160000</v>
      </c>
      <c r="K151" s="96">
        <f>J151*140/1000</f>
        <v>22400</v>
      </c>
    </row>
    <row r="152" spans="1:14" ht="15.75" thickBot="1">
      <c r="A152" s="814" t="s">
        <v>235</v>
      </c>
    </row>
    <row r="153" spans="1:14" ht="15.75" thickBot="1">
      <c r="M153" t="str">
        <f>IFERROR((SUM(L153:L157)+SUM(F153:G153,I153))*(1/A157)*(#REF!/(#REF!*MAX(1,ROUNDDOWN(760/#REF!,0))))+K153,"")</f>
        <v/>
      </c>
    </row>
    <row r="154" spans="1:14">
      <c r="A154" s="812" t="s">
        <v>1245</v>
      </c>
    </row>
    <row r="155" spans="1:14">
      <c r="A155" s="813" t="s">
        <v>1246</v>
      </c>
    </row>
    <row r="156" spans="1:14">
      <c r="A156" s="813" t="s">
        <v>1247</v>
      </c>
    </row>
    <row r="157" spans="1:14">
      <c r="A157" s="813" t="s">
        <v>1248</v>
      </c>
    </row>
    <row r="158" spans="1:14" ht="15.75" thickBot="1">
      <c r="A158" s="814" t="s">
        <v>235</v>
      </c>
    </row>
    <row r="159" spans="1:14" ht="15.75" thickBot="1"/>
    <row r="160" spans="1:14">
      <c r="A160" s="812" t="s">
        <v>1281</v>
      </c>
    </row>
    <row r="161" spans="1:1">
      <c r="A161" s="813" t="s">
        <v>1282</v>
      </c>
    </row>
    <row r="162" spans="1:1">
      <c r="A162" s="813" t="s">
        <v>1283</v>
      </c>
    </row>
    <row r="163" spans="1:1">
      <c r="A163" s="813"/>
    </row>
    <row r="164" spans="1:1">
      <c r="A164" s="813" t="s">
        <v>1284</v>
      </c>
    </row>
    <row r="165" spans="1:1">
      <c r="A165" s="813" t="s">
        <v>1285</v>
      </c>
    </row>
    <row r="166" spans="1:1">
      <c r="A166" s="813" t="s">
        <v>1286</v>
      </c>
    </row>
    <row r="167" spans="1:1">
      <c r="A167" s="813"/>
    </row>
    <row r="168" spans="1:1" ht="15.75" thickBot="1">
      <c r="A168" s="814" t="s">
        <v>507</v>
      </c>
    </row>
    <row r="169" spans="1:1" ht="15.75" thickBot="1"/>
    <row r="170" spans="1:1">
      <c r="A170" s="812" t="s">
        <v>207</v>
      </c>
    </row>
    <row r="171" spans="1:1">
      <c r="A171" s="813" t="s">
        <v>1288</v>
      </c>
    </row>
    <row r="172" spans="1:1">
      <c r="A172" s="813" t="s">
        <v>1289</v>
      </c>
    </row>
    <row r="173" spans="1:1">
      <c r="A173" s="813" t="s">
        <v>1290</v>
      </c>
    </row>
    <row r="174" spans="1:1">
      <c r="A174" s="813" t="s">
        <v>1291</v>
      </c>
    </row>
    <row r="175" spans="1:1" ht="15.75" thickBot="1">
      <c r="A175" s="814" t="s">
        <v>235</v>
      </c>
    </row>
    <row r="176" spans="1:1" ht="15.75" thickBot="1"/>
    <row r="177" spans="1:1">
      <c r="A177" s="812" t="s">
        <v>1292</v>
      </c>
    </row>
    <row r="178" spans="1:1">
      <c r="A178" s="813" t="s">
        <v>1293</v>
      </c>
    </row>
    <row r="179" spans="1:1">
      <c r="A179" s="813" t="s">
        <v>1294</v>
      </c>
    </row>
    <row r="180" spans="1:1">
      <c r="A180" s="813" t="s">
        <v>1295</v>
      </c>
    </row>
    <row r="181" spans="1:1">
      <c r="A181" s="813" t="s">
        <v>1296</v>
      </c>
    </row>
    <row r="182" spans="1:1">
      <c r="A182" s="813" t="s">
        <v>1297</v>
      </c>
    </row>
    <row r="183" spans="1:1">
      <c r="A183" s="813" t="s">
        <v>1298</v>
      </c>
    </row>
    <row r="184" spans="1:1">
      <c r="A184" s="813" t="s">
        <v>1299</v>
      </c>
    </row>
    <row r="185" spans="1:1">
      <c r="A185" s="813" t="s">
        <v>1300</v>
      </c>
    </row>
    <row r="186" spans="1:1" ht="15.75" thickBot="1">
      <c r="A186" s="814"/>
    </row>
    <row r="188" spans="1:1">
      <c r="A188" s="38" t="s">
        <v>1304</v>
      </c>
    </row>
    <row r="189" spans="1:1">
      <c r="A189" t="s">
        <v>1305</v>
      </c>
    </row>
    <row r="190" spans="1:1">
      <c r="A190" t="s">
        <v>1306</v>
      </c>
    </row>
    <row r="191" spans="1:1">
      <c r="A191">
        <v>-2.02</v>
      </c>
    </row>
    <row r="192" spans="1:1">
      <c r="A192" t="s">
        <v>1307</v>
      </c>
    </row>
    <row r="194" spans="1:1">
      <c r="A194" t="s">
        <v>1309</v>
      </c>
    </row>
    <row r="195" spans="1:1">
      <c r="A195" t="s">
        <v>1310</v>
      </c>
    </row>
    <row r="196" spans="1:1">
      <c r="A196" t="s">
        <v>1311</v>
      </c>
    </row>
    <row r="197" spans="1:1">
      <c r="A197" t="s">
        <v>1312</v>
      </c>
    </row>
    <row r="199" spans="1:1">
      <c r="A199" t="s">
        <v>1313</v>
      </c>
    </row>
    <row r="200" spans="1:1">
      <c r="A200" t="s">
        <v>1314</v>
      </c>
    </row>
    <row r="201" spans="1:1">
      <c r="A201" t="s">
        <v>1315</v>
      </c>
    </row>
  </sheetData>
  <conditionalFormatting sqref="I139:I143">
    <cfRule type="containsText" dxfId="2" priority="1" operator="containsText" text="Error! please choose width not higher than 1220">
      <formula>NOT(ISERROR(SEARCH("Error! please choose width not higher than 1220",I139)))</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B88A6-A2EC-4B75-9DD2-D0B03BB44FFA}">
  <sheetPr>
    <tabColor rgb="FFFFFF00"/>
  </sheetPr>
  <dimension ref="A1:J17"/>
  <sheetViews>
    <sheetView workbookViewId="0">
      <selection activeCell="E4" sqref="E4"/>
    </sheetView>
  </sheetViews>
  <sheetFormatPr defaultRowHeight="15"/>
  <cols>
    <col min="1" max="1" width="16" bestFit="1" customWidth="1"/>
    <col min="2" max="2" width="17.7109375" bestFit="1" customWidth="1"/>
    <col min="3" max="4" width="17.5703125" bestFit="1" customWidth="1"/>
    <col min="5" max="5" width="26.140625" bestFit="1" customWidth="1"/>
    <col min="6" max="6" width="11.85546875" bestFit="1" customWidth="1"/>
    <col min="7" max="7" width="22.140625" bestFit="1" customWidth="1"/>
    <col min="8" max="8" width="10.28515625" bestFit="1" customWidth="1"/>
  </cols>
  <sheetData>
    <row r="1" spans="1:10">
      <c r="A1" s="1" t="s">
        <v>3</v>
      </c>
      <c r="B1" s="1" t="s">
        <v>22</v>
      </c>
      <c r="C1" s="1" t="s">
        <v>73</v>
      </c>
      <c r="D1" s="1" t="s">
        <v>21</v>
      </c>
      <c r="E1" s="1" t="s">
        <v>87</v>
      </c>
      <c r="F1" s="1" t="s">
        <v>88</v>
      </c>
      <c r="G1" s="1" t="s">
        <v>240</v>
      </c>
      <c r="H1" s="1" t="s">
        <v>89</v>
      </c>
      <c r="I1" s="1" t="s">
        <v>90</v>
      </c>
      <c r="J1" s="1" t="s">
        <v>91</v>
      </c>
    </row>
    <row r="2" spans="1:10">
      <c r="A2" t="s">
        <v>13</v>
      </c>
      <c r="B2" t="s">
        <v>74</v>
      </c>
      <c r="C2" t="s">
        <v>75</v>
      </c>
      <c r="D2" t="s">
        <v>33</v>
      </c>
      <c r="E2" s="2">
        <v>2.86</v>
      </c>
      <c r="J2" s="10"/>
    </row>
    <row r="3" spans="1:10">
      <c r="A3" t="s">
        <v>13</v>
      </c>
      <c r="B3" t="s">
        <v>28</v>
      </c>
      <c r="C3" t="s">
        <v>76</v>
      </c>
      <c r="D3" t="s">
        <v>34</v>
      </c>
      <c r="E3" s="2">
        <v>3.39</v>
      </c>
      <c r="J3" s="10"/>
    </row>
    <row r="4" spans="1:10">
      <c r="A4" t="s">
        <v>14</v>
      </c>
      <c r="B4" t="s">
        <v>23</v>
      </c>
      <c r="C4" t="s">
        <v>77</v>
      </c>
      <c r="D4" t="s">
        <v>35</v>
      </c>
      <c r="E4" s="2">
        <v>2.75</v>
      </c>
      <c r="J4" s="10"/>
    </row>
    <row r="5" spans="1:10">
      <c r="A5" t="s">
        <v>14</v>
      </c>
      <c r="B5" t="s">
        <v>27</v>
      </c>
      <c r="C5" t="s">
        <v>78</v>
      </c>
      <c r="D5" t="s">
        <v>36</v>
      </c>
      <c r="E5" s="2">
        <v>4.2</v>
      </c>
      <c r="J5" s="10"/>
    </row>
    <row r="6" spans="1:10">
      <c r="A6" t="s">
        <v>14</v>
      </c>
      <c r="B6" t="s">
        <v>25</v>
      </c>
      <c r="C6" t="s">
        <v>79</v>
      </c>
      <c r="D6" t="s">
        <v>32</v>
      </c>
      <c r="E6" s="2">
        <v>1.81</v>
      </c>
      <c r="J6" s="10"/>
    </row>
    <row r="7" spans="1:10">
      <c r="A7" t="s">
        <v>20</v>
      </c>
      <c r="B7" t="s">
        <v>29</v>
      </c>
      <c r="C7" t="s">
        <v>86</v>
      </c>
      <c r="D7" t="s">
        <v>85</v>
      </c>
      <c r="E7" s="2">
        <v>7.62</v>
      </c>
      <c r="J7" s="10"/>
    </row>
    <row r="8" spans="1:10">
      <c r="A8" t="s">
        <v>15</v>
      </c>
      <c r="B8" t="s">
        <v>24</v>
      </c>
      <c r="C8" t="s">
        <v>80</v>
      </c>
      <c r="D8" t="s">
        <v>37</v>
      </c>
      <c r="E8" s="2">
        <v>5.35</v>
      </c>
      <c r="J8" s="10"/>
    </row>
    <row r="9" spans="1:10">
      <c r="A9" t="s">
        <v>16</v>
      </c>
      <c r="B9" t="s">
        <v>10</v>
      </c>
      <c r="C9" t="s">
        <v>81</v>
      </c>
      <c r="D9" t="s">
        <v>38</v>
      </c>
      <c r="E9" s="2">
        <v>16</v>
      </c>
      <c r="J9" s="10"/>
    </row>
    <row r="10" spans="1:10">
      <c r="A10" t="s">
        <v>17</v>
      </c>
      <c r="B10" t="s">
        <v>11</v>
      </c>
      <c r="C10" t="s">
        <v>82</v>
      </c>
      <c r="D10" t="s">
        <v>39</v>
      </c>
      <c r="E10" s="2">
        <v>14.7</v>
      </c>
      <c r="J10" s="10"/>
    </row>
    <row r="11" spans="1:10">
      <c r="A11" t="s">
        <v>18</v>
      </c>
      <c r="B11" t="s">
        <v>9</v>
      </c>
      <c r="C11" t="s">
        <v>83</v>
      </c>
      <c r="D11" t="s">
        <v>40</v>
      </c>
      <c r="E11" s="2">
        <v>7.55</v>
      </c>
      <c r="J11" s="10"/>
    </row>
    <row r="12" spans="1:10">
      <c r="A12" t="s">
        <v>19</v>
      </c>
      <c r="B12" t="s">
        <v>30</v>
      </c>
      <c r="C12" t="s">
        <v>30</v>
      </c>
      <c r="D12" t="s">
        <v>30</v>
      </c>
      <c r="E12" s="2">
        <v>18.5</v>
      </c>
      <c r="J12" s="10"/>
    </row>
    <row r="13" spans="1:10">
      <c r="A13" t="s">
        <v>12</v>
      </c>
      <c r="B13" t="s">
        <v>8</v>
      </c>
      <c r="C13" t="s">
        <v>84</v>
      </c>
      <c r="D13" t="s">
        <v>42</v>
      </c>
      <c r="E13" s="2">
        <v>5.75</v>
      </c>
      <c r="J13" s="10"/>
    </row>
    <row r="14" spans="1:10">
      <c r="A14" t="s">
        <v>41</v>
      </c>
      <c r="B14" t="s">
        <v>26</v>
      </c>
      <c r="C14" t="s">
        <v>26</v>
      </c>
      <c r="D14" t="s">
        <v>54</v>
      </c>
      <c r="E14" s="2">
        <v>5.78</v>
      </c>
      <c r="J14" s="10"/>
    </row>
    <row r="17" spans="5:5">
      <c r="E17"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69EDD-4C36-44BE-B30B-04FFCCCF42BE}">
  <dimension ref="A2:AD22"/>
  <sheetViews>
    <sheetView zoomScaleNormal="100" workbookViewId="0">
      <selection activeCell="H25" sqref="H25"/>
    </sheetView>
  </sheetViews>
  <sheetFormatPr defaultRowHeight="15"/>
  <cols>
    <col min="1" max="1" width="9.5703125" bestFit="1" customWidth="1"/>
    <col min="2" max="2" width="35.7109375" bestFit="1" customWidth="1"/>
    <col min="3" max="3" width="33.140625" bestFit="1" customWidth="1"/>
    <col min="4" max="4" width="38.85546875" bestFit="1" customWidth="1"/>
    <col min="5" max="5" width="16.7109375" bestFit="1" customWidth="1"/>
    <col min="6" max="6" width="14.42578125" bestFit="1" customWidth="1"/>
    <col min="7" max="8" width="10.85546875" bestFit="1" customWidth="1"/>
    <col min="9" max="9" width="12.5703125" bestFit="1" customWidth="1"/>
    <col min="10" max="11" width="10.42578125" bestFit="1" customWidth="1"/>
    <col min="13" max="13" width="23.5703125" bestFit="1" customWidth="1"/>
    <col min="14" max="14" width="50.42578125" bestFit="1" customWidth="1"/>
    <col min="15" max="15" width="16.7109375" bestFit="1" customWidth="1"/>
    <col min="16" max="17" width="16.42578125" bestFit="1" customWidth="1"/>
    <col min="18" max="19" width="16.7109375" bestFit="1" customWidth="1"/>
    <col min="20" max="20" width="16" bestFit="1" customWidth="1"/>
    <col min="21" max="21" width="16.140625" bestFit="1" customWidth="1"/>
    <col min="22" max="22" width="16.5703125" bestFit="1" customWidth="1"/>
    <col min="23" max="23" width="15.28515625" bestFit="1" customWidth="1"/>
    <col min="24" max="25" width="15" bestFit="1" customWidth="1"/>
    <col min="26" max="27" width="15.28515625" bestFit="1" customWidth="1"/>
    <col min="28" max="28" width="14.5703125" bestFit="1" customWidth="1"/>
    <col min="29" max="29" width="14.7109375" bestFit="1" customWidth="1"/>
    <col min="30" max="30" width="15.140625" bestFit="1" customWidth="1"/>
  </cols>
  <sheetData>
    <row r="2" spans="1:30">
      <c r="A2" s="97" t="s">
        <v>244</v>
      </c>
      <c r="B2" s="97" t="s">
        <v>226</v>
      </c>
      <c r="C2" s="97" t="s">
        <v>245</v>
      </c>
      <c r="D2" s="98" t="s">
        <v>246</v>
      </c>
      <c r="E2" s="98" t="s">
        <v>247</v>
      </c>
      <c r="F2" s="98" t="s">
        <v>248</v>
      </c>
      <c r="G2" s="98" t="s">
        <v>249</v>
      </c>
      <c r="H2" s="98" t="s">
        <v>250</v>
      </c>
      <c r="I2" s="98" t="s">
        <v>251</v>
      </c>
      <c r="J2" s="98" t="s">
        <v>252</v>
      </c>
      <c r="K2" s="98" t="s">
        <v>253</v>
      </c>
      <c r="M2" s="38" t="s">
        <v>254</v>
      </c>
      <c r="O2" t="s">
        <v>1263</v>
      </c>
      <c r="P2" t="s">
        <v>1264</v>
      </c>
      <c r="Q2" t="s">
        <v>1265</v>
      </c>
      <c r="R2" t="s">
        <v>1266</v>
      </c>
      <c r="S2" t="s">
        <v>1267</v>
      </c>
      <c r="T2" t="s">
        <v>1268</v>
      </c>
      <c r="U2" t="s">
        <v>1269</v>
      </c>
      <c r="V2" t="s">
        <v>1270</v>
      </c>
      <c r="W2" t="s">
        <v>1271</v>
      </c>
      <c r="X2" t="s">
        <v>1272</v>
      </c>
      <c r="Y2" t="s">
        <v>1273</v>
      </c>
      <c r="Z2" t="s">
        <v>1274</v>
      </c>
      <c r="AA2" t="s">
        <v>1275</v>
      </c>
      <c r="AB2" t="s">
        <v>1276</v>
      </c>
      <c r="AC2" t="s">
        <v>1277</v>
      </c>
      <c r="AD2" t="s">
        <v>1278</v>
      </c>
    </row>
    <row r="3" spans="1:30">
      <c r="A3" s="987" t="s">
        <v>272</v>
      </c>
      <c r="B3" s="125" t="s">
        <v>297</v>
      </c>
      <c r="C3" s="126" t="s">
        <v>256</v>
      </c>
      <c r="D3" s="127">
        <v>0.11673</v>
      </c>
      <c r="E3" s="127">
        <v>0.10413</v>
      </c>
      <c r="F3" s="127">
        <v>9.153E-2</v>
      </c>
      <c r="G3" s="823">
        <v>8.6489999999999997E-2</v>
      </c>
      <c r="H3" s="825">
        <v>8.4809999999999997E-2</v>
      </c>
      <c r="I3" s="825">
        <v>8.3970000000000003E-2</v>
      </c>
      <c r="J3" s="824">
        <v>8.3459999999999993E-2</v>
      </c>
      <c r="K3" s="127">
        <v>8.3140000000000006E-2</v>
      </c>
      <c r="M3" s="99">
        <v>1.3</v>
      </c>
      <c r="N3" s="10" t="s">
        <v>255</v>
      </c>
      <c r="O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4" spans="1:30">
      <c r="A4" s="988"/>
      <c r="B4" s="125" t="s">
        <v>297</v>
      </c>
      <c r="C4" s="126" t="s">
        <v>258</v>
      </c>
      <c r="D4" s="127">
        <v>0.19644</v>
      </c>
      <c r="E4" s="127">
        <v>0.15437000000000001</v>
      </c>
      <c r="F4" s="127">
        <v>0.11229</v>
      </c>
      <c r="G4" s="127">
        <v>9.5459999999999989E-2</v>
      </c>
      <c r="H4" s="825">
        <v>8.9849999999999999E-2</v>
      </c>
      <c r="I4" s="825">
        <v>8.7050000000000002E-2</v>
      </c>
      <c r="J4" s="127">
        <v>8.5360000000000005E-2</v>
      </c>
      <c r="K4" s="127">
        <v>8.43E-2</v>
      </c>
      <c r="M4" s="99">
        <v>1.5</v>
      </c>
      <c r="N4" s="10" t="s">
        <v>257</v>
      </c>
      <c r="O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5" spans="1:30">
      <c r="A5" s="988"/>
      <c r="B5" s="125" t="s">
        <v>297</v>
      </c>
      <c r="C5" s="126" t="s">
        <v>259</v>
      </c>
      <c r="D5" s="127">
        <v>0.22741999999999998</v>
      </c>
      <c r="E5" s="127">
        <v>0.17702000000000001</v>
      </c>
      <c r="F5" s="127">
        <v>0.12662000000000001</v>
      </c>
      <c r="G5" s="127">
        <v>0.10646</v>
      </c>
      <c r="H5" s="127">
        <v>9.9739999999999995E-2</v>
      </c>
      <c r="I5" s="127">
        <v>9.6379999999999993E-2</v>
      </c>
      <c r="J5" s="127">
        <v>9.4359999999999999E-2</v>
      </c>
      <c r="K5" s="127">
        <v>9.3090000000000006E-2</v>
      </c>
      <c r="O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6" spans="1:30">
      <c r="A6" s="988"/>
      <c r="B6" s="125" t="s">
        <v>297</v>
      </c>
      <c r="C6" s="126" t="s">
        <v>260</v>
      </c>
      <c r="D6" s="127">
        <v>0.27620999999999996</v>
      </c>
      <c r="E6" s="127">
        <v>0.20915999999999998</v>
      </c>
      <c r="F6" s="127">
        <v>0.14211000000000001</v>
      </c>
      <c r="G6" s="127">
        <v>0.11529</v>
      </c>
      <c r="H6" s="127">
        <v>0.10635</v>
      </c>
      <c r="I6" s="127">
        <v>0.10188</v>
      </c>
      <c r="J6" s="127">
        <v>9.9199999999999997E-2</v>
      </c>
      <c r="K6" s="127">
        <v>9.7500000000000003E-2</v>
      </c>
      <c r="M6" s="481" t="s">
        <v>1260</v>
      </c>
      <c r="N6" s="481"/>
      <c r="O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7" spans="1:30">
      <c r="A7" s="988"/>
      <c r="B7" s="125" t="s">
        <v>297</v>
      </c>
      <c r="C7" s="126" t="s">
        <v>261</v>
      </c>
      <c r="D7" s="127">
        <v>3.492E-2</v>
      </c>
      <c r="E7" s="127">
        <v>3.0420000000000003E-2</v>
      </c>
      <c r="F7" s="127">
        <v>2.5920000000000002E-2</v>
      </c>
      <c r="G7" s="127">
        <v>2.4120000000000003E-2</v>
      </c>
      <c r="H7" s="127">
        <v>2.3519999999999999E-2</v>
      </c>
      <c r="I7" s="127">
        <v>2.3219999999999998E-2</v>
      </c>
      <c r="J7" s="127">
        <v>2.3039999999999998E-2</v>
      </c>
      <c r="K7" s="127">
        <v>2.2920000000000003E-2</v>
      </c>
      <c r="M7" s="846" t="s">
        <v>1279</v>
      </c>
      <c r="N7" s="51" t="s">
        <v>1261</v>
      </c>
      <c r="O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1</v>
      </c>
      <c r="Z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8" spans="1:30">
      <c r="A8" s="988"/>
      <c r="B8" s="128" t="s">
        <v>298</v>
      </c>
      <c r="C8" s="129" t="s">
        <v>256</v>
      </c>
      <c r="D8" s="130">
        <v>0.11673</v>
      </c>
      <c r="E8" s="130">
        <v>0.10413</v>
      </c>
      <c r="F8" s="130">
        <v>9.153E-2</v>
      </c>
      <c r="G8" s="130">
        <v>8.6489999999999997E-2</v>
      </c>
      <c r="H8" s="130">
        <v>8.4809999999999997E-2</v>
      </c>
      <c r="I8" s="130">
        <v>8.3970000000000003E-2</v>
      </c>
      <c r="J8" s="130">
        <v>8.3459999999999993E-2</v>
      </c>
      <c r="K8" s="130">
        <v>8.3140000000000006E-2</v>
      </c>
      <c r="M8" s="847" t="s">
        <v>1280</v>
      </c>
      <c r="N8" s="51" t="s">
        <v>1262</v>
      </c>
      <c r="O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9" spans="1:30">
      <c r="A9" s="988"/>
      <c r="B9" s="128" t="s">
        <v>298</v>
      </c>
      <c r="C9" s="129" t="s">
        <v>258</v>
      </c>
      <c r="D9" s="130">
        <v>0.21503701851851853</v>
      </c>
      <c r="E9" s="130">
        <v>0.1729620185185185</v>
      </c>
      <c r="F9" s="130">
        <v>0.13088701851851853</v>
      </c>
      <c r="G9" s="130">
        <v>0.1140570185185185</v>
      </c>
      <c r="H9" s="130">
        <v>0.10844701851851851</v>
      </c>
      <c r="I9" s="130">
        <v>0.10564201851851851</v>
      </c>
      <c r="J9" s="130">
        <v>0.10395901851851852</v>
      </c>
      <c r="K9" s="130">
        <v>0.10289311851851853</v>
      </c>
      <c r="O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10" spans="1:30">
      <c r="A10" s="988"/>
      <c r="B10" s="128" t="s">
        <v>298</v>
      </c>
      <c r="C10" s="129" t="s">
        <v>259</v>
      </c>
      <c r="D10" s="130">
        <v>0.25132801851851849</v>
      </c>
      <c r="E10" s="130">
        <v>0.20092801851851855</v>
      </c>
      <c r="F10" s="130">
        <v>0.15052801851851855</v>
      </c>
      <c r="G10" s="130">
        <v>0.13036801851851851</v>
      </c>
      <c r="H10" s="130">
        <v>0.12364801851851852</v>
      </c>
      <c r="I10" s="130">
        <v>0.12028801851851853</v>
      </c>
      <c r="J10" s="130">
        <v>0.11827201851851853</v>
      </c>
      <c r="K10" s="130">
        <v>0.11699521851851853</v>
      </c>
      <c r="O1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1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1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1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1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1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1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1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1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1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1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1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1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1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1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1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11" spans="1:30">
      <c r="A11" s="988"/>
      <c r="B11" s="128" t="s">
        <v>298</v>
      </c>
      <c r="C11" s="129" t="s">
        <v>260</v>
      </c>
      <c r="D11" s="130">
        <v>0.30277351851851847</v>
      </c>
      <c r="E11" s="130">
        <v>0.23572351851851853</v>
      </c>
      <c r="F11" s="130">
        <v>0.1686735185185185</v>
      </c>
      <c r="G11" s="130">
        <v>0.14185351851851852</v>
      </c>
      <c r="H11" s="130">
        <v>0.13291351851851851</v>
      </c>
      <c r="I11" s="130">
        <v>0.12844351851851851</v>
      </c>
      <c r="J11" s="130">
        <v>0.12576151851851852</v>
      </c>
      <c r="K11" s="130">
        <v>0.12406291851851851</v>
      </c>
      <c r="O1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1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1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1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1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1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1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1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1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1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1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1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1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1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1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1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12" spans="1:30">
      <c r="A12" s="988"/>
      <c r="B12" s="128" t="s">
        <v>298</v>
      </c>
      <c r="C12" s="129" t="s">
        <v>261</v>
      </c>
      <c r="D12" s="130">
        <v>3.4916666666666672E-2</v>
      </c>
      <c r="E12" s="130">
        <v>3.0416666666666668E-2</v>
      </c>
      <c r="F12" s="130">
        <v>2.5916666666666668E-2</v>
      </c>
      <c r="G12" s="130">
        <v>2.4116666666666668E-2</v>
      </c>
      <c r="H12" s="130">
        <v>2.3516666666666665E-2</v>
      </c>
      <c r="I12" s="130">
        <v>2.321666666666667E-2</v>
      </c>
      <c r="J12" s="130">
        <v>2.3036666666666671E-2</v>
      </c>
      <c r="K12" s="130">
        <v>2.2922666666666668E-2</v>
      </c>
      <c r="O1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1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1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1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1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1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1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1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1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1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1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1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1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1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1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1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13" spans="1:30">
      <c r="A13" s="989" t="s">
        <v>262</v>
      </c>
      <c r="B13" s="131" t="s">
        <v>297</v>
      </c>
      <c r="C13" s="132" t="s">
        <v>256</v>
      </c>
      <c r="D13" s="133">
        <f t="shared" ref="D13:K13" si="0">D3*$M$3</f>
        <v>0.151749</v>
      </c>
      <c r="E13" s="134">
        <f t="shared" si="0"/>
        <v>0.13536900000000002</v>
      </c>
      <c r="F13" s="133">
        <f t="shared" si="0"/>
        <v>0.118989</v>
      </c>
      <c r="G13" s="133">
        <f t="shared" si="0"/>
        <v>0.112437</v>
      </c>
      <c r="H13" s="133">
        <f t="shared" si="0"/>
        <v>0.110253</v>
      </c>
      <c r="I13" s="133">
        <f t="shared" si="0"/>
        <v>0.10916100000000001</v>
      </c>
      <c r="J13" s="133">
        <f t="shared" si="0"/>
        <v>0.108498</v>
      </c>
      <c r="K13" s="133">
        <f t="shared" si="0"/>
        <v>0.10808200000000001</v>
      </c>
      <c r="O1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1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1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1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1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1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1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13"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1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1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1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1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1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1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1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13"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14" spans="1:30">
      <c r="A14" s="989"/>
      <c r="B14" s="131" t="s">
        <v>297</v>
      </c>
      <c r="C14" s="132" t="s">
        <v>258</v>
      </c>
      <c r="D14" s="133">
        <f t="shared" ref="D14:K16" si="1">D4*$M$4</f>
        <v>0.29466000000000003</v>
      </c>
      <c r="E14" s="133">
        <f t="shared" si="1"/>
        <v>0.23155500000000001</v>
      </c>
      <c r="F14" s="133">
        <f t="shared" si="1"/>
        <v>0.168435</v>
      </c>
      <c r="G14" s="133">
        <f t="shared" si="1"/>
        <v>0.14318999999999998</v>
      </c>
      <c r="H14" s="133">
        <f t="shared" si="1"/>
        <v>0.13477500000000001</v>
      </c>
      <c r="I14" s="133">
        <f t="shared" si="1"/>
        <v>0.130575</v>
      </c>
      <c r="J14" s="133">
        <f t="shared" si="1"/>
        <v>0.12804000000000001</v>
      </c>
      <c r="K14" s="133">
        <f t="shared" si="1"/>
        <v>0.12645000000000001</v>
      </c>
      <c r="O1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1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1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1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1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1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1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14"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1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1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1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1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1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1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1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14"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15" spans="1:30">
      <c r="A15" s="989"/>
      <c r="B15" s="131" t="s">
        <v>297</v>
      </c>
      <c r="C15" s="132" t="s">
        <v>259</v>
      </c>
      <c r="D15" s="133">
        <f t="shared" si="1"/>
        <v>0.34112999999999999</v>
      </c>
      <c r="E15" s="133">
        <f t="shared" si="1"/>
        <v>0.26553000000000004</v>
      </c>
      <c r="F15" s="133">
        <f t="shared" si="1"/>
        <v>0.18993000000000002</v>
      </c>
      <c r="G15" s="133">
        <f t="shared" si="1"/>
        <v>0.15969</v>
      </c>
      <c r="H15" s="133">
        <f t="shared" si="1"/>
        <v>0.14960999999999999</v>
      </c>
      <c r="I15" s="133">
        <f t="shared" si="1"/>
        <v>0.14456999999999998</v>
      </c>
      <c r="J15" s="133">
        <f t="shared" si="1"/>
        <v>0.14154</v>
      </c>
      <c r="K15" s="133">
        <f t="shared" si="1"/>
        <v>0.13963500000000001</v>
      </c>
      <c r="O1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1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1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1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1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1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1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15"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1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1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1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1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1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1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1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15"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16" spans="1:30">
      <c r="A16" s="989"/>
      <c r="B16" s="131" t="s">
        <v>297</v>
      </c>
      <c r="C16" s="132" t="s">
        <v>260</v>
      </c>
      <c r="D16" s="133">
        <f t="shared" si="1"/>
        <v>0.41431499999999993</v>
      </c>
      <c r="E16" s="133">
        <f t="shared" si="1"/>
        <v>0.31373999999999996</v>
      </c>
      <c r="F16" s="133">
        <f t="shared" si="1"/>
        <v>0.21316500000000002</v>
      </c>
      <c r="G16" s="133">
        <f t="shared" si="1"/>
        <v>0.17293500000000001</v>
      </c>
      <c r="H16" s="133">
        <f t="shared" si="1"/>
        <v>0.159525</v>
      </c>
      <c r="I16" s="133">
        <f t="shared" si="1"/>
        <v>0.15282000000000001</v>
      </c>
      <c r="J16" s="133">
        <f t="shared" si="1"/>
        <v>0.14879999999999999</v>
      </c>
      <c r="K16" s="133">
        <f t="shared" si="1"/>
        <v>0.14624999999999999</v>
      </c>
      <c r="O1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1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1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1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1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1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1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16"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1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1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1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1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1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1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1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16"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17" spans="1:30">
      <c r="A17" s="989"/>
      <c r="B17" s="131" t="s">
        <v>297</v>
      </c>
      <c r="C17" s="132" t="s">
        <v>261</v>
      </c>
      <c r="D17" s="133">
        <f t="shared" ref="D17:K18" si="2">D7*$M$3</f>
        <v>4.5395999999999999E-2</v>
      </c>
      <c r="E17" s="134">
        <f t="shared" si="2"/>
        <v>3.9546000000000005E-2</v>
      </c>
      <c r="F17" s="133">
        <f t="shared" si="2"/>
        <v>3.3696000000000004E-2</v>
      </c>
      <c r="G17" s="133">
        <f t="shared" si="2"/>
        <v>3.1356000000000002E-2</v>
      </c>
      <c r="H17" s="133">
        <f t="shared" si="2"/>
        <v>3.0575999999999999E-2</v>
      </c>
      <c r="I17" s="133">
        <f t="shared" si="2"/>
        <v>3.0185999999999998E-2</v>
      </c>
      <c r="J17" s="133">
        <f t="shared" si="2"/>
        <v>2.9951999999999999E-2</v>
      </c>
      <c r="K17" s="133">
        <f t="shared" si="2"/>
        <v>2.9796000000000003E-2</v>
      </c>
      <c r="O1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1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1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1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1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1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1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17"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1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1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1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1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1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1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1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17"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18" spans="1:30">
      <c r="A18" s="989"/>
      <c r="B18" s="135" t="s">
        <v>298</v>
      </c>
      <c r="C18" s="136" t="s">
        <v>256</v>
      </c>
      <c r="D18" s="137">
        <f t="shared" si="2"/>
        <v>0.151749</v>
      </c>
      <c r="E18" s="138">
        <f t="shared" si="2"/>
        <v>0.13536900000000002</v>
      </c>
      <c r="F18" s="137">
        <f t="shared" si="2"/>
        <v>0.118989</v>
      </c>
      <c r="G18" s="137">
        <f t="shared" si="2"/>
        <v>0.112437</v>
      </c>
      <c r="H18" s="137">
        <f t="shared" si="2"/>
        <v>0.110253</v>
      </c>
      <c r="I18" s="137">
        <f>I8*$M$3</f>
        <v>0.10916100000000001</v>
      </c>
      <c r="J18" s="137">
        <f t="shared" si="2"/>
        <v>0.108498</v>
      </c>
      <c r="K18" s="137">
        <f t="shared" si="2"/>
        <v>0.10808200000000001</v>
      </c>
      <c r="O1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1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1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1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1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1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1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18"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1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1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1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1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1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1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1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18"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19" spans="1:30">
      <c r="A19" s="989"/>
      <c r="B19" s="135" t="s">
        <v>298</v>
      </c>
      <c r="C19" s="136" t="s">
        <v>258</v>
      </c>
      <c r="D19" s="137">
        <f t="shared" ref="D19:K21" si="3">D9*$M$4</f>
        <v>0.3225555277777778</v>
      </c>
      <c r="E19" s="137">
        <f t="shared" si="3"/>
        <v>0.25944302777777772</v>
      </c>
      <c r="F19" s="137">
        <f t="shared" si="3"/>
        <v>0.19633052777777779</v>
      </c>
      <c r="G19" s="137">
        <f t="shared" si="3"/>
        <v>0.17108552777777775</v>
      </c>
      <c r="H19" s="137">
        <f t="shared" si="3"/>
        <v>0.16267052777777777</v>
      </c>
      <c r="I19" s="137">
        <f t="shared" si="3"/>
        <v>0.15846302777777777</v>
      </c>
      <c r="J19" s="137">
        <f t="shared" si="3"/>
        <v>0.15593852777777778</v>
      </c>
      <c r="K19" s="137">
        <f t="shared" si="3"/>
        <v>0.1543396777777778</v>
      </c>
      <c r="O1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1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1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1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1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1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1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19"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1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1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1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1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1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1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1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19"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20" spans="1:30">
      <c r="A20" s="989"/>
      <c r="B20" s="135" t="s">
        <v>298</v>
      </c>
      <c r="C20" s="136" t="s">
        <v>259</v>
      </c>
      <c r="D20" s="137">
        <f t="shared" si="3"/>
        <v>0.37699202777777774</v>
      </c>
      <c r="E20" s="137">
        <f t="shared" si="3"/>
        <v>0.30139202777777785</v>
      </c>
      <c r="F20" s="137">
        <f t="shared" si="3"/>
        <v>0.22579202777777782</v>
      </c>
      <c r="G20" s="137">
        <f t="shared" si="3"/>
        <v>0.19555202777777775</v>
      </c>
      <c r="H20" s="137">
        <f t="shared" si="3"/>
        <v>0.18547202777777777</v>
      </c>
      <c r="I20" s="137">
        <f t="shared" si="3"/>
        <v>0.18043202777777778</v>
      </c>
      <c r="J20" s="137">
        <f t="shared" si="3"/>
        <v>0.17740802777777778</v>
      </c>
      <c r="K20" s="137">
        <f t="shared" si="3"/>
        <v>0.1754928277777778</v>
      </c>
      <c r="O2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2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2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2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2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2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2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20"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2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2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2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2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2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2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2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20"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21" spans="1:30">
      <c r="A21" s="989"/>
      <c r="B21" s="135" t="s">
        <v>298</v>
      </c>
      <c r="C21" s="136" t="s">
        <v>260</v>
      </c>
      <c r="D21" s="137">
        <f t="shared" si="3"/>
        <v>0.45416027777777768</v>
      </c>
      <c r="E21" s="137">
        <f t="shared" si="3"/>
        <v>0.35358527777777782</v>
      </c>
      <c r="F21" s="137">
        <f t="shared" si="3"/>
        <v>0.25301027777777774</v>
      </c>
      <c r="G21" s="137">
        <f t="shared" si="3"/>
        <v>0.21278027777777778</v>
      </c>
      <c r="H21" s="137">
        <f t="shared" si="3"/>
        <v>0.19937027777777777</v>
      </c>
      <c r="I21" s="137">
        <f t="shared" si="3"/>
        <v>0.19266527777777775</v>
      </c>
      <c r="J21" s="137">
        <f t="shared" si="3"/>
        <v>0.18864227777777778</v>
      </c>
      <c r="K21" s="137">
        <f t="shared" si="3"/>
        <v>0.18609437777777776</v>
      </c>
      <c r="O2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2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2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2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2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2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2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21"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2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2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2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2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2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2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2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21"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row r="22" spans="1:30">
      <c r="A22" s="989"/>
      <c r="B22" s="135" t="s">
        <v>298</v>
      </c>
      <c r="C22" s="136" t="s">
        <v>261</v>
      </c>
      <c r="D22" s="137">
        <f t="shared" ref="D22:K22" si="4">D12*$M$3</f>
        <v>4.5391666666666677E-2</v>
      </c>
      <c r="E22" s="137">
        <f t="shared" si="4"/>
        <v>3.9541666666666669E-2</v>
      </c>
      <c r="F22" s="137">
        <f t="shared" si="4"/>
        <v>3.3691666666666668E-2</v>
      </c>
      <c r="G22" s="137">
        <f t="shared" si="4"/>
        <v>3.1351666666666667E-2</v>
      </c>
      <c r="H22" s="137">
        <f t="shared" si="4"/>
        <v>3.0571666666666667E-2</v>
      </c>
      <c r="I22" s="137">
        <f t="shared" si="4"/>
        <v>3.0181666666666673E-2</v>
      </c>
      <c r="J22" s="137">
        <f t="shared" si="4"/>
        <v>2.9947666666666671E-2</v>
      </c>
      <c r="K22" s="137">
        <f t="shared" si="4"/>
        <v>2.979946666666667E-2</v>
      </c>
      <c r="O2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P2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Q2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R2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S2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T2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U2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V22" t="b">
        <f>AND(Laminates!$Q$3&lt;&gt;"",Laminates!$I$3&lt;&gt;0,Laminates!$I$3&lt;&gt;"0",Laminates!$J$3&lt;=1220,Laminates!$G$3&lt;&gt;"",COLUMN()-COLUMN($O$1)+1=IF(Laminates!$G$3&lt;3000,1,IF(Laminates!$G$3&lt;10000,2,IF(Laminates!$G$3&lt;25000,3,IF(Laminates!$G$3&lt;50000,4,IF(Laminates!$G$3&lt;100000,5,IF(Laminates!$G$3&lt;250000,6,IF(Laminates!$G$3&lt;500000,7,8))))))),ROW()=IF(Laminates!$Q$3="Marma",3,IF(Laminates!$Q$3="Bastin",13,0))+IF(Laminates!$J$3&lt;=990,0,5)+IF(OR(Laminates!$I$3=1,Laminates!$I$3=2,Laminates!$I$3="1-2"),1,IF(OR(Laminates!$I$3=3,Laminates!$I$3=4,Laminates!$I$3="3-4"),2,IF(OR(Laminates!$I$3&gt;=5,Laminates!$I$3="5-6",Laminates!$I$3="5-8"),3,0))))</f>
        <v>0</v>
      </c>
      <c r="W2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X2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Y2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Z2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A2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B2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C2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c r="AD22" t="b">
        <f>AND(Laminates!$Q$3&lt;&gt;"",Laminates!$J$3&lt;=1220,Laminates!$G$3&lt;&gt;"",COLUMN()-COLUMN($W$1)+1=IF(Laminates!$G$3&lt;3000,1,IF(Laminates!$G$3&lt;10000,2,IF(Laminates!$G$3&lt;25000,3,IF(Laminates!$G$3&lt;50000,4,IF(Laminates!$G$3&lt;100000,5,IF(Laminates!$G$3&lt;250000,6,IF(Laminates!$G$3&lt;500000,7,8))))))),ROW()=IF(Laminates!$Q$3="Marma",7,IF(Laminates!$Q$3="Bastin",17,0))+IF(Laminates!$J$3&lt;=990,0,5))</f>
        <v>0</v>
      </c>
    </row>
  </sheetData>
  <mergeCells count="2">
    <mergeCell ref="A3:A12"/>
    <mergeCell ref="A13:A22"/>
  </mergeCells>
  <conditionalFormatting sqref="D3:K22">
    <cfRule type="expression" dxfId="1" priority="1">
      <formula>O3=TRUE</formula>
    </cfRule>
    <cfRule type="expression" dxfId="0" priority="2">
      <formula>W3=TRUE</formula>
    </cfRule>
  </conditionalFormatting>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43B93-9A8D-4AC2-B6F0-8A96DD2CB01F}">
  <dimension ref="A1:R38"/>
  <sheetViews>
    <sheetView topLeftCell="A10" workbookViewId="0">
      <selection activeCell="D16" sqref="D16"/>
    </sheetView>
  </sheetViews>
  <sheetFormatPr defaultRowHeight="15"/>
  <cols>
    <col min="1" max="2" width="15" bestFit="1" customWidth="1"/>
    <col min="3" max="3" width="18.42578125" customWidth="1"/>
    <col min="4" max="4" width="12.140625" bestFit="1" customWidth="1"/>
    <col min="5" max="8" width="9.42578125" bestFit="1" customWidth="1"/>
    <col min="9" max="9" width="10.42578125" bestFit="1" customWidth="1"/>
    <col min="10" max="10" width="9.42578125" bestFit="1" customWidth="1"/>
    <col min="13" max="13" width="11" bestFit="1" customWidth="1"/>
  </cols>
  <sheetData>
    <row r="1" spans="1:18">
      <c r="M1" s="38" t="s">
        <v>254</v>
      </c>
    </row>
    <row r="2" spans="1:18">
      <c r="A2" s="100" t="s">
        <v>244</v>
      </c>
      <c r="B2" s="100" t="s">
        <v>110</v>
      </c>
      <c r="C2" s="100" t="s">
        <v>263</v>
      </c>
      <c r="D2" s="101" t="s">
        <v>264</v>
      </c>
      <c r="E2" s="101" t="s">
        <v>265</v>
      </c>
      <c r="F2" s="101" t="s">
        <v>266</v>
      </c>
      <c r="G2" s="101" t="s">
        <v>267</v>
      </c>
      <c r="H2" s="101" t="s">
        <v>268</v>
      </c>
      <c r="I2" s="101" t="s">
        <v>269</v>
      </c>
      <c r="J2" s="101" t="s">
        <v>270</v>
      </c>
      <c r="M2" s="102" t="s">
        <v>271</v>
      </c>
    </row>
    <row r="3" spans="1:18">
      <c r="A3" s="120" t="s">
        <v>272</v>
      </c>
      <c r="B3" s="120" t="s">
        <v>273</v>
      </c>
      <c r="C3" s="120" t="s">
        <v>274</v>
      </c>
      <c r="D3" s="122">
        <v>4.2880992430613968E-2</v>
      </c>
      <c r="E3" s="122">
        <v>3.8198065601345678E-2</v>
      </c>
      <c r="F3" s="122">
        <v>3.4555789178581452E-2</v>
      </c>
      <c r="G3" s="122">
        <v>3.2474488365573317E-2</v>
      </c>
      <c r="H3" s="122">
        <v>3.1641968040370061E-2</v>
      </c>
      <c r="I3" s="122">
        <v>3.1017577796467626E-2</v>
      </c>
      <c r="J3" s="122">
        <v>3.0705382674516408E-2</v>
      </c>
      <c r="M3" s="102" t="s">
        <v>275</v>
      </c>
    </row>
    <row r="4" spans="1:18">
      <c r="A4" s="120" t="s">
        <v>272</v>
      </c>
      <c r="B4" s="120" t="s">
        <v>273</v>
      </c>
      <c r="C4" s="120" t="s">
        <v>276</v>
      </c>
      <c r="D4" s="122">
        <v>4.8113821138211395E-2</v>
      </c>
      <c r="E4" s="122">
        <v>4.3430894308943098E-2</v>
      </c>
      <c r="F4" s="122">
        <v>3.9788617886178865E-2</v>
      </c>
      <c r="G4" s="122">
        <v>3.7707317073170744E-2</v>
      </c>
      <c r="H4" s="122">
        <v>3.6874796747967481E-2</v>
      </c>
      <c r="I4" s="122">
        <v>3.6250406504065039E-2</v>
      </c>
      <c r="J4" s="122">
        <v>3.5938211382113817E-2</v>
      </c>
      <c r="M4" s="102" t="s">
        <v>277</v>
      </c>
    </row>
    <row r="5" spans="1:18">
      <c r="A5" s="120" t="s">
        <v>272</v>
      </c>
      <c r="B5" s="120" t="s">
        <v>273</v>
      </c>
      <c r="C5" s="120" t="s">
        <v>278</v>
      </c>
      <c r="D5" s="122">
        <v>5.4713414634146348E-2</v>
      </c>
      <c r="E5" s="122">
        <v>5.0030487804878059E-2</v>
      </c>
      <c r="F5" s="122">
        <v>4.6388211382113825E-2</v>
      </c>
      <c r="G5" s="122">
        <v>4.4306910569105698E-2</v>
      </c>
      <c r="H5" s="122">
        <v>4.3474390243902442E-2</v>
      </c>
      <c r="I5" s="122">
        <v>4.2849999999999999E-2</v>
      </c>
      <c r="J5" s="122">
        <v>4.2537804878048785E-2</v>
      </c>
      <c r="M5" s="103">
        <v>1.3</v>
      </c>
      <c r="N5" s="102" t="s">
        <v>279</v>
      </c>
      <c r="O5" s="102"/>
      <c r="P5" s="102"/>
      <c r="Q5" s="102"/>
      <c r="R5" s="102"/>
    </row>
    <row r="6" spans="1:18">
      <c r="A6" s="120" t="s">
        <v>272</v>
      </c>
      <c r="B6" s="120" t="s">
        <v>273</v>
      </c>
      <c r="C6" s="120" t="s">
        <v>280</v>
      </c>
      <c r="D6" s="122">
        <v>6.5816355810616928E-2</v>
      </c>
      <c r="E6" s="122">
        <v>6.1133428981348638E-2</v>
      </c>
      <c r="F6" s="122">
        <v>5.7491152558584412E-2</v>
      </c>
      <c r="G6" s="122">
        <v>5.5409851745576277E-2</v>
      </c>
      <c r="H6" s="122">
        <v>5.4577331420373028E-2</v>
      </c>
      <c r="I6" s="122">
        <v>5.3952941176470585E-2</v>
      </c>
      <c r="J6" s="122">
        <v>5.3640746054519371E-2</v>
      </c>
    </row>
    <row r="7" spans="1:18">
      <c r="A7" s="120" t="s">
        <v>272</v>
      </c>
      <c r="B7" s="120" t="s">
        <v>273</v>
      </c>
      <c r="C7" s="120" t="s">
        <v>281</v>
      </c>
      <c r="D7" s="122">
        <v>8.5771106941838648E-2</v>
      </c>
      <c r="E7" s="122">
        <v>8.1088180112570352E-2</v>
      </c>
      <c r="F7" s="122">
        <v>7.7445903689806125E-2</v>
      </c>
      <c r="G7" s="122">
        <v>7.5364602876797998E-2</v>
      </c>
      <c r="H7" s="122">
        <v>7.4532082551594755E-2</v>
      </c>
      <c r="I7" s="122">
        <v>7.3907692307692313E-2</v>
      </c>
      <c r="J7" s="122">
        <v>7.3595497185741085E-2</v>
      </c>
      <c r="M7" s="119"/>
    </row>
    <row r="8" spans="1:18">
      <c r="A8" s="120" t="s">
        <v>272</v>
      </c>
      <c r="B8" s="120" t="s">
        <v>273</v>
      </c>
      <c r="C8" s="120" t="s">
        <v>282</v>
      </c>
      <c r="D8" s="122">
        <v>0.11634959349593499</v>
      </c>
      <c r="E8" s="122">
        <v>0.11166666666666669</v>
      </c>
      <c r="F8" s="122">
        <v>0.10802439024390247</v>
      </c>
      <c r="G8" s="122">
        <v>0.10594308943089432</v>
      </c>
      <c r="H8" s="122">
        <v>0.10511056910569107</v>
      </c>
      <c r="I8" s="122">
        <v>0.10448617886178863</v>
      </c>
      <c r="J8" s="122">
        <v>0.10417398373983741</v>
      </c>
    </row>
    <row r="9" spans="1:18">
      <c r="A9" s="120" t="s">
        <v>272</v>
      </c>
      <c r="B9" s="120" t="s">
        <v>283</v>
      </c>
      <c r="C9" s="120" t="s">
        <v>274</v>
      </c>
      <c r="D9" s="122">
        <v>4.0311988684150167E-2</v>
      </c>
      <c r="E9" s="122">
        <v>3.5629061854881877E-2</v>
      </c>
      <c r="F9" s="122">
        <v>3.1986785432117644E-2</v>
      </c>
      <c r="G9" s="122">
        <v>2.9905484619109513E-2</v>
      </c>
      <c r="H9" s="122">
        <v>2.9072964293906264E-2</v>
      </c>
      <c r="I9" s="122">
        <v>2.8448574050003825E-2</v>
      </c>
      <c r="J9" s="122">
        <v>2.8136378928052604E-2</v>
      </c>
    </row>
    <row r="10" spans="1:18">
      <c r="A10" s="120" t="s">
        <v>272</v>
      </c>
      <c r="B10" s="120" t="s">
        <v>283</v>
      </c>
      <c r="C10" s="120" t="s">
        <v>276</v>
      </c>
      <c r="D10" s="122">
        <v>4.5133776792313382E-2</v>
      </c>
      <c r="E10" s="122">
        <v>4.0450849963045085E-2</v>
      </c>
      <c r="F10" s="122">
        <v>3.6808573540280859E-2</v>
      </c>
      <c r="G10" s="122">
        <v>3.4727272727272725E-2</v>
      </c>
      <c r="H10" s="122">
        <v>3.3894752402069475E-2</v>
      </c>
      <c r="I10" s="122">
        <v>3.327036215816704E-2</v>
      </c>
      <c r="J10" s="122">
        <v>3.2958167036215819E-2</v>
      </c>
    </row>
    <row r="11" spans="1:18">
      <c r="A11" s="120" t="s">
        <v>272</v>
      </c>
      <c r="B11" s="120" t="s">
        <v>283</v>
      </c>
      <c r="C11" s="120" t="s">
        <v>278</v>
      </c>
      <c r="D11" s="122">
        <v>5.1165742793791574E-2</v>
      </c>
      <c r="E11" s="122">
        <v>4.6482815964523277E-2</v>
      </c>
      <c r="F11" s="122">
        <v>4.2840539541759044E-2</v>
      </c>
      <c r="G11" s="122">
        <v>4.0759238728750917E-2</v>
      </c>
      <c r="H11" s="122">
        <v>3.9926718403547667E-2</v>
      </c>
      <c r="I11" s="122">
        <v>3.9302328159645225E-2</v>
      </c>
      <c r="J11" s="122">
        <v>3.8990133037694011E-2</v>
      </c>
    </row>
    <row r="12" spans="1:18">
      <c r="A12" s="120" t="s">
        <v>272</v>
      </c>
      <c r="B12" s="120" t="s">
        <v>283</v>
      </c>
      <c r="C12" s="120" t="s">
        <v>280</v>
      </c>
      <c r="D12" s="122">
        <v>6.1433937654884571E-2</v>
      </c>
      <c r="E12" s="122">
        <v>5.6751010825616281E-2</v>
      </c>
      <c r="F12" s="122">
        <v>5.3108734402852055E-2</v>
      </c>
      <c r="G12" s="122">
        <v>5.1027433589843921E-2</v>
      </c>
      <c r="H12" s="122">
        <v>5.0194913264640678E-2</v>
      </c>
      <c r="I12" s="122">
        <v>4.9570523020738236E-2</v>
      </c>
      <c r="J12" s="122">
        <v>4.9258327898787015E-2</v>
      </c>
    </row>
    <row r="13" spans="1:18">
      <c r="A13" s="120" t="s">
        <v>272</v>
      </c>
      <c r="B13" s="120" t="s">
        <v>283</v>
      </c>
      <c r="C13" s="120" t="s">
        <v>281</v>
      </c>
      <c r="D13" s="122">
        <v>8.0040252430496325E-2</v>
      </c>
      <c r="E13" s="122">
        <v>7.5357325601228042E-2</v>
      </c>
      <c r="F13" s="122">
        <v>7.1715049178463816E-2</v>
      </c>
      <c r="G13" s="122">
        <v>6.9633748365455689E-2</v>
      </c>
      <c r="H13" s="122">
        <v>6.8801228040252432E-2</v>
      </c>
      <c r="I13" s="122">
        <v>6.817683779634999E-2</v>
      </c>
      <c r="J13" s="122">
        <v>6.7864642674398776E-2</v>
      </c>
    </row>
    <row r="14" spans="1:18">
      <c r="A14" s="120" t="s">
        <v>272</v>
      </c>
      <c r="B14" s="120" t="s">
        <v>283</v>
      </c>
      <c r="C14" s="120" t="s">
        <v>282</v>
      </c>
      <c r="D14" s="122">
        <v>0.10807169253510719</v>
      </c>
      <c r="E14" s="122">
        <v>0.10338876570583889</v>
      </c>
      <c r="F14" s="122">
        <v>9.9746489283074669E-2</v>
      </c>
      <c r="G14" s="122">
        <v>9.7665188470066541E-2</v>
      </c>
      <c r="H14" s="122">
        <v>9.6832668144863285E-2</v>
      </c>
      <c r="I14" s="122">
        <v>9.6208277900960856E-2</v>
      </c>
      <c r="J14" s="122">
        <v>9.5896082779009628E-2</v>
      </c>
    </row>
    <row r="15" spans="1:18">
      <c r="A15" s="120" t="s">
        <v>272</v>
      </c>
      <c r="B15" s="120" t="s">
        <v>284</v>
      </c>
      <c r="C15" s="120" t="s">
        <v>274</v>
      </c>
      <c r="D15" s="122">
        <v>3.7484035423250961E-2</v>
      </c>
      <c r="E15" s="122">
        <v>3.2801108593982664E-2</v>
      </c>
      <c r="F15" s="122">
        <v>2.9158832171218434E-2</v>
      </c>
      <c r="G15" s="122">
        <v>2.7077531358210304E-2</v>
      </c>
      <c r="H15" s="122">
        <v>2.6245011033007054E-2</v>
      </c>
      <c r="I15" s="122">
        <v>2.5620620789104612E-2</v>
      </c>
      <c r="J15" s="122">
        <v>2.5308425667153394E-2</v>
      </c>
    </row>
    <row r="16" spans="1:18">
      <c r="A16" s="120" t="s">
        <v>272</v>
      </c>
      <c r="B16" s="120" t="s">
        <v>284</v>
      </c>
      <c r="C16" s="120" t="s">
        <v>276</v>
      </c>
      <c r="D16" s="122">
        <v>4.176798515601176E-2</v>
      </c>
      <c r="E16" s="122">
        <v>3.708505832674347E-2</v>
      </c>
      <c r="F16" s="122">
        <v>3.3442781903979237E-2</v>
      </c>
      <c r="G16" s="122">
        <v>3.1361481090971109E-2</v>
      </c>
      <c r="H16" s="122">
        <v>3.052896076576786E-2</v>
      </c>
      <c r="I16" s="122">
        <v>2.9904570521865421E-2</v>
      </c>
      <c r="J16" s="122">
        <v>2.95923753999142E-2</v>
      </c>
    </row>
    <row r="17" spans="1:10">
      <c r="A17" s="120" t="s">
        <v>272</v>
      </c>
      <c r="B17" s="120" t="s">
        <v>284</v>
      </c>
      <c r="C17" s="120" t="s">
        <v>278</v>
      </c>
      <c r="D17" s="122">
        <v>4.7201843610934525E-2</v>
      </c>
      <c r="E17" s="122">
        <v>4.2518916781666229E-2</v>
      </c>
      <c r="F17" s="122">
        <v>3.8876640358901995E-2</v>
      </c>
      <c r="G17" s="122">
        <v>3.6795339545893868E-2</v>
      </c>
      <c r="H17" s="122">
        <v>3.5962819220690619E-2</v>
      </c>
      <c r="I17" s="122">
        <v>3.5338428976788176E-2</v>
      </c>
      <c r="J17" s="122">
        <v>3.5026233854836962E-2</v>
      </c>
    </row>
    <row r="18" spans="1:10">
      <c r="A18" s="120" t="s">
        <v>272</v>
      </c>
      <c r="B18" s="120" t="s">
        <v>284</v>
      </c>
      <c r="C18" s="120" t="s">
        <v>280</v>
      </c>
      <c r="D18" s="122">
        <v>5.6267932406708986E-2</v>
      </c>
      <c r="E18" s="122">
        <v>5.1585005577440696E-2</v>
      </c>
      <c r="F18" s="122">
        <v>4.7942729154676469E-2</v>
      </c>
      <c r="G18" s="122">
        <v>4.5861428341668335E-2</v>
      </c>
      <c r="H18" s="122">
        <v>4.5028908016465086E-2</v>
      </c>
      <c r="I18" s="122">
        <v>4.440451777256265E-2</v>
      </c>
      <c r="J18" s="122">
        <v>4.4092322650611429E-2</v>
      </c>
    </row>
    <row r="19" spans="1:10">
      <c r="A19" s="120" t="s">
        <v>272</v>
      </c>
      <c r="B19" s="120" t="s">
        <v>284</v>
      </c>
      <c r="C19" s="120" t="s">
        <v>281</v>
      </c>
      <c r="D19" s="122">
        <v>7.2466407206983705E-2</v>
      </c>
      <c r="E19" s="122">
        <v>6.7783480377715408E-2</v>
      </c>
      <c r="F19" s="122">
        <v>6.4141203954951181E-2</v>
      </c>
      <c r="G19" s="122">
        <v>6.2059903141943047E-2</v>
      </c>
      <c r="H19" s="122">
        <v>6.1227382816739798E-2</v>
      </c>
      <c r="I19" s="122">
        <v>6.0602992572837362E-2</v>
      </c>
      <c r="J19" s="122">
        <v>6.0290797450886141E-2</v>
      </c>
    </row>
    <row r="20" spans="1:10">
      <c r="A20" s="120" t="s">
        <v>272</v>
      </c>
      <c r="B20" s="120" t="s">
        <v>284</v>
      </c>
      <c r="C20" s="120" t="s">
        <v>282</v>
      </c>
      <c r="D20" s="122">
        <v>9.7591356167852847E-2</v>
      </c>
      <c r="E20" s="122">
        <v>9.290842933858455E-2</v>
      </c>
      <c r="F20" s="122">
        <v>8.9266152915820338E-2</v>
      </c>
      <c r="G20" s="122">
        <v>8.7184852102812196E-2</v>
      </c>
      <c r="H20" s="122">
        <v>8.635233177760894E-2</v>
      </c>
      <c r="I20" s="122">
        <v>8.5727941533706511E-2</v>
      </c>
      <c r="J20" s="122">
        <v>8.5415746411755297E-2</v>
      </c>
    </row>
    <row r="21" spans="1:10">
      <c r="A21" s="121" t="s">
        <v>262</v>
      </c>
      <c r="B21" s="121" t="s">
        <v>273</v>
      </c>
      <c r="C21" s="121" t="s">
        <v>274</v>
      </c>
      <c r="D21" s="123">
        <f t="shared" ref="D21:J36" si="0">D3*$M$5</f>
        <v>5.5745290159798157E-2</v>
      </c>
      <c r="E21" s="123">
        <f t="shared" si="0"/>
        <v>4.9657485281749382E-2</v>
      </c>
      <c r="F21" s="123">
        <f t="shared" si="0"/>
        <v>4.4922525932155892E-2</v>
      </c>
      <c r="G21" s="123">
        <f t="shared" si="0"/>
        <v>4.2216834875245315E-2</v>
      </c>
      <c r="H21" s="123">
        <f t="shared" si="0"/>
        <v>4.1134558452481082E-2</v>
      </c>
      <c r="I21" s="123">
        <f t="shared" si="0"/>
        <v>4.0322851135407914E-2</v>
      </c>
      <c r="J21" s="123">
        <f t="shared" si="0"/>
        <v>3.991699747687133E-2</v>
      </c>
    </row>
    <row r="22" spans="1:10">
      <c r="A22" s="121" t="s">
        <v>262</v>
      </c>
      <c r="B22" s="121" t="s">
        <v>273</v>
      </c>
      <c r="C22" s="121" t="s">
        <v>276</v>
      </c>
      <c r="D22" s="123">
        <f t="shared" si="0"/>
        <v>6.254796747967481E-2</v>
      </c>
      <c r="E22" s="123">
        <f t="shared" si="0"/>
        <v>5.6460162601626028E-2</v>
      </c>
      <c r="F22" s="123">
        <f t="shared" si="0"/>
        <v>5.1725203252032524E-2</v>
      </c>
      <c r="G22" s="123">
        <f t="shared" si="0"/>
        <v>4.9019512195121968E-2</v>
      </c>
      <c r="H22" s="123">
        <f t="shared" si="0"/>
        <v>4.7937235772357728E-2</v>
      </c>
      <c r="I22" s="123">
        <f t="shared" si="0"/>
        <v>4.7125528455284553E-2</v>
      </c>
      <c r="J22" s="123">
        <f t="shared" si="0"/>
        <v>4.6719674796747962E-2</v>
      </c>
    </row>
    <row r="23" spans="1:10">
      <c r="A23" s="121" t="s">
        <v>262</v>
      </c>
      <c r="B23" s="121" t="s">
        <v>273</v>
      </c>
      <c r="C23" s="121" t="s">
        <v>278</v>
      </c>
      <c r="D23" s="123">
        <f t="shared" si="0"/>
        <v>7.1127439024390254E-2</v>
      </c>
      <c r="E23" s="123">
        <f t="shared" si="0"/>
        <v>6.503963414634148E-2</v>
      </c>
      <c r="F23" s="123">
        <f t="shared" si="0"/>
        <v>6.0304674796747976E-2</v>
      </c>
      <c r="G23" s="123">
        <f t="shared" si="0"/>
        <v>5.7598983739837406E-2</v>
      </c>
      <c r="H23" s="123">
        <f t="shared" si="0"/>
        <v>5.6516707317073173E-2</v>
      </c>
      <c r="I23" s="123">
        <f t="shared" si="0"/>
        <v>5.5704999999999998E-2</v>
      </c>
      <c r="J23" s="123">
        <f t="shared" si="0"/>
        <v>5.529914634146342E-2</v>
      </c>
    </row>
    <row r="24" spans="1:10">
      <c r="A24" s="121" t="s">
        <v>262</v>
      </c>
      <c r="B24" s="121" t="s">
        <v>273</v>
      </c>
      <c r="C24" s="121" t="s">
        <v>280</v>
      </c>
      <c r="D24" s="123">
        <f t="shared" si="0"/>
        <v>8.5561262553802003E-2</v>
      </c>
      <c r="E24" s="123">
        <f t="shared" si="0"/>
        <v>7.9473457675753229E-2</v>
      </c>
      <c r="F24" s="123">
        <f t="shared" si="0"/>
        <v>7.4738498326159739E-2</v>
      </c>
      <c r="G24" s="123">
        <f t="shared" si="0"/>
        <v>7.2032807269249169E-2</v>
      </c>
      <c r="H24" s="123">
        <f t="shared" si="0"/>
        <v>7.0950530846484935E-2</v>
      </c>
      <c r="I24" s="123">
        <f t="shared" si="0"/>
        <v>7.0138823529411767E-2</v>
      </c>
      <c r="J24" s="123">
        <f t="shared" si="0"/>
        <v>6.9732969870875183E-2</v>
      </c>
    </row>
    <row r="25" spans="1:10">
      <c r="A25" s="121" t="s">
        <v>262</v>
      </c>
      <c r="B25" s="121" t="s">
        <v>273</v>
      </c>
      <c r="C25" s="121" t="s">
        <v>281</v>
      </c>
      <c r="D25" s="123">
        <f t="shared" si="0"/>
        <v>0.11150243902439025</v>
      </c>
      <c r="E25" s="123">
        <f t="shared" si="0"/>
        <v>0.10541463414634146</v>
      </c>
      <c r="F25" s="123">
        <f t="shared" si="0"/>
        <v>0.10067967479674797</v>
      </c>
      <c r="G25" s="123">
        <f t="shared" si="0"/>
        <v>9.79739837398374E-2</v>
      </c>
      <c r="H25" s="123">
        <f t="shared" si="0"/>
        <v>9.6891707317073181E-2</v>
      </c>
      <c r="I25" s="123">
        <f t="shared" si="0"/>
        <v>9.6080000000000013E-2</v>
      </c>
      <c r="J25" s="123">
        <f t="shared" si="0"/>
        <v>9.5674146341463415E-2</v>
      </c>
    </row>
    <row r="26" spans="1:10">
      <c r="A26" s="121" t="s">
        <v>262</v>
      </c>
      <c r="B26" s="121" t="s">
        <v>273</v>
      </c>
      <c r="C26" s="121" t="s">
        <v>282</v>
      </c>
      <c r="D26" s="123">
        <f t="shared" si="0"/>
        <v>0.1512544715447155</v>
      </c>
      <c r="E26" s="123">
        <f t="shared" si="0"/>
        <v>0.14516666666666669</v>
      </c>
      <c r="F26" s="123">
        <f t="shared" si="0"/>
        <v>0.14043170731707322</v>
      </c>
      <c r="G26" s="123">
        <f t="shared" si="0"/>
        <v>0.13772601626016262</v>
      </c>
      <c r="H26" s="123">
        <f t="shared" si="0"/>
        <v>0.13664373983739839</v>
      </c>
      <c r="I26" s="123">
        <f t="shared" si="0"/>
        <v>0.13583203252032522</v>
      </c>
      <c r="J26" s="123">
        <f t="shared" si="0"/>
        <v>0.13542617886178865</v>
      </c>
    </row>
    <row r="27" spans="1:10">
      <c r="A27" s="121" t="s">
        <v>262</v>
      </c>
      <c r="B27" s="121" t="s">
        <v>283</v>
      </c>
      <c r="C27" s="121" t="s">
        <v>274</v>
      </c>
      <c r="D27" s="123">
        <f t="shared" si="0"/>
        <v>5.2405585289395221E-2</v>
      </c>
      <c r="E27" s="123">
        <f t="shared" si="0"/>
        <v>4.6317780411346439E-2</v>
      </c>
      <c r="F27" s="123">
        <f t="shared" si="0"/>
        <v>4.1582821061752942E-2</v>
      </c>
      <c r="G27" s="123">
        <f t="shared" si="0"/>
        <v>3.8877130004842365E-2</v>
      </c>
      <c r="H27" s="123">
        <f t="shared" si="0"/>
        <v>3.7794853582078146E-2</v>
      </c>
      <c r="I27" s="123">
        <f t="shared" si="0"/>
        <v>3.6983146265004971E-2</v>
      </c>
      <c r="J27" s="123">
        <f t="shared" si="0"/>
        <v>3.6577292606468387E-2</v>
      </c>
    </row>
    <row r="28" spans="1:10">
      <c r="A28" s="121" t="s">
        <v>262</v>
      </c>
      <c r="B28" s="121" t="s">
        <v>283</v>
      </c>
      <c r="C28" s="121" t="s">
        <v>276</v>
      </c>
      <c r="D28" s="123">
        <f t="shared" si="0"/>
        <v>5.8673909830007399E-2</v>
      </c>
      <c r="E28" s="123">
        <f t="shared" si="0"/>
        <v>5.2586104951958611E-2</v>
      </c>
      <c r="F28" s="123">
        <f t="shared" si="0"/>
        <v>4.7851145602365121E-2</v>
      </c>
      <c r="G28" s="123">
        <f t="shared" si="0"/>
        <v>4.5145454545454544E-2</v>
      </c>
      <c r="H28" s="123">
        <f t="shared" si="0"/>
        <v>4.4063178122690318E-2</v>
      </c>
      <c r="I28" s="123">
        <f t="shared" si="0"/>
        <v>4.3251470805617157E-2</v>
      </c>
      <c r="J28" s="123">
        <f t="shared" si="0"/>
        <v>4.2845617147080566E-2</v>
      </c>
    </row>
    <row r="29" spans="1:10">
      <c r="A29" s="121" t="s">
        <v>262</v>
      </c>
      <c r="B29" s="121" t="s">
        <v>283</v>
      </c>
      <c r="C29" s="121" t="s">
        <v>278</v>
      </c>
      <c r="D29" s="123">
        <f t="shared" si="0"/>
        <v>6.6515465631929047E-2</v>
      </c>
      <c r="E29" s="123">
        <f t="shared" si="0"/>
        <v>6.0427660753880265E-2</v>
      </c>
      <c r="F29" s="123">
        <f t="shared" si="0"/>
        <v>5.5692701404286761E-2</v>
      </c>
      <c r="G29" s="123">
        <f t="shared" si="0"/>
        <v>5.2987010347376191E-2</v>
      </c>
      <c r="H29" s="123">
        <f t="shared" si="0"/>
        <v>5.1904733924611972E-2</v>
      </c>
      <c r="I29" s="123">
        <f t="shared" si="0"/>
        <v>5.1093026607538797E-2</v>
      </c>
      <c r="J29" s="123">
        <f t="shared" si="0"/>
        <v>5.0687172949002213E-2</v>
      </c>
    </row>
    <row r="30" spans="1:10">
      <c r="A30" s="121" t="s">
        <v>262</v>
      </c>
      <c r="B30" s="121" t="s">
        <v>283</v>
      </c>
      <c r="C30" s="121" t="s">
        <v>280</v>
      </c>
      <c r="D30" s="123">
        <f t="shared" si="0"/>
        <v>7.9864118951349941E-2</v>
      </c>
      <c r="E30" s="123">
        <f t="shared" si="0"/>
        <v>7.3776314073301166E-2</v>
      </c>
      <c r="F30" s="123">
        <f t="shared" si="0"/>
        <v>6.9041354723707676E-2</v>
      </c>
      <c r="G30" s="123">
        <f t="shared" si="0"/>
        <v>6.6335663666797093E-2</v>
      </c>
      <c r="H30" s="123">
        <f t="shared" si="0"/>
        <v>6.5253387244032887E-2</v>
      </c>
      <c r="I30" s="123">
        <f t="shared" si="0"/>
        <v>6.4441679926959705E-2</v>
      </c>
      <c r="J30" s="123">
        <f t="shared" si="0"/>
        <v>6.4035826268423121E-2</v>
      </c>
    </row>
    <row r="31" spans="1:10">
      <c r="A31" s="121" t="s">
        <v>262</v>
      </c>
      <c r="B31" s="121" t="s">
        <v>283</v>
      </c>
      <c r="C31" s="121" t="s">
        <v>281</v>
      </c>
      <c r="D31" s="123">
        <f t="shared" si="0"/>
        <v>0.10405232815964523</v>
      </c>
      <c r="E31" s="123">
        <f t="shared" si="0"/>
        <v>9.7964523281596452E-2</v>
      </c>
      <c r="F31" s="123">
        <f t="shared" si="0"/>
        <v>9.3229563932002962E-2</v>
      </c>
      <c r="G31" s="123">
        <f t="shared" si="0"/>
        <v>9.0523872875092393E-2</v>
      </c>
      <c r="H31" s="123">
        <f t="shared" si="0"/>
        <v>8.9441596452328159E-2</v>
      </c>
      <c r="I31" s="123">
        <f t="shared" si="0"/>
        <v>8.8629889135254991E-2</v>
      </c>
      <c r="J31" s="123">
        <f t="shared" si="0"/>
        <v>8.8224035476718407E-2</v>
      </c>
    </row>
    <row r="32" spans="1:10">
      <c r="A32" s="121" t="s">
        <v>262</v>
      </c>
      <c r="B32" s="121" t="s">
        <v>283</v>
      </c>
      <c r="C32" s="121" t="s">
        <v>282</v>
      </c>
      <c r="D32" s="123">
        <f t="shared" si="0"/>
        <v>0.14049320029563936</v>
      </c>
      <c r="E32" s="123">
        <f t="shared" si="0"/>
        <v>0.13440539541759056</v>
      </c>
      <c r="F32" s="123">
        <f t="shared" si="0"/>
        <v>0.12967043606799708</v>
      </c>
      <c r="G32" s="123">
        <f t="shared" si="0"/>
        <v>0.12696474501108651</v>
      </c>
      <c r="H32" s="123">
        <f t="shared" si="0"/>
        <v>0.12588246858832228</v>
      </c>
      <c r="I32" s="123">
        <f t="shared" si="0"/>
        <v>0.12507076127124911</v>
      </c>
      <c r="J32" s="123">
        <f t="shared" si="0"/>
        <v>0.12466490761271252</v>
      </c>
    </row>
    <row r="33" spans="1:10">
      <c r="A33" s="121" t="s">
        <v>262</v>
      </c>
      <c r="B33" s="121" t="s">
        <v>284</v>
      </c>
      <c r="C33" s="121" t="s">
        <v>274</v>
      </c>
      <c r="D33" s="123">
        <f t="shared" si="0"/>
        <v>4.8729246050226251E-2</v>
      </c>
      <c r="E33" s="123">
        <f t="shared" si="0"/>
        <v>4.2641441172177462E-2</v>
      </c>
      <c r="F33" s="123">
        <f t="shared" si="0"/>
        <v>3.7906481822583965E-2</v>
      </c>
      <c r="G33" s="123">
        <f t="shared" si="0"/>
        <v>3.5200790765673395E-2</v>
      </c>
      <c r="H33" s="123">
        <f t="shared" si="0"/>
        <v>3.4118514342909169E-2</v>
      </c>
      <c r="I33" s="123">
        <f t="shared" si="0"/>
        <v>3.3306807025835994E-2</v>
      </c>
      <c r="J33" s="123">
        <f t="shared" si="0"/>
        <v>3.2900953367299417E-2</v>
      </c>
    </row>
    <row r="34" spans="1:10">
      <c r="A34" s="121" t="s">
        <v>262</v>
      </c>
      <c r="B34" s="121" t="s">
        <v>284</v>
      </c>
      <c r="C34" s="121" t="s">
        <v>276</v>
      </c>
      <c r="D34" s="123">
        <f t="shared" si="0"/>
        <v>5.4298380702815292E-2</v>
      </c>
      <c r="E34" s="123">
        <f t="shared" si="0"/>
        <v>4.8210575824766511E-2</v>
      </c>
      <c r="F34" s="123">
        <f t="shared" si="0"/>
        <v>4.3475616475173007E-2</v>
      </c>
      <c r="G34" s="123">
        <f t="shared" si="0"/>
        <v>4.0769925418262444E-2</v>
      </c>
      <c r="H34" s="123">
        <f t="shared" si="0"/>
        <v>3.9687648995498218E-2</v>
      </c>
      <c r="I34" s="123">
        <f t="shared" si="0"/>
        <v>3.8875941678425049E-2</v>
      </c>
      <c r="J34" s="123">
        <f t="shared" si="0"/>
        <v>3.8470088019888458E-2</v>
      </c>
    </row>
    <row r="35" spans="1:10">
      <c r="A35" s="121" t="s">
        <v>262</v>
      </c>
      <c r="B35" s="121" t="s">
        <v>284</v>
      </c>
      <c r="C35" s="121" t="s">
        <v>278</v>
      </c>
      <c r="D35" s="123">
        <f t="shared" si="0"/>
        <v>6.1362396694214887E-2</v>
      </c>
      <c r="E35" s="123">
        <f t="shared" si="0"/>
        <v>5.5274591816166098E-2</v>
      </c>
      <c r="F35" s="123">
        <f t="shared" si="0"/>
        <v>5.0539632466572594E-2</v>
      </c>
      <c r="G35" s="123">
        <f t="shared" si="0"/>
        <v>4.7833941409662031E-2</v>
      </c>
      <c r="H35" s="123">
        <f t="shared" si="0"/>
        <v>4.6751664986897805E-2</v>
      </c>
      <c r="I35" s="123">
        <f t="shared" si="0"/>
        <v>4.593995766982463E-2</v>
      </c>
      <c r="J35" s="123">
        <f t="shared" si="0"/>
        <v>4.5534104011288053E-2</v>
      </c>
    </row>
    <row r="36" spans="1:10">
      <c r="A36" s="121" t="s">
        <v>262</v>
      </c>
      <c r="B36" s="121" t="s">
        <v>284</v>
      </c>
      <c r="C36" s="121" t="s">
        <v>280</v>
      </c>
      <c r="D36" s="123">
        <f t="shared" si="0"/>
        <v>7.3148312128721679E-2</v>
      </c>
      <c r="E36" s="123">
        <f t="shared" si="0"/>
        <v>6.7060507250672904E-2</v>
      </c>
      <c r="F36" s="123">
        <f t="shared" si="0"/>
        <v>6.2325547901079414E-2</v>
      </c>
      <c r="G36" s="123">
        <f t="shared" si="0"/>
        <v>5.9619856844168838E-2</v>
      </c>
      <c r="H36" s="123">
        <f t="shared" si="0"/>
        <v>5.8537580421404611E-2</v>
      </c>
      <c r="I36" s="123">
        <f t="shared" si="0"/>
        <v>5.772587310433145E-2</v>
      </c>
      <c r="J36" s="123">
        <f t="shared" si="0"/>
        <v>5.7320019445794859E-2</v>
      </c>
    </row>
    <row r="37" spans="1:10">
      <c r="A37" s="121" t="s">
        <v>262</v>
      </c>
      <c r="B37" s="121" t="s">
        <v>284</v>
      </c>
      <c r="C37" s="121" t="s">
        <v>281</v>
      </c>
      <c r="D37" s="124">
        <f t="shared" ref="D37:J38" si="1">D19*$M$5</f>
        <v>9.4206329369078814E-2</v>
      </c>
      <c r="E37" s="123">
        <f t="shared" si="1"/>
        <v>8.811852449103004E-2</v>
      </c>
      <c r="F37" s="123">
        <f t="shared" si="1"/>
        <v>8.3383565141436536E-2</v>
      </c>
      <c r="G37" s="123">
        <f t="shared" si="1"/>
        <v>8.0677874084525966E-2</v>
      </c>
      <c r="H37" s="123">
        <f t="shared" si="1"/>
        <v>7.9595597661761733E-2</v>
      </c>
      <c r="I37" s="123">
        <f t="shared" si="1"/>
        <v>7.8783890344688579E-2</v>
      </c>
      <c r="J37" s="123">
        <f t="shared" si="1"/>
        <v>7.8378036686151981E-2</v>
      </c>
    </row>
    <row r="38" spans="1:10">
      <c r="A38" s="121" t="s">
        <v>262</v>
      </c>
      <c r="B38" s="121" t="s">
        <v>284</v>
      </c>
      <c r="C38" s="121" t="s">
        <v>282</v>
      </c>
      <c r="D38" s="123">
        <f t="shared" si="1"/>
        <v>0.12686876301820871</v>
      </c>
      <c r="E38" s="123">
        <f t="shared" si="1"/>
        <v>0.12078095814015992</v>
      </c>
      <c r="F38" s="123">
        <f t="shared" si="1"/>
        <v>0.11604599879056644</v>
      </c>
      <c r="G38" s="123">
        <f t="shared" si="1"/>
        <v>0.11334030773365586</v>
      </c>
      <c r="H38" s="123">
        <f t="shared" si="1"/>
        <v>0.11225803131089163</v>
      </c>
      <c r="I38" s="123">
        <f t="shared" si="1"/>
        <v>0.11144632399381847</v>
      </c>
      <c r="J38" s="123">
        <f t="shared" si="1"/>
        <v>0.11104047033528189</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5DF92-1610-416E-9E83-C082598FDB17}">
  <sheetPr>
    <pageSetUpPr fitToPage="1"/>
  </sheetPr>
  <dimension ref="A1:F122"/>
  <sheetViews>
    <sheetView topLeftCell="A35" zoomScale="80" zoomScaleNormal="80" workbookViewId="0">
      <selection activeCell="B116" sqref="B116"/>
    </sheetView>
  </sheetViews>
  <sheetFormatPr defaultColWidth="9.140625" defaultRowHeight="15"/>
  <cols>
    <col min="1" max="1" width="70.140625" style="142" customWidth="1"/>
    <col min="2" max="2" width="84.7109375" style="142" customWidth="1"/>
    <col min="3" max="3" width="39.42578125" style="142" bestFit="1" customWidth="1"/>
    <col min="4" max="4" width="22.42578125" style="142" bestFit="1" customWidth="1"/>
    <col min="5" max="5" width="23.28515625" style="142" bestFit="1" customWidth="1"/>
    <col min="6" max="6" width="57.42578125" style="142" customWidth="1"/>
    <col min="7" max="16384" width="9.140625" style="142"/>
  </cols>
  <sheetData>
    <row r="1" spans="1:6" ht="18.75">
      <c r="A1" s="990" t="s">
        <v>299</v>
      </c>
      <c r="B1" s="990"/>
      <c r="C1" s="990"/>
      <c r="D1" s="990"/>
      <c r="E1" s="990"/>
      <c r="F1" s="990"/>
    </row>
    <row r="2" spans="1:6" ht="37.5">
      <c r="A2" s="143" t="s">
        <v>300</v>
      </c>
      <c r="B2" s="144" t="s">
        <v>301</v>
      </c>
      <c r="C2" s="145" t="s">
        <v>302</v>
      </c>
      <c r="D2" s="145" t="s">
        <v>303</v>
      </c>
      <c r="E2" s="145" t="s">
        <v>304</v>
      </c>
      <c r="F2" s="145" t="s">
        <v>91</v>
      </c>
    </row>
    <row r="3" spans="1:6">
      <c r="A3" s="146" t="s">
        <v>305</v>
      </c>
      <c r="B3" s="147" t="s">
        <v>306</v>
      </c>
      <c r="C3" s="148" t="s">
        <v>307</v>
      </c>
      <c r="D3" s="149" t="s">
        <v>308</v>
      </c>
      <c r="E3" s="148"/>
      <c r="F3" s="148"/>
    </row>
    <row r="4" spans="1:6">
      <c r="A4" s="146" t="s">
        <v>309</v>
      </c>
      <c r="B4" s="147" t="s">
        <v>310</v>
      </c>
      <c r="C4" s="148" t="s">
        <v>307</v>
      </c>
      <c r="D4" s="149" t="s">
        <v>308</v>
      </c>
      <c r="E4" s="148"/>
      <c r="F4" s="148"/>
    </row>
    <row r="5" spans="1:6">
      <c r="A5" s="146" t="s">
        <v>311</v>
      </c>
      <c r="B5" s="147" t="s">
        <v>312</v>
      </c>
      <c r="C5" s="148" t="s">
        <v>307</v>
      </c>
      <c r="D5" s="149" t="s">
        <v>308</v>
      </c>
      <c r="E5" s="148"/>
      <c r="F5" s="148"/>
    </row>
    <row r="6" spans="1:6">
      <c r="A6" s="146"/>
      <c r="B6" s="150" t="s">
        <v>313</v>
      </c>
      <c r="C6" s="148"/>
      <c r="D6" s="149"/>
      <c r="E6" s="148"/>
      <c r="F6" s="148"/>
    </row>
    <row r="7" spans="1:6">
      <c r="A7" s="146"/>
      <c r="B7" s="150" t="s">
        <v>314</v>
      </c>
      <c r="C7" s="148"/>
      <c r="D7" s="149"/>
      <c r="E7" s="148"/>
      <c r="F7" s="148"/>
    </row>
    <row r="8" spans="1:6">
      <c r="A8" s="146" t="s">
        <v>315</v>
      </c>
      <c r="B8" s="147" t="s">
        <v>316</v>
      </c>
      <c r="C8" s="148" t="s">
        <v>307</v>
      </c>
      <c r="D8" s="149" t="s">
        <v>308</v>
      </c>
      <c r="E8" s="148"/>
      <c r="F8" s="148"/>
    </row>
    <row r="9" spans="1:6">
      <c r="A9" s="146" t="s">
        <v>317</v>
      </c>
      <c r="B9" s="147" t="s">
        <v>318</v>
      </c>
      <c r="C9" s="148" t="s">
        <v>307</v>
      </c>
      <c r="D9" s="149" t="s">
        <v>308</v>
      </c>
      <c r="E9" s="148"/>
      <c r="F9" s="148"/>
    </row>
    <row r="10" spans="1:6" ht="18.75" customHeight="1">
      <c r="A10" s="151" t="s">
        <v>319</v>
      </c>
      <c r="B10" s="150" t="s">
        <v>320</v>
      </c>
      <c r="C10" s="148" t="s">
        <v>321</v>
      </c>
      <c r="D10" s="149"/>
      <c r="E10" s="148"/>
      <c r="F10" s="148"/>
    </row>
    <row r="11" spans="1:6">
      <c r="A11" s="146" t="s">
        <v>322</v>
      </c>
      <c r="B11" s="150" t="s">
        <v>323</v>
      </c>
      <c r="C11" s="152" t="s">
        <v>321</v>
      </c>
      <c r="D11" s="149"/>
      <c r="E11" s="148"/>
      <c r="F11" s="148"/>
    </row>
    <row r="12" spans="1:6">
      <c r="A12" s="146" t="s">
        <v>324</v>
      </c>
      <c r="B12" s="147" t="s">
        <v>325</v>
      </c>
      <c r="C12" s="148" t="s">
        <v>307</v>
      </c>
      <c r="D12" s="149" t="s">
        <v>308</v>
      </c>
      <c r="E12" s="148"/>
      <c r="F12" s="148"/>
    </row>
    <row r="13" spans="1:6">
      <c r="A13" s="146"/>
      <c r="B13" s="150" t="s">
        <v>326</v>
      </c>
      <c r="C13" s="148"/>
      <c r="D13" s="149"/>
      <c r="E13" s="148"/>
      <c r="F13" s="148"/>
    </row>
    <row r="14" spans="1:6">
      <c r="A14" s="146"/>
      <c r="B14" s="150" t="s">
        <v>327</v>
      </c>
      <c r="C14" s="148" t="s">
        <v>328</v>
      </c>
      <c r="D14" s="149"/>
      <c r="E14" s="148"/>
      <c r="F14" s="148"/>
    </row>
    <row r="15" spans="1:6">
      <c r="A15" s="146"/>
      <c r="B15" s="150" t="s">
        <v>329</v>
      </c>
      <c r="C15" s="153" t="s">
        <v>330</v>
      </c>
      <c r="D15" s="149"/>
      <c r="E15" s="148"/>
      <c r="F15" s="148"/>
    </row>
    <row r="16" spans="1:6">
      <c r="A16" s="146" t="s">
        <v>331</v>
      </c>
      <c r="B16" s="150" t="s">
        <v>332</v>
      </c>
      <c r="C16" s="148" t="s">
        <v>333</v>
      </c>
      <c r="D16" s="149" t="s">
        <v>308</v>
      </c>
      <c r="E16" s="148"/>
      <c r="F16" s="148"/>
    </row>
    <row r="17" spans="1:6">
      <c r="A17" s="146" t="s">
        <v>334</v>
      </c>
      <c r="B17" s="147" t="s">
        <v>335</v>
      </c>
      <c r="C17" s="148" t="s">
        <v>307</v>
      </c>
      <c r="D17" s="149" t="s">
        <v>336</v>
      </c>
      <c r="E17" s="149"/>
      <c r="F17" s="148"/>
    </row>
    <row r="18" spans="1:6">
      <c r="A18" s="146"/>
      <c r="B18" s="154" t="s">
        <v>337</v>
      </c>
      <c r="C18" s="155" t="s">
        <v>338</v>
      </c>
      <c r="D18" s="149" t="s">
        <v>308</v>
      </c>
      <c r="E18" s="148"/>
      <c r="F18" s="148"/>
    </row>
    <row r="19" spans="1:6">
      <c r="A19" s="146" t="s">
        <v>339</v>
      </c>
      <c r="B19" s="150" t="s">
        <v>340</v>
      </c>
      <c r="C19" s="148" t="s">
        <v>307</v>
      </c>
      <c r="D19" s="149" t="s">
        <v>341</v>
      </c>
      <c r="E19" s="149"/>
      <c r="F19" s="148"/>
    </row>
    <row r="20" spans="1:6">
      <c r="A20" s="146"/>
      <c r="B20" s="150" t="s">
        <v>342</v>
      </c>
      <c r="C20" s="153" t="s">
        <v>330</v>
      </c>
      <c r="D20" s="149"/>
      <c r="E20" s="149"/>
      <c r="F20" s="148"/>
    </row>
    <row r="21" spans="1:6">
      <c r="A21" s="146"/>
      <c r="B21" s="156" t="s">
        <v>343</v>
      </c>
      <c r="C21" s="155" t="s">
        <v>338</v>
      </c>
      <c r="D21" s="149" t="s">
        <v>308</v>
      </c>
      <c r="E21" s="148"/>
      <c r="F21" s="148"/>
    </row>
    <row r="22" spans="1:6">
      <c r="A22" s="146"/>
      <c r="B22" s="157" t="s">
        <v>344</v>
      </c>
      <c r="C22" s="153" t="s">
        <v>330</v>
      </c>
      <c r="D22" s="148"/>
      <c r="E22" s="148"/>
      <c r="F22" s="148"/>
    </row>
    <row r="23" spans="1:6">
      <c r="A23" s="146"/>
      <c r="B23" s="158" t="s">
        <v>345</v>
      </c>
      <c r="C23" s="153" t="s">
        <v>330</v>
      </c>
      <c r="D23" s="148"/>
      <c r="E23" s="148"/>
      <c r="F23" s="148"/>
    </row>
    <row r="24" spans="1:6">
      <c r="A24" s="146"/>
      <c r="B24" s="158" t="s">
        <v>345</v>
      </c>
      <c r="C24" s="153" t="s">
        <v>330</v>
      </c>
      <c r="D24" s="148"/>
      <c r="E24" s="148"/>
      <c r="F24" s="148"/>
    </row>
    <row r="25" spans="1:6">
      <c r="A25" s="146"/>
      <c r="B25" s="157" t="s">
        <v>346</v>
      </c>
      <c r="C25" s="153" t="s">
        <v>330</v>
      </c>
      <c r="D25" s="148"/>
      <c r="E25" s="148"/>
      <c r="F25" s="148"/>
    </row>
    <row r="26" spans="1:6">
      <c r="A26" s="146"/>
      <c r="B26" s="159" t="s">
        <v>347</v>
      </c>
      <c r="C26" s="155" t="s">
        <v>338</v>
      </c>
      <c r="D26" s="148"/>
      <c r="E26" s="148"/>
      <c r="F26" s="148"/>
    </row>
    <row r="27" spans="1:6">
      <c r="A27" s="146" t="s">
        <v>348</v>
      </c>
      <c r="B27" s="150" t="s">
        <v>349</v>
      </c>
      <c r="C27" s="148" t="s">
        <v>307</v>
      </c>
      <c r="D27" s="149" t="s">
        <v>350</v>
      </c>
      <c r="E27" s="149"/>
      <c r="F27" s="148"/>
    </row>
    <row r="28" spans="1:6" ht="15" customHeight="1">
      <c r="A28" s="146"/>
      <c r="B28" s="156" t="s">
        <v>351</v>
      </c>
      <c r="C28" s="160" t="s">
        <v>338</v>
      </c>
      <c r="D28" s="149" t="s">
        <v>352</v>
      </c>
      <c r="E28" s="149" t="s">
        <v>353</v>
      </c>
      <c r="F28" s="148" t="s">
        <v>354</v>
      </c>
    </row>
    <row r="29" spans="1:6" ht="15" customHeight="1">
      <c r="A29" s="146"/>
      <c r="B29" s="157" t="s">
        <v>355</v>
      </c>
      <c r="C29" s="148" t="s">
        <v>330</v>
      </c>
      <c r="D29" s="148"/>
      <c r="E29" s="148"/>
      <c r="F29" s="148"/>
    </row>
    <row r="30" spans="1:6" ht="15" customHeight="1">
      <c r="A30" s="146"/>
      <c r="B30" s="157" t="s">
        <v>356</v>
      </c>
      <c r="C30" s="148" t="s">
        <v>330</v>
      </c>
      <c r="D30" s="148"/>
      <c r="E30" s="148"/>
      <c r="F30" s="148"/>
    </row>
    <row r="31" spans="1:6" ht="13.5" customHeight="1">
      <c r="A31" s="146" t="s">
        <v>357</v>
      </c>
      <c r="B31" s="147" t="s">
        <v>358</v>
      </c>
      <c r="C31" s="161" t="s">
        <v>307</v>
      </c>
      <c r="D31" s="149" t="s">
        <v>308</v>
      </c>
      <c r="E31" s="148"/>
      <c r="F31" s="148"/>
    </row>
    <row r="32" spans="1:6">
      <c r="A32" s="146" t="s">
        <v>359</v>
      </c>
      <c r="B32" s="147" t="s">
        <v>360</v>
      </c>
      <c r="C32" s="161" t="s">
        <v>307</v>
      </c>
      <c r="D32" s="149" t="s">
        <v>308</v>
      </c>
      <c r="E32" s="148"/>
      <c r="F32" s="148"/>
    </row>
    <row r="33" spans="1:6">
      <c r="A33" s="146" t="s">
        <v>361</v>
      </c>
      <c r="B33" s="147" t="s">
        <v>362</v>
      </c>
      <c r="C33" s="161" t="s">
        <v>307</v>
      </c>
      <c r="D33" s="149" t="s">
        <v>308</v>
      </c>
      <c r="E33" s="148"/>
      <c r="F33" s="148"/>
    </row>
    <row r="34" spans="1:6">
      <c r="A34" s="146" t="s">
        <v>363</v>
      </c>
      <c r="B34" s="147" t="s">
        <v>364</v>
      </c>
      <c r="C34" s="148" t="s">
        <v>307</v>
      </c>
      <c r="D34" s="149" t="s">
        <v>308</v>
      </c>
      <c r="E34" s="149"/>
      <c r="F34" s="148" t="s">
        <v>365</v>
      </c>
    </row>
    <row r="35" spans="1:6">
      <c r="A35" s="146" t="s">
        <v>366</v>
      </c>
      <c r="B35" s="147" t="s">
        <v>367</v>
      </c>
      <c r="C35" s="148" t="s">
        <v>307</v>
      </c>
      <c r="D35" s="149" t="s">
        <v>308</v>
      </c>
      <c r="E35" s="148"/>
      <c r="F35" s="148"/>
    </row>
    <row r="36" spans="1:6">
      <c r="A36" s="146" t="s">
        <v>368</v>
      </c>
      <c r="B36" s="147" t="s">
        <v>369</v>
      </c>
      <c r="C36" s="148" t="s">
        <v>307</v>
      </c>
      <c r="D36" s="149" t="s">
        <v>308</v>
      </c>
      <c r="E36" s="148"/>
      <c r="F36" s="148"/>
    </row>
    <row r="37" spans="1:6">
      <c r="A37" s="146" t="s">
        <v>370</v>
      </c>
      <c r="B37" s="147" t="s">
        <v>371</v>
      </c>
      <c r="C37" s="148" t="s">
        <v>307</v>
      </c>
      <c r="D37" s="149" t="s">
        <v>308</v>
      </c>
      <c r="E37" s="148"/>
      <c r="F37" s="148"/>
    </row>
    <row r="38" spans="1:6">
      <c r="A38" s="146" t="s">
        <v>372</v>
      </c>
      <c r="B38" s="147" t="s">
        <v>373</v>
      </c>
      <c r="C38" s="148" t="s">
        <v>307</v>
      </c>
      <c r="D38" s="149" t="s">
        <v>308</v>
      </c>
      <c r="E38" s="148"/>
      <c r="F38" s="148"/>
    </row>
    <row r="39" spans="1:6">
      <c r="A39" s="146" t="s">
        <v>374</v>
      </c>
      <c r="B39" s="147" t="s">
        <v>375</v>
      </c>
      <c r="C39" s="148" t="s">
        <v>307</v>
      </c>
      <c r="D39" s="149" t="s">
        <v>308</v>
      </c>
      <c r="E39" s="149"/>
      <c r="F39" s="148" t="s">
        <v>376</v>
      </c>
    </row>
    <row r="40" spans="1:6">
      <c r="A40" s="146" t="s">
        <v>377</v>
      </c>
      <c r="B40" s="147" t="s">
        <v>378</v>
      </c>
      <c r="C40" s="148" t="s">
        <v>307</v>
      </c>
      <c r="D40" s="149" t="s">
        <v>308</v>
      </c>
      <c r="E40" s="148"/>
      <c r="F40" s="148" t="s">
        <v>379</v>
      </c>
    </row>
    <row r="41" spans="1:6" ht="17.25" customHeight="1">
      <c r="A41" s="146" t="s">
        <v>380</v>
      </c>
      <c r="B41" s="147" t="s">
        <v>381</v>
      </c>
      <c r="C41" s="148" t="s">
        <v>307</v>
      </c>
      <c r="D41" s="149" t="s">
        <v>308</v>
      </c>
      <c r="E41" s="149"/>
      <c r="F41" s="148" t="s">
        <v>382</v>
      </c>
    </row>
    <row r="42" spans="1:6">
      <c r="A42" s="146" t="s">
        <v>383</v>
      </c>
      <c r="B42" s="147" t="s">
        <v>384</v>
      </c>
      <c r="C42" s="148" t="s">
        <v>307</v>
      </c>
      <c r="D42" s="149" t="s">
        <v>308</v>
      </c>
      <c r="E42" s="149"/>
      <c r="F42" s="148" t="s">
        <v>385</v>
      </c>
    </row>
    <row r="43" spans="1:6">
      <c r="A43" s="146" t="s">
        <v>386</v>
      </c>
      <c r="B43" s="147" t="s">
        <v>387</v>
      </c>
      <c r="C43" s="148" t="s">
        <v>307</v>
      </c>
      <c r="D43" s="149" t="s">
        <v>308</v>
      </c>
      <c r="E43" s="148"/>
      <c r="F43" s="148" t="s">
        <v>388</v>
      </c>
    </row>
    <row r="44" spans="1:6">
      <c r="A44" s="146" t="s">
        <v>389</v>
      </c>
      <c r="B44" s="147" t="s">
        <v>390</v>
      </c>
      <c r="C44" s="148" t="s">
        <v>307</v>
      </c>
      <c r="D44" s="149" t="s">
        <v>308</v>
      </c>
      <c r="E44" s="148"/>
      <c r="F44" s="148" t="s">
        <v>391</v>
      </c>
    </row>
    <row r="45" spans="1:6">
      <c r="A45" s="146" t="s">
        <v>392</v>
      </c>
      <c r="B45" s="150" t="s">
        <v>393</v>
      </c>
      <c r="C45" s="148"/>
      <c r="D45" s="149"/>
      <c r="E45" s="148"/>
      <c r="F45" s="148"/>
    </row>
    <row r="46" spans="1:6">
      <c r="A46" s="146" t="s">
        <v>394</v>
      </c>
      <c r="B46" s="150" t="s">
        <v>395</v>
      </c>
      <c r="C46" s="148" t="s">
        <v>307</v>
      </c>
      <c r="D46" s="149" t="s">
        <v>308</v>
      </c>
      <c r="E46" s="148"/>
      <c r="F46" s="148" t="s">
        <v>396</v>
      </c>
    </row>
    <row r="47" spans="1:6">
      <c r="A47" s="146" t="s">
        <v>397</v>
      </c>
      <c r="B47" s="150" t="s">
        <v>398</v>
      </c>
      <c r="C47" s="148" t="s">
        <v>330</v>
      </c>
      <c r="D47" s="152"/>
      <c r="E47" s="149"/>
      <c r="F47" s="148" t="s">
        <v>399</v>
      </c>
    </row>
    <row r="48" spans="1:6">
      <c r="A48" s="146" t="s">
        <v>400</v>
      </c>
      <c r="B48" s="150" t="s">
        <v>401</v>
      </c>
      <c r="C48" s="148" t="s">
        <v>330</v>
      </c>
      <c r="D48" s="152"/>
      <c r="E48" s="149"/>
      <c r="F48" s="148" t="s">
        <v>399</v>
      </c>
    </row>
    <row r="49" spans="1:6">
      <c r="A49" s="146"/>
      <c r="B49" s="150" t="s">
        <v>402</v>
      </c>
      <c r="C49" s="148" t="s">
        <v>330</v>
      </c>
      <c r="D49" s="152"/>
      <c r="E49" s="149"/>
      <c r="F49" s="148"/>
    </row>
    <row r="50" spans="1:6">
      <c r="A50" s="146" t="s">
        <v>403</v>
      </c>
      <c r="B50" s="150" t="s">
        <v>404</v>
      </c>
      <c r="C50" s="148" t="s">
        <v>330</v>
      </c>
      <c r="D50" s="152"/>
      <c r="E50" s="149" t="s">
        <v>405</v>
      </c>
      <c r="F50" s="148"/>
    </row>
    <row r="51" spans="1:6">
      <c r="A51" s="146" t="s">
        <v>406</v>
      </c>
      <c r="B51" s="157" t="s">
        <v>407</v>
      </c>
      <c r="C51" s="148" t="s">
        <v>330</v>
      </c>
      <c r="D51" s="152"/>
      <c r="E51" s="149" t="s">
        <v>405</v>
      </c>
      <c r="F51" s="148"/>
    </row>
    <row r="52" spans="1:6">
      <c r="A52" s="146" t="s">
        <v>383</v>
      </c>
      <c r="B52" s="157" t="s">
        <v>408</v>
      </c>
      <c r="C52" s="148" t="s">
        <v>330</v>
      </c>
      <c r="D52" s="152"/>
      <c r="E52" s="149" t="s">
        <v>409</v>
      </c>
      <c r="F52" s="148"/>
    </row>
    <row r="53" spans="1:6">
      <c r="A53" s="146" t="s">
        <v>383</v>
      </c>
      <c r="B53" s="157" t="s">
        <v>410</v>
      </c>
      <c r="C53" s="148" t="s">
        <v>330</v>
      </c>
      <c r="D53" s="152"/>
      <c r="E53" s="149"/>
      <c r="F53" s="148"/>
    </row>
    <row r="54" spans="1:6">
      <c r="A54" s="146"/>
      <c r="B54" s="150" t="s">
        <v>411</v>
      </c>
      <c r="C54" s="148" t="s">
        <v>330</v>
      </c>
      <c r="D54" s="152"/>
      <c r="E54" s="148"/>
      <c r="F54" s="148"/>
    </row>
    <row r="55" spans="1:6">
      <c r="A55" s="146"/>
      <c r="B55" s="150" t="s">
        <v>412</v>
      </c>
      <c r="C55" s="148" t="s">
        <v>330</v>
      </c>
      <c r="D55" s="152"/>
      <c r="E55" s="148"/>
      <c r="F55" s="148"/>
    </row>
    <row r="56" spans="1:6">
      <c r="A56" s="146"/>
      <c r="B56" s="150" t="s">
        <v>413</v>
      </c>
      <c r="C56" s="148" t="s">
        <v>330</v>
      </c>
      <c r="D56" s="152"/>
      <c r="E56" s="148"/>
      <c r="F56" s="148"/>
    </row>
    <row r="57" spans="1:6">
      <c r="A57" s="146"/>
      <c r="B57" s="150" t="s">
        <v>414</v>
      </c>
      <c r="C57" s="148" t="s">
        <v>330</v>
      </c>
      <c r="D57" s="152"/>
      <c r="E57" s="148"/>
      <c r="F57" s="148"/>
    </row>
    <row r="58" spans="1:6">
      <c r="A58" s="146"/>
      <c r="B58" s="150" t="s">
        <v>415</v>
      </c>
      <c r="C58" s="148" t="s">
        <v>330</v>
      </c>
      <c r="D58" s="152"/>
      <c r="E58" s="148"/>
      <c r="F58" s="148"/>
    </row>
    <row r="59" spans="1:6">
      <c r="A59" s="146" t="s">
        <v>416</v>
      </c>
      <c r="B59" s="150" t="s">
        <v>417</v>
      </c>
      <c r="C59" s="148" t="s">
        <v>330</v>
      </c>
      <c r="D59" s="152"/>
      <c r="E59" s="148"/>
      <c r="F59" s="148"/>
    </row>
    <row r="60" spans="1:6">
      <c r="A60" s="146" t="s">
        <v>418</v>
      </c>
      <c r="B60" s="150" t="s">
        <v>419</v>
      </c>
      <c r="C60" s="148" t="s">
        <v>330</v>
      </c>
      <c r="D60" s="152"/>
      <c r="E60" s="148"/>
      <c r="F60" s="148"/>
    </row>
    <row r="61" spans="1:6">
      <c r="A61" s="146"/>
      <c r="B61" s="162" t="s">
        <v>420</v>
      </c>
      <c r="C61" s="148" t="s">
        <v>330</v>
      </c>
      <c r="D61" s="148"/>
      <c r="E61" s="148"/>
      <c r="F61" s="148"/>
    </row>
    <row r="62" spans="1:6">
      <c r="A62" s="146"/>
      <c r="B62" s="150" t="s">
        <v>421</v>
      </c>
      <c r="C62" s="148" t="s">
        <v>330</v>
      </c>
      <c r="D62" s="152"/>
      <c r="E62" s="148"/>
      <c r="F62" s="148"/>
    </row>
    <row r="63" spans="1:6">
      <c r="A63" s="146"/>
      <c r="B63" s="150" t="s">
        <v>422</v>
      </c>
      <c r="C63" s="148" t="s">
        <v>330</v>
      </c>
      <c r="D63" s="152"/>
      <c r="E63" s="148"/>
      <c r="F63" s="148"/>
    </row>
    <row r="64" spans="1:6">
      <c r="A64" s="146"/>
      <c r="B64" s="150" t="s">
        <v>423</v>
      </c>
      <c r="C64" s="148" t="s">
        <v>330</v>
      </c>
      <c r="D64" s="152"/>
      <c r="E64" s="148"/>
      <c r="F64" s="148"/>
    </row>
    <row r="65" spans="1:6">
      <c r="A65" s="146"/>
      <c r="B65" s="150" t="s">
        <v>424</v>
      </c>
      <c r="C65" s="148" t="s">
        <v>330</v>
      </c>
      <c r="D65" s="152"/>
      <c r="E65" s="148"/>
      <c r="F65" s="148"/>
    </row>
    <row r="66" spans="1:6">
      <c r="A66" s="146"/>
      <c r="B66" s="150" t="s">
        <v>425</v>
      </c>
      <c r="C66" s="148" t="s">
        <v>330</v>
      </c>
      <c r="D66" s="152"/>
      <c r="E66" s="148"/>
      <c r="F66" s="148"/>
    </row>
    <row r="67" spans="1:6">
      <c r="A67" s="146"/>
      <c r="B67" s="150" t="s">
        <v>426</v>
      </c>
      <c r="C67" s="148" t="s">
        <v>330</v>
      </c>
      <c r="D67" s="152"/>
      <c r="E67" s="148"/>
      <c r="F67" s="148"/>
    </row>
    <row r="68" spans="1:6">
      <c r="A68" s="146"/>
      <c r="B68" s="150" t="s">
        <v>427</v>
      </c>
      <c r="C68" s="148" t="s">
        <v>330</v>
      </c>
      <c r="D68" s="152"/>
      <c r="E68" s="148"/>
      <c r="F68" s="148"/>
    </row>
    <row r="69" spans="1:6">
      <c r="A69" s="146"/>
      <c r="B69" s="150" t="s">
        <v>428</v>
      </c>
      <c r="C69" s="148" t="s">
        <v>330</v>
      </c>
      <c r="D69" s="152"/>
      <c r="E69" s="148"/>
      <c r="F69" s="148"/>
    </row>
    <row r="70" spans="1:6">
      <c r="A70" s="146"/>
      <c r="B70" s="150" t="s">
        <v>429</v>
      </c>
      <c r="C70" s="148" t="s">
        <v>330</v>
      </c>
      <c r="D70" s="152"/>
      <c r="E70" s="148"/>
      <c r="F70" s="148"/>
    </row>
    <row r="71" spans="1:6">
      <c r="A71" s="146"/>
      <c r="B71" s="150" t="s">
        <v>430</v>
      </c>
      <c r="C71" s="148" t="s">
        <v>330</v>
      </c>
      <c r="D71" s="152"/>
      <c r="E71" s="148"/>
      <c r="F71" s="148"/>
    </row>
    <row r="72" spans="1:6" ht="15" customHeight="1">
      <c r="A72" s="146" t="s">
        <v>431</v>
      </c>
      <c r="B72" s="162" t="s">
        <v>432</v>
      </c>
      <c r="C72" s="148" t="s">
        <v>330</v>
      </c>
      <c r="D72" s="152"/>
      <c r="E72" s="148"/>
      <c r="F72" s="148"/>
    </row>
    <row r="73" spans="1:6" ht="15.75">
      <c r="A73" s="146" t="s">
        <v>433</v>
      </c>
      <c r="B73" s="157" t="s">
        <v>434</v>
      </c>
      <c r="C73" s="148" t="s">
        <v>330</v>
      </c>
      <c r="D73" s="152"/>
      <c r="E73" s="148"/>
      <c r="F73" s="148"/>
    </row>
    <row r="74" spans="1:6">
      <c r="A74" s="146"/>
      <c r="B74" s="150" t="s">
        <v>435</v>
      </c>
      <c r="C74" s="148" t="s">
        <v>330</v>
      </c>
      <c r="D74" s="152"/>
      <c r="E74" s="148"/>
      <c r="F74" s="148"/>
    </row>
    <row r="75" spans="1:6">
      <c r="A75" s="146"/>
      <c r="B75" s="150" t="s">
        <v>436</v>
      </c>
      <c r="C75" s="148" t="s">
        <v>330</v>
      </c>
      <c r="D75" s="152"/>
      <c r="E75" s="148"/>
      <c r="F75" s="148"/>
    </row>
    <row r="76" spans="1:6">
      <c r="A76" s="146"/>
      <c r="B76" s="150" t="s">
        <v>437</v>
      </c>
      <c r="C76" s="148" t="s">
        <v>330</v>
      </c>
      <c r="D76" s="152"/>
      <c r="E76" s="148"/>
      <c r="F76" s="148"/>
    </row>
    <row r="77" spans="1:6">
      <c r="A77" s="146"/>
      <c r="B77" s="150" t="s">
        <v>438</v>
      </c>
      <c r="C77" s="148" t="s">
        <v>330</v>
      </c>
      <c r="D77" s="148"/>
      <c r="E77" s="148"/>
      <c r="F77" s="148"/>
    </row>
    <row r="78" spans="1:6">
      <c r="A78" s="146"/>
      <c r="B78" s="150" t="s">
        <v>439</v>
      </c>
      <c r="C78" s="148" t="s">
        <v>330</v>
      </c>
      <c r="D78" s="148"/>
      <c r="E78" s="148"/>
      <c r="F78" s="148"/>
    </row>
    <row r="79" spans="1:6">
      <c r="A79" s="146"/>
      <c r="B79" s="150" t="s">
        <v>440</v>
      </c>
      <c r="C79" s="148" t="s">
        <v>330</v>
      </c>
      <c r="D79" s="148"/>
      <c r="E79" s="148"/>
      <c r="F79" s="148"/>
    </row>
    <row r="80" spans="1:6">
      <c r="A80" s="146"/>
      <c r="B80" s="150" t="s">
        <v>441</v>
      </c>
      <c r="C80" s="148" t="s">
        <v>330</v>
      </c>
      <c r="D80" s="148"/>
      <c r="E80" s="148"/>
      <c r="F80" s="148"/>
    </row>
    <row r="81" spans="1:6">
      <c r="A81" s="146"/>
      <c r="B81" s="162" t="s">
        <v>442</v>
      </c>
      <c r="C81" s="148" t="s">
        <v>330</v>
      </c>
      <c r="D81" s="148"/>
      <c r="E81" s="148"/>
      <c r="F81" s="148"/>
    </row>
    <row r="82" spans="1:6">
      <c r="A82" s="146"/>
      <c r="B82" s="162" t="s">
        <v>443</v>
      </c>
      <c r="C82" s="148" t="s">
        <v>330</v>
      </c>
      <c r="D82" s="148"/>
      <c r="E82" s="148"/>
      <c r="F82" s="148"/>
    </row>
    <row r="83" spans="1:6">
      <c r="A83" s="146"/>
      <c r="B83" s="162" t="s">
        <v>444</v>
      </c>
      <c r="C83" s="148" t="s">
        <v>330</v>
      </c>
      <c r="D83" s="148"/>
      <c r="E83" s="148"/>
      <c r="F83" s="148"/>
    </row>
    <row r="84" spans="1:6">
      <c r="A84" s="146"/>
      <c r="B84" s="162" t="s">
        <v>445</v>
      </c>
      <c r="C84" s="148" t="s">
        <v>330</v>
      </c>
      <c r="D84" s="148"/>
      <c r="E84" s="148"/>
      <c r="F84" s="148"/>
    </row>
    <row r="85" spans="1:6">
      <c r="A85" s="146"/>
      <c r="B85" s="162" t="s">
        <v>446</v>
      </c>
      <c r="C85" s="148" t="s">
        <v>330</v>
      </c>
      <c r="D85" s="148"/>
      <c r="E85" s="148"/>
      <c r="F85" s="148"/>
    </row>
    <row r="86" spans="1:6">
      <c r="A86" s="146"/>
      <c r="B86" s="162" t="s">
        <v>447</v>
      </c>
      <c r="C86" s="148" t="s">
        <v>330</v>
      </c>
      <c r="D86" s="148"/>
      <c r="E86" s="148"/>
      <c r="F86" s="148"/>
    </row>
    <row r="87" spans="1:6">
      <c r="A87" s="146"/>
      <c r="B87" s="162" t="s">
        <v>448</v>
      </c>
      <c r="C87" s="148" t="s">
        <v>330</v>
      </c>
      <c r="D87" s="148"/>
      <c r="E87" s="148"/>
      <c r="F87" s="148"/>
    </row>
    <row r="88" spans="1:6">
      <c r="A88" s="146"/>
      <c r="B88" s="162" t="s">
        <v>449</v>
      </c>
      <c r="C88" s="148" t="s">
        <v>330</v>
      </c>
      <c r="D88" s="148"/>
      <c r="E88" s="148"/>
      <c r="F88" s="148"/>
    </row>
    <row r="89" spans="1:6">
      <c r="A89" s="146"/>
      <c r="B89" s="162" t="s">
        <v>450</v>
      </c>
      <c r="C89" s="148" t="s">
        <v>330</v>
      </c>
      <c r="D89" s="148"/>
      <c r="E89" s="148"/>
      <c r="F89" s="148"/>
    </row>
    <row r="90" spans="1:6">
      <c r="A90" s="146"/>
      <c r="B90" s="162" t="s">
        <v>451</v>
      </c>
      <c r="C90" s="148" t="s">
        <v>330</v>
      </c>
      <c r="D90" s="148"/>
      <c r="E90" s="148"/>
      <c r="F90" s="148"/>
    </row>
    <row r="91" spans="1:6">
      <c r="A91" s="146"/>
      <c r="B91" s="162" t="s">
        <v>452</v>
      </c>
      <c r="C91" s="148" t="s">
        <v>330</v>
      </c>
      <c r="D91" s="148"/>
      <c r="E91" s="148"/>
      <c r="F91" s="148"/>
    </row>
    <row r="92" spans="1:6">
      <c r="A92" s="146"/>
      <c r="B92" s="162" t="s">
        <v>453</v>
      </c>
      <c r="C92" s="148" t="s">
        <v>330</v>
      </c>
      <c r="D92" s="148"/>
      <c r="E92" s="148"/>
      <c r="F92" s="148"/>
    </row>
    <row r="93" spans="1:6">
      <c r="A93" s="146"/>
      <c r="B93" s="162" t="s">
        <v>454</v>
      </c>
      <c r="C93" s="148" t="s">
        <v>330</v>
      </c>
      <c r="D93" s="148"/>
      <c r="E93" s="148"/>
      <c r="F93" s="148"/>
    </row>
    <row r="94" spans="1:6">
      <c r="A94" s="146"/>
      <c r="B94" s="162" t="s">
        <v>455</v>
      </c>
      <c r="C94" s="148" t="s">
        <v>330</v>
      </c>
      <c r="D94" s="148"/>
      <c r="E94" s="148"/>
      <c r="F94" s="148"/>
    </row>
    <row r="95" spans="1:6">
      <c r="A95" s="146"/>
      <c r="B95" s="162" t="s">
        <v>456</v>
      </c>
      <c r="C95" s="148" t="s">
        <v>330</v>
      </c>
      <c r="D95" s="148"/>
      <c r="E95" s="148"/>
      <c r="F95" s="148"/>
    </row>
    <row r="96" spans="1:6">
      <c r="A96" s="146"/>
      <c r="B96" s="162" t="s">
        <v>457</v>
      </c>
      <c r="C96" s="148" t="s">
        <v>330</v>
      </c>
      <c r="D96" s="148"/>
      <c r="E96" s="148"/>
      <c r="F96" s="148"/>
    </row>
    <row r="97" spans="1:6">
      <c r="A97" s="146"/>
      <c r="B97" s="162" t="s">
        <v>458</v>
      </c>
      <c r="C97" s="148" t="s">
        <v>330</v>
      </c>
      <c r="D97" s="148"/>
      <c r="E97" s="148"/>
      <c r="F97" s="148"/>
    </row>
    <row r="98" spans="1:6">
      <c r="A98" s="146"/>
      <c r="B98" s="162" t="s">
        <v>459</v>
      </c>
      <c r="C98" s="148" t="s">
        <v>330</v>
      </c>
      <c r="D98" s="148"/>
      <c r="E98" s="148"/>
      <c r="F98" s="148"/>
    </row>
    <row r="99" spans="1:6">
      <c r="A99" s="146"/>
      <c r="B99" s="162" t="s">
        <v>460</v>
      </c>
      <c r="C99" s="148" t="s">
        <v>330</v>
      </c>
      <c r="D99" s="148"/>
      <c r="E99" s="148"/>
      <c r="F99" s="148"/>
    </row>
    <row r="100" spans="1:6">
      <c r="A100" s="146"/>
      <c r="B100" s="162" t="s">
        <v>461</v>
      </c>
      <c r="C100" s="148" t="s">
        <v>330</v>
      </c>
      <c r="D100" s="148"/>
      <c r="E100" s="148"/>
      <c r="F100" s="148"/>
    </row>
    <row r="101" spans="1:6">
      <c r="A101" s="146"/>
      <c r="B101" s="162" t="s">
        <v>462</v>
      </c>
      <c r="C101" s="148" t="s">
        <v>330</v>
      </c>
      <c r="D101" s="148"/>
      <c r="E101" s="148"/>
      <c r="F101" s="148"/>
    </row>
    <row r="102" spans="1:6">
      <c r="A102" s="146"/>
      <c r="B102" s="162" t="s">
        <v>463</v>
      </c>
      <c r="C102" s="148" t="s">
        <v>330</v>
      </c>
      <c r="D102" s="148"/>
      <c r="E102" s="148"/>
      <c r="F102" s="148"/>
    </row>
    <row r="103" spans="1:6" ht="15" customHeight="1">
      <c r="A103" s="146"/>
      <c r="B103" s="162" t="s">
        <v>464</v>
      </c>
      <c r="C103" s="148" t="s">
        <v>330</v>
      </c>
      <c r="D103" s="148"/>
      <c r="E103" s="148"/>
      <c r="F103" s="148"/>
    </row>
    <row r="104" spans="1:6">
      <c r="A104" s="146"/>
      <c r="B104" s="162" t="s">
        <v>465</v>
      </c>
      <c r="C104" s="148" t="s">
        <v>330</v>
      </c>
      <c r="D104" s="148"/>
      <c r="E104" s="148"/>
      <c r="F104" s="148"/>
    </row>
    <row r="105" spans="1:6">
      <c r="A105" s="146"/>
      <c r="B105" s="162" t="s">
        <v>466</v>
      </c>
      <c r="C105" s="148" t="s">
        <v>330</v>
      </c>
      <c r="D105" s="148"/>
      <c r="E105" s="148"/>
      <c r="F105" s="148"/>
    </row>
    <row r="106" spans="1:6">
      <c r="A106" s="146"/>
      <c r="B106" s="162" t="s">
        <v>467</v>
      </c>
      <c r="C106" s="148" t="s">
        <v>330</v>
      </c>
      <c r="D106" s="148"/>
      <c r="E106" s="148"/>
      <c r="F106" s="148"/>
    </row>
    <row r="107" spans="1:6">
      <c r="A107" s="146"/>
      <c r="B107" s="162" t="s">
        <v>468</v>
      </c>
      <c r="C107" s="148" t="s">
        <v>330</v>
      </c>
      <c r="D107" s="148"/>
      <c r="E107" s="148"/>
      <c r="F107" s="148"/>
    </row>
    <row r="108" spans="1:6">
      <c r="A108" s="146"/>
      <c r="B108" s="162" t="s">
        <v>469</v>
      </c>
      <c r="C108" s="148" t="s">
        <v>330</v>
      </c>
      <c r="D108" s="148"/>
      <c r="E108" s="148"/>
      <c r="F108" s="148"/>
    </row>
    <row r="109" spans="1:6">
      <c r="A109" s="146"/>
      <c r="B109" s="162" t="s">
        <v>470</v>
      </c>
      <c r="C109" s="148" t="s">
        <v>330</v>
      </c>
      <c r="D109" s="148"/>
      <c r="E109" s="148"/>
      <c r="F109" s="148"/>
    </row>
    <row r="110" spans="1:6">
      <c r="A110" s="146"/>
      <c r="B110" s="162" t="s">
        <v>471</v>
      </c>
      <c r="C110" s="148" t="s">
        <v>330</v>
      </c>
      <c r="D110" s="148"/>
      <c r="E110" s="148"/>
      <c r="F110" s="148"/>
    </row>
    <row r="111" spans="1:6">
      <c r="A111" s="146"/>
      <c r="B111" s="162" t="s">
        <v>472</v>
      </c>
      <c r="C111" s="148" t="s">
        <v>330</v>
      </c>
      <c r="D111" s="148"/>
      <c r="E111" s="148"/>
      <c r="F111" s="148"/>
    </row>
    <row r="112" spans="1:6" ht="15.75">
      <c r="A112" s="146"/>
      <c r="B112" s="162" t="s">
        <v>473</v>
      </c>
      <c r="C112" s="148" t="s">
        <v>330</v>
      </c>
      <c r="D112" s="148"/>
      <c r="E112" s="148"/>
      <c r="F112" s="148"/>
    </row>
    <row r="113" spans="1:6">
      <c r="A113" s="146"/>
      <c r="B113" s="163" t="s">
        <v>474</v>
      </c>
      <c r="C113" s="148" t="s">
        <v>330</v>
      </c>
      <c r="D113" s="148"/>
      <c r="E113" s="148"/>
      <c r="F113" s="148"/>
    </row>
    <row r="114" spans="1:6">
      <c r="A114" s="146"/>
      <c r="B114" s="163" t="s">
        <v>475</v>
      </c>
      <c r="C114" s="148" t="s">
        <v>330</v>
      </c>
      <c r="D114" s="148"/>
      <c r="E114" s="148"/>
      <c r="F114" s="148"/>
    </row>
    <row r="115" spans="1:6">
      <c r="A115" s="146"/>
      <c r="B115" s="163" t="s">
        <v>476</v>
      </c>
      <c r="C115" s="148" t="s">
        <v>330</v>
      </c>
      <c r="D115" s="148"/>
      <c r="E115" s="148"/>
      <c r="F115" s="148"/>
    </row>
    <row r="116" spans="1:6">
      <c r="A116" s="146"/>
      <c r="B116" s="164" t="s">
        <v>477</v>
      </c>
      <c r="C116" s="148" t="s">
        <v>478</v>
      </c>
      <c r="D116" s="148"/>
      <c r="E116" s="148"/>
      <c r="F116" s="148"/>
    </row>
    <row r="117" spans="1:6">
      <c r="A117" s="146"/>
      <c r="B117" s="165" t="s">
        <v>479</v>
      </c>
      <c r="C117" s="148" t="s">
        <v>478</v>
      </c>
      <c r="D117" s="148"/>
      <c r="E117" s="148"/>
      <c r="F117" s="148"/>
    </row>
    <row r="118" spans="1:6">
      <c r="A118" s="146"/>
      <c r="B118" s="165" t="s">
        <v>480</v>
      </c>
      <c r="C118" s="148" t="s">
        <v>478</v>
      </c>
      <c r="D118" s="148"/>
      <c r="E118" s="148"/>
      <c r="F118" s="148"/>
    </row>
    <row r="119" spans="1:6">
      <c r="A119" s="146"/>
      <c r="B119" s="164" t="s">
        <v>481</v>
      </c>
      <c r="C119" s="148" t="s">
        <v>478</v>
      </c>
      <c r="D119" s="148"/>
      <c r="E119" s="148"/>
      <c r="F119" s="148"/>
    </row>
    <row r="120" spans="1:6">
      <c r="A120" s="146"/>
      <c r="B120" s="164" t="s">
        <v>482</v>
      </c>
      <c r="C120" s="148" t="s">
        <v>478</v>
      </c>
      <c r="D120" s="148"/>
      <c r="E120" s="148"/>
      <c r="F120" s="148"/>
    </row>
    <row r="121" spans="1:6">
      <c r="A121" s="146"/>
      <c r="B121" s="165" t="s">
        <v>483</v>
      </c>
      <c r="C121" s="148" t="s">
        <v>484</v>
      </c>
      <c r="D121" s="148"/>
      <c r="E121" s="148"/>
      <c r="F121" s="148"/>
    </row>
    <row r="122" spans="1:6">
      <c r="A122" s="146"/>
      <c r="B122" s="165" t="s">
        <v>485</v>
      </c>
      <c r="C122" s="148" t="s">
        <v>486</v>
      </c>
      <c r="D122" s="148"/>
      <c r="E122" s="148"/>
      <c r="F122" s="148"/>
    </row>
  </sheetData>
  <sheetProtection formatCells="0" formatColumns="0" formatRows="0" insertColumns="0" insertRows="0" insertHyperlinks="0" deleteColumns="0" deleteRows="0" sort="0" autoFilter="0" pivotTables="0"/>
  <autoFilter ref="A2:F122" xr:uid="{AE1387C0-CA45-4384-9C8C-BD2F28EF3527}">
    <sortState xmlns:xlrd2="http://schemas.microsoft.com/office/spreadsheetml/2017/richdata2" ref="A3:F112">
      <sortCondition ref="B2:B75"/>
    </sortState>
  </autoFilter>
  <mergeCells count="1">
    <mergeCell ref="A1:F1"/>
  </mergeCells>
  <pageMargins left="0.25" right="0.25" top="0.75" bottom="0.75" header="0.3" footer="0.3"/>
  <pageSetup scale="42" fitToHeight="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0432D-F18F-4BD1-A95E-62D4078FB326}">
  <dimension ref="B1:F204"/>
  <sheetViews>
    <sheetView workbookViewId="0">
      <pane ySplit="3" topLeftCell="A123" activePane="bottomLeft" state="frozen"/>
      <selection pane="bottomLeft" activeCell="B138" sqref="B138:F138"/>
    </sheetView>
  </sheetViews>
  <sheetFormatPr defaultRowHeight="15"/>
  <cols>
    <col min="1" max="1" width="4.7109375" customWidth="1"/>
    <col min="2" max="2" width="24.5703125" bestFit="1" customWidth="1"/>
    <col min="3" max="3" width="61.7109375" bestFit="1" customWidth="1"/>
    <col min="4" max="4" width="60.140625" bestFit="1" customWidth="1"/>
    <col min="5" max="5" width="35.5703125" bestFit="1" customWidth="1"/>
    <col min="6" max="6" width="40" bestFit="1" customWidth="1"/>
  </cols>
  <sheetData>
    <row r="1" spans="2:6" ht="9.9499999999999993" customHeight="1">
      <c r="B1" s="40"/>
      <c r="C1" s="40"/>
      <c r="D1" s="40"/>
      <c r="E1" s="40"/>
      <c r="F1" s="40"/>
    </row>
    <row r="2" spans="2:6" ht="24.95" customHeight="1">
      <c r="B2" s="992" t="s">
        <v>627</v>
      </c>
      <c r="C2" s="992"/>
      <c r="D2" s="992"/>
      <c r="E2" s="992"/>
      <c r="F2" s="992"/>
    </row>
    <row r="3" spans="2:6" ht="15.75">
      <c r="B3" s="993" t="s">
        <v>628</v>
      </c>
      <c r="C3" s="993"/>
      <c r="D3" s="993"/>
      <c r="E3" s="993"/>
      <c r="F3" s="993"/>
    </row>
    <row r="4" spans="2:6" ht="9.9499999999999993" customHeight="1">
      <c r="B4" s="40"/>
      <c r="C4" s="40"/>
      <c r="D4" s="40"/>
      <c r="E4" s="40"/>
      <c r="F4" s="40"/>
    </row>
    <row r="5" spans="2:6" ht="24.95" customHeight="1">
      <c r="B5" s="994" t="s">
        <v>527</v>
      </c>
      <c r="C5" s="994"/>
      <c r="D5" s="994"/>
      <c r="E5" s="994"/>
      <c r="F5" s="994"/>
    </row>
    <row r="6" spans="2:6">
      <c r="B6" s="40"/>
      <c r="C6" s="40"/>
      <c r="D6" s="40"/>
      <c r="E6" s="40"/>
      <c r="F6" s="40"/>
    </row>
    <row r="7" spans="2:6" ht="18.75">
      <c r="B7" s="201" t="s">
        <v>150</v>
      </c>
      <c r="C7" s="202" t="s">
        <v>528</v>
      </c>
      <c r="D7" s="203" t="s">
        <v>151</v>
      </c>
      <c r="E7" s="202" t="s">
        <v>528</v>
      </c>
      <c r="F7" s="204" t="s">
        <v>152</v>
      </c>
    </row>
    <row r="8" spans="2:6">
      <c r="B8" s="205" t="s">
        <v>629</v>
      </c>
      <c r="C8" s="40"/>
      <c r="D8" s="205" t="s">
        <v>630</v>
      </c>
      <c r="E8" s="40"/>
      <c r="F8" s="205" t="s">
        <v>535</v>
      </c>
    </row>
    <row r="9" spans="2:6" ht="9.9499999999999993" customHeight="1">
      <c r="B9" s="40"/>
      <c r="C9" s="40"/>
      <c r="D9" s="40"/>
      <c r="E9" s="40"/>
      <c r="F9" s="40"/>
    </row>
    <row r="10" spans="2:6" ht="24.95" customHeight="1">
      <c r="B10" s="995" t="s">
        <v>536</v>
      </c>
      <c r="C10" s="995"/>
      <c r="D10" s="995"/>
      <c r="E10" s="995"/>
      <c r="F10" s="995"/>
    </row>
    <row r="11" spans="2:6">
      <c r="B11" s="40"/>
      <c r="C11" s="40"/>
      <c r="D11" s="40"/>
      <c r="E11" s="40"/>
      <c r="F11" s="40"/>
    </row>
    <row r="12" spans="2:6">
      <c r="B12" s="206" t="s">
        <v>154</v>
      </c>
      <c r="C12" s="206" t="s">
        <v>155</v>
      </c>
      <c r="D12" s="206" t="s">
        <v>631</v>
      </c>
      <c r="E12" s="206" t="s">
        <v>537</v>
      </c>
      <c r="F12" s="206" t="s">
        <v>223</v>
      </c>
    </row>
    <row r="13" spans="2:6">
      <c r="B13" s="207" t="s">
        <v>156</v>
      </c>
      <c r="C13" s="40" t="s">
        <v>632</v>
      </c>
      <c r="D13" s="40" t="s">
        <v>633</v>
      </c>
      <c r="E13" s="40">
        <v>823</v>
      </c>
      <c r="F13" s="40" t="s">
        <v>634</v>
      </c>
    </row>
    <row r="14" spans="2:6">
      <c r="B14" s="207" t="s">
        <v>157</v>
      </c>
      <c r="C14" s="40" t="s">
        <v>635</v>
      </c>
      <c r="D14" s="40" t="s">
        <v>636</v>
      </c>
      <c r="E14" s="40" t="s">
        <v>637</v>
      </c>
      <c r="F14" s="40" t="s">
        <v>638</v>
      </c>
    </row>
    <row r="15" spans="2:6">
      <c r="B15" s="207" t="s">
        <v>158</v>
      </c>
      <c r="C15" s="40" t="s">
        <v>639</v>
      </c>
      <c r="D15" s="40" t="s">
        <v>640</v>
      </c>
      <c r="E15" s="40" t="s">
        <v>641</v>
      </c>
      <c r="F15" s="40" t="s">
        <v>642</v>
      </c>
    </row>
    <row r="16" spans="2:6">
      <c r="B16" s="207" t="s">
        <v>159</v>
      </c>
      <c r="C16" s="40" t="s">
        <v>643</v>
      </c>
      <c r="D16" s="40" t="s">
        <v>644</v>
      </c>
      <c r="E16" s="40" t="s">
        <v>645</v>
      </c>
      <c r="F16" s="40" t="s">
        <v>646</v>
      </c>
    </row>
    <row r="17" spans="2:6">
      <c r="B17" s="207" t="s">
        <v>160</v>
      </c>
      <c r="C17" s="40" t="s">
        <v>647</v>
      </c>
      <c r="D17" s="40" t="s">
        <v>648</v>
      </c>
      <c r="E17" s="208">
        <v>46150</v>
      </c>
      <c r="F17" s="40" t="s">
        <v>649</v>
      </c>
    </row>
    <row r="18" spans="2:6">
      <c r="B18" s="207" t="s">
        <v>161</v>
      </c>
      <c r="C18" s="40" t="s">
        <v>650</v>
      </c>
      <c r="D18" s="40" t="s">
        <v>651</v>
      </c>
      <c r="E18" s="40" t="s">
        <v>573</v>
      </c>
      <c r="F18" s="40" t="s">
        <v>652</v>
      </c>
    </row>
    <row r="19" spans="2:6">
      <c r="B19" s="207" t="s">
        <v>162</v>
      </c>
      <c r="C19" s="40" t="s">
        <v>653</v>
      </c>
      <c r="D19" s="40" t="s">
        <v>654</v>
      </c>
      <c r="E19" s="40" t="s">
        <v>655</v>
      </c>
      <c r="F19" s="40" t="s">
        <v>656</v>
      </c>
    </row>
    <row r="20" spans="2:6">
      <c r="B20" s="207" t="s">
        <v>221</v>
      </c>
      <c r="C20" s="40" t="s">
        <v>657</v>
      </c>
      <c r="D20" s="40" t="s">
        <v>658</v>
      </c>
      <c r="E20" s="209">
        <v>0.25</v>
      </c>
      <c r="F20" s="40" t="s">
        <v>659</v>
      </c>
    </row>
    <row r="21" spans="2:6">
      <c r="B21" s="207" t="s">
        <v>660</v>
      </c>
      <c r="C21" s="40" t="s">
        <v>661</v>
      </c>
      <c r="D21" s="40" t="s">
        <v>662</v>
      </c>
      <c r="E21" s="40" t="s">
        <v>552</v>
      </c>
      <c r="F21" s="40" t="s">
        <v>663</v>
      </c>
    </row>
    <row r="22" spans="2:6" ht="9.9499999999999993" customHeight="1">
      <c r="B22" s="40"/>
      <c r="C22" s="40"/>
      <c r="D22" s="40"/>
      <c r="E22" s="40"/>
      <c r="F22" s="40"/>
    </row>
    <row r="23" spans="2:6" ht="24.95" customHeight="1">
      <c r="B23" s="996" t="s">
        <v>558</v>
      </c>
      <c r="C23" s="996"/>
      <c r="D23" s="996"/>
      <c r="E23" s="996"/>
      <c r="F23" s="996"/>
    </row>
    <row r="24" spans="2:6">
      <c r="B24" s="40"/>
      <c r="C24" s="40"/>
      <c r="D24" s="40"/>
      <c r="E24" s="40"/>
      <c r="F24" s="40"/>
    </row>
    <row r="25" spans="2:6">
      <c r="B25" s="210" t="s">
        <v>141</v>
      </c>
      <c r="C25" s="210" t="s">
        <v>222</v>
      </c>
      <c r="D25" s="40"/>
      <c r="E25" s="40"/>
      <c r="F25" s="40"/>
    </row>
    <row r="26" spans="2:6">
      <c r="B26" s="40" t="s">
        <v>664</v>
      </c>
      <c r="C26" s="40" t="s">
        <v>665</v>
      </c>
      <c r="D26" s="40"/>
      <c r="E26" s="40"/>
      <c r="F26" s="40"/>
    </row>
    <row r="27" spans="2:6">
      <c r="B27" s="40" t="s">
        <v>666</v>
      </c>
      <c r="C27" s="40" t="s">
        <v>667</v>
      </c>
      <c r="D27" s="40"/>
      <c r="E27" s="40"/>
      <c r="F27" s="40"/>
    </row>
    <row r="28" spans="2:6">
      <c r="B28" s="40" t="s">
        <v>668</v>
      </c>
      <c r="C28" s="40" t="s">
        <v>669</v>
      </c>
      <c r="D28" s="40"/>
      <c r="E28" s="40"/>
      <c r="F28" s="40"/>
    </row>
    <row r="29" spans="2:6">
      <c r="B29" s="40" t="s">
        <v>670</v>
      </c>
      <c r="C29" s="40" t="s">
        <v>671</v>
      </c>
      <c r="D29" s="40"/>
      <c r="E29" s="40"/>
      <c r="F29" s="40"/>
    </row>
    <row r="30" spans="2:6">
      <c r="B30" s="40" t="s">
        <v>672</v>
      </c>
      <c r="C30" s="40" t="s">
        <v>673</v>
      </c>
      <c r="D30" s="40"/>
      <c r="E30" s="40"/>
      <c r="F30" s="40"/>
    </row>
    <row r="31" spans="2:6">
      <c r="B31" s="40" t="s">
        <v>674</v>
      </c>
      <c r="C31" s="40" t="s">
        <v>675</v>
      </c>
      <c r="D31" s="40"/>
      <c r="E31" s="40"/>
      <c r="F31" s="40"/>
    </row>
    <row r="32" spans="2:6">
      <c r="B32" s="40" t="s">
        <v>676</v>
      </c>
      <c r="C32" s="40" t="s">
        <v>677</v>
      </c>
      <c r="D32" s="40"/>
      <c r="E32" s="40"/>
      <c r="F32" s="40"/>
    </row>
    <row r="33" spans="2:6">
      <c r="B33" s="40" t="s">
        <v>678</v>
      </c>
      <c r="C33" s="40" t="s">
        <v>679</v>
      </c>
      <c r="D33" s="40"/>
      <c r="E33" s="40"/>
      <c r="F33" s="40"/>
    </row>
    <row r="34" spans="2:6">
      <c r="B34" s="40" t="s">
        <v>680</v>
      </c>
      <c r="C34" s="40" t="s">
        <v>681</v>
      </c>
      <c r="D34" s="40"/>
      <c r="E34" s="40"/>
      <c r="F34" s="40"/>
    </row>
    <row r="35" spans="2:6" ht="9.9499999999999993" customHeight="1">
      <c r="B35" s="40"/>
      <c r="C35" s="40"/>
      <c r="D35" s="40"/>
      <c r="E35" s="40"/>
      <c r="F35" s="40"/>
    </row>
    <row r="36" spans="2:6" ht="24.95" customHeight="1">
      <c r="B36" s="997" t="s">
        <v>682</v>
      </c>
      <c r="C36" s="997"/>
      <c r="D36" s="997"/>
      <c r="E36" s="997"/>
      <c r="F36" s="997"/>
    </row>
    <row r="37" spans="2:6">
      <c r="B37" s="40"/>
      <c r="C37" s="40"/>
      <c r="D37" s="40"/>
      <c r="E37" s="40"/>
      <c r="F37" s="40"/>
    </row>
    <row r="38" spans="2:6">
      <c r="B38" s="211" t="s">
        <v>683</v>
      </c>
      <c r="C38" s="211" t="s">
        <v>141</v>
      </c>
      <c r="D38" s="40"/>
      <c r="E38" s="40"/>
      <c r="F38" s="40"/>
    </row>
    <row r="39" spans="2:6">
      <c r="B39" s="40" t="s">
        <v>684</v>
      </c>
      <c r="C39" s="40" t="s">
        <v>685</v>
      </c>
      <c r="D39" s="40"/>
      <c r="E39" s="40"/>
      <c r="F39" s="40"/>
    </row>
    <row r="40" spans="2:6">
      <c r="B40" s="40" t="s">
        <v>686</v>
      </c>
      <c r="C40" s="40" t="s">
        <v>687</v>
      </c>
      <c r="D40" s="40"/>
      <c r="E40" s="40"/>
      <c r="F40" s="40"/>
    </row>
    <row r="41" spans="2:6">
      <c r="B41" s="40" t="s">
        <v>688</v>
      </c>
      <c r="C41" s="40" t="s">
        <v>689</v>
      </c>
      <c r="D41" s="40"/>
      <c r="E41" s="40"/>
      <c r="F41" s="40"/>
    </row>
    <row r="42" spans="2:6">
      <c r="B42" s="40" t="s">
        <v>690</v>
      </c>
      <c r="C42" s="40" t="s">
        <v>691</v>
      </c>
      <c r="D42" s="40"/>
      <c r="E42" s="40"/>
      <c r="F42" s="40"/>
    </row>
    <row r="43" spans="2:6">
      <c r="B43" s="40" t="s">
        <v>692</v>
      </c>
      <c r="C43" s="40" t="s">
        <v>693</v>
      </c>
      <c r="D43" s="40"/>
      <c r="E43" s="40"/>
      <c r="F43" s="40"/>
    </row>
    <row r="44" spans="2:6" ht="9.9499999999999993" customHeight="1">
      <c r="B44" s="40"/>
      <c r="C44" s="40"/>
      <c r="D44" s="40"/>
      <c r="E44" s="40"/>
      <c r="F44" s="40"/>
    </row>
    <row r="45" spans="2:6" ht="24.95" customHeight="1">
      <c r="B45" s="998" t="s">
        <v>694</v>
      </c>
      <c r="C45" s="998"/>
      <c r="D45" s="998"/>
      <c r="E45" s="998"/>
      <c r="F45" s="998"/>
    </row>
    <row r="46" spans="2:6">
      <c r="B46" s="40"/>
      <c r="C46" s="40"/>
      <c r="D46" s="40"/>
      <c r="E46" s="40"/>
      <c r="F46" s="40"/>
    </row>
    <row r="47" spans="2:6">
      <c r="B47" s="999" t="s">
        <v>695</v>
      </c>
      <c r="C47" s="991"/>
      <c r="D47" s="991"/>
      <c r="E47" s="991"/>
      <c r="F47" s="991"/>
    </row>
    <row r="48" spans="2:6">
      <c r="B48" s="40"/>
      <c r="C48" s="40"/>
      <c r="D48" s="40"/>
      <c r="E48" s="40"/>
      <c r="F48" s="40"/>
    </row>
    <row r="49" spans="2:6">
      <c r="B49" s="212" t="s">
        <v>696</v>
      </c>
      <c r="C49" s="212" t="s">
        <v>537</v>
      </c>
      <c r="D49" s="212" t="s">
        <v>697</v>
      </c>
      <c r="E49" s="212" t="s">
        <v>698</v>
      </c>
      <c r="F49" s="40"/>
    </row>
    <row r="50" spans="2:6">
      <c r="B50" s="40" t="s">
        <v>699</v>
      </c>
      <c r="C50" s="40" t="s">
        <v>700</v>
      </c>
      <c r="D50" s="40" t="s">
        <v>701</v>
      </c>
      <c r="E50" s="40" t="s">
        <v>702</v>
      </c>
      <c r="F50" s="40"/>
    </row>
    <row r="51" spans="2:6">
      <c r="B51" s="40" t="s">
        <v>703</v>
      </c>
      <c r="C51" s="40" t="s">
        <v>704</v>
      </c>
      <c r="D51" s="40" t="s">
        <v>705</v>
      </c>
      <c r="E51" s="40" t="s">
        <v>706</v>
      </c>
      <c r="F51" s="40"/>
    </row>
    <row r="52" spans="2:6">
      <c r="B52" s="40" t="s">
        <v>204</v>
      </c>
      <c r="C52" s="40" t="s">
        <v>707</v>
      </c>
      <c r="D52" s="40" t="s">
        <v>708</v>
      </c>
      <c r="E52" s="40" t="s">
        <v>709</v>
      </c>
      <c r="F52" s="40"/>
    </row>
    <row r="53" spans="2:6">
      <c r="B53" s="40" t="s">
        <v>200</v>
      </c>
      <c r="C53" s="40" t="s">
        <v>710</v>
      </c>
      <c r="D53" s="40" t="s">
        <v>711</v>
      </c>
      <c r="E53" s="40" t="s">
        <v>712</v>
      </c>
      <c r="F53" s="40"/>
    </row>
    <row r="54" spans="2:6">
      <c r="B54" s="40" t="s">
        <v>14</v>
      </c>
      <c r="C54" s="40" t="s">
        <v>713</v>
      </c>
      <c r="D54" s="40" t="s">
        <v>714</v>
      </c>
      <c r="E54" s="40" t="s">
        <v>715</v>
      </c>
      <c r="F54" s="40"/>
    </row>
    <row r="55" spans="2:6" ht="9.9499999999999993" customHeight="1">
      <c r="B55" s="40"/>
      <c r="C55" s="40"/>
      <c r="D55" s="40"/>
      <c r="E55" s="40"/>
      <c r="F55" s="40"/>
    </row>
    <row r="56" spans="2:6" ht="24.95" customHeight="1">
      <c r="B56" s="1000" t="s">
        <v>716</v>
      </c>
      <c r="C56" s="1000"/>
      <c r="D56" s="1000"/>
      <c r="E56" s="1000"/>
      <c r="F56" s="1000"/>
    </row>
    <row r="57" spans="2:6">
      <c r="B57" s="40"/>
      <c r="C57" s="40"/>
      <c r="D57" s="40"/>
      <c r="E57" s="40"/>
      <c r="F57" s="40"/>
    </row>
    <row r="58" spans="2:6">
      <c r="B58" s="213" t="s">
        <v>244</v>
      </c>
      <c r="C58" s="213" t="s">
        <v>717</v>
      </c>
      <c r="D58" s="213" t="s">
        <v>718</v>
      </c>
      <c r="E58" s="213" t="s">
        <v>719</v>
      </c>
      <c r="F58" s="40"/>
    </row>
    <row r="59" spans="2:6">
      <c r="B59" s="40" t="s">
        <v>262</v>
      </c>
      <c r="C59" s="40" t="s">
        <v>720</v>
      </c>
      <c r="D59" s="40" t="s">
        <v>721</v>
      </c>
      <c r="E59" s="40" t="s">
        <v>722</v>
      </c>
      <c r="F59" s="40"/>
    </row>
    <row r="60" spans="2:6">
      <c r="B60" s="40" t="s">
        <v>272</v>
      </c>
      <c r="C60" s="40" t="s">
        <v>723</v>
      </c>
      <c r="D60" s="40" t="s">
        <v>724</v>
      </c>
      <c r="E60" s="40" t="s">
        <v>725</v>
      </c>
      <c r="F60" s="40"/>
    </row>
    <row r="61" spans="2:6" ht="9.9499999999999993" customHeight="1">
      <c r="B61" s="40"/>
      <c r="C61" s="40"/>
      <c r="D61" s="40"/>
      <c r="E61" s="40"/>
      <c r="F61" s="40"/>
    </row>
    <row r="62" spans="2:6" ht="24.95" customHeight="1">
      <c r="B62" s="1001" t="s">
        <v>726</v>
      </c>
      <c r="C62" s="1001"/>
      <c r="D62" s="1001"/>
      <c r="E62" s="1001"/>
      <c r="F62" s="1001"/>
    </row>
    <row r="63" spans="2:6">
      <c r="B63" s="40"/>
      <c r="C63" s="40"/>
      <c r="D63" s="40"/>
      <c r="E63" s="40"/>
      <c r="F63" s="40"/>
    </row>
    <row r="64" spans="2:6">
      <c r="B64" s="214" t="s">
        <v>727</v>
      </c>
      <c r="C64" s="214" t="s">
        <v>728</v>
      </c>
      <c r="D64" s="40"/>
      <c r="E64" s="40"/>
      <c r="F64" s="40"/>
    </row>
    <row r="65" spans="2:6">
      <c r="B65" s="40" t="s">
        <v>572</v>
      </c>
      <c r="C65" s="40">
        <v>0.2</v>
      </c>
      <c r="D65" s="40"/>
      <c r="E65" s="40"/>
      <c r="F65" s="40"/>
    </row>
    <row r="66" spans="2:6">
      <c r="B66" s="40" t="s">
        <v>573</v>
      </c>
      <c r="C66" s="40">
        <v>4.25</v>
      </c>
      <c r="D66" s="40"/>
      <c r="E66" s="40"/>
      <c r="F66" s="40"/>
    </row>
    <row r="67" spans="2:6">
      <c r="B67" s="40" t="s">
        <v>571</v>
      </c>
      <c r="C67" s="40">
        <v>3.45</v>
      </c>
      <c r="D67" s="40"/>
      <c r="E67" s="40"/>
      <c r="F67" s="40"/>
    </row>
    <row r="68" spans="2:6">
      <c r="B68" s="40" t="s">
        <v>729</v>
      </c>
      <c r="C68" s="40">
        <v>1.5</v>
      </c>
      <c r="D68" s="40"/>
      <c r="E68" s="40"/>
      <c r="F68" s="40"/>
    </row>
    <row r="69" spans="2:6" ht="9.9499999999999993" customHeight="1">
      <c r="B69" s="40"/>
      <c r="C69" s="40"/>
      <c r="D69" s="40"/>
      <c r="E69" s="40"/>
      <c r="F69" s="40"/>
    </row>
    <row r="70" spans="2:6" ht="24.95" customHeight="1">
      <c r="B70" s="1002" t="s">
        <v>564</v>
      </c>
      <c r="C70" s="1002"/>
      <c r="D70" s="1002"/>
      <c r="E70" s="1002"/>
      <c r="F70" s="1002"/>
    </row>
    <row r="71" spans="2:6">
      <c r="B71" s="40"/>
      <c r="C71" s="40"/>
      <c r="D71" s="40"/>
      <c r="E71" s="40"/>
      <c r="F71" s="40"/>
    </row>
    <row r="72" spans="2:6">
      <c r="B72" s="991" t="s">
        <v>730</v>
      </c>
      <c r="C72" s="991"/>
      <c r="D72" s="991"/>
      <c r="E72" s="991"/>
      <c r="F72" s="991"/>
    </row>
    <row r="73" spans="2:6">
      <c r="B73" s="991" t="s">
        <v>731</v>
      </c>
      <c r="C73" s="991"/>
      <c r="D73" s="991"/>
      <c r="E73" s="991"/>
      <c r="F73" s="991"/>
    </row>
    <row r="74" spans="2:6">
      <c r="B74" s="991" t="s">
        <v>732</v>
      </c>
      <c r="C74" s="991"/>
      <c r="D74" s="991"/>
      <c r="E74" s="991"/>
      <c r="F74" s="991"/>
    </row>
    <row r="75" spans="2:6">
      <c r="B75" s="991" t="s">
        <v>733</v>
      </c>
      <c r="C75" s="991"/>
      <c r="D75" s="991"/>
      <c r="E75" s="991"/>
      <c r="F75" s="991"/>
    </row>
    <row r="76" spans="2:6">
      <c r="B76" s="991" t="s">
        <v>734</v>
      </c>
      <c r="C76" s="991"/>
      <c r="D76" s="991"/>
      <c r="E76" s="991"/>
      <c r="F76" s="991"/>
    </row>
    <row r="77" spans="2:6">
      <c r="B77" s="991" t="s">
        <v>735</v>
      </c>
      <c r="C77" s="991"/>
      <c r="D77" s="991"/>
      <c r="E77" s="991"/>
      <c r="F77" s="991"/>
    </row>
    <row r="78" spans="2:6">
      <c r="B78" s="991" t="s">
        <v>736</v>
      </c>
      <c r="C78" s="991"/>
      <c r="D78" s="991"/>
      <c r="E78" s="991"/>
      <c r="F78" s="991"/>
    </row>
    <row r="79" spans="2:6">
      <c r="B79" s="991" t="s">
        <v>737</v>
      </c>
      <c r="C79" s="991"/>
      <c r="D79" s="991"/>
      <c r="E79" s="991"/>
      <c r="F79" s="991"/>
    </row>
    <row r="80" spans="2:6" ht="9.9499999999999993" customHeight="1">
      <c r="B80" s="40"/>
      <c r="C80" s="40"/>
      <c r="D80" s="40"/>
      <c r="E80" s="40"/>
      <c r="F80" s="40"/>
    </row>
    <row r="81" spans="2:6" ht="24.95" customHeight="1">
      <c r="B81" s="1004" t="s">
        <v>738</v>
      </c>
      <c r="C81" s="1004"/>
      <c r="D81" s="1004"/>
      <c r="E81" s="1004"/>
      <c r="F81" s="1004"/>
    </row>
    <row r="82" spans="2:6">
      <c r="B82" s="40"/>
      <c r="C82" s="40"/>
      <c r="D82" s="40"/>
      <c r="E82" s="40"/>
      <c r="F82" s="40"/>
    </row>
    <row r="83" spans="2:6">
      <c r="B83" s="215" t="s">
        <v>174</v>
      </c>
      <c r="C83" s="215" t="s">
        <v>739</v>
      </c>
      <c r="D83" s="215" t="s">
        <v>740</v>
      </c>
      <c r="E83" s="215" t="s">
        <v>741</v>
      </c>
      <c r="F83" s="40"/>
    </row>
    <row r="84" spans="2:6">
      <c r="B84" s="40" t="s">
        <v>216</v>
      </c>
      <c r="C84" s="40" t="s">
        <v>238</v>
      </c>
      <c r="D84" s="40" t="s">
        <v>70</v>
      </c>
      <c r="E84" s="40" t="s">
        <v>742</v>
      </c>
      <c r="F84" s="40"/>
    </row>
    <row r="85" spans="2:6">
      <c r="B85" s="40" t="s">
        <v>217</v>
      </c>
      <c r="C85" s="40" t="s">
        <v>227</v>
      </c>
      <c r="D85" s="40" t="s">
        <v>71</v>
      </c>
      <c r="E85" s="40" t="s">
        <v>743</v>
      </c>
      <c r="F85" s="40"/>
    </row>
    <row r="86" spans="2:6">
      <c r="B86" s="40" t="s">
        <v>219</v>
      </c>
      <c r="C86" s="40" t="s">
        <v>180</v>
      </c>
      <c r="D86" s="40" t="s">
        <v>70</v>
      </c>
      <c r="E86" s="40" t="s">
        <v>744</v>
      </c>
      <c r="F86" s="40"/>
    </row>
    <row r="87" spans="2:6">
      <c r="B87" s="40" t="s">
        <v>745</v>
      </c>
      <c r="C87" s="40" t="s">
        <v>181</v>
      </c>
      <c r="D87" s="40" t="s">
        <v>552</v>
      </c>
      <c r="E87" s="40" t="s">
        <v>746</v>
      </c>
      <c r="F87" s="40"/>
    </row>
    <row r="88" spans="2:6">
      <c r="B88" s="40" t="s">
        <v>544</v>
      </c>
      <c r="C88" s="40" t="s">
        <v>224</v>
      </c>
      <c r="D88" s="40" t="s">
        <v>71</v>
      </c>
      <c r="E88" s="40" t="s">
        <v>540</v>
      </c>
      <c r="F88" s="40"/>
    </row>
    <row r="89" spans="2:6">
      <c r="B89" s="40" t="s">
        <v>220</v>
      </c>
      <c r="C89" s="40" t="s">
        <v>239</v>
      </c>
      <c r="D89" s="40" t="s">
        <v>71</v>
      </c>
      <c r="E89" s="40" t="s">
        <v>747</v>
      </c>
      <c r="F89" s="40"/>
    </row>
    <row r="90" spans="2:6">
      <c r="B90" s="40" t="s">
        <v>748</v>
      </c>
      <c r="C90" s="40" t="s">
        <v>749</v>
      </c>
      <c r="D90" s="40" t="s">
        <v>750</v>
      </c>
      <c r="E90" s="40" t="s">
        <v>751</v>
      </c>
      <c r="F90" s="40"/>
    </row>
    <row r="91" spans="2:6">
      <c r="B91" s="40" t="s">
        <v>752</v>
      </c>
      <c r="C91" s="40" t="s">
        <v>753</v>
      </c>
      <c r="D91" s="40" t="s">
        <v>754</v>
      </c>
      <c r="E91" s="40" t="s">
        <v>755</v>
      </c>
      <c r="F91" s="40"/>
    </row>
    <row r="92" spans="2:6">
      <c r="B92" s="40" t="s">
        <v>756</v>
      </c>
      <c r="C92" s="40" t="s">
        <v>612</v>
      </c>
      <c r="D92" s="40" t="s">
        <v>754</v>
      </c>
      <c r="E92" s="40" t="s">
        <v>757</v>
      </c>
      <c r="F92" s="40"/>
    </row>
    <row r="93" spans="2:6">
      <c r="B93" s="40" t="s">
        <v>758</v>
      </c>
      <c r="C93" s="40" t="s">
        <v>759</v>
      </c>
      <c r="D93" s="40" t="s">
        <v>552</v>
      </c>
      <c r="E93" s="40" t="s">
        <v>760</v>
      </c>
      <c r="F93" s="40"/>
    </row>
    <row r="94" spans="2:6">
      <c r="B94" s="40" t="s">
        <v>761</v>
      </c>
      <c r="C94" s="40" t="s">
        <v>4</v>
      </c>
      <c r="D94" s="40" t="s">
        <v>552</v>
      </c>
      <c r="E94" s="40" t="s">
        <v>762</v>
      </c>
      <c r="F94" s="40"/>
    </row>
    <row r="95" spans="2:6">
      <c r="B95" s="40" t="s">
        <v>763</v>
      </c>
      <c r="C95" s="40" t="s">
        <v>58</v>
      </c>
      <c r="D95" s="40" t="s">
        <v>552</v>
      </c>
      <c r="E95" s="40" t="s">
        <v>764</v>
      </c>
      <c r="F95" s="40"/>
    </row>
    <row r="96" spans="2:6">
      <c r="B96" s="40" t="s">
        <v>765</v>
      </c>
      <c r="C96" s="40" t="s">
        <v>187</v>
      </c>
      <c r="D96" s="40" t="s">
        <v>750</v>
      </c>
      <c r="E96" s="40" t="s">
        <v>766</v>
      </c>
      <c r="F96" s="40"/>
    </row>
    <row r="97" spans="2:6">
      <c r="B97" s="40" t="s">
        <v>767</v>
      </c>
      <c r="C97" s="40" t="s">
        <v>188</v>
      </c>
      <c r="D97" s="40" t="s">
        <v>768</v>
      </c>
      <c r="E97" s="40" t="s">
        <v>769</v>
      </c>
      <c r="F97" s="40"/>
    </row>
    <row r="98" spans="2:6">
      <c r="B98" s="40" t="s">
        <v>770</v>
      </c>
      <c r="C98" s="40" t="s">
        <v>148</v>
      </c>
      <c r="D98" s="40" t="s">
        <v>70</v>
      </c>
      <c r="E98" s="40" t="s">
        <v>771</v>
      </c>
      <c r="F98" s="40"/>
    </row>
    <row r="99" spans="2:6">
      <c r="B99" s="40" t="s">
        <v>772</v>
      </c>
      <c r="C99" s="40" t="s">
        <v>122</v>
      </c>
      <c r="D99" s="40" t="s">
        <v>552</v>
      </c>
      <c r="E99" s="40" t="s">
        <v>773</v>
      </c>
      <c r="F99" s="40"/>
    </row>
    <row r="100" spans="2:6">
      <c r="B100" s="40" t="s">
        <v>774</v>
      </c>
      <c r="C100" s="40" t="s">
        <v>189</v>
      </c>
      <c r="D100" s="40" t="s">
        <v>750</v>
      </c>
      <c r="E100" s="40" t="s">
        <v>775</v>
      </c>
      <c r="F100" s="40"/>
    </row>
    <row r="101" spans="2:6">
      <c r="B101" s="40" t="s">
        <v>776</v>
      </c>
      <c r="C101" s="40" t="s">
        <v>777</v>
      </c>
      <c r="D101" s="40" t="s">
        <v>750</v>
      </c>
      <c r="E101" s="40" t="s">
        <v>778</v>
      </c>
      <c r="F101" s="40"/>
    </row>
    <row r="102" spans="2:6">
      <c r="B102" s="40" t="s">
        <v>549</v>
      </c>
      <c r="C102" s="40" t="s">
        <v>244</v>
      </c>
      <c r="D102" s="40" t="s">
        <v>70</v>
      </c>
      <c r="E102" s="40" t="s">
        <v>779</v>
      </c>
      <c r="F102" s="40"/>
    </row>
    <row r="103" spans="2:6">
      <c r="B103" s="40" t="s">
        <v>780</v>
      </c>
      <c r="C103" s="40" t="s">
        <v>781</v>
      </c>
      <c r="D103" s="40" t="s">
        <v>552</v>
      </c>
      <c r="E103" s="40" t="s">
        <v>782</v>
      </c>
      <c r="F103" s="40"/>
    </row>
    <row r="104" spans="2:6">
      <c r="B104" s="40"/>
      <c r="C104" s="40"/>
      <c r="D104" s="40"/>
      <c r="E104" s="40"/>
      <c r="F104" s="40"/>
    </row>
    <row r="105" spans="2:6">
      <c r="B105" s="40" t="s">
        <v>175</v>
      </c>
      <c r="C105" s="40" t="s">
        <v>294</v>
      </c>
      <c r="D105" s="40" t="s">
        <v>750</v>
      </c>
      <c r="E105" s="40" t="s">
        <v>783</v>
      </c>
      <c r="F105" s="40"/>
    </row>
    <row r="106" spans="2:6">
      <c r="B106" s="40" t="s">
        <v>784</v>
      </c>
      <c r="C106" s="40" t="s">
        <v>785</v>
      </c>
      <c r="D106" s="40" t="s">
        <v>750</v>
      </c>
      <c r="E106" s="40" t="s">
        <v>786</v>
      </c>
      <c r="F106" s="40"/>
    </row>
    <row r="107" spans="2:6">
      <c r="B107" s="40" t="s">
        <v>176</v>
      </c>
      <c r="C107" s="40" t="s">
        <v>69</v>
      </c>
      <c r="D107" s="40" t="s">
        <v>750</v>
      </c>
      <c r="E107" s="40" t="s">
        <v>787</v>
      </c>
      <c r="F107" s="40"/>
    </row>
    <row r="108" spans="2:6" ht="9.9499999999999993" customHeight="1">
      <c r="B108" s="40"/>
      <c r="C108" s="40"/>
      <c r="D108" s="40"/>
      <c r="E108" s="40"/>
      <c r="F108" s="40"/>
    </row>
    <row r="109" spans="2:6" ht="24.95" customHeight="1">
      <c r="B109" s="1005" t="s">
        <v>788</v>
      </c>
      <c r="C109" s="1005"/>
      <c r="D109" s="1005"/>
      <c r="E109" s="1005"/>
      <c r="F109" s="1005"/>
    </row>
    <row r="110" spans="2:6">
      <c r="B110" s="40"/>
      <c r="C110" s="40"/>
      <c r="D110" s="40"/>
      <c r="E110" s="40"/>
      <c r="F110" s="40"/>
    </row>
    <row r="111" spans="2:6">
      <c r="B111" s="216" t="s">
        <v>789</v>
      </c>
      <c r="C111" s="216" t="s">
        <v>790</v>
      </c>
      <c r="D111" s="216" t="s">
        <v>741</v>
      </c>
      <c r="E111" s="40"/>
      <c r="F111" s="40"/>
    </row>
    <row r="112" spans="2:6">
      <c r="B112" s="208">
        <v>46092</v>
      </c>
      <c r="C112" s="40" t="s">
        <v>791</v>
      </c>
      <c r="D112" s="40" t="s">
        <v>792</v>
      </c>
      <c r="E112" s="40"/>
      <c r="F112" s="40"/>
    </row>
    <row r="113" spans="2:6">
      <c r="B113" s="40">
        <v>12</v>
      </c>
      <c r="C113" s="40" t="s">
        <v>601</v>
      </c>
      <c r="D113" s="40" t="s">
        <v>793</v>
      </c>
      <c r="E113" s="40"/>
      <c r="F113" s="40"/>
    </row>
    <row r="114" spans="2:6">
      <c r="B114" s="40">
        <v>13</v>
      </c>
      <c r="C114" s="40" t="s">
        <v>602</v>
      </c>
      <c r="D114" s="40" t="s">
        <v>794</v>
      </c>
      <c r="E114" s="40"/>
      <c r="F114" s="40"/>
    </row>
    <row r="115" spans="2:6">
      <c r="B115" s="40">
        <v>14</v>
      </c>
      <c r="C115" s="40" t="s">
        <v>603</v>
      </c>
      <c r="D115" s="40" t="s">
        <v>795</v>
      </c>
      <c r="E115" s="40"/>
      <c r="F115" s="40"/>
    </row>
    <row r="116" spans="2:6">
      <c r="B116" s="40">
        <v>15</v>
      </c>
      <c r="C116" s="40" t="s">
        <v>604</v>
      </c>
      <c r="D116" s="40" t="s">
        <v>796</v>
      </c>
      <c r="E116" s="40"/>
      <c r="F116" s="40"/>
    </row>
    <row r="117" spans="2:6">
      <c r="B117" s="40">
        <v>16</v>
      </c>
      <c r="C117" s="40" t="s">
        <v>605</v>
      </c>
      <c r="D117" s="40" t="s">
        <v>797</v>
      </c>
      <c r="E117" s="40"/>
      <c r="F117" s="40"/>
    </row>
    <row r="118" spans="2:6">
      <c r="B118" s="40">
        <v>17</v>
      </c>
      <c r="C118" s="40" t="s">
        <v>606</v>
      </c>
      <c r="D118" s="40" t="s">
        <v>798</v>
      </c>
      <c r="E118" s="40"/>
      <c r="F118" s="40"/>
    </row>
    <row r="119" spans="2:6">
      <c r="B119" s="40" t="s">
        <v>799</v>
      </c>
      <c r="C119" s="40" t="s">
        <v>521</v>
      </c>
      <c r="D119" s="40" t="s">
        <v>800</v>
      </c>
      <c r="E119" s="40"/>
      <c r="F119" s="40"/>
    </row>
    <row r="120" spans="2:6" ht="9.9499999999999993" customHeight="1">
      <c r="B120" s="40"/>
      <c r="C120" s="40"/>
      <c r="D120" s="40"/>
      <c r="E120" s="40"/>
      <c r="F120" s="40"/>
    </row>
    <row r="121" spans="2:6" ht="24.95" customHeight="1">
      <c r="B121" s="1006" t="s">
        <v>801</v>
      </c>
      <c r="C121" s="1006"/>
      <c r="D121" s="1006"/>
      <c r="E121" s="1006"/>
      <c r="F121" s="1006"/>
    </row>
    <row r="122" spans="2:6">
      <c r="B122" s="40"/>
      <c r="C122" s="40"/>
      <c r="D122" s="40"/>
      <c r="E122" s="40"/>
      <c r="F122" s="40"/>
    </row>
    <row r="123" spans="2:6">
      <c r="B123" s="1007" t="s">
        <v>802</v>
      </c>
      <c r="C123" s="991"/>
      <c r="D123" s="991"/>
      <c r="E123" s="991"/>
      <c r="F123" s="991"/>
    </row>
    <row r="124" spans="2:6">
      <c r="B124" s="40"/>
      <c r="C124" s="40"/>
      <c r="D124" s="40"/>
      <c r="E124" s="40"/>
      <c r="F124" s="40"/>
    </row>
    <row r="125" spans="2:6">
      <c r="B125" s="217" t="s">
        <v>154</v>
      </c>
      <c r="C125" s="217" t="s">
        <v>141</v>
      </c>
      <c r="D125" s="40"/>
      <c r="E125" s="40"/>
      <c r="F125" s="40"/>
    </row>
    <row r="126" spans="2:6">
      <c r="B126" s="40" t="s">
        <v>803</v>
      </c>
      <c r="C126" s="40" t="s">
        <v>804</v>
      </c>
      <c r="D126" s="40"/>
      <c r="E126" s="40"/>
      <c r="F126" s="40"/>
    </row>
    <row r="127" spans="2:6">
      <c r="B127" s="40" t="s">
        <v>805</v>
      </c>
      <c r="C127" s="40" t="s">
        <v>806</v>
      </c>
      <c r="D127" s="40"/>
      <c r="E127" s="40"/>
      <c r="F127" s="40"/>
    </row>
    <row r="128" spans="2:6">
      <c r="B128" s="40" t="s">
        <v>807</v>
      </c>
      <c r="C128" s="40" t="s">
        <v>808</v>
      </c>
      <c r="D128" s="40"/>
      <c r="E128" s="40"/>
      <c r="F128" s="40"/>
    </row>
    <row r="129" spans="2:6">
      <c r="B129" s="40" t="s">
        <v>809</v>
      </c>
      <c r="C129" s="40" t="s">
        <v>810</v>
      </c>
      <c r="D129" s="40"/>
      <c r="E129" s="40"/>
      <c r="F129" s="40"/>
    </row>
    <row r="130" spans="2:6">
      <c r="B130" s="40" t="s">
        <v>811</v>
      </c>
      <c r="C130" s="40" t="s">
        <v>812</v>
      </c>
      <c r="D130" s="40"/>
      <c r="E130" s="40"/>
      <c r="F130" s="40"/>
    </row>
    <row r="131" spans="2:6">
      <c r="B131" s="40" t="s">
        <v>813</v>
      </c>
      <c r="C131" s="40" t="s">
        <v>814</v>
      </c>
      <c r="D131" s="40"/>
      <c r="E131" s="40"/>
      <c r="F131" s="40"/>
    </row>
    <row r="132" spans="2:6">
      <c r="B132" s="40" t="s">
        <v>815</v>
      </c>
      <c r="C132" s="40" t="s">
        <v>816</v>
      </c>
      <c r="D132" s="40"/>
      <c r="E132" s="40"/>
      <c r="F132" s="40"/>
    </row>
    <row r="133" spans="2:6">
      <c r="B133" s="40" t="s">
        <v>817</v>
      </c>
      <c r="C133" s="40" t="s">
        <v>818</v>
      </c>
      <c r="D133" s="40"/>
      <c r="E133" s="40"/>
      <c r="F133" s="40"/>
    </row>
    <row r="134" spans="2:6">
      <c r="B134" s="40" t="s">
        <v>819</v>
      </c>
      <c r="C134" s="40" t="s">
        <v>820</v>
      </c>
      <c r="D134" s="40"/>
      <c r="E134" s="40"/>
      <c r="F134" s="40"/>
    </row>
    <row r="135" spans="2:6">
      <c r="B135" s="40" t="s">
        <v>821</v>
      </c>
      <c r="C135" s="40" t="s">
        <v>822</v>
      </c>
      <c r="D135" s="40"/>
      <c r="E135" s="40"/>
      <c r="F135" s="40"/>
    </row>
    <row r="136" spans="2:6">
      <c r="B136" s="40" t="s">
        <v>823</v>
      </c>
      <c r="C136" s="40" t="s">
        <v>824</v>
      </c>
      <c r="D136" s="40"/>
      <c r="E136" s="40"/>
      <c r="F136" s="40"/>
    </row>
    <row r="137" spans="2:6">
      <c r="B137" s="40"/>
      <c r="C137" s="40"/>
      <c r="D137" s="40"/>
      <c r="E137" s="40"/>
      <c r="F137" s="40"/>
    </row>
    <row r="138" spans="2:6">
      <c r="B138" s="1003"/>
      <c r="C138" s="991"/>
      <c r="D138" s="991"/>
      <c r="E138" s="991"/>
      <c r="F138" s="991"/>
    </row>
    <row r="140" spans="2:6">
      <c r="B140" s="38" t="s">
        <v>833</v>
      </c>
    </row>
    <row r="141" spans="2:6" ht="18.75">
      <c r="B141" s="227" t="s">
        <v>828</v>
      </c>
    </row>
    <row r="142" spans="2:6">
      <c r="B142" t="s">
        <v>833</v>
      </c>
    </row>
    <row r="144" spans="2:6">
      <c r="B144" t="s">
        <v>834</v>
      </c>
    </row>
    <row r="145" spans="2:2">
      <c r="B145" s="226" t="s">
        <v>829</v>
      </c>
    </row>
    <row r="147" spans="2:2">
      <c r="B147" t="s">
        <v>835</v>
      </c>
    </row>
    <row r="148" spans="2:2">
      <c r="B148" t="s">
        <v>836</v>
      </c>
    </row>
    <row r="150" spans="2:2">
      <c r="B150" t="s">
        <v>837</v>
      </c>
    </row>
    <row r="152" spans="2:2">
      <c r="B152" s="38" t="s">
        <v>830</v>
      </c>
    </row>
    <row r="153" spans="2:2">
      <c r="B153" t="s">
        <v>831</v>
      </c>
    </row>
    <row r="155" spans="2:2">
      <c r="B155" t="s">
        <v>838</v>
      </c>
    </row>
    <row r="157" spans="2:2">
      <c r="B157" t="s">
        <v>839</v>
      </c>
    </row>
    <row r="158" spans="2:2">
      <c r="B158" t="s">
        <v>840</v>
      </c>
    </row>
    <row r="159" spans="2:2">
      <c r="B159" t="s">
        <v>860</v>
      </c>
    </row>
    <row r="160" spans="2:2">
      <c r="B160" t="s">
        <v>841</v>
      </c>
    </row>
    <row r="161" spans="2:2">
      <c r="B161" t="s">
        <v>842</v>
      </c>
    </row>
    <row r="163" spans="2:2">
      <c r="B163" t="s">
        <v>843</v>
      </c>
    </row>
    <row r="164" spans="2:2">
      <c r="B164" t="s">
        <v>844</v>
      </c>
    </row>
    <row r="166" spans="2:2">
      <c r="B166" t="s">
        <v>837</v>
      </c>
    </row>
    <row r="168" spans="2:2">
      <c r="B168" s="38" t="s">
        <v>832</v>
      </c>
    </row>
    <row r="169" spans="2:2">
      <c r="B169" t="s">
        <v>831</v>
      </c>
    </row>
    <row r="171" spans="2:2">
      <c r="B171" t="s">
        <v>845</v>
      </c>
    </row>
    <row r="172" spans="2:2">
      <c r="B172" t="s">
        <v>846</v>
      </c>
    </row>
    <row r="174" spans="2:2">
      <c r="B174" t="s">
        <v>837</v>
      </c>
    </row>
    <row r="176" spans="2:2">
      <c r="B176" s="38" t="s">
        <v>847</v>
      </c>
    </row>
    <row r="177" spans="2:2">
      <c r="B177" t="s">
        <v>831</v>
      </c>
    </row>
    <row r="179" spans="2:2">
      <c r="B179" t="s">
        <v>848</v>
      </c>
    </row>
    <row r="180" spans="2:2">
      <c r="B180" t="s">
        <v>849</v>
      </c>
    </row>
    <row r="182" spans="2:2">
      <c r="B182" t="s">
        <v>837</v>
      </c>
    </row>
    <row r="184" spans="2:2">
      <c r="B184" s="38" t="s">
        <v>850</v>
      </c>
    </row>
    <row r="185" spans="2:2">
      <c r="B185" t="s">
        <v>831</v>
      </c>
    </row>
    <row r="187" spans="2:2">
      <c r="B187" t="s">
        <v>836</v>
      </c>
    </row>
    <row r="189" spans="2:2">
      <c r="B189" t="s">
        <v>837</v>
      </c>
    </row>
    <row r="191" spans="2:2">
      <c r="B191" s="38" t="s">
        <v>851</v>
      </c>
    </row>
    <row r="193" spans="2:2">
      <c r="B193" t="s">
        <v>852</v>
      </c>
    </row>
    <row r="194" spans="2:2">
      <c r="B194" t="s">
        <v>861</v>
      </c>
    </row>
    <row r="195" spans="2:2">
      <c r="B195" t="s">
        <v>853</v>
      </c>
    </row>
    <row r="196" spans="2:2">
      <c r="B196" t="s">
        <v>862</v>
      </c>
    </row>
    <row r="197" spans="2:2">
      <c r="B197" t="s">
        <v>854</v>
      </c>
    </row>
    <row r="199" spans="2:2">
      <c r="B199" s="38" t="s">
        <v>855</v>
      </c>
    </row>
    <row r="201" spans="2:2">
      <c r="B201" t="s">
        <v>856</v>
      </c>
    </row>
    <row r="202" spans="2:2">
      <c r="B202" t="s">
        <v>857</v>
      </c>
    </row>
    <row r="203" spans="2:2">
      <c r="B203" t="s">
        <v>858</v>
      </c>
    </row>
    <row r="204" spans="2:2">
      <c r="B204" t="s">
        <v>859</v>
      </c>
    </row>
  </sheetData>
  <mergeCells count="24">
    <mergeCell ref="B138:F138"/>
    <mergeCell ref="B73:F73"/>
    <mergeCell ref="B74:F74"/>
    <mergeCell ref="B75:F75"/>
    <mergeCell ref="B76:F76"/>
    <mergeCell ref="B77:F77"/>
    <mergeCell ref="B78:F78"/>
    <mergeCell ref="B79:F79"/>
    <mergeCell ref="B81:F81"/>
    <mergeCell ref="B109:F109"/>
    <mergeCell ref="B121:F121"/>
    <mergeCell ref="B123:F123"/>
    <mergeCell ref="B72:F72"/>
    <mergeCell ref="B2:F2"/>
    <mergeCell ref="B3:F3"/>
    <mergeCell ref="B5:F5"/>
    <mergeCell ref="B10:F10"/>
    <mergeCell ref="B23:F23"/>
    <mergeCell ref="B36:F36"/>
    <mergeCell ref="B45:F45"/>
    <mergeCell ref="B47:F47"/>
    <mergeCell ref="B56:F56"/>
    <mergeCell ref="B62:F62"/>
    <mergeCell ref="B70:F70"/>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8E5ED-99E8-4482-A6C4-6188A7F14EED}">
  <dimension ref="A1:G62"/>
  <sheetViews>
    <sheetView workbookViewId="0">
      <selection activeCell="J21" sqref="J21"/>
    </sheetView>
  </sheetViews>
  <sheetFormatPr defaultRowHeight="15"/>
  <cols>
    <col min="1" max="3" width="22.85546875" customWidth="1"/>
    <col min="4" max="4" width="29.5703125" customWidth="1"/>
    <col min="5" max="5" width="22.85546875" customWidth="1"/>
    <col min="6" max="6" width="21.85546875" customWidth="1"/>
    <col min="7" max="7" width="20.5703125" bestFit="1" customWidth="1"/>
  </cols>
  <sheetData>
    <row r="1" spans="1:7" ht="32.1" customHeight="1">
      <c r="A1" s="1008" t="s">
        <v>1186</v>
      </c>
      <c r="B1" s="1008"/>
      <c r="C1" s="1008"/>
      <c r="D1" s="1008"/>
      <c r="E1" s="1008"/>
      <c r="F1" s="1008"/>
    </row>
    <row r="2" spans="1:7">
      <c r="A2" s="1009" t="s">
        <v>1187</v>
      </c>
      <c r="B2" s="1009"/>
      <c r="C2" s="1009"/>
      <c r="D2" s="1009"/>
      <c r="E2" s="1009"/>
      <c r="F2" s="1009"/>
    </row>
    <row r="4" spans="1:7">
      <c r="A4" s="807" t="s">
        <v>1</v>
      </c>
      <c r="B4" s="807" t="s">
        <v>3</v>
      </c>
      <c r="C4" s="807" t="s">
        <v>22</v>
      </c>
      <c r="D4" s="807" t="s">
        <v>73</v>
      </c>
      <c r="E4" s="807" t="s">
        <v>21</v>
      </c>
      <c r="F4" s="807" t="s">
        <v>1188</v>
      </c>
      <c r="G4" s="807" t="s">
        <v>1189</v>
      </c>
    </row>
    <row r="5" spans="1:7">
      <c r="A5" s="2" t="s">
        <v>47</v>
      </c>
      <c r="B5" s="2" t="s">
        <v>19</v>
      </c>
      <c r="C5" s="2" t="s">
        <v>30</v>
      </c>
      <c r="D5" s="2" t="s">
        <v>30</v>
      </c>
      <c r="E5" s="2" t="s">
        <v>30</v>
      </c>
      <c r="F5" s="808" cm="1">
        <f t="array" ref="F5">SUMPRODUCT((BOM!$A$2:$A$391=A5)*(BOM!$F$2:$F$391=E5)*BOM!$H$2:$H$391*BOM!$G$2:$G$391)/SUMPRODUCT((BOM!$A$2:$A$391=A5)*BOM!$H$2:$H$391*BOM!$G$2:$G$391)</f>
        <v>0.25400000000000006</v>
      </c>
      <c r="G5" s="2">
        <f>SUMIF(tblResinWeightedQty[Film],tblResinWeightedQty[[#This Row],[Film]],tblResinWeightedQty[Weighted QTY %])</f>
        <v>1.0000000000000002</v>
      </c>
    </row>
    <row r="6" spans="1:7">
      <c r="A6" s="2" t="s">
        <v>47</v>
      </c>
      <c r="B6" s="2" t="s">
        <v>13</v>
      </c>
      <c r="C6" s="2" t="s">
        <v>74</v>
      </c>
      <c r="D6" s="2" t="s">
        <v>75</v>
      </c>
      <c r="E6" s="2" t="s">
        <v>33</v>
      </c>
      <c r="F6" s="808" cm="1">
        <f t="array" ref="F6">SUMPRODUCT((BOM!$A$2:$A$391=A6)*(BOM!$F$2:$F$391=E6)*BOM!$H$2:$H$391*BOM!$G$2:$G$391)/SUMPRODUCT((BOM!$A$2:$A$391=A6)*BOM!$H$2:$H$391*BOM!$G$2:$G$391)</f>
        <v>8.5199999999999998E-2</v>
      </c>
      <c r="G6" s="2">
        <f>SUMIF(tblResinWeightedQty[Film],tblResinWeightedQty[[#This Row],[Film]],tblResinWeightedQty[Weighted QTY %])</f>
        <v>1.0000000000000002</v>
      </c>
    </row>
    <row r="7" spans="1:7">
      <c r="A7" s="2" t="s">
        <v>47</v>
      </c>
      <c r="B7" s="2" t="s">
        <v>14</v>
      </c>
      <c r="C7" s="2" t="s">
        <v>23</v>
      </c>
      <c r="D7" s="2" t="s">
        <v>77</v>
      </c>
      <c r="E7" s="2" t="s">
        <v>35</v>
      </c>
      <c r="F7" s="808" cm="1">
        <f t="array" ref="F7">SUMPRODUCT((BOM!$A$2:$A$391=A7)*(BOM!$F$2:$F$391=E7)*BOM!$H$2:$H$391*BOM!$G$2:$G$391)/SUMPRODUCT((BOM!$A$2:$A$391=A7)*BOM!$H$2:$H$391*BOM!$G$2:$G$391)</f>
        <v>0.13800000000000001</v>
      </c>
      <c r="G7" s="2">
        <f>SUMIF(tblResinWeightedQty[Film],tblResinWeightedQty[[#This Row],[Film]],tblResinWeightedQty[Weighted QTY %])</f>
        <v>1.0000000000000002</v>
      </c>
    </row>
    <row r="8" spans="1:7">
      <c r="A8" s="2" t="s">
        <v>47</v>
      </c>
      <c r="B8" s="2" t="s">
        <v>16</v>
      </c>
      <c r="C8" s="2" t="s">
        <v>10</v>
      </c>
      <c r="D8" s="2" t="s">
        <v>81</v>
      </c>
      <c r="E8" s="2" t="s">
        <v>38</v>
      </c>
      <c r="F8" s="808" cm="1">
        <f t="array" ref="F8">SUMPRODUCT((BOM!$A$2:$A$391=A8)*(BOM!$F$2:$F$391=E8)*BOM!$H$2:$H$391*BOM!$G$2:$G$391)/SUMPRODUCT((BOM!$A$2:$A$391=A8)*BOM!$H$2:$H$391*BOM!$G$2:$G$391)</f>
        <v>2.0000000000000004E-2</v>
      </c>
      <c r="G8" s="2">
        <f>SUMIF(tblResinWeightedQty[Film],tblResinWeightedQty[[#This Row],[Film]],tblResinWeightedQty[Weighted QTY %])</f>
        <v>1.0000000000000002</v>
      </c>
    </row>
    <row r="9" spans="1:7">
      <c r="A9" s="2" t="s">
        <v>47</v>
      </c>
      <c r="B9" s="2" t="s">
        <v>17</v>
      </c>
      <c r="C9" s="2" t="s">
        <v>11</v>
      </c>
      <c r="D9" s="2" t="s">
        <v>82</v>
      </c>
      <c r="E9" s="2" t="s">
        <v>39</v>
      </c>
      <c r="F9" s="808" cm="1">
        <f t="array" ref="F9">SUMPRODUCT((BOM!$A$2:$A$391=A9)*(BOM!$F$2:$F$391=E9)*BOM!$H$2:$H$391*BOM!$G$2:$G$391)/SUMPRODUCT((BOM!$A$2:$A$391=A9)*BOM!$H$2:$H$391*BOM!$G$2:$G$391)</f>
        <v>1.2000000000000002E-2</v>
      </c>
      <c r="G9" s="2">
        <f>SUMIF(tblResinWeightedQty[Film],tblResinWeightedQty[[#This Row],[Film]],tblResinWeightedQty[Weighted QTY %])</f>
        <v>1.0000000000000002</v>
      </c>
    </row>
    <row r="10" spans="1:7">
      <c r="A10" s="2" t="s">
        <v>47</v>
      </c>
      <c r="B10" s="2" t="s">
        <v>18</v>
      </c>
      <c r="C10" s="2" t="s">
        <v>9</v>
      </c>
      <c r="D10" s="2" t="s">
        <v>83</v>
      </c>
      <c r="E10" s="2" t="s">
        <v>40</v>
      </c>
      <c r="F10" s="808" cm="1">
        <f t="array" ref="F10">SUMPRODUCT((BOM!$A$2:$A$391=A10)*(BOM!$F$2:$F$391=E10)*BOM!$H$2:$H$391*BOM!$G$2:$G$391)/SUMPRODUCT((BOM!$A$2:$A$391=A10)*BOM!$H$2:$H$391*BOM!$G$2:$G$391)</f>
        <v>9.0000000000000011E-3</v>
      </c>
      <c r="G10" s="2">
        <f>SUMIF(tblResinWeightedQty[Film],tblResinWeightedQty[[#This Row],[Film]],tblResinWeightedQty[Weighted QTY %])</f>
        <v>1.0000000000000002</v>
      </c>
    </row>
    <row r="11" spans="1:7">
      <c r="A11" s="2" t="s">
        <v>47</v>
      </c>
      <c r="B11" s="2" t="s">
        <v>12</v>
      </c>
      <c r="C11" s="2" t="s">
        <v>8</v>
      </c>
      <c r="D11" s="2" t="s">
        <v>84</v>
      </c>
      <c r="E11" s="2" t="s">
        <v>42</v>
      </c>
      <c r="F11" s="808" cm="1">
        <f t="array" ref="F11">SUMPRODUCT((BOM!$A$2:$A$391=A11)*(BOM!$F$2:$F$391=E11)*BOM!$H$2:$H$391*BOM!$G$2:$G$391)/SUMPRODUCT((BOM!$A$2:$A$391=A11)*BOM!$H$2:$H$391*BOM!$G$2:$G$391)</f>
        <v>0.48180000000000012</v>
      </c>
      <c r="G11" s="2">
        <f>SUMIF(tblResinWeightedQty[Film],tblResinWeightedQty[[#This Row],[Film]],tblResinWeightedQty[Weighted QTY %])</f>
        <v>1.0000000000000002</v>
      </c>
    </row>
    <row r="12" spans="1:7">
      <c r="A12" s="2" t="s">
        <v>48</v>
      </c>
      <c r="B12" s="2" t="s">
        <v>19</v>
      </c>
      <c r="C12" s="2" t="s">
        <v>30</v>
      </c>
      <c r="D12" s="2" t="s">
        <v>30</v>
      </c>
      <c r="E12" s="2" t="s">
        <v>30</v>
      </c>
      <c r="F12" s="808" cm="1">
        <f t="array" ref="F12">SUMPRODUCT((BOM!$A$2:$A$391=A12)*(BOM!$F$2:$F$391=E12)*BOM!$H$2:$H$391*BOM!$G$2:$G$391)/SUMPRODUCT((BOM!$A$2:$A$391=A12)*BOM!$H$2:$H$391*BOM!$G$2:$G$391)</f>
        <v>0.25400000000000006</v>
      </c>
      <c r="G12" s="2">
        <f>SUMIF(tblResinWeightedQty[Film],tblResinWeightedQty[[#This Row],[Film]],tblResinWeightedQty[Weighted QTY %])</f>
        <v>1.0000000000000002</v>
      </c>
    </row>
    <row r="13" spans="1:7">
      <c r="A13" s="2" t="s">
        <v>48</v>
      </c>
      <c r="B13" s="2" t="s">
        <v>13</v>
      </c>
      <c r="C13" s="2" t="s">
        <v>74</v>
      </c>
      <c r="D13" s="2" t="s">
        <v>75</v>
      </c>
      <c r="E13" s="2" t="s">
        <v>33</v>
      </c>
      <c r="F13" s="808" cm="1">
        <f t="array" ref="F13">SUMPRODUCT((BOM!$A$2:$A$391=A13)*(BOM!$F$2:$F$391=E13)*BOM!$H$2:$H$391*BOM!$G$2:$G$391)/SUMPRODUCT((BOM!$A$2:$A$391=A13)*BOM!$H$2:$H$391*BOM!$G$2:$G$391)</f>
        <v>0.47400000000000009</v>
      </c>
      <c r="G13" s="2">
        <f>SUMIF(tblResinWeightedQty[Film],tblResinWeightedQty[[#This Row],[Film]],tblResinWeightedQty[Weighted QTY %])</f>
        <v>1.0000000000000002</v>
      </c>
    </row>
    <row r="14" spans="1:7">
      <c r="A14" s="2" t="s">
        <v>48</v>
      </c>
      <c r="B14" s="2" t="s">
        <v>14</v>
      </c>
      <c r="C14" s="2" t="s">
        <v>23</v>
      </c>
      <c r="D14" s="2" t="s">
        <v>77</v>
      </c>
      <c r="E14" s="2" t="s">
        <v>35</v>
      </c>
      <c r="F14" s="808" cm="1">
        <f t="array" ref="F14">SUMPRODUCT((BOM!$A$2:$A$391=A14)*(BOM!$F$2:$F$391=E14)*BOM!$H$2:$H$391*BOM!$G$2:$G$391)/SUMPRODUCT((BOM!$A$2:$A$391=A14)*BOM!$H$2:$H$391*BOM!$G$2:$G$391)</f>
        <v>0.13800000000000001</v>
      </c>
      <c r="G14" s="2">
        <f>SUMIF(tblResinWeightedQty[Film],tblResinWeightedQty[[#This Row],[Film]],tblResinWeightedQty[Weighted QTY %])</f>
        <v>1.0000000000000002</v>
      </c>
    </row>
    <row r="15" spans="1:7">
      <c r="A15" s="2" t="s">
        <v>48</v>
      </c>
      <c r="B15" s="2" t="s">
        <v>15</v>
      </c>
      <c r="C15" s="2" t="s">
        <v>24</v>
      </c>
      <c r="D15" s="2" t="s">
        <v>80</v>
      </c>
      <c r="E15" s="2" t="s">
        <v>37</v>
      </c>
      <c r="F15" s="808" cm="1">
        <f t="array" ref="F15">SUMPRODUCT((BOM!$A$2:$A$391=A15)*(BOM!$F$2:$F$391=E15)*BOM!$H$2:$H$391*BOM!$G$2:$G$391)/SUMPRODUCT((BOM!$A$2:$A$391=A15)*BOM!$H$2:$H$391*BOM!$G$2:$G$391)</f>
        <v>0.11400000000000003</v>
      </c>
      <c r="G15" s="2">
        <f>SUMIF(tblResinWeightedQty[Film],tblResinWeightedQty[[#This Row],[Film]],tblResinWeightedQty[Weighted QTY %])</f>
        <v>1.0000000000000002</v>
      </c>
    </row>
    <row r="16" spans="1:7">
      <c r="A16" s="2" t="s">
        <v>48</v>
      </c>
      <c r="B16" s="2" t="s">
        <v>16</v>
      </c>
      <c r="C16" s="2" t="s">
        <v>10</v>
      </c>
      <c r="D16" s="2" t="s">
        <v>81</v>
      </c>
      <c r="E16" s="2" t="s">
        <v>38</v>
      </c>
      <c r="F16" s="808" cm="1">
        <f t="array" ref="F16">SUMPRODUCT((BOM!$A$2:$A$391=A16)*(BOM!$F$2:$F$391=E16)*BOM!$H$2:$H$391*BOM!$G$2:$G$391)/SUMPRODUCT((BOM!$A$2:$A$391=A16)*BOM!$H$2:$H$391*BOM!$G$2:$G$391)</f>
        <v>2.0000000000000004E-2</v>
      </c>
      <c r="G16" s="2">
        <f>SUMIF(tblResinWeightedQty[Film],tblResinWeightedQty[[#This Row],[Film]],tblResinWeightedQty[Weighted QTY %])</f>
        <v>1.0000000000000002</v>
      </c>
    </row>
    <row r="17" spans="1:7">
      <c r="A17" s="2" t="s">
        <v>49</v>
      </c>
      <c r="B17" s="2" t="s">
        <v>19</v>
      </c>
      <c r="C17" s="2" t="s">
        <v>30</v>
      </c>
      <c r="D17" s="2" t="s">
        <v>30</v>
      </c>
      <c r="E17" s="2" t="s">
        <v>30</v>
      </c>
      <c r="F17" s="808" cm="1">
        <f t="array" ref="F17">SUMPRODUCT((BOM!$A$2:$A$391=A17)*(BOM!$F$2:$F$391=E17)*BOM!$H$2:$H$391*BOM!$G$2:$G$391)/SUMPRODUCT((BOM!$A$2:$A$391=A17)*BOM!$H$2:$H$391*BOM!$G$2:$G$391)</f>
        <v>0.19600000000000001</v>
      </c>
      <c r="G17" s="2">
        <f>SUMIF(tblResinWeightedQty[Film],tblResinWeightedQty[[#This Row],[Film]],tblResinWeightedQty[Weighted QTY %])</f>
        <v>1</v>
      </c>
    </row>
    <row r="18" spans="1:7">
      <c r="A18" s="2" t="s">
        <v>49</v>
      </c>
      <c r="B18" s="2" t="s">
        <v>13</v>
      </c>
      <c r="C18" s="2" t="s">
        <v>74</v>
      </c>
      <c r="D18" s="2" t="s">
        <v>75</v>
      </c>
      <c r="E18" s="2" t="s">
        <v>33</v>
      </c>
      <c r="F18" s="808" cm="1">
        <f t="array" ref="F18">SUMPRODUCT((BOM!$A$2:$A$391=A18)*(BOM!$F$2:$F$391=E18)*BOM!$H$2:$H$391*BOM!$G$2:$G$391)/SUMPRODUCT((BOM!$A$2:$A$391=A18)*BOM!$H$2:$H$391*BOM!$G$2:$G$391)</f>
        <v>0.47400000000000003</v>
      </c>
      <c r="G18" s="2">
        <f>SUMIF(tblResinWeightedQty[Film],tblResinWeightedQty[[#This Row],[Film]],tblResinWeightedQty[Weighted QTY %])</f>
        <v>1</v>
      </c>
    </row>
    <row r="19" spans="1:7">
      <c r="A19" s="2" t="s">
        <v>49</v>
      </c>
      <c r="B19" s="2" t="s">
        <v>14</v>
      </c>
      <c r="C19" s="2" t="s">
        <v>23</v>
      </c>
      <c r="D19" s="2" t="s">
        <v>77</v>
      </c>
      <c r="E19" s="2" t="s">
        <v>35</v>
      </c>
      <c r="F19" s="808" cm="1">
        <f t="array" ref="F19">SUMPRODUCT((BOM!$A$2:$A$391=A19)*(BOM!$F$2:$F$391=E19)*BOM!$H$2:$H$391*BOM!$G$2:$G$391)/SUMPRODUCT((BOM!$A$2:$A$391=A19)*BOM!$H$2:$H$391*BOM!$G$2:$G$391)</f>
        <v>0.19600000000000001</v>
      </c>
      <c r="G19" s="2">
        <f>SUMIF(tblResinWeightedQty[Film],tblResinWeightedQty[[#This Row],[Film]],tblResinWeightedQty[Weighted QTY %])</f>
        <v>1</v>
      </c>
    </row>
    <row r="20" spans="1:7">
      <c r="A20" s="2" t="s">
        <v>49</v>
      </c>
      <c r="B20" s="2" t="s">
        <v>15</v>
      </c>
      <c r="C20" s="2" t="s">
        <v>24</v>
      </c>
      <c r="D20" s="2" t="s">
        <v>80</v>
      </c>
      <c r="E20" s="2" t="s">
        <v>37</v>
      </c>
      <c r="F20" s="808" cm="1">
        <f t="array" ref="F20">SUMPRODUCT((BOM!$A$2:$A$391=A20)*(BOM!$F$2:$F$391=E20)*BOM!$H$2:$H$391*BOM!$G$2:$G$391)/SUMPRODUCT((BOM!$A$2:$A$391=A20)*BOM!$H$2:$H$391*BOM!$G$2:$G$391)</f>
        <v>0.11400000000000002</v>
      </c>
      <c r="G20" s="2">
        <f>SUMIF(tblResinWeightedQty[Film],tblResinWeightedQty[[#This Row],[Film]],tblResinWeightedQty[Weighted QTY %])</f>
        <v>1</v>
      </c>
    </row>
    <row r="21" spans="1:7">
      <c r="A21" s="2" t="s">
        <v>49</v>
      </c>
      <c r="B21" s="2" t="s">
        <v>16</v>
      </c>
      <c r="C21" s="2" t="s">
        <v>10</v>
      </c>
      <c r="D21" s="2" t="s">
        <v>81</v>
      </c>
      <c r="E21" s="2" t="s">
        <v>38</v>
      </c>
      <c r="F21" s="808" cm="1">
        <f t="array" ref="F21">SUMPRODUCT((BOM!$A$2:$A$391=A21)*(BOM!$F$2:$F$391=E21)*BOM!$H$2:$H$391*BOM!$G$2:$G$391)/SUMPRODUCT((BOM!$A$2:$A$391=A21)*BOM!$H$2:$H$391*BOM!$G$2:$G$391)</f>
        <v>0.02</v>
      </c>
      <c r="G21" s="2">
        <f>SUMIF(tblResinWeightedQty[Film],tblResinWeightedQty[[#This Row],[Film]],tblResinWeightedQty[Weighted QTY %])</f>
        <v>1</v>
      </c>
    </row>
    <row r="22" spans="1:7">
      <c r="A22" s="2" t="s">
        <v>0</v>
      </c>
      <c r="B22" s="2" t="s">
        <v>13</v>
      </c>
      <c r="C22" s="2" t="s">
        <v>74</v>
      </c>
      <c r="D22" s="2" t="s">
        <v>75</v>
      </c>
      <c r="E22" s="2" t="s">
        <v>33</v>
      </c>
      <c r="F22" s="808" cm="1">
        <f t="array" ref="F22">SUMPRODUCT((BOM!$A$2:$A$391=A22)*(BOM!$F$2:$F$391=E22)*BOM!$H$2:$H$391*BOM!$G$2:$G$391)/SUMPRODUCT((BOM!$A$2:$A$391=A22)*BOM!$H$2:$H$391*BOM!$G$2:$G$391)</f>
        <v>5.7600000000000005E-2</v>
      </c>
      <c r="G22" s="809">
        <f>SUMIF(tblResinWeightedQty[Film],tblResinWeightedQty[[#This Row],[Film]],tblResinWeightedQty[Weighted QTY %])</f>
        <v>1.0000000000000002</v>
      </c>
    </row>
    <row r="23" spans="1:7">
      <c r="A23" s="2" t="s">
        <v>0</v>
      </c>
      <c r="B23" s="2" t="s">
        <v>14</v>
      </c>
      <c r="C23" s="2" t="s">
        <v>23</v>
      </c>
      <c r="D23" s="2" t="s">
        <v>77</v>
      </c>
      <c r="E23" s="2" t="s">
        <v>35</v>
      </c>
      <c r="F23" s="808" cm="1">
        <f t="array" ref="F23">SUMPRODUCT((BOM!$A$2:$A$391=A23)*(BOM!$F$2:$F$391=E23)*BOM!$H$2:$H$391*BOM!$G$2:$G$391)/SUMPRODUCT((BOM!$A$2:$A$391=A23)*BOM!$H$2:$H$391*BOM!$G$2:$G$391)</f>
        <v>0.59100000000000008</v>
      </c>
      <c r="G23" s="809">
        <f>SUMIF(tblResinWeightedQty[Film],tblResinWeightedQty[[#This Row],[Film]],tblResinWeightedQty[Weighted QTY %])</f>
        <v>1.0000000000000002</v>
      </c>
    </row>
    <row r="24" spans="1:7">
      <c r="A24" s="2" t="s">
        <v>0</v>
      </c>
      <c r="B24" s="2" t="s">
        <v>16</v>
      </c>
      <c r="C24" s="2" t="s">
        <v>10</v>
      </c>
      <c r="D24" s="2" t="s">
        <v>81</v>
      </c>
      <c r="E24" s="2" t="s">
        <v>38</v>
      </c>
      <c r="F24" s="808" cm="1">
        <f t="array" ref="F24">SUMPRODUCT((BOM!$A$2:$A$391=A24)*(BOM!$F$2:$F$391=E24)*BOM!$H$2:$H$391*BOM!$G$2:$G$391)/SUMPRODUCT((BOM!$A$2:$A$391=A24)*BOM!$H$2:$H$391*BOM!$G$2:$G$391)</f>
        <v>1.5000000000000003E-2</v>
      </c>
      <c r="G24" s="809">
        <f>SUMIF(tblResinWeightedQty[Film],tblResinWeightedQty[[#This Row],[Film]],tblResinWeightedQty[Weighted QTY %])</f>
        <v>1.0000000000000002</v>
      </c>
    </row>
    <row r="25" spans="1:7">
      <c r="A25" s="2" t="s">
        <v>0</v>
      </c>
      <c r="B25" s="2" t="s">
        <v>17</v>
      </c>
      <c r="C25" s="2" t="s">
        <v>11</v>
      </c>
      <c r="D25" s="2" t="s">
        <v>82</v>
      </c>
      <c r="E25" s="2" t="s">
        <v>39</v>
      </c>
      <c r="F25" s="808" cm="1">
        <f t="array" ref="F25">SUMPRODUCT((BOM!$A$2:$A$391=A25)*(BOM!$F$2:$F$391=E25)*BOM!$H$2:$H$391*BOM!$G$2:$G$391)/SUMPRODUCT((BOM!$A$2:$A$391=A25)*BOM!$H$2:$H$391*BOM!$G$2:$G$391)</f>
        <v>1.6000000000000003E-3</v>
      </c>
      <c r="G25" s="809">
        <f>SUMIF(tblResinWeightedQty[Film],tblResinWeightedQty[[#This Row],[Film]],tblResinWeightedQty[Weighted QTY %])</f>
        <v>1.0000000000000002</v>
      </c>
    </row>
    <row r="26" spans="1:7">
      <c r="A26" s="2" t="s">
        <v>0</v>
      </c>
      <c r="B26" s="2" t="s">
        <v>18</v>
      </c>
      <c r="C26" s="2" t="s">
        <v>9</v>
      </c>
      <c r="D26" s="2" t="s">
        <v>83</v>
      </c>
      <c r="E26" s="2" t="s">
        <v>40</v>
      </c>
      <c r="F26" s="808" cm="1">
        <f t="array" ref="F26">SUMPRODUCT((BOM!$A$2:$A$391=A26)*(BOM!$F$2:$F$391=E26)*BOM!$H$2:$H$391*BOM!$G$2:$G$391)/SUMPRODUCT((BOM!$A$2:$A$391=A26)*BOM!$H$2:$H$391*BOM!$G$2:$G$391)</f>
        <v>6.000000000000001E-3</v>
      </c>
      <c r="G26" s="809">
        <f>SUMIF(tblResinWeightedQty[Film],tblResinWeightedQty[[#This Row],[Film]],tblResinWeightedQty[Weighted QTY %])</f>
        <v>1.0000000000000002</v>
      </c>
    </row>
    <row r="27" spans="1:7">
      <c r="A27" s="2" t="s">
        <v>0</v>
      </c>
      <c r="B27" s="2" t="s">
        <v>12</v>
      </c>
      <c r="C27" s="2" t="s">
        <v>8</v>
      </c>
      <c r="D27" s="2" t="s">
        <v>84</v>
      </c>
      <c r="E27" s="2" t="s">
        <v>42</v>
      </c>
      <c r="F27" s="808" cm="1">
        <f t="array" ref="F27">SUMPRODUCT((BOM!$A$2:$A$391=A27)*(BOM!$F$2:$F$391=E27)*BOM!$H$2:$H$391*BOM!$G$2:$G$391)/SUMPRODUCT((BOM!$A$2:$A$391=A27)*BOM!$H$2:$H$391*BOM!$G$2:$G$391)</f>
        <v>0.32880000000000004</v>
      </c>
      <c r="G27" s="809">
        <f>SUMIF(tblResinWeightedQty[Film],tblResinWeightedQty[[#This Row],[Film]],tblResinWeightedQty[Weighted QTY %])</f>
        <v>1.0000000000000002</v>
      </c>
    </row>
    <row r="28" spans="1:7">
      <c r="A28" s="2" t="s">
        <v>43</v>
      </c>
      <c r="B28" s="2" t="s">
        <v>41</v>
      </c>
      <c r="C28" s="2" t="s">
        <v>26</v>
      </c>
      <c r="D28" s="2" t="s">
        <v>26</v>
      </c>
      <c r="E28" s="2" t="s">
        <v>54</v>
      </c>
      <c r="F28" s="808" cm="1">
        <f t="array" ref="F28">SUMPRODUCT((BOM!$A$2:$A$391=A28)*(BOM!$F$2:$F$391=E28)*BOM!$H$2:$H$391*BOM!$G$2:$G$391)/SUMPRODUCT((BOM!$A$2:$A$391=A28)*BOM!$H$2:$H$391*BOM!$G$2:$G$391)</f>
        <v>6.0000000000000012E-2</v>
      </c>
      <c r="G28" s="2">
        <f>SUMIF(tblResinWeightedQty[Film],tblResinWeightedQty[[#This Row],[Film]],tblResinWeightedQty[Weighted QTY %])</f>
        <v>1</v>
      </c>
    </row>
    <row r="29" spans="1:7">
      <c r="A29" s="2" t="s">
        <v>43</v>
      </c>
      <c r="B29" s="2" t="s">
        <v>13</v>
      </c>
      <c r="C29" s="2" t="s">
        <v>74</v>
      </c>
      <c r="D29" s="2" t="s">
        <v>75</v>
      </c>
      <c r="E29" s="2" t="s">
        <v>33</v>
      </c>
      <c r="F29" s="808" cm="1">
        <f t="array" ref="F29">SUMPRODUCT((BOM!$A$2:$A$391=A29)*(BOM!$F$2:$F$391=E29)*BOM!$H$2:$H$391*BOM!$G$2:$G$391)/SUMPRODUCT((BOM!$A$2:$A$391=A29)*BOM!$H$2:$H$391*BOM!$G$2:$G$391)</f>
        <v>5.7599999999999998E-2</v>
      </c>
      <c r="G29" s="2">
        <f>SUMIF(tblResinWeightedQty[Film],tblResinWeightedQty[[#This Row],[Film]],tblResinWeightedQty[Weighted QTY %])</f>
        <v>1</v>
      </c>
    </row>
    <row r="30" spans="1:7">
      <c r="A30" s="2" t="s">
        <v>43</v>
      </c>
      <c r="B30" s="2" t="s">
        <v>14</v>
      </c>
      <c r="C30" s="2" t="s">
        <v>23</v>
      </c>
      <c r="D30" s="2" t="s">
        <v>77</v>
      </c>
      <c r="E30" s="2" t="s">
        <v>35</v>
      </c>
      <c r="F30" s="808" cm="1">
        <f t="array" ref="F30">SUMPRODUCT((BOM!$A$2:$A$391=A30)*(BOM!$F$2:$F$391=E30)*BOM!$H$2:$H$391*BOM!$G$2:$G$391)/SUMPRODUCT((BOM!$A$2:$A$391=A30)*BOM!$H$2:$H$391*BOM!$G$2:$G$391)</f>
        <v>0.53100000000000003</v>
      </c>
      <c r="G30" s="2">
        <f>SUMIF(tblResinWeightedQty[Film],tblResinWeightedQty[[#This Row],[Film]],tblResinWeightedQty[Weighted QTY %])</f>
        <v>1</v>
      </c>
    </row>
    <row r="31" spans="1:7">
      <c r="A31" s="2" t="s">
        <v>43</v>
      </c>
      <c r="B31" s="2" t="s">
        <v>16</v>
      </c>
      <c r="C31" s="2" t="s">
        <v>10</v>
      </c>
      <c r="D31" s="2" t="s">
        <v>81</v>
      </c>
      <c r="E31" s="2" t="s">
        <v>38</v>
      </c>
      <c r="F31" s="808" cm="1">
        <f t="array" ref="F31">SUMPRODUCT((BOM!$A$2:$A$391=A31)*(BOM!$F$2:$F$391=E31)*BOM!$H$2:$H$391*BOM!$G$2:$G$391)/SUMPRODUCT((BOM!$A$2:$A$391=A31)*BOM!$H$2:$H$391*BOM!$G$2:$G$391)</f>
        <v>1.4999999999999999E-2</v>
      </c>
      <c r="G31" s="2">
        <f>SUMIF(tblResinWeightedQty[Film],tblResinWeightedQty[[#This Row],[Film]],tblResinWeightedQty[Weighted QTY %])</f>
        <v>1</v>
      </c>
    </row>
    <row r="32" spans="1:7">
      <c r="A32" s="2" t="s">
        <v>43</v>
      </c>
      <c r="B32" s="2" t="s">
        <v>17</v>
      </c>
      <c r="C32" s="2" t="s">
        <v>11</v>
      </c>
      <c r="D32" s="2" t="s">
        <v>82</v>
      </c>
      <c r="E32" s="2" t="s">
        <v>39</v>
      </c>
      <c r="F32" s="808" cm="1">
        <f t="array" ref="F32">SUMPRODUCT((BOM!$A$2:$A$391=A32)*(BOM!$F$2:$F$391=E32)*BOM!$H$2:$H$391*BOM!$G$2:$G$391)/SUMPRODUCT((BOM!$A$2:$A$391=A32)*BOM!$H$2:$H$391*BOM!$G$2:$G$391)</f>
        <v>6.4000000000000003E-3</v>
      </c>
      <c r="G32" s="2">
        <f>SUMIF(tblResinWeightedQty[Film],tblResinWeightedQty[[#This Row],[Film]],tblResinWeightedQty[Weighted QTY %])</f>
        <v>1</v>
      </c>
    </row>
    <row r="33" spans="1:7">
      <c r="A33" s="2" t="s">
        <v>43</v>
      </c>
      <c r="B33" s="2" t="s">
        <v>18</v>
      </c>
      <c r="C33" s="2" t="s">
        <v>9</v>
      </c>
      <c r="D33" s="2" t="s">
        <v>83</v>
      </c>
      <c r="E33" s="2" t="s">
        <v>40</v>
      </c>
      <c r="F33" s="808" cm="1">
        <f t="array" ref="F33">SUMPRODUCT((BOM!$A$2:$A$391=A33)*(BOM!$F$2:$F$391=E33)*BOM!$H$2:$H$391*BOM!$G$2:$G$391)/SUMPRODUCT((BOM!$A$2:$A$391=A33)*BOM!$H$2:$H$391*BOM!$G$2:$G$391)</f>
        <v>6.0000000000000001E-3</v>
      </c>
      <c r="G33" s="2">
        <f>SUMIF(tblResinWeightedQty[Film],tblResinWeightedQty[[#This Row],[Film]],tblResinWeightedQty[Weighted QTY %])</f>
        <v>1</v>
      </c>
    </row>
    <row r="34" spans="1:7">
      <c r="A34" s="2" t="s">
        <v>43</v>
      </c>
      <c r="B34" s="2" t="s">
        <v>12</v>
      </c>
      <c r="C34" s="2" t="s">
        <v>8</v>
      </c>
      <c r="D34" s="2" t="s">
        <v>84</v>
      </c>
      <c r="E34" s="2" t="s">
        <v>42</v>
      </c>
      <c r="F34" s="808" cm="1">
        <f t="array" ref="F34">SUMPRODUCT((BOM!$A$2:$A$391=A34)*(BOM!$F$2:$F$391=E34)*BOM!$H$2:$H$391*BOM!$G$2:$G$391)/SUMPRODUCT((BOM!$A$2:$A$391=A34)*BOM!$H$2:$H$391*BOM!$G$2:$G$391)</f>
        <v>0.32400000000000001</v>
      </c>
      <c r="G34" s="2">
        <f>SUMIF(tblResinWeightedQty[Film],tblResinWeightedQty[[#This Row],[Film]],tblResinWeightedQty[Weighted QTY %])</f>
        <v>1</v>
      </c>
    </row>
    <row r="35" spans="1:7">
      <c r="A35" s="2" t="s">
        <v>45</v>
      </c>
      <c r="B35" s="2" t="s">
        <v>13</v>
      </c>
      <c r="C35" s="2" t="s">
        <v>74</v>
      </c>
      <c r="D35" s="2" t="s">
        <v>75</v>
      </c>
      <c r="E35" s="2" t="s">
        <v>33</v>
      </c>
      <c r="F35" s="808" cm="1">
        <f t="array" ref="F35">SUMPRODUCT((BOM!$A$2:$A$391=A35)*(BOM!$F$2:$F$391=E35)*BOM!$H$2:$H$391*BOM!$G$2:$G$391)/SUMPRODUCT((BOM!$A$2:$A$391=A35)*BOM!$H$2:$H$391*BOM!$G$2:$G$391)</f>
        <v>0.6644000000000001</v>
      </c>
      <c r="G35" s="2">
        <f>SUMIF(tblResinWeightedQty[Film],tblResinWeightedQty[[#This Row],[Film]],tblResinWeightedQty[Weighted QTY %])</f>
        <v>1.0000000000000002</v>
      </c>
    </row>
    <row r="36" spans="1:7">
      <c r="A36" s="2" t="s">
        <v>45</v>
      </c>
      <c r="B36" s="2" t="s">
        <v>15</v>
      </c>
      <c r="C36" s="2" t="s">
        <v>24</v>
      </c>
      <c r="D36" s="2" t="s">
        <v>80</v>
      </c>
      <c r="E36" s="2" t="s">
        <v>37</v>
      </c>
      <c r="F36" s="808" cm="1">
        <f t="array" ref="F36">SUMPRODUCT((BOM!$A$2:$A$391=A36)*(BOM!$F$2:$F$391=E36)*BOM!$H$2:$H$391*BOM!$G$2:$G$391)/SUMPRODUCT((BOM!$A$2:$A$391=A36)*BOM!$H$2:$H$391*BOM!$G$2:$G$391)</f>
        <v>0.15200000000000002</v>
      </c>
      <c r="G36" s="2">
        <f>SUMIF(tblResinWeightedQty[Film],tblResinWeightedQty[[#This Row],[Film]],tblResinWeightedQty[Weighted QTY %])</f>
        <v>1.0000000000000002</v>
      </c>
    </row>
    <row r="37" spans="1:7">
      <c r="A37" s="2" t="s">
        <v>45</v>
      </c>
      <c r="B37" s="2" t="s">
        <v>16</v>
      </c>
      <c r="C37" s="2" t="s">
        <v>10</v>
      </c>
      <c r="D37" s="2" t="s">
        <v>81</v>
      </c>
      <c r="E37" s="2" t="s">
        <v>38</v>
      </c>
      <c r="F37" s="808" cm="1">
        <f t="array" ref="F37">SUMPRODUCT((BOM!$A$2:$A$391=A37)*(BOM!$F$2:$F$391=E37)*BOM!$H$2:$H$391*BOM!$G$2:$G$391)/SUMPRODUCT((BOM!$A$2:$A$391=A37)*BOM!$H$2:$H$391*BOM!$G$2:$G$391)</f>
        <v>1.5000000000000003E-2</v>
      </c>
      <c r="G37" s="2">
        <f>SUMIF(tblResinWeightedQty[Film],tblResinWeightedQty[[#This Row],[Film]],tblResinWeightedQty[Weighted QTY %])</f>
        <v>1.0000000000000002</v>
      </c>
    </row>
    <row r="38" spans="1:7">
      <c r="A38" s="2" t="s">
        <v>45</v>
      </c>
      <c r="B38" s="2" t="s">
        <v>17</v>
      </c>
      <c r="C38" s="2" t="s">
        <v>11</v>
      </c>
      <c r="D38" s="2" t="s">
        <v>82</v>
      </c>
      <c r="E38" s="2" t="s">
        <v>39</v>
      </c>
      <c r="F38" s="808" cm="1">
        <f t="array" ref="F38">SUMPRODUCT((BOM!$A$2:$A$391=A38)*(BOM!$F$2:$F$391=E38)*BOM!$H$2:$H$391*BOM!$G$2:$G$391)/SUMPRODUCT((BOM!$A$2:$A$391=A38)*BOM!$H$2:$H$391*BOM!$G$2:$G$391)</f>
        <v>4.000000000000001E-3</v>
      </c>
      <c r="G38" s="2">
        <f>SUMIF(tblResinWeightedQty[Film],tblResinWeightedQty[[#This Row],[Film]],tblResinWeightedQty[Weighted QTY %])</f>
        <v>1.0000000000000002</v>
      </c>
    </row>
    <row r="39" spans="1:7">
      <c r="A39" s="2" t="s">
        <v>45</v>
      </c>
      <c r="B39" s="2" t="s">
        <v>18</v>
      </c>
      <c r="C39" s="2" t="s">
        <v>9</v>
      </c>
      <c r="D39" s="2" t="s">
        <v>83</v>
      </c>
      <c r="E39" s="2" t="s">
        <v>40</v>
      </c>
      <c r="F39" s="808" cm="1">
        <f t="array" ref="F39">SUMPRODUCT((BOM!$A$2:$A$391=A39)*(BOM!$F$2:$F$391=E39)*BOM!$H$2:$H$391*BOM!$G$2:$G$391)/SUMPRODUCT((BOM!$A$2:$A$391=A39)*BOM!$H$2:$H$391*BOM!$G$2:$G$391)</f>
        <v>3.0000000000000005E-3</v>
      </c>
      <c r="G39" s="2">
        <f>SUMIF(tblResinWeightedQty[Film],tblResinWeightedQty[[#This Row],[Film]],tblResinWeightedQty[Weighted QTY %])</f>
        <v>1.0000000000000002</v>
      </c>
    </row>
    <row r="40" spans="1:7">
      <c r="A40" s="2" t="s">
        <v>45</v>
      </c>
      <c r="B40" s="2" t="s">
        <v>12</v>
      </c>
      <c r="C40" s="2" t="s">
        <v>8</v>
      </c>
      <c r="D40" s="2" t="s">
        <v>84</v>
      </c>
      <c r="E40" s="2" t="s">
        <v>42</v>
      </c>
      <c r="F40" s="808" cm="1">
        <f t="array" ref="F40">SUMPRODUCT((BOM!$A$2:$A$391=A40)*(BOM!$F$2:$F$391=E40)*BOM!$H$2:$H$391*BOM!$G$2:$G$391)/SUMPRODUCT((BOM!$A$2:$A$391=A40)*BOM!$H$2:$H$391*BOM!$G$2:$G$391)</f>
        <v>0.16160000000000005</v>
      </c>
      <c r="G40" s="2">
        <f>SUMIF(tblResinWeightedQty[Film],tblResinWeightedQty[[#This Row],[Film]],tblResinWeightedQty[Weighted QTY %])</f>
        <v>1.0000000000000002</v>
      </c>
    </row>
    <row r="41" spans="1:7">
      <c r="A41" s="2" t="s">
        <v>46</v>
      </c>
      <c r="B41" s="2" t="s">
        <v>41</v>
      </c>
      <c r="C41" s="2" t="s">
        <v>26</v>
      </c>
      <c r="D41" s="2" t="s">
        <v>26</v>
      </c>
      <c r="E41" s="2" t="s">
        <v>54</v>
      </c>
      <c r="F41" s="808" cm="1">
        <f t="array" ref="F41">SUMPRODUCT((BOM!$A$2:$A$391=A41)*(BOM!$F$2:$F$391=E41)*BOM!$H$2:$H$391*BOM!$G$2:$G$391)/SUMPRODUCT((BOM!$A$2:$A$391=A41)*BOM!$H$2:$H$391*BOM!$G$2:$G$391)</f>
        <v>6.0000000000000019E-2</v>
      </c>
      <c r="G41" s="2">
        <f>SUMIF(tblResinWeightedQty[Film],tblResinWeightedQty[[#This Row],[Film]],tblResinWeightedQty[Weighted QTY %])</f>
        <v>1.0000000000000002</v>
      </c>
    </row>
    <row r="42" spans="1:7">
      <c r="A42" s="2" t="s">
        <v>46</v>
      </c>
      <c r="B42" s="2" t="s">
        <v>13</v>
      </c>
      <c r="C42" s="2" t="s">
        <v>74</v>
      </c>
      <c r="D42" s="2" t="s">
        <v>75</v>
      </c>
      <c r="E42" s="2" t="s">
        <v>33</v>
      </c>
      <c r="F42" s="808" cm="1">
        <f t="array" ref="F42">SUMPRODUCT((BOM!$A$2:$A$391=A42)*(BOM!$F$2:$F$391=E42)*BOM!$H$2:$H$391*BOM!$G$2:$G$391)/SUMPRODUCT((BOM!$A$2:$A$391=A42)*BOM!$H$2:$H$391*BOM!$G$2:$G$391)</f>
        <v>0.61220000000000008</v>
      </c>
      <c r="G42" s="2">
        <f>SUMIF(tblResinWeightedQty[Film],tblResinWeightedQty[[#This Row],[Film]],tblResinWeightedQty[Weighted QTY %])</f>
        <v>1.0000000000000002</v>
      </c>
    </row>
    <row r="43" spans="1:7">
      <c r="A43" s="2" t="s">
        <v>46</v>
      </c>
      <c r="B43" s="2" t="s">
        <v>15</v>
      </c>
      <c r="C43" s="2" t="s">
        <v>24</v>
      </c>
      <c r="D43" s="2" t="s">
        <v>80</v>
      </c>
      <c r="E43" s="2" t="s">
        <v>37</v>
      </c>
      <c r="F43" s="808" cm="1">
        <f t="array" ref="F43">SUMPRODUCT((BOM!$A$2:$A$391=A43)*(BOM!$F$2:$F$391=E43)*BOM!$H$2:$H$391*BOM!$G$2:$G$391)/SUMPRODUCT((BOM!$A$2:$A$391=A43)*BOM!$H$2:$H$391*BOM!$G$2:$G$391)</f>
        <v>0.13720000000000002</v>
      </c>
      <c r="G43" s="2">
        <f>SUMIF(tblResinWeightedQty[Film],tblResinWeightedQty[[#This Row],[Film]],tblResinWeightedQty[Weighted QTY %])</f>
        <v>1.0000000000000002</v>
      </c>
    </row>
    <row r="44" spans="1:7">
      <c r="A44" s="2" t="s">
        <v>46</v>
      </c>
      <c r="B44" s="2" t="s">
        <v>16</v>
      </c>
      <c r="C44" s="2" t="s">
        <v>10</v>
      </c>
      <c r="D44" s="2" t="s">
        <v>81</v>
      </c>
      <c r="E44" s="2" t="s">
        <v>38</v>
      </c>
      <c r="F44" s="808" cm="1">
        <f t="array" ref="F44">SUMPRODUCT((BOM!$A$2:$A$391=A44)*(BOM!$F$2:$F$391=E44)*BOM!$H$2:$H$391*BOM!$G$2:$G$391)/SUMPRODUCT((BOM!$A$2:$A$391=A44)*BOM!$H$2:$H$391*BOM!$G$2:$G$391)</f>
        <v>1.5000000000000003E-2</v>
      </c>
      <c r="G44" s="2">
        <f>SUMIF(tblResinWeightedQty[Film],tblResinWeightedQty[[#This Row],[Film]],tblResinWeightedQty[Weighted QTY %])</f>
        <v>1.0000000000000002</v>
      </c>
    </row>
    <row r="45" spans="1:7">
      <c r="A45" s="2" t="s">
        <v>46</v>
      </c>
      <c r="B45" s="2" t="s">
        <v>17</v>
      </c>
      <c r="C45" s="2" t="s">
        <v>11</v>
      </c>
      <c r="D45" s="2" t="s">
        <v>82</v>
      </c>
      <c r="E45" s="2" t="s">
        <v>39</v>
      </c>
      <c r="F45" s="808" cm="1">
        <f t="array" ref="F45">SUMPRODUCT((BOM!$A$2:$A$391=A45)*(BOM!$F$2:$F$391=E45)*BOM!$H$2:$H$391*BOM!$G$2:$G$391)/SUMPRODUCT((BOM!$A$2:$A$391=A45)*BOM!$H$2:$H$391*BOM!$G$2:$G$391)</f>
        <v>8.0000000000000019E-3</v>
      </c>
      <c r="G45" s="2">
        <f>SUMIF(tblResinWeightedQty[Film],tblResinWeightedQty[[#This Row],[Film]],tblResinWeightedQty[Weighted QTY %])</f>
        <v>1.0000000000000002</v>
      </c>
    </row>
    <row r="46" spans="1:7">
      <c r="A46" s="2" t="s">
        <v>46</v>
      </c>
      <c r="B46" s="2" t="s">
        <v>18</v>
      </c>
      <c r="C46" s="2" t="s">
        <v>9</v>
      </c>
      <c r="D46" s="2" t="s">
        <v>83</v>
      </c>
      <c r="E46" s="2" t="s">
        <v>40</v>
      </c>
      <c r="F46" s="808" cm="1">
        <f t="array" ref="F46">SUMPRODUCT((BOM!$A$2:$A$391=A46)*(BOM!$F$2:$F$391=E46)*BOM!$H$2:$H$391*BOM!$G$2:$G$391)/SUMPRODUCT((BOM!$A$2:$A$391=A46)*BOM!$H$2:$H$391*BOM!$G$2:$G$391)</f>
        <v>6.000000000000001E-3</v>
      </c>
      <c r="G46" s="2">
        <f>SUMIF(tblResinWeightedQty[Film],tblResinWeightedQty[[#This Row],[Film]],tblResinWeightedQty[Weighted QTY %])</f>
        <v>1.0000000000000002</v>
      </c>
    </row>
    <row r="47" spans="1:7">
      <c r="A47" s="2" t="s">
        <v>46</v>
      </c>
      <c r="B47" s="2" t="s">
        <v>12</v>
      </c>
      <c r="C47" s="2" t="s">
        <v>8</v>
      </c>
      <c r="D47" s="2" t="s">
        <v>84</v>
      </c>
      <c r="E47" s="2" t="s">
        <v>42</v>
      </c>
      <c r="F47" s="808" cm="1">
        <f t="array" ref="F47">SUMPRODUCT((BOM!$A$2:$A$391=A47)*(BOM!$F$2:$F$391=E47)*BOM!$H$2:$H$391*BOM!$G$2:$G$391)/SUMPRODUCT((BOM!$A$2:$A$391=A47)*BOM!$H$2:$H$391*BOM!$G$2:$G$391)</f>
        <v>0.16160000000000005</v>
      </c>
      <c r="G47" s="2">
        <f>SUMIF(tblResinWeightedQty[Film],tblResinWeightedQty[[#This Row],[Film]],tblResinWeightedQty[Weighted QTY %])</f>
        <v>1.0000000000000002</v>
      </c>
    </row>
    <row r="48" spans="1:7">
      <c r="A48" s="2" t="s">
        <v>201</v>
      </c>
      <c r="B48" s="2" t="s">
        <v>13</v>
      </c>
      <c r="C48" s="2" t="s">
        <v>74</v>
      </c>
      <c r="D48" s="2" t="s">
        <v>75</v>
      </c>
      <c r="E48" s="2" t="s">
        <v>33</v>
      </c>
      <c r="F48" s="808" cm="1">
        <f t="array" ref="F48">SUMPRODUCT((BOM!$A$2:$A$391=A48)*(BOM!$F$2:$F$391=E48)*BOM!$H$2:$H$391*BOM!$G$2:$G$391)/SUMPRODUCT((BOM!$A$2:$A$391=A48)*BOM!$H$2:$H$391*BOM!$G$2:$G$391)</f>
        <v>0.18740000000000004</v>
      </c>
      <c r="G48" s="2">
        <f>SUMIF(tblResinWeightedQty[Film],tblResinWeightedQty[[#This Row],[Film]],tblResinWeightedQty[Weighted QTY %])</f>
        <v>1.0000000000000002</v>
      </c>
    </row>
    <row r="49" spans="1:7">
      <c r="A49" s="2" t="s">
        <v>201</v>
      </c>
      <c r="B49" s="2" t="s">
        <v>14</v>
      </c>
      <c r="C49" s="2" t="s">
        <v>23</v>
      </c>
      <c r="D49" s="2" t="s">
        <v>77</v>
      </c>
      <c r="E49" s="2" t="s">
        <v>35</v>
      </c>
      <c r="F49" s="808" cm="1">
        <f t="array" ref="F49">SUMPRODUCT((BOM!$A$2:$A$391=A49)*(BOM!$F$2:$F$391=E49)*BOM!$H$2:$H$391*BOM!$G$2:$G$391)/SUMPRODUCT((BOM!$A$2:$A$391=A49)*BOM!$H$2:$H$391*BOM!$G$2:$G$391)</f>
        <v>0.59100000000000008</v>
      </c>
      <c r="G49" s="2">
        <f>SUMIF(tblResinWeightedQty[Film],tblResinWeightedQty[[#This Row],[Film]],tblResinWeightedQty[Weighted QTY %])</f>
        <v>1.0000000000000002</v>
      </c>
    </row>
    <row r="50" spans="1:7">
      <c r="A50" s="2" t="s">
        <v>201</v>
      </c>
      <c r="B50" s="2" t="s">
        <v>15</v>
      </c>
      <c r="C50" s="2" t="s">
        <v>24</v>
      </c>
      <c r="D50" s="2" t="s">
        <v>80</v>
      </c>
      <c r="E50" s="2" t="s">
        <v>37</v>
      </c>
      <c r="F50" s="808" cm="1">
        <f t="array" ref="F50">SUMPRODUCT((BOM!$A$2:$A$391=A50)*(BOM!$F$2:$F$391=E50)*BOM!$H$2:$H$391*BOM!$G$2:$G$391)/SUMPRODUCT((BOM!$A$2:$A$391=A50)*BOM!$H$2:$H$391*BOM!$G$2:$G$391)</f>
        <v>3.8000000000000006E-2</v>
      </c>
      <c r="G50" s="2">
        <f>SUMIF(tblResinWeightedQty[Film],tblResinWeightedQty[[#This Row],[Film]],tblResinWeightedQty[Weighted QTY %])</f>
        <v>1.0000000000000002</v>
      </c>
    </row>
    <row r="51" spans="1:7">
      <c r="A51" s="2" t="s">
        <v>201</v>
      </c>
      <c r="B51" s="2" t="s">
        <v>16</v>
      </c>
      <c r="C51" s="2" t="s">
        <v>10</v>
      </c>
      <c r="D51" s="2" t="s">
        <v>81</v>
      </c>
      <c r="E51" s="2" t="s">
        <v>38</v>
      </c>
      <c r="F51" s="808" cm="1">
        <f t="array" ref="F51">SUMPRODUCT((BOM!$A$2:$A$391=A51)*(BOM!$F$2:$F$391=E51)*BOM!$H$2:$H$391*BOM!$G$2:$G$391)/SUMPRODUCT((BOM!$A$2:$A$391=A51)*BOM!$H$2:$H$391*BOM!$G$2:$G$391)</f>
        <v>1.5000000000000003E-2</v>
      </c>
      <c r="G51" s="2">
        <f>SUMIF(tblResinWeightedQty[Film],tblResinWeightedQty[[#This Row],[Film]],tblResinWeightedQty[Weighted QTY %])</f>
        <v>1.0000000000000002</v>
      </c>
    </row>
    <row r="52" spans="1:7">
      <c r="A52" s="2" t="s">
        <v>201</v>
      </c>
      <c r="B52" s="2" t="s">
        <v>17</v>
      </c>
      <c r="C52" s="2" t="s">
        <v>11</v>
      </c>
      <c r="D52" s="2" t="s">
        <v>82</v>
      </c>
      <c r="E52" s="2" t="s">
        <v>39</v>
      </c>
      <c r="F52" s="808" cm="1">
        <f t="array" ref="F52">SUMPRODUCT((BOM!$A$2:$A$391=A52)*(BOM!$F$2:$F$391=E52)*BOM!$H$2:$H$391*BOM!$G$2:$G$391)/SUMPRODUCT((BOM!$A$2:$A$391=A52)*BOM!$H$2:$H$391*BOM!$G$2:$G$391)</f>
        <v>4.6000000000000008E-3</v>
      </c>
      <c r="G52" s="2">
        <f>SUMIF(tblResinWeightedQty[Film],tblResinWeightedQty[[#This Row],[Film]],tblResinWeightedQty[Weighted QTY %])</f>
        <v>1.0000000000000002</v>
      </c>
    </row>
    <row r="53" spans="1:7">
      <c r="A53" s="2" t="s">
        <v>201</v>
      </c>
      <c r="B53" s="2" t="s">
        <v>18</v>
      </c>
      <c r="C53" s="2" t="s">
        <v>9</v>
      </c>
      <c r="D53" s="2" t="s">
        <v>83</v>
      </c>
      <c r="E53" s="2" t="s">
        <v>40</v>
      </c>
      <c r="F53" s="808" cm="1">
        <f t="array" ref="F53">SUMPRODUCT((BOM!$A$2:$A$391=A53)*(BOM!$F$2:$F$391=E53)*BOM!$H$2:$H$391*BOM!$G$2:$G$391)/SUMPRODUCT((BOM!$A$2:$A$391=A53)*BOM!$H$2:$H$391*BOM!$G$2:$G$391)</f>
        <v>3.0000000000000005E-3</v>
      </c>
      <c r="G53" s="2">
        <f>SUMIF(tblResinWeightedQty[Film],tblResinWeightedQty[[#This Row],[Film]],tblResinWeightedQty[Weighted QTY %])</f>
        <v>1.0000000000000002</v>
      </c>
    </row>
    <row r="54" spans="1:7">
      <c r="A54" s="2" t="s">
        <v>201</v>
      </c>
      <c r="B54" s="2" t="s">
        <v>12</v>
      </c>
      <c r="C54" s="2" t="s">
        <v>8</v>
      </c>
      <c r="D54" s="2" t="s">
        <v>84</v>
      </c>
      <c r="E54" s="2" t="s">
        <v>42</v>
      </c>
      <c r="F54" s="808" cm="1">
        <f t="array" ref="F54">SUMPRODUCT((BOM!$A$2:$A$391=A54)*(BOM!$F$2:$F$391=E54)*BOM!$H$2:$H$391*BOM!$G$2:$G$391)/SUMPRODUCT((BOM!$A$2:$A$391=A54)*BOM!$H$2:$H$391*BOM!$G$2:$G$391)</f>
        <v>0.16100000000000003</v>
      </c>
      <c r="G54" s="2">
        <f>SUMIF(tblResinWeightedQty[Film],tblResinWeightedQty[[#This Row],[Film]],tblResinWeightedQty[Weighted QTY %])</f>
        <v>1.0000000000000002</v>
      </c>
    </row>
    <row r="55" spans="1:7">
      <c r="A55" s="2" t="s">
        <v>52</v>
      </c>
      <c r="B55" s="2" t="s">
        <v>41</v>
      </c>
      <c r="C55" s="2" t="s">
        <v>26</v>
      </c>
      <c r="D55" s="2" t="s">
        <v>26</v>
      </c>
      <c r="E55" s="2" t="s">
        <v>54</v>
      </c>
      <c r="F55" s="808" cm="1">
        <f t="array" ref="F55">SUMPRODUCT((BOM!$A$2:$A$391=A55)*(BOM!$F$2:$F$391=E55)*BOM!$H$2:$H$391*BOM!$G$2:$G$391)/SUMPRODUCT((BOM!$A$2:$A$391=A55)*BOM!$H$2:$H$391*BOM!$G$2:$G$391)</f>
        <v>6.0000000000000019E-2</v>
      </c>
      <c r="G55" s="2">
        <f>SUMIF(tblResinWeightedQty[Film],tblResinWeightedQty[[#This Row],[Film]],tblResinWeightedQty[Weighted QTY %])</f>
        <v>1.0000000000000004</v>
      </c>
    </row>
    <row r="56" spans="1:7">
      <c r="A56" s="2" t="s">
        <v>52</v>
      </c>
      <c r="B56" s="2" t="s">
        <v>13</v>
      </c>
      <c r="C56" s="2" t="s">
        <v>74</v>
      </c>
      <c r="D56" s="2" t="s">
        <v>75</v>
      </c>
      <c r="E56" s="2" t="s">
        <v>33</v>
      </c>
      <c r="F56" s="808" cm="1">
        <f t="array" ref="F56">SUMPRODUCT((BOM!$A$2:$A$391=A56)*(BOM!$F$2:$F$391=E56)*BOM!$H$2:$H$391*BOM!$G$2:$G$391)/SUMPRODUCT((BOM!$A$2:$A$391=A56)*BOM!$H$2:$H$391*BOM!$G$2:$G$391)</f>
        <v>0.18740000000000004</v>
      </c>
      <c r="G56" s="2">
        <f>SUMIF(tblResinWeightedQty[Film],tblResinWeightedQty[[#This Row],[Film]],tblResinWeightedQty[Weighted QTY %])</f>
        <v>1.0000000000000004</v>
      </c>
    </row>
    <row r="57" spans="1:7">
      <c r="A57" s="2" t="s">
        <v>52</v>
      </c>
      <c r="B57" s="2" t="s">
        <v>14</v>
      </c>
      <c r="C57" s="2" t="s">
        <v>23</v>
      </c>
      <c r="D57" s="2" t="s">
        <v>77</v>
      </c>
      <c r="E57" s="2" t="s">
        <v>35</v>
      </c>
      <c r="F57" s="808" cm="1">
        <f t="array" ref="F57">SUMPRODUCT((BOM!$A$2:$A$391=A57)*(BOM!$F$2:$F$391=E57)*BOM!$H$2:$H$391*BOM!$G$2:$G$391)/SUMPRODUCT((BOM!$A$2:$A$391=A57)*BOM!$H$2:$H$391*BOM!$G$2:$G$391)</f>
        <v>0.53100000000000014</v>
      </c>
      <c r="G57" s="2">
        <f>SUMIF(tblResinWeightedQty[Film],tblResinWeightedQty[[#This Row],[Film]],tblResinWeightedQty[Weighted QTY %])</f>
        <v>1.0000000000000004</v>
      </c>
    </row>
    <row r="58" spans="1:7">
      <c r="A58" s="2" t="s">
        <v>52</v>
      </c>
      <c r="B58" s="2" t="s">
        <v>15</v>
      </c>
      <c r="C58" s="2" t="s">
        <v>24</v>
      </c>
      <c r="D58" s="2" t="s">
        <v>80</v>
      </c>
      <c r="E58" s="2" t="s">
        <v>37</v>
      </c>
      <c r="F58" s="808" cm="1">
        <f t="array" ref="F58">SUMPRODUCT((BOM!$A$2:$A$391=A58)*(BOM!$F$2:$F$391=E58)*BOM!$H$2:$H$391*BOM!$G$2:$G$391)/SUMPRODUCT((BOM!$A$2:$A$391=A58)*BOM!$H$2:$H$391*BOM!$G$2:$G$391)</f>
        <v>3.8000000000000006E-2</v>
      </c>
      <c r="G58" s="2">
        <f>SUMIF(tblResinWeightedQty[Film],tblResinWeightedQty[[#This Row],[Film]],tblResinWeightedQty[Weighted QTY %])</f>
        <v>1.0000000000000004</v>
      </c>
    </row>
    <row r="59" spans="1:7">
      <c r="A59" s="2" t="s">
        <v>52</v>
      </c>
      <c r="B59" s="2" t="s">
        <v>16</v>
      </c>
      <c r="C59" s="2" t="s">
        <v>10</v>
      </c>
      <c r="D59" s="2" t="s">
        <v>81</v>
      </c>
      <c r="E59" s="2" t="s">
        <v>38</v>
      </c>
      <c r="F59" s="808" cm="1">
        <f t="array" ref="F59">SUMPRODUCT((BOM!$A$2:$A$391=A59)*(BOM!$F$2:$F$391=E59)*BOM!$H$2:$H$391*BOM!$G$2:$G$391)/SUMPRODUCT((BOM!$A$2:$A$391=A59)*BOM!$H$2:$H$391*BOM!$G$2:$G$391)</f>
        <v>1.5000000000000003E-2</v>
      </c>
      <c r="G59" s="2">
        <f>SUMIF(tblResinWeightedQty[Film],tblResinWeightedQty[[#This Row],[Film]],tblResinWeightedQty[Weighted QTY %])</f>
        <v>1.0000000000000004</v>
      </c>
    </row>
    <row r="60" spans="1:7">
      <c r="A60" s="2" t="s">
        <v>52</v>
      </c>
      <c r="B60" s="2" t="s">
        <v>17</v>
      </c>
      <c r="C60" s="2" t="s">
        <v>11</v>
      </c>
      <c r="D60" s="2" t="s">
        <v>82</v>
      </c>
      <c r="E60" s="2" t="s">
        <v>39</v>
      </c>
      <c r="F60" s="808" cm="1">
        <f t="array" ref="F60">SUMPRODUCT((BOM!$A$2:$A$391=A60)*(BOM!$F$2:$F$391=E60)*BOM!$H$2:$H$391*BOM!$G$2:$G$391)/SUMPRODUCT((BOM!$A$2:$A$391=A60)*BOM!$H$2:$H$391*BOM!$G$2:$G$391)</f>
        <v>4.6000000000000008E-3</v>
      </c>
      <c r="G60" s="2">
        <f>SUMIF(tblResinWeightedQty[Film],tblResinWeightedQty[[#This Row],[Film]],tblResinWeightedQty[Weighted QTY %])</f>
        <v>1.0000000000000004</v>
      </c>
    </row>
    <row r="61" spans="1:7">
      <c r="A61" s="2" t="s">
        <v>52</v>
      </c>
      <c r="B61" s="2" t="s">
        <v>18</v>
      </c>
      <c r="C61" s="2" t="s">
        <v>9</v>
      </c>
      <c r="D61" s="2" t="s">
        <v>83</v>
      </c>
      <c r="E61" s="2" t="s">
        <v>40</v>
      </c>
      <c r="F61" s="808" cm="1">
        <f t="array" ref="F61">SUMPRODUCT((BOM!$A$2:$A$391=A61)*(BOM!$F$2:$F$391=E61)*BOM!$H$2:$H$391*BOM!$G$2:$G$391)/SUMPRODUCT((BOM!$A$2:$A$391=A61)*BOM!$H$2:$H$391*BOM!$G$2:$G$391)</f>
        <v>3.0000000000000005E-3</v>
      </c>
      <c r="G61" s="2">
        <f>SUMIF(tblResinWeightedQty[Film],tblResinWeightedQty[[#This Row],[Film]],tblResinWeightedQty[Weighted QTY %])</f>
        <v>1.0000000000000004</v>
      </c>
    </row>
    <row r="62" spans="1:7">
      <c r="A62" s="2" t="s">
        <v>52</v>
      </c>
      <c r="B62" s="2" t="s">
        <v>12</v>
      </c>
      <c r="C62" s="2" t="s">
        <v>8</v>
      </c>
      <c r="D62" s="2" t="s">
        <v>84</v>
      </c>
      <c r="E62" s="2" t="s">
        <v>42</v>
      </c>
      <c r="F62" s="808" cm="1">
        <f t="array" ref="F62">SUMPRODUCT((BOM!$A$2:$A$391=A62)*(BOM!$F$2:$F$391=E62)*BOM!$H$2:$H$391*BOM!$G$2:$G$391)/SUMPRODUCT((BOM!$A$2:$A$391=A62)*BOM!$H$2:$H$391*BOM!$G$2:$G$391)</f>
        <v>0.16100000000000003</v>
      </c>
      <c r="G62" s="2">
        <f>SUMIF(tblResinWeightedQty[Film],tblResinWeightedQty[[#This Row],[Film]],tblResinWeightedQty[Weighted QTY %])</f>
        <v>1.0000000000000004</v>
      </c>
    </row>
  </sheetData>
  <mergeCells count="2">
    <mergeCell ref="A1:F1"/>
    <mergeCell ref="A2:F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vt:i4>
      </vt:variant>
    </vt:vector>
  </HeadingPairs>
  <TitlesOfParts>
    <vt:vector size="19" baseType="lpstr">
      <vt:lpstr>Sheet1</vt:lpstr>
      <vt:lpstr>Laminated bags - Sales</vt:lpstr>
      <vt:lpstr>Laminate for Bags  - Sales</vt:lpstr>
      <vt:lpstr>Laminate for reels  - Sales (2)</vt:lpstr>
      <vt:lpstr>Step by Step</vt:lpstr>
      <vt:lpstr>BOM</vt:lpstr>
      <vt:lpstr>Film Pricing</vt:lpstr>
      <vt:lpstr>Laminates</vt:lpstr>
      <vt:lpstr>Pouches</vt:lpstr>
      <vt:lpstr>HELPER</vt:lpstr>
      <vt:lpstr>Bags Calculator</vt:lpstr>
      <vt:lpstr>copilot</vt:lpstr>
      <vt:lpstr>Matan &amp; Hagit 2</vt:lpstr>
      <vt:lpstr>Lmntn &amp; Prntng- Marma &amp; Bastin </vt:lpstr>
      <vt:lpstr>Converting- Marma &amp; Bastin </vt:lpstr>
      <vt:lpstr>list TIPA &amp; B4P</vt:lpstr>
      <vt:lpstr>Laminates step by step</vt:lpstr>
      <vt:lpstr>BOM Resin Weighted QTY %</vt:lpstr>
      <vt:lpstr>ShippingRoutes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Chervets</dc:creator>
  <cp:lastModifiedBy>Michael Chervets</cp:lastModifiedBy>
  <cp:lastPrinted>2026-08-03T14:29:29Z</cp:lastPrinted>
  <dcterms:created xsi:type="dcterms:W3CDTF">2026-05-31T12:15:57Z</dcterms:created>
  <dcterms:modified xsi:type="dcterms:W3CDTF">2026-08-10T14:57:33Z</dcterms:modified>
</cp:coreProperties>
</file>