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.lyons\Documents\Home\Sabres\"/>
    </mc:Choice>
  </mc:AlternateContent>
  <bookViews>
    <workbookView xWindow="0" yWindow="0" windowWidth="28800" windowHeight="12435" activeTab="3"/>
  </bookViews>
  <sheets>
    <sheet name="Instructions" sheetId="5" r:id="rId1"/>
    <sheet name="Standings" sheetId="1" r:id="rId2"/>
    <sheet name="Schedule" sheetId="2" r:id="rId3"/>
    <sheet name="Scorecard" sheetId="3" r:id="rId4"/>
    <sheet name="LatestStandings" sheetId="4" r:id="rId5"/>
  </sheets>
  <definedNames>
    <definedName name="_xlnm._FilterDatabase" localSheetId="3" hidden="1">Scorecard!$A$1:$C$50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4" l="1"/>
  <c r="F37" i="4"/>
  <c r="F38" i="4" l="1"/>
  <c r="M172" i="2"/>
  <c r="Q31" i="4"/>
  <c r="T31" i="4" s="1"/>
  <c r="R31" i="4"/>
  <c r="S31" i="4"/>
  <c r="U31" i="4"/>
  <c r="Q32" i="4"/>
  <c r="T32" i="4" s="1"/>
  <c r="R32" i="4"/>
  <c r="S32" i="4"/>
  <c r="U32" i="4"/>
  <c r="Q33" i="4"/>
  <c r="T33" i="4" s="1"/>
  <c r="R33" i="4"/>
  <c r="S33" i="4"/>
  <c r="U33" i="4"/>
  <c r="Q34" i="4"/>
  <c r="T34" i="4" s="1"/>
  <c r="R34" i="4"/>
  <c r="S34" i="4"/>
  <c r="U34" i="4"/>
  <c r="Q35" i="4"/>
  <c r="T35" i="4" s="1"/>
  <c r="R35" i="4"/>
  <c r="S35" i="4"/>
  <c r="U35" i="4"/>
  <c r="K172" i="2" l="1"/>
  <c r="U30" i="4" l="1"/>
  <c r="S30" i="4"/>
  <c r="R30" i="4"/>
  <c r="Q30" i="4"/>
  <c r="T30" i="4" s="1"/>
  <c r="U29" i="4"/>
  <c r="S29" i="4"/>
  <c r="R29" i="4"/>
  <c r="Q29" i="4"/>
  <c r="T29" i="4" s="1"/>
  <c r="U28" i="4"/>
  <c r="S28" i="4"/>
  <c r="R28" i="4"/>
  <c r="Q28" i="4"/>
  <c r="T28" i="4" s="1"/>
  <c r="U27" i="4"/>
  <c r="S27" i="4"/>
  <c r="R27" i="4"/>
  <c r="Q27" i="4"/>
  <c r="T27" i="4" s="1"/>
  <c r="U26" i="4"/>
  <c r="S26" i="4"/>
  <c r="R26" i="4"/>
  <c r="Q26" i="4"/>
  <c r="T26" i="4" s="1"/>
  <c r="U25" i="4"/>
  <c r="S25" i="4"/>
  <c r="R25" i="4"/>
  <c r="Q25" i="4"/>
  <c r="T25" i="4" s="1"/>
  <c r="U24" i="4"/>
  <c r="S24" i="4"/>
  <c r="R24" i="4"/>
  <c r="Q24" i="4"/>
  <c r="T24" i="4" s="1"/>
  <c r="U23" i="4"/>
  <c r="S23" i="4"/>
  <c r="R23" i="4"/>
  <c r="Q23" i="4"/>
  <c r="T23" i="4" s="1"/>
  <c r="U22" i="4"/>
  <c r="S22" i="4"/>
  <c r="R22" i="4"/>
  <c r="Q22" i="4"/>
  <c r="T22" i="4" s="1"/>
  <c r="U21" i="4"/>
  <c r="S21" i="4"/>
  <c r="R21" i="4"/>
  <c r="Q21" i="4"/>
  <c r="T21" i="4" s="1"/>
  <c r="U20" i="4"/>
  <c r="S20" i="4"/>
  <c r="R20" i="4"/>
  <c r="Q20" i="4"/>
  <c r="T20" i="4" s="1"/>
  <c r="U19" i="4"/>
  <c r="S19" i="4"/>
  <c r="R19" i="4"/>
  <c r="Q19" i="4"/>
  <c r="T19" i="4" s="1"/>
  <c r="U18" i="4"/>
  <c r="S18" i="4"/>
  <c r="R18" i="4"/>
  <c r="Q18" i="4"/>
  <c r="T18" i="4" s="1"/>
  <c r="U17" i="4"/>
  <c r="S17" i="4"/>
  <c r="R17" i="4"/>
  <c r="Q17" i="4"/>
  <c r="T17" i="4" s="1"/>
  <c r="U16" i="4"/>
  <c r="S16" i="4"/>
  <c r="R16" i="4"/>
  <c r="Q16" i="4"/>
  <c r="T16" i="4" s="1"/>
  <c r="U15" i="4"/>
  <c r="S15" i="4"/>
  <c r="R15" i="4"/>
  <c r="Q15" i="4"/>
  <c r="T15" i="4" s="1"/>
  <c r="U14" i="4"/>
  <c r="S14" i="4"/>
  <c r="R14" i="4"/>
  <c r="Q14" i="4"/>
  <c r="T14" i="4" s="1"/>
  <c r="U13" i="4"/>
  <c r="S13" i="4"/>
  <c r="R13" i="4"/>
  <c r="Q13" i="4"/>
  <c r="T13" i="4" s="1"/>
  <c r="U12" i="4"/>
  <c r="S12" i="4"/>
  <c r="R12" i="4"/>
  <c r="Q12" i="4"/>
  <c r="T12" i="4" s="1"/>
  <c r="U11" i="4"/>
  <c r="S11" i="4"/>
  <c r="R11" i="4"/>
  <c r="Q11" i="4"/>
  <c r="T11" i="4" s="1"/>
  <c r="U10" i="4"/>
  <c r="S10" i="4"/>
  <c r="R10" i="4"/>
  <c r="Q10" i="4"/>
  <c r="T10" i="4" s="1"/>
  <c r="U9" i="4"/>
  <c r="S9" i="4"/>
  <c r="R9" i="4"/>
  <c r="Q9" i="4"/>
  <c r="T9" i="4" s="1"/>
  <c r="U8" i="4"/>
  <c r="S8" i="4"/>
  <c r="R8" i="4"/>
  <c r="Q8" i="4"/>
  <c r="T8" i="4" s="1"/>
  <c r="U7" i="4"/>
  <c r="S7" i="4"/>
  <c r="R7" i="4"/>
  <c r="Q7" i="4"/>
  <c r="T7" i="4" s="1"/>
  <c r="U6" i="4"/>
  <c r="S6" i="4"/>
  <c r="R6" i="4"/>
  <c r="Q6" i="4"/>
  <c r="T6" i="4" s="1"/>
  <c r="U5" i="4"/>
  <c r="S5" i="4"/>
  <c r="R5" i="4"/>
  <c r="Q5" i="4"/>
  <c r="T5" i="4" s="1"/>
  <c r="U4" i="4"/>
  <c r="S4" i="4"/>
  <c r="R4" i="4"/>
  <c r="Q4" i="4"/>
  <c r="T4" i="4" s="1"/>
  <c r="U3" i="4"/>
  <c r="S3" i="4"/>
  <c r="R3" i="4"/>
  <c r="Q3" i="4"/>
  <c r="T3" i="4" s="1"/>
  <c r="U2" i="4"/>
  <c r="S2" i="4"/>
  <c r="R2" i="4"/>
  <c r="Q2" i="4"/>
  <c r="T2" i="4" s="1"/>
  <c r="T37" i="4" l="1"/>
  <c r="E5" i="3"/>
  <c r="E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4" i="3"/>
  <c r="E3" i="3"/>
  <c r="L76" i="2"/>
  <c r="L78" i="2"/>
  <c r="L80" i="2"/>
  <c r="L82" i="2"/>
  <c r="L84" i="2"/>
  <c r="L86" i="2"/>
  <c r="L88" i="2"/>
  <c r="L90" i="2"/>
  <c r="L92" i="2"/>
  <c r="L94" i="2"/>
  <c r="L96" i="2"/>
  <c r="L98" i="2"/>
  <c r="L100" i="2"/>
  <c r="L102" i="2"/>
  <c r="L104" i="2"/>
  <c r="L106" i="2"/>
  <c r="L108" i="2"/>
  <c r="L110" i="2"/>
  <c r="L112" i="2"/>
  <c r="L114" i="2"/>
  <c r="L116" i="2"/>
  <c r="L118" i="2"/>
  <c r="L120" i="2"/>
  <c r="L122" i="2"/>
  <c r="L124" i="2"/>
  <c r="L126" i="2"/>
  <c r="L128" i="2"/>
  <c r="L130" i="2"/>
  <c r="L132" i="2"/>
  <c r="L134" i="2"/>
  <c r="L136" i="2"/>
  <c r="L138" i="2"/>
  <c r="L140" i="2"/>
  <c r="L142" i="2"/>
  <c r="L144" i="2"/>
  <c r="L146" i="2"/>
  <c r="L148" i="2"/>
  <c r="L150" i="2"/>
  <c r="L152" i="2"/>
  <c r="L154" i="2"/>
  <c r="L156" i="2"/>
  <c r="L158" i="2"/>
  <c r="L160" i="2"/>
  <c r="L162" i="2"/>
  <c r="L164" i="2"/>
  <c r="L166" i="2"/>
  <c r="L168" i="2"/>
  <c r="L74" i="2"/>
  <c r="K170" i="2"/>
  <c r="K76" i="2"/>
  <c r="K78" i="2"/>
  <c r="K80" i="2"/>
  <c r="K82" i="2"/>
  <c r="K84" i="2"/>
  <c r="K86" i="2"/>
  <c r="K88" i="2"/>
  <c r="K90" i="2"/>
  <c r="K92" i="2"/>
  <c r="K94" i="2"/>
  <c r="K96" i="2"/>
  <c r="K98" i="2"/>
  <c r="K100" i="2"/>
  <c r="K102" i="2"/>
  <c r="K104" i="2"/>
  <c r="K106" i="2"/>
  <c r="K108" i="2"/>
  <c r="K110" i="2"/>
  <c r="K112" i="2"/>
  <c r="K114" i="2"/>
  <c r="K116" i="2"/>
  <c r="K118" i="2"/>
  <c r="K120" i="2"/>
  <c r="K122" i="2"/>
  <c r="K124" i="2"/>
  <c r="K126" i="2"/>
  <c r="K128" i="2"/>
  <c r="K130" i="2"/>
  <c r="K132" i="2"/>
  <c r="K134" i="2"/>
  <c r="K136" i="2"/>
  <c r="K138" i="2"/>
  <c r="K140" i="2"/>
  <c r="K142" i="2"/>
  <c r="K144" i="2"/>
  <c r="K146" i="2"/>
  <c r="K148" i="2"/>
  <c r="K150" i="2"/>
  <c r="K152" i="2"/>
  <c r="K154" i="2"/>
  <c r="K156" i="2"/>
  <c r="K158" i="2"/>
  <c r="K160" i="2"/>
  <c r="K162" i="2"/>
  <c r="K164" i="2"/>
  <c r="K166" i="2"/>
  <c r="K168" i="2"/>
  <c r="K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73" i="2"/>
  <c r="J74" i="2"/>
  <c r="T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T33" i="1"/>
  <c r="F33" i="1"/>
  <c r="F32" i="1"/>
  <c r="B32" i="1"/>
  <c r="T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R32" i="1"/>
  <c r="S32" i="1"/>
  <c r="Q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T38" i="4" l="1"/>
  <c r="T39" i="4"/>
  <c r="L170" i="2"/>
  <c r="W35" i="4" l="1"/>
  <c r="W33" i="4"/>
  <c r="W31" i="4"/>
  <c r="W34" i="4"/>
  <c r="W32" i="4"/>
  <c r="W3" i="4"/>
  <c r="W5" i="4"/>
  <c r="W7" i="4"/>
  <c r="W9" i="4"/>
  <c r="W11" i="4"/>
  <c r="W13" i="4"/>
  <c r="W15" i="4"/>
  <c r="W17" i="4"/>
  <c r="W19" i="4"/>
  <c r="W21" i="4"/>
  <c r="W23" i="4"/>
  <c r="W25" i="4"/>
  <c r="W27" i="4"/>
  <c r="W29" i="4"/>
  <c r="W4" i="4"/>
  <c r="W8" i="4"/>
  <c r="W10" i="4"/>
  <c r="W12" i="4"/>
  <c r="W16" i="4"/>
  <c r="W18" i="4"/>
  <c r="W22" i="4"/>
  <c r="W24" i="4"/>
  <c r="W28" i="4"/>
  <c r="W30" i="4"/>
  <c r="W2" i="4"/>
  <c r="W6" i="4"/>
  <c r="W14" i="4"/>
  <c r="W20" i="4"/>
  <c r="W26" i="4"/>
  <c r="V35" i="4"/>
  <c r="M128" i="2" s="1"/>
  <c r="V31" i="4"/>
  <c r="V32" i="4"/>
  <c r="V34" i="4"/>
  <c r="M146" i="2" s="1"/>
  <c r="V33" i="4"/>
  <c r="V2" i="4"/>
  <c r="V6" i="4"/>
  <c r="M166" i="2" s="1"/>
  <c r="V14" i="4"/>
  <c r="V20" i="4"/>
  <c r="V26" i="4"/>
  <c r="V5" i="4"/>
  <c r="V9" i="4"/>
  <c r="M168" i="2" s="1"/>
  <c r="V13" i="4"/>
  <c r="V17" i="4"/>
  <c r="M108" i="2" s="1"/>
  <c r="V21" i="4"/>
  <c r="V23" i="4"/>
  <c r="V27" i="4"/>
  <c r="V4" i="4"/>
  <c r="V8" i="4"/>
  <c r="V10" i="4"/>
  <c r="V12" i="4"/>
  <c r="V16" i="4"/>
  <c r="V18" i="4"/>
  <c r="V22" i="4"/>
  <c r="V24" i="4"/>
  <c r="V28" i="4"/>
  <c r="V30" i="4"/>
  <c r="V3" i="4"/>
  <c r="V7" i="4"/>
  <c r="V11" i="4"/>
  <c r="V15" i="4"/>
  <c r="V19" i="4"/>
  <c r="V25" i="4"/>
  <c r="V29" i="4"/>
  <c r="M148" i="2"/>
  <c r="M150" i="2"/>
  <c r="M126" i="2"/>
  <c r="M136" i="2"/>
  <c r="M118" i="2"/>
  <c r="M114" i="2"/>
  <c r="M102" i="2"/>
  <c r="M140" i="2"/>
  <c r="M158" i="2"/>
  <c r="M156" i="2"/>
  <c r="M132" i="2"/>
  <c r="M120" i="2"/>
  <c r="M110" i="2"/>
  <c r="M116" i="2"/>
  <c r="H49" i="3"/>
  <c r="H40" i="3"/>
  <c r="H17" i="3"/>
  <c r="H26" i="3"/>
  <c r="H36" i="3"/>
  <c r="H34" i="3"/>
  <c r="H23" i="3"/>
  <c r="H20" i="3"/>
  <c r="H44" i="3"/>
  <c r="H39" i="3"/>
  <c r="H25" i="3"/>
  <c r="H21" i="3"/>
  <c r="H41" i="3"/>
  <c r="H30" i="3"/>
  <c r="H29" i="3"/>
  <c r="H32" i="3"/>
  <c r="H24" i="3"/>
  <c r="H45" i="3"/>
  <c r="H50" i="3"/>
  <c r="M100" i="2" l="1"/>
  <c r="M144" i="2"/>
  <c r="M142" i="2"/>
  <c r="M130" i="2"/>
  <c r="M164" i="2"/>
  <c r="M160" i="2"/>
  <c r="M112" i="2"/>
  <c r="M122" i="2"/>
  <c r="M124" i="2"/>
  <c r="M104" i="2"/>
  <c r="M106" i="2"/>
  <c r="M134" i="2"/>
  <c r="M152" i="2"/>
  <c r="M138" i="2"/>
  <c r="M154" i="2"/>
  <c r="M162" i="2"/>
  <c r="H16" i="3"/>
  <c r="H38" i="3"/>
  <c r="H31" i="3"/>
  <c r="H28" i="3"/>
  <c r="H43" i="3"/>
  <c r="H33" i="3"/>
  <c r="H18" i="3"/>
  <c r="H35" i="3"/>
  <c r="H37" i="3"/>
  <c r="H27" i="3"/>
  <c r="H22" i="3"/>
  <c r="H47" i="3"/>
  <c r="H19" i="3"/>
  <c r="H48" i="3"/>
  <c r="H46" i="3"/>
  <c r="H42" i="3"/>
  <c r="M170" i="2" l="1"/>
  <c r="N140" i="2" l="1"/>
  <c r="N108" i="2"/>
  <c r="N162" i="2"/>
  <c r="N130" i="2"/>
  <c r="N152" i="2"/>
  <c r="N120" i="2"/>
  <c r="N142" i="2"/>
  <c r="N110" i="2"/>
  <c r="N116" i="2"/>
  <c r="N150" i="2"/>
  <c r="N164" i="2"/>
  <c r="N132" i="2"/>
  <c r="N100" i="2"/>
  <c r="N154" i="2"/>
  <c r="N122" i="2"/>
  <c r="N144" i="2"/>
  <c r="N112" i="2"/>
  <c r="N166" i="2"/>
  <c r="N134" i="2"/>
  <c r="N102" i="2"/>
  <c r="N118" i="2"/>
  <c r="N156" i="2"/>
  <c r="N124" i="2"/>
  <c r="N146" i="2"/>
  <c r="N114" i="2"/>
  <c r="N168" i="2"/>
  <c r="N136" i="2"/>
  <c r="N104" i="2"/>
  <c r="N158" i="2"/>
  <c r="N126" i="2"/>
  <c r="N148" i="2"/>
  <c r="N138" i="2"/>
  <c r="N106" i="2"/>
  <c r="N160" i="2"/>
  <c r="N128" i="2"/>
  <c r="I48" i="3"/>
  <c r="I17" i="3"/>
  <c r="I20" i="3"/>
  <c r="I36" i="3"/>
  <c r="I25" i="3"/>
  <c r="I42" i="3"/>
  <c r="I23" i="3"/>
  <c r="I44" i="3"/>
  <c r="I27" i="3"/>
  <c r="I28" i="3"/>
  <c r="I34" i="3"/>
  <c r="I45" i="3"/>
  <c r="I19" i="3"/>
  <c r="I22" i="3"/>
  <c r="I37" i="3"/>
  <c r="I18" i="3"/>
  <c r="I39" i="3"/>
  <c r="I49" i="3"/>
  <c r="I16" i="3"/>
  <c r="I35" i="3"/>
  <c r="I38" i="3"/>
  <c r="I33" i="3"/>
  <c r="I40" i="3"/>
  <c r="I26" i="3"/>
  <c r="I30" i="3"/>
  <c r="I31" i="3"/>
  <c r="I47" i="3"/>
  <c r="I46" i="3"/>
  <c r="I50" i="3"/>
  <c r="I24" i="3"/>
  <c r="I41" i="3"/>
  <c r="I29" i="3"/>
  <c r="I43" i="3"/>
  <c r="I21" i="3"/>
  <c r="I32" i="3"/>
  <c r="J32" i="3" l="1"/>
  <c r="J21" i="3"/>
  <c r="J43" i="3"/>
  <c r="J29" i="3"/>
  <c r="J41" i="3"/>
  <c r="J24" i="3"/>
  <c r="J50" i="3"/>
  <c r="J46" i="3"/>
  <c r="J47" i="3"/>
  <c r="J31" i="3"/>
  <c r="J30" i="3"/>
  <c r="J26" i="3"/>
  <c r="J40" i="3"/>
  <c r="J33" i="3"/>
  <c r="J38" i="3"/>
  <c r="J35" i="3"/>
  <c r="J49" i="3"/>
  <c r="J39" i="3"/>
  <c r="J18" i="3"/>
  <c r="J37" i="3"/>
  <c r="J22" i="3"/>
  <c r="J19" i="3"/>
  <c r="J45" i="3"/>
  <c r="J34" i="3"/>
  <c r="J28" i="3"/>
  <c r="J27" i="3"/>
  <c r="J44" i="3"/>
  <c r="J23" i="3"/>
  <c r="J42" i="3"/>
  <c r="J25" i="3"/>
  <c r="J36" i="3"/>
  <c r="J20" i="3"/>
  <c r="J17" i="3"/>
  <c r="J48" i="3"/>
  <c r="J16" i="3"/>
  <c r="N170" i="2"/>
  <c r="G16" i="3" l="1"/>
  <c r="G17" i="3" l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F16" i="3"/>
</calcChain>
</file>

<file path=xl/sharedStrings.xml><?xml version="1.0" encoding="utf-8"?>
<sst xmlns="http://schemas.openxmlformats.org/spreadsheetml/2006/main" count="1141" uniqueCount="522">
  <si>
    <t>ATLANTIC</t>
  </si>
  <si>
    <t>GP</t>
  </si>
  <si>
    <t>W</t>
  </si>
  <si>
    <t>L</t>
  </si>
  <si>
    <t>OTL</t>
  </si>
  <si>
    <t>PTS</t>
  </si>
  <si>
    <t>ROW</t>
  </si>
  <si>
    <t>SOW</t>
  </si>
  <si>
    <t>SOL</t>
  </si>
  <si>
    <t>HOME</t>
  </si>
  <si>
    <t>ROAD</t>
  </si>
  <si>
    <t>GF</t>
  </si>
  <si>
    <t>GA</t>
  </si>
  <si>
    <t>DIFF</t>
  </si>
  <si>
    <t>L10</t>
  </si>
  <si>
    <t>STRK</t>
  </si>
  <si>
    <t>Montreal</t>
  </si>
  <si>
    <t>15-3-2</t>
  </si>
  <si>
    <t>Lost 2</t>
  </si>
  <si>
    <t>Ottawa</t>
  </si>
  <si>
    <t>Lost 1</t>
  </si>
  <si>
    <t>Boston</t>
  </si>
  <si>
    <t>Tampa Bay</t>
  </si>
  <si>
    <t>Florida</t>
  </si>
  <si>
    <t>Toronto</t>
  </si>
  <si>
    <t>Won 2</t>
  </si>
  <si>
    <t>Buffalo</t>
  </si>
  <si>
    <t>Won 1</t>
  </si>
  <si>
    <t>Detroit</t>
  </si>
  <si>
    <t>Columbus</t>
  </si>
  <si>
    <t>14-3-1</t>
  </si>
  <si>
    <t>10-0-0</t>
  </si>
  <si>
    <t>Won 13</t>
  </si>
  <si>
    <t>Pittsburgh</t>
  </si>
  <si>
    <t>15-2-2</t>
  </si>
  <si>
    <t>NY Rangers</t>
  </si>
  <si>
    <t>13-6-1</t>
  </si>
  <si>
    <t>Washington</t>
  </si>
  <si>
    <t>Philadelphia</t>
  </si>
  <si>
    <t>Carolina</t>
  </si>
  <si>
    <t>Won 3</t>
  </si>
  <si>
    <t>NY Islanders</t>
  </si>
  <si>
    <t>New Jersey</t>
  </si>
  <si>
    <t>Chicago</t>
  </si>
  <si>
    <t>13-4-4</t>
  </si>
  <si>
    <t>Lost 3</t>
  </si>
  <si>
    <t>Minnesota</t>
  </si>
  <si>
    <t>Won 11</t>
  </si>
  <si>
    <t>St. Louis</t>
  </si>
  <si>
    <t>13-2-4</t>
  </si>
  <si>
    <t>Dallas</t>
  </si>
  <si>
    <t>Winnipeg</t>
  </si>
  <si>
    <t>Nashville</t>
  </si>
  <si>
    <t>Colorado</t>
  </si>
  <si>
    <t>San Jose</t>
  </si>
  <si>
    <t>Edmonton</t>
  </si>
  <si>
    <t>Anaheim</t>
  </si>
  <si>
    <t>Calgary</t>
  </si>
  <si>
    <t>Los Angeles</t>
  </si>
  <si>
    <t>Vancouver</t>
  </si>
  <si>
    <t>Arizona</t>
  </si>
  <si>
    <t>Lost 5</t>
  </si>
  <si>
    <t>6-6-2</t>
  </si>
  <si>
    <t>11-5-3</t>
  </si>
  <si>
    <t>9-7-0</t>
  </si>
  <si>
    <t>8-9-0</t>
  </si>
  <si>
    <t>10-6-4</t>
  </si>
  <si>
    <t>9-5-1</t>
  </si>
  <si>
    <t>8-10-2</t>
  </si>
  <si>
    <t>9-6-1</t>
  </si>
  <si>
    <t>6-8-5</t>
  </si>
  <si>
    <t>9-6-2</t>
  </si>
  <si>
    <t>5-6-5</t>
  </si>
  <si>
    <t>7-7-3</t>
  </si>
  <si>
    <t>6-6-5</t>
  </si>
  <si>
    <t>7-10-3</t>
  </si>
  <si>
    <t>8-6-1</t>
  </si>
  <si>
    <t>10-2-3</t>
  </si>
  <si>
    <t>8-6-3</t>
  </si>
  <si>
    <t>11-6-0</t>
  </si>
  <si>
    <t>12-5-0</t>
  </si>
  <si>
    <t>8-4-4</t>
  </si>
  <si>
    <t>12-5-3</t>
  </si>
  <si>
    <t>8-7-1</t>
  </si>
  <si>
    <t>10-3-1</t>
  </si>
  <si>
    <t>5-8-6</t>
  </si>
  <si>
    <t>11-7-4</t>
  </si>
  <si>
    <t>3-7-2</t>
  </si>
  <si>
    <t>9-3-2</t>
  </si>
  <si>
    <t>4-12-5</t>
  </si>
  <si>
    <t>12-3-0</t>
  </si>
  <si>
    <t>10-5-4</t>
  </si>
  <si>
    <t>5-10-1</t>
  </si>
  <si>
    <t>10-5-3</t>
  </si>
  <si>
    <t>5-9-4</t>
  </si>
  <si>
    <t>10-6-1</t>
  </si>
  <si>
    <t>7-11-2</t>
  </si>
  <si>
    <t>10-4-4</t>
  </si>
  <si>
    <t>5-9-2</t>
  </si>
  <si>
    <t>4-12-1</t>
  </si>
  <si>
    <t>12-4-0</t>
  </si>
  <si>
    <t>10-8-1</t>
  </si>
  <si>
    <t>10-5-5</t>
  </si>
  <si>
    <t>10-4-2</t>
  </si>
  <si>
    <t>7-8-5</t>
  </si>
  <si>
    <t>11-7-2</t>
  </si>
  <si>
    <t>10-4-1</t>
  </si>
  <si>
    <t>7-9-3</t>
  </si>
  <si>
    <t>10-6-2</t>
  </si>
  <si>
    <t>6-9-2</t>
  </si>
  <si>
    <t>5-10-3</t>
  </si>
  <si>
    <t>Home W</t>
  </si>
  <si>
    <t>Home L</t>
  </si>
  <si>
    <t>Pts</t>
  </si>
  <si>
    <t>Home OTL</t>
  </si>
  <si>
    <t>Road PPG</t>
  </si>
  <si>
    <t>Home PPG</t>
  </si>
  <si>
    <t>Overall PPG</t>
  </si>
  <si>
    <t>Away PPG</t>
  </si>
  <si>
    <t>Playoff PPG</t>
  </si>
  <si>
    <t>OCTOBER</t>
  </si>
  <si>
    <t>OPPONENT</t>
  </si>
  <si>
    <t>RESULT</t>
  </si>
  <si>
    <t>W-L-OL</t>
  </si>
  <si>
    <t>GOALIE</t>
  </si>
  <si>
    <t>TOP PERFORMER</t>
  </si>
  <si>
    <t>SF-SA</t>
  </si>
  <si>
    <t>PP</t>
  </si>
  <si>
    <t>PK</t>
  </si>
  <si>
    <t>Thu, Oct 13</t>
  </si>
  <si>
    <t>vs</t>
  </si>
  <si>
    <t>0-1-0</t>
  </si>
  <si>
    <t>Lehner</t>
  </si>
  <si>
    <t>Moulson, G: 1, A: 0</t>
  </si>
  <si>
    <t>31-24</t>
  </si>
  <si>
    <t>Sun, Oct 16</t>
  </si>
  <si>
    <t>@</t>
  </si>
  <si>
    <t>O'Reilly, G: 2, A: 2</t>
  </si>
  <si>
    <t>24-33</t>
  </si>
  <si>
    <t>Tue, Oct 18</t>
  </si>
  <si>
    <t>4-3 OT</t>
  </si>
  <si>
    <t>O'Reilly, G: 1, A: 0</t>
  </si>
  <si>
    <t>21-34</t>
  </si>
  <si>
    <t>Thu, Oct 20</t>
  </si>
  <si>
    <t>Okposo, G: 0, A: 0</t>
  </si>
  <si>
    <t>27-20</t>
  </si>
  <si>
    <t>0-5</t>
  </si>
  <si>
    <t>Tue, Oct 25</t>
  </si>
  <si>
    <t>4-3 SO</t>
  </si>
  <si>
    <t>Nilsson</t>
  </si>
  <si>
    <t>Moulson, G: 2, A: 0</t>
  </si>
  <si>
    <t>25-41</t>
  </si>
  <si>
    <t>Thu, Oct 27</t>
  </si>
  <si>
    <t>Ennis, G: 0, A: 0</t>
  </si>
  <si>
    <t>38-22</t>
  </si>
  <si>
    <t>0-2</t>
  </si>
  <si>
    <t>Sat, Oct 29</t>
  </si>
  <si>
    <t>Nilsson, SV%: 1.00</t>
  </si>
  <si>
    <t>25-33</t>
  </si>
  <si>
    <t>Sun, Oct 30</t>
  </si>
  <si>
    <t>Lehner, SV%: 0.97</t>
  </si>
  <si>
    <t>28-38</t>
  </si>
  <si>
    <t>0-1</t>
  </si>
  <si>
    <t>NOVEMBER</t>
  </si>
  <si>
    <t>Tue, Nov 1</t>
  </si>
  <si>
    <t>Lehner, SV%: 0.96</t>
  </si>
  <si>
    <t>24-28</t>
  </si>
  <si>
    <t>Thu, Nov 3</t>
  </si>
  <si>
    <t>Lehner, SV%: 0.93</t>
  </si>
  <si>
    <t>43-29</t>
  </si>
  <si>
    <t>0-0</t>
  </si>
  <si>
    <t>Sat, Nov 5</t>
  </si>
  <si>
    <t>32-33</t>
  </si>
  <si>
    <t>Mon, Nov 7</t>
  </si>
  <si>
    <t>Lehner, SV%: 0.91</t>
  </si>
  <si>
    <t>32-42</t>
  </si>
  <si>
    <t>0-3</t>
  </si>
  <si>
    <t>Wed, Nov 9</t>
  </si>
  <si>
    <t>2-1 SO</t>
  </si>
  <si>
    <t>32-29</t>
  </si>
  <si>
    <t>Fri, Nov 11</t>
  </si>
  <si>
    <t>2-1 OT</t>
  </si>
  <si>
    <t>Nilsson, SV%: 0.95</t>
  </si>
  <si>
    <t>26-43</t>
  </si>
  <si>
    <t>Sat, Nov 12</t>
  </si>
  <si>
    <t>Grant, G: 0, A: 1</t>
  </si>
  <si>
    <t>23-27</t>
  </si>
  <si>
    <t>Tue, Nov 15</t>
  </si>
  <si>
    <t>Okposo, G: 0, A: 1</t>
  </si>
  <si>
    <t>24-31</t>
  </si>
  <si>
    <t>Thu, Nov 17</t>
  </si>
  <si>
    <t>Franson, G: 1, A: 0</t>
  </si>
  <si>
    <t>33-38</t>
  </si>
  <si>
    <t>Sat, Nov 19</t>
  </si>
  <si>
    <t>Nilsson, SV%: 0.98</t>
  </si>
  <si>
    <t>33-47</t>
  </si>
  <si>
    <t>0-4</t>
  </si>
  <si>
    <t>Mon, Nov 21</t>
  </si>
  <si>
    <t>Lehner, SV%: 0.94</t>
  </si>
  <si>
    <t>32-31</t>
  </si>
  <si>
    <t>Wed, Nov 23</t>
  </si>
  <si>
    <t>33-24</t>
  </si>
  <si>
    <t>Fri, Nov 25</t>
  </si>
  <si>
    <t>Reinhart, G: 1, A: 0</t>
  </si>
  <si>
    <t>33-32</t>
  </si>
  <si>
    <t>Tue, Nov 29</t>
  </si>
  <si>
    <t>O'Reilly, G: 2, A: 1</t>
  </si>
  <si>
    <t>28-35</t>
  </si>
  <si>
    <t>DECEMBER</t>
  </si>
  <si>
    <t>Thu, Dec 1</t>
  </si>
  <si>
    <t>Eichel, G: 2, A: 0</t>
  </si>
  <si>
    <t>34-25</t>
  </si>
  <si>
    <t>Sat, Dec 3</t>
  </si>
  <si>
    <t>36-33</t>
  </si>
  <si>
    <t>Mon, Dec 5</t>
  </si>
  <si>
    <t>3-2 OT</t>
  </si>
  <si>
    <t>O'Reilly, G: 0, A: 1</t>
  </si>
  <si>
    <t>33-33</t>
  </si>
  <si>
    <t>Tue, Dec 6</t>
  </si>
  <si>
    <t>Ristolainen, G:1, A:2</t>
  </si>
  <si>
    <t>26-37</t>
  </si>
  <si>
    <t>Fri, Dec 9</t>
  </si>
  <si>
    <t>Ristolainen, G:0, A:1</t>
  </si>
  <si>
    <t>28-29</t>
  </si>
  <si>
    <t>Tue, Dec 13</t>
  </si>
  <si>
    <t>Eichel, G: 2, A: 1</t>
  </si>
  <si>
    <t>26-33</t>
  </si>
  <si>
    <t>Fri, Dec 16</t>
  </si>
  <si>
    <t>37-35</t>
  </si>
  <si>
    <t>Sat, Dec 17</t>
  </si>
  <si>
    <t>Nilsson, SV%: 0.96</t>
  </si>
  <si>
    <t>24-22</t>
  </si>
  <si>
    <t>Tue, Dec 20</t>
  </si>
  <si>
    <t>Reinhart, G: 1, A: 1</t>
  </si>
  <si>
    <t>36-39</t>
  </si>
  <si>
    <t>Thu, Dec 22</t>
  </si>
  <si>
    <t>23-34</t>
  </si>
  <si>
    <t>Fri, Dec 23</t>
  </si>
  <si>
    <t>Girgensons, G: 1, A: 0</t>
  </si>
  <si>
    <t>29-32</t>
  </si>
  <si>
    <t>Tue, Dec 27</t>
  </si>
  <si>
    <t>13-13-8</t>
  </si>
  <si>
    <t>22-43</t>
  </si>
  <si>
    <t>TIME (ET)</t>
  </si>
  <si>
    <t>TV</t>
  </si>
  <si>
    <t>LOCAL TV</t>
  </si>
  <si>
    <t>TICKETS</t>
  </si>
  <si>
    <t>Thu, Dec 29</t>
  </si>
  <si>
    <t>MSGB</t>
  </si>
  <si>
    <t>191 available from $77</t>
  </si>
  <si>
    <t>Sat, Dec 31</t>
  </si>
  <si>
    <t>211 available from $181</t>
  </si>
  <si>
    <t>Tue, Jan 3</t>
  </si>
  <si>
    <t>NBCSN</t>
  </si>
  <si>
    <t>766 available from $120</t>
  </si>
  <si>
    <t>Thu, Jan 5</t>
  </si>
  <si>
    <t>1,343 available from $63</t>
  </si>
  <si>
    <t>Sat, Jan 7</t>
  </si>
  <si>
    <t>980 available from $45</t>
  </si>
  <si>
    <t>Tue, Jan 10</t>
  </si>
  <si>
    <t>1,860 available from $33</t>
  </si>
  <si>
    <t>Thu, Jan 12</t>
  </si>
  <si>
    <t>686 available from $32</t>
  </si>
  <si>
    <t>Fri, Jan 13</t>
  </si>
  <si>
    <t>1,168 available from $24</t>
  </si>
  <si>
    <t>Mon, Jan 16</t>
  </si>
  <si>
    <t>2,228 available from $25</t>
  </si>
  <si>
    <t>Tue, Jan 17</t>
  </si>
  <si>
    <t>488 available from $71</t>
  </si>
  <si>
    <t>Fri, Jan 20</t>
  </si>
  <si>
    <t>1,843 available from $42</t>
  </si>
  <si>
    <t>Sat, Jan 21</t>
  </si>
  <si>
    <t>819 available from $47</t>
  </si>
  <si>
    <t>Tue, Jan 24</t>
  </si>
  <si>
    <t>TVA</t>
  </si>
  <si>
    <t>560 available from $35</t>
  </si>
  <si>
    <t>Thu, Jan 26</t>
  </si>
  <si>
    <t>649 available from $26</t>
  </si>
  <si>
    <t>Tue, Jan 31</t>
  </si>
  <si>
    <t>1,524 available from $38</t>
  </si>
  <si>
    <t>Thu, Feb 2</t>
  </si>
  <si>
    <t>2,247 available from $30</t>
  </si>
  <si>
    <t>Sat, Feb 4</t>
  </si>
  <si>
    <t>1,820 available from $38</t>
  </si>
  <si>
    <t>Mon, Feb 6</t>
  </si>
  <si>
    <t>1,038 available from $35</t>
  </si>
  <si>
    <t>Tue, Feb 7</t>
  </si>
  <si>
    <t>2,677 available from $24</t>
  </si>
  <si>
    <t>Thu, Feb 9</t>
  </si>
  <si>
    <t>2,807 available from $25</t>
  </si>
  <si>
    <t>Sat, Feb 11</t>
  </si>
  <si>
    <t>833 available from $99</t>
  </si>
  <si>
    <t>Sun, Feb 12</t>
  </si>
  <si>
    <t>2,763 available from $25</t>
  </si>
  <si>
    <t>Tue, Feb 14</t>
  </si>
  <si>
    <t>963 available from $25</t>
  </si>
  <si>
    <t>Thu, Feb 16</t>
  </si>
  <si>
    <t>2,885 available from $20</t>
  </si>
  <si>
    <t>Sat, Feb 18</t>
  </si>
  <si>
    <t>2,100 available from $38</t>
  </si>
  <si>
    <t>Sun, Feb 19</t>
  </si>
  <si>
    <t>1,788 available from $58</t>
  </si>
  <si>
    <t>Sat, Feb 25</t>
  </si>
  <si>
    <t>675 available from $30</t>
  </si>
  <si>
    <t>Sun, Feb 26</t>
  </si>
  <si>
    <t>2,237 available from $25</t>
  </si>
  <si>
    <t>Tue, Feb 28</t>
  </si>
  <si>
    <t>2,980 available from $21</t>
  </si>
  <si>
    <t>Thu, Mar 2</t>
  </si>
  <si>
    <t>2,981 available from $20</t>
  </si>
  <si>
    <t>Sat, Mar 4</t>
  </si>
  <si>
    <t>2,313 available from $34</t>
  </si>
  <si>
    <t>Sun, Mar 5</t>
  </si>
  <si>
    <t>1,470 available from $62</t>
  </si>
  <si>
    <t>Tue, Mar 7</t>
  </si>
  <si>
    <t>2,813 available from $20</t>
  </si>
  <si>
    <t>Fri, Mar 10</t>
  </si>
  <si>
    <t>776 available from $27</t>
  </si>
  <si>
    <t>Sat, Mar 11</t>
  </si>
  <si>
    <t>2,521 available from $28</t>
  </si>
  <si>
    <t>Tue, Mar 14</t>
  </si>
  <si>
    <t>1,250 available from $29</t>
  </si>
  <si>
    <t>Thu, Mar 16</t>
  </si>
  <si>
    <t>2,977 available from $30</t>
  </si>
  <si>
    <t>Fri, Mar 17</t>
  </si>
  <si>
    <t>874 available from $29</t>
  </si>
  <si>
    <t>Mon, Mar 20</t>
  </si>
  <si>
    <t>3,245 available from $34</t>
  </si>
  <si>
    <t>Tue, Mar 21</t>
  </si>
  <si>
    <t>2,302 available from $41</t>
  </si>
  <si>
    <t>Sat, Mar 25</t>
  </si>
  <si>
    <t>1,885 available from $77</t>
  </si>
  <si>
    <t>Mon, Mar 27</t>
  </si>
  <si>
    <t>2,907 available from $17</t>
  </si>
  <si>
    <t>Tue, Mar 28</t>
  </si>
  <si>
    <t>833 available from $19</t>
  </si>
  <si>
    <t>Sun, Apr 2</t>
  </si>
  <si>
    <t>2,579 available from $29</t>
  </si>
  <si>
    <t>Mon, Apr 3</t>
  </si>
  <si>
    <t>2,884 available from $40</t>
  </si>
  <si>
    <t>Wed, Apr 5</t>
  </si>
  <si>
    <t>TSN</t>
  </si>
  <si>
    <t>2,023 available from $38</t>
  </si>
  <si>
    <t>Sat, Apr 8</t>
  </si>
  <si>
    <t>1,341 available from $22</t>
  </si>
  <si>
    <t>Sun, Apr 9</t>
  </si>
  <si>
    <t>1,030 available from $35</t>
  </si>
  <si>
    <t>1-5</t>
  </si>
  <si>
    <t>2-2</t>
  </si>
  <si>
    <t>2-6</t>
  </si>
  <si>
    <t>1-1</t>
  </si>
  <si>
    <t>6-6</t>
  </si>
  <si>
    <t>4-5</t>
  </si>
  <si>
    <t>2-4</t>
  </si>
  <si>
    <t>1-4</t>
  </si>
  <si>
    <t>4-4</t>
  </si>
  <si>
    <t>3-4</t>
  </si>
  <si>
    <t>5-8</t>
  </si>
  <si>
    <t>3-3</t>
  </si>
  <si>
    <t>1-2</t>
  </si>
  <si>
    <t>5-5</t>
  </si>
  <si>
    <t>1-3</t>
  </si>
  <si>
    <t>3-7</t>
  </si>
  <si>
    <t>3-5</t>
  </si>
  <si>
    <t>2-3</t>
  </si>
  <si>
    <t>4-1</t>
  </si>
  <si>
    <t>6-2</t>
  </si>
  <si>
    <t>1-1-0</t>
  </si>
  <si>
    <t>1-1-1</t>
  </si>
  <si>
    <t>2-1</t>
  </si>
  <si>
    <t>1-2-1</t>
  </si>
  <si>
    <t>1-2-2</t>
  </si>
  <si>
    <t>4-0</t>
  </si>
  <si>
    <t>1-3-2</t>
  </si>
  <si>
    <t>3-0</t>
  </si>
  <si>
    <t>2-3-2</t>
  </si>
  <si>
    <t>3-1</t>
  </si>
  <si>
    <t>3-3-2</t>
  </si>
  <si>
    <t>4-3-2</t>
  </si>
  <si>
    <t>4-4-2</t>
  </si>
  <si>
    <t>5-4-2</t>
  </si>
  <si>
    <t>5-5-2</t>
  </si>
  <si>
    <t>5-5-3</t>
  </si>
  <si>
    <t>5-5-4</t>
  </si>
  <si>
    <t>4-2</t>
  </si>
  <si>
    <t>5-6-4</t>
  </si>
  <si>
    <t>5-7-4</t>
  </si>
  <si>
    <t>5-8-4</t>
  </si>
  <si>
    <t>6-8-4</t>
  </si>
  <si>
    <t>7-8-4</t>
  </si>
  <si>
    <t>7-9-5</t>
  </si>
  <si>
    <t>5-4</t>
  </si>
  <si>
    <t>8-9-5</t>
  </si>
  <si>
    <t>4-3</t>
  </si>
  <si>
    <t>9-9-5</t>
  </si>
  <si>
    <t>9-10-5</t>
  </si>
  <si>
    <t>9-10-6</t>
  </si>
  <si>
    <t>10-10-6</t>
  </si>
  <si>
    <t>10-11-6</t>
  </si>
  <si>
    <t>6-3</t>
  </si>
  <si>
    <t>11-11-6</t>
  </si>
  <si>
    <t>12-11-6</t>
  </si>
  <si>
    <t>12-11-7</t>
  </si>
  <si>
    <t>12-11-8</t>
  </si>
  <si>
    <t>12-12-8</t>
  </si>
  <si>
    <t>5-1</t>
  </si>
  <si>
    <t>12-13-8</t>
  </si>
  <si>
    <t>7:00 PM</t>
  </si>
  <si>
    <t>1:00 PM</t>
  </si>
  <si>
    <t>8:30 PM</t>
  </si>
  <si>
    <t>7:30 PM</t>
  </si>
  <si>
    <t>8:00 PM</t>
  </si>
  <si>
    <t>6:00 PM</t>
  </si>
  <si>
    <t>10:00 PM</t>
  </si>
  <si>
    <t>5:00 PM</t>
  </si>
  <si>
    <t>10:30 PM</t>
  </si>
  <si>
    <t>3:00 PM</t>
  </si>
  <si>
    <t>Average</t>
  </si>
  <si>
    <t>Needed</t>
  </si>
  <si>
    <t>Factor</t>
  </si>
  <si>
    <t>Opponent</t>
  </si>
  <si>
    <t>Strength</t>
  </si>
  <si>
    <t>Pts Needed</t>
  </si>
  <si>
    <t>Game #</t>
  </si>
  <si>
    <t>Actual</t>
  </si>
  <si>
    <t>Lost 4</t>
  </si>
  <si>
    <t>6-4-0</t>
  </si>
  <si>
    <t>5-4-1</t>
  </si>
  <si>
    <t>4-5-1</t>
  </si>
  <si>
    <t>5-5-0</t>
  </si>
  <si>
    <t>6-3-1</t>
  </si>
  <si>
    <t>Orig Strength</t>
  </si>
  <si>
    <t>Orig Need</t>
  </si>
  <si>
    <t>Cur Strength</t>
  </si>
  <si>
    <t>Cur Need</t>
  </si>
  <si>
    <t>Revised</t>
  </si>
  <si>
    <t>Cur Str</t>
  </si>
  <si>
    <t>Copy latest standings from ESPN to the LatestStandings sheet (paste special values to avoid records switching to dates)</t>
  </si>
  <si>
    <t>10-6-6</t>
  </si>
  <si>
    <t>11-9-3</t>
  </si>
  <si>
    <t>12-8-2</t>
  </si>
  <si>
    <t>3-6-1</t>
  </si>
  <si>
    <t>10-9-3</t>
  </si>
  <si>
    <t>METROPOLITAN</t>
  </si>
  <si>
    <t>18-5-1</t>
  </si>
  <si>
    <t>6-9-4</t>
  </si>
  <si>
    <t>Western Conference</t>
  </si>
  <si>
    <t>CENTRAL</t>
  </si>
  <si>
    <t>PACIFIC</t>
  </si>
  <si>
    <t>Update Schedule sheet, deleting Cur Strength and Cur Need values for games already played</t>
  </si>
  <si>
    <t>Adjust the Factor in Column M of the schedule sheet, until the Average value in Column N matches the needed value in Column M</t>
  </si>
  <si>
    <t>Update Scorecard sheet, putting proper points  in following any games that have been played and setting actual = revised for the next game</t>
  </si>
  <si>
    <t>9-12-3</t>
  </si>
  <si>
    <t>3-5-2</t>
  </si>
  <si>
    <t>7-2-1</t>
  </si>
  <si>
    <t>9-14-3</t>
  </si>
  <si>
    <t>Totals</t>
  </si>
  <si>
    <t>PPG</t>
  </si>
  <si>
    <t>Home</t>
  </si>
  <si>
    <t>Away</t>
  </si>
  <si>
    <t>16-5-3</t>
  </si>
  <si>
    <t>12-8-4</t>
  </si>
  <si>
    <t>13-7-5</t>
  </si>
  <si>
    <t>12-8-0</t>
  </si>
  <si>
    <t>13-9-6</t>
  </si>
  <si>
    <t>11-8-3</t>
  </si>
  <si>
    <t>6-2-2</t>
  </si>
  <si>
    <t>10-10-4</t>
  </si>
  <si>
    <t>7-3-0</t>
  </si>
  <si>
    <t>17-7-0</t>
  </si>
  <si>
    <t>14-7-3</t>
  </si>
  <si>
    <t>15-5-1</t>
  </si>
  <si>
    <t>10-12-6</t>
  </si>
  <si>
    <t>5-2-3</t>
  </si>
  <si>
    <t>16-6-0</t>
  </si>
  <si>
    <t>12-9-1</t>
  </si>
  <si>
    <t>11-12-2</t>
  </si>
  <si>
    <t>16-7-4</t>
  </si>
  <si>
    <t>4-6-0</t>
  </si>
  <si>
    <t>7-13-4</t>
  </si>
  <si>
    <t>8-13-1</t>
  </si>
  <si>
    <t>1-8-1</t>
  </si>
  <si>
    <t>17-6-1</t>
  </si>
  <si>
    <t>13-8-3</t>
  </si>
  <si>
    <t>13-13-0</t>
  </si>
  <si>
    <t>17-6-3</t>
  </si>
  <si>
    <t>5-14-3</t>
  </si>
  <si>
    <t>14-8-1</t>
  </si>
  <si>
    <t>5-15-4</t>
  </si>
  <si>
    <t>17-5-3</t>
  </si>
  <si>
    <t>14-7-5</t>
  </si>
  <si>
    <t>11-12-0</t>
  </si>
  <si>
    <t>12-8-3</t>
  </si>
  <si>
    <t>9-10-7</t>
  </si>
  <si>
    <t>10-9-5</t>
  </si>
  <si>
    <t>4-2-4</t>
  </si>
  <si>
    <t>10-14-3</t>
  </si>
  <si>
    <t>19-5-1</t>
  </si>
  <si>
    <t>13-5-5</t>
  </si>
  <si>
    <t>8-1-1</t>
  </si>
  <si>
    <t>14-6-3</t>
  </si>
  <si>
    <t>20-3-2</t>
  </si>
  <si>
    <t>14-9-1</t>
  </si>
  <si>
    <t>14-8-5</t>
  </si>
  <si>
    <t>6-14-6</t>
  </si>
  <si>
    <t>10-8-3</t>
  </si>
  <si>
    <t>15-5-5</t>
  </si>
  <si>
    <t>18-6-4</t>
  </si>
  <si>
    <t>12-5-6</t>
  </si>
  <si>
    <t>8-12-1</t>
  </si>
  <si>
    <t>12-7-6</t>
  </si>
  <si>
    <t>13-11-1</t>
  </si>
  <si>
    <t>5-17-1</t>
  </si>
  <si>
    <t>Lost 6</t>
  </si>
  <si>
    <t>14-10-1</t>
  </si>
  <si>
    <t>8-2-0</t>
  </si>
  <si>
    <t>Won 6</t>
  </si>
  <si>
    <t>11-9-6</t>
  </si>
  <si>
    <t>11-11-3</t>
  </si>
  <si>
    <t>9-13-3</t>
  </si>
  <si>
    <t>10-11-2</t>
  </si>
  <si>
    <t>Original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</si>
</sst>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 Sabres Path</a:t>
            </a:r>
            <a:r>
              <a:rPr lang="en-US" baseline="0"/>
              <a:t> to the Playoffs</a:t>
            </a:r>
          </a:p>
          <a:p>
            <a:pPr>
              <a:defRPr/>
            </a:pPr>
            <a:r>
              <a:rPr lang="en-US" sz="1000" baseline="0"/>
              <a:t>(adjusted by Opponent and Home/Away)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Scorecard!$E$1</c:f>
              <c:strCache>
                <c:ptCount val="1"/>
                <c:pt idx="0">
                  <c:v>Original Path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Scorecard!$D$2:$D$50</c:f>
              <c:numCache>
                <c:formatCode>_(* #,##0_);_(* \(#,##0\);_(* "-"??_);_(@_)</c:formatCode>
                <c:ptCount val="4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</c:numCache>
            </c:numRef>
          </c:xVal>
          <c:yVal>
            <c:numRef>
              <c:f>Scorecard!$E$2:$E$50</c:f>
              <c:numCache>
                <c:formatCode>_(* #,##0.0_);_(* \(#,##0.0\);_(* "-"??_);_(@_)</c:formatCode>
                <c:ptCount val="49"/>
                <c:pt idx="0">
                  <c:v>34</c:v>
                </c:pt>
                <c:pt idx="1">
                  <c:v>35.45694791482854</c:v>
                </c:pt>
                <c:pt idx="2">
                  <c:v>36.586736866746477</c:v>
                </c:pt>
                <c:pt idx="3">
                  <c:v>37.509013562189693</c:v>
                </c:pt>
                <c:pt idx="4">
                  <c:v>38.431290257632909</c:v>
                </c:pt>
                <c:pt idx="5">
                  <c:v>40.006369084474571</c:v>
                </c:pt>
                <c:pt idx="6">
                  <c:v>41.295069942799572</c:v>
                </c:pt>
                <c:pt idx="7">
                  <c:v>42.450442136141511</c:v>
                </c:pt>
                <c:pt idx="8">
                  <c:v>43.539793061292485</c:v>
                </c:pt>
                <c:pt idx="9">
                  <c:v>45.072302190111401</c:v>
                </c:pt>
                <c:pt idx="10">
                  <c:v>46.223901739556716</c:v>
                </c:pt>
                <c:pt idx="11">
                  <c:v>47.845306414246664</c:v>
                </c:pt>
                <c:pt idx="12">
                  <c:v>48.748075494510118</c:v>
                </c:pt>
                <c:pt idx="13">
                  <c:v>49.901613763735639</c:v>
                </c:pt>
                <c:pt idx="14">
                  <c:v>51.089996591173062</c:v>
                </c:pt>
                <c:pt idx="15">
                  <c:v>51.992765671436516</c:v>
                </c:pt>
                <c:pt idx="16">
                  <c:v>53.182110908031241</c:v>
                </c:pt>
                <c:pt idx="17">
                  <c:v>54.46415181360004</c:v>
                </c:pt>
                <c:pt idx="18">
                  <c:v>55.759569121286454</c:v>
                </c:pt>
                <c:pt idx="19">
                  <c:v>56.984630431052189</c:v>
                </c:pt>
                <c:pt idx="20">
                  <c:v>58.367626474132678</c:v>
                </c:pt>
                <c:pt idx="21">
                  <c:v>59.519226023577993</c:v>
                </c:pt>
                <c:pt idx="22">
                  <c:v>61.297540828076649</c:v>
                </c:pt>
                <c:pt idx="23">
                  <c:v>62.291698296766228</c:v>
                </c:pt>
                <c:pt idx="24">
                  <c:v>64.433805501270896</c:v>
                </c:pt>
                <c:pt idx="25">
                  <c:v>65.778384987599139</c:v>
                </c:pt>
                <c:pt idx="26">
                  <c:v>66.967730224193872</c:v>
                </c:pt>
                <c:pt idx="27">
                  <c:v>68.62882533187863</c:v>
                </c:pt>
                <c:pt idx="28">
                  <c:v>70.212113152384248</c:v>
                </c:pt>
                <c:pt idx="29">
                  <c:v>71.699687599956931</c:v>
                </c:pt>
                <c:pt idx="30">
                  <c:v>73.741456449566499</c:v>
                </c:pt>
                <c:pt idx="31">
                  <c:v>75.231395880362669</c:v>
                </c:pt>
                <c:pt idx="32">
                  <c:v>76.093555970856485</c:v>
                </c:pt>
                <c:pt idx="33">
                  <c:v>77.382256829181486</c:v>
                </c:pt>
                <c:pt idx="34">
                  <c:v>78.157371910538913</c:v>
                </c:pt>
                <c:pt idx="35">
                  <c:v>79.156941166034585</c:v>
                </c:pt>
                <c:pt idx="36">
                  <c:v>80.106913858337961</c:v>
                </c:pt>
                <c:pt idx="37">
                  <c:v>81.199739587077929</c:v>
                </c:pt>
                <c:pt idx="38">
                  <c:v>82.27218262647267</c:v>
                </c:pt>
                <c:pt idx="39">
                  <c:v>83.529499425109492</c:v>
                </c:pt>
                <c:pt idx="40">
                  <c:v>84.641319773468311</c:v>
                </c:pt>
                <c:pt idx="41">
                  <c:v>86.126394095919025</c:v>
                </c:pt>
                <c:pt idx="42">
                  <c:v>87.657720733126197</c:v>
                </c:pt>
                <c:pt idx="43">
                  <c:v>88.432835814483624</c:v>
                </c:pt>
                <c:pt idx="44">
                  <c:v>90.007914641325286</c:v>
                </c:pt>
                <c:pt idx="45">
                  <c:v>91.492988963776</c:v>
                </c:pt>
                <c:pt idx="46">
                  <c:v>92.657177661876361</c:v>
                </c:pt>
                <c:pt idx="47">
                  <c:v>93.84464352725557</c:v>
                </c:pt>
                <c:pt idx="48">
                  <c:v>95.000015720597503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Scorecard!$F$1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Scorecard!$D$2:$D$50</c:f>
              <c:numCache>
                <c:formatCode>_(* #,##0_);_(* \(#,##0\);_(* "-"??_);_(@_)</c:formatCode>
                <c:ptCount val="4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</c:numCache>
            </c:numRef>
          </c:xVal>
          <c:yVal>
            <c:numRef>
              <c:f>Scorecard!$F$2:$F$50</c:f>
              <c:numCache>
                <c:formatCode>General</c:formatCode>
                <c:ptCount val="4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36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43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 formatCode="_(* #,##0.0_);_(* \(#,##0.0\);_(* &quot;-&quot;??_);_(@_)">
                  <c:v>50.307936128765441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Scorecard!$G$1</c:f>
              <c:strCache>
                <c:ptCount val="1"/>
                <c:pt idx="0">
                  <c:v>Revised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Scorecard!$D$2:$D$50</c:f>
              <c:numCache>
                <c:formatCode>_(* #,##0_);_(* \(#,##0\);_(* "-"??_);_(@_)</c:formatCode>
                <c:ptCount val="4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</c:numCache>
            </c:numRef>
          </c:xVal>
          <c:yVal>
            <c:numRef>
              <c:f>Scorecard!$G$2:$G$50</c:f>
              <c:numCache>
                <c:formatCode>General</c:formatCode>
                <c:ptCount val="49"/>
                <c:pt idx="14" formatCode="_(* #,##0.0_);_(* \(#,##0.0\);_(* &quot;-&quot;??_);_(@_)">
                  <c:v>50.307936128765441</c:v>
                </c:pt>
                <c:pt idx="15" formatCode="_(* #,##0.0_);_(* \(#,##0.0\);_(* &quot;-&quot;??_);_(@_)">
                  <c:v>51.273796654622998</c:v>
                </c:pt>
                <c:pt idx="16" formatCode="_(* #,##0.0_);_(* \(#,##0.0\);_(* &quot;-&quot;??_);_(@_)">
                  <c:v>52.489652607229608</c:v>
                </c:pt>
                <c:pt idx="17" formatCode="_(* #,##0.0_);_(* \(#,##0.0\);_(* &quot;-&quot;??_);_(@_)">
                  <c:v>53.777500030714243</c:v>
                </c:pt>
                <c:pt idx="18" formatCode="_(* #,##0.0_);_(* \(#,##0.0\);_(* &quot;-&quot;??_);_(@_)">
                  <c:v>55.058743585423244</c:v>
                </c:pt>
                <c:pt idx="19" formatCode="_(* #,##0.0_);_(* \(#,##0.0\);_(* &quot;-&quot;??_);_(@_)">
                  <c:v>56.280536334673442</c:v>
                </c:pt>
                <c:pt idx="20" formatCode="_(* #,##0.0_);_(* \(#,##0.0\);_(* &quot;-&quot;??_);_(@_)">
                  <c:v>57.547052951971992</c:v>
                </c:pt>
                <c:pt idx="21" formatCode="_(* #,##0.0_);_(* \(#,##0.0\);_(* &quot;-&quot;??_);_(@_)">
                  <c:v>58.634901253140015</c:v>
                </c:pt>
                <c:pt idx="22" formatCode="_(* #,##0.0_);_(* \(#,##0.0\);_(* &quot;-&quot;??_);_(@_)">
                  <c:v>60.166879753424347</c:v>
                </c:pt>
                <c:pt idx="23" formatCode="_(* #,##0.0_);_(* \(#,##0.0\);_(* &quot;-&quot;??_);_(@_)">
                  <c:v>61.200865780031613</c:v>
                </c:pt>
                <c:pt idx="24" formatCode="_(* #,##0.0_);_(* \(#,##0.0\);_(* &quot;-&quot;??_);_(@_)">
                  <c:v>63.200865780031613</c:v>
                </c:pt>
                <c:pt idx="25" formatCode="_(* #,##0.0_);_(* \(#,##0.0\);_(* &quot;-&quot;??_);_(@_)">
                  <c:v>64.646128516148906</c:v>
                </c:pt>
                <c:pt idx="26" formatCode="_(* #,##0.0_);_(* \(#,##0.0\);_(* &quot;-&quot;??_);_(@_)">
                  <c:v>65.873675391376736</c:v>
                </c:pt>
                <c:pt idx="27" formatCode="_(* #,##0.0_);_(* \(#,##0.0\);_(* &quot;-&quot;??_);_(@_)">
                  <c:v>67.873675391376736</c:v>
                </c:pt>
                <c:pt idx="28" formatCode="_(* #,##0.0_);_(* \(#,##0.0\);_(* &quot;-&quot;??_);_(@_)">
                  <c:v>69.546410032246825</c:v>
                </c:pt>
                <c:pt idx="29" formatCode="_(* #,##0.0_);_(* \(#,##0.0\);_(* &quot;-&quot;??_);_(@_)">
                  <c:v>70.9649086436212</c:v>
                </c:pt>
                <c:pt idx="30" formatCode="_(* #,##0.0_);_(* \(#,##0.0\);_(* &quot;-&quot;??_);_(@_)">
                  <c:v>72.9649086436212</c:v>
                </c:pt>
                <c:pt idx="31" formatCode="_(* #,##0.0_);_(* \(#,##0.0\);_(* &quot;-&quot;??_);_(@_)">
                  <c:v>74.560719581417374</c:v>
                </c:pt>
                <c:pt idx="32" formatCode="_(* #,##0.0_);_(* \(#,##0.0\);_(* &quot;-&quot;??_);_(@_)">
                  <c:v>75.487157228668494</c:v>
                </c:pt>
                <c:pt idx="33" formatCode="_(* #,##0.0_);_(* \(#,##0.0\);_(* &quot;-&quot;??_);_(@_)">
                  <c:v>76.960213478941881</c:v>
                </c:pt>
                <c:pt idx="34" formatCode="_(* #,##0.0_);_(* \(#,##0.0\);_(* &quot;-&quot;??_);_(@_)">
                  <c:v>77.845778877049568</c:v>
                </c:pt>
                <c:pt idx="35" formatCode="_(* #,##0.0_);_(* \(#,##0.0\);_(* &quot;-&quot;??_);_(@_)">
                  <c:v>78.948765848761624</c:v>
                </c:pt>
                <c:pt idx="36" formatCode="_(* #,##0.0_);_(* \(#,##0.0\);_(* &quot;-&quot;??_);_(@_)">
                  <c:v>79.92971794533571</c:v>
                </c:pt>
                <c:pt idx="37" formatCode="_(* #,##0.0_);_(* \(#,##0.0\);_(* &quot;-&quot;??_);_(@_)">
                  <c:v>81.159711757856357</c:v>
                </c:pt>
                <c:pt idx="38" formatCode="_(* #,##0.0_);_(* \(#,##0.0\);_(* &quot;-&quot;??_);_(@_)">
                  <c:v>82.176571721911117</c:v>
                </c:pt>
                <c:pt idx="39" formatCode="_(* #,##0.0_);_(* \(#,##0.0\);_(* &quot;-&quot;??_);_(@_)">
                  <c:v>83.431667448973002</c:v>
                </c:pt>
                <c:pt idx="40" formatCode="_(* #,##0.0_);_(* \(#,##0.0\);_(* &quot;-&quot;??_);_(@_)">
                  <c:v>84.58556151168716</c:v>
                </c:pt>
                <c:pt idx="41" formatCode="_(* #,##0.0_);_(* \(#,##0.0\);_(* &quot;-&quot;??_);_(@_)">
                  <c:v>85.940495326797119</c:v>
                </c:pt>
                <c:pt idx="42" formatCode="_(* #,##0.0_);_(* \(#,##0.0\);_(* &quot;-&quot;??_);_(@_)">
                  <c:v>87.504390045837368</c:v>
                </c:pt>
                <c:pt idx="43" formatCode="_(* #,##0.0_);_(* \(#,##0.0\);_(* &quot;-&quot;??_);_(@_)">
                  <c:v>88.389955443945055</c:v>
                </c:pt>
                <c:pt idx="44" formatCode="_(* #,##0.0_);_(* \(#,##0.0\);_(* &quot;-&quot;??_);_(@_)">
                  <c:v>89.888063671263922</c:v>
                </c:pt>
                <c:pt idx="45" formatCode="_(* #,##0.0_);_(* \(#,##0.0\);_(* &quot;-&quot;??_);_(@_)">
                  <c:v>91.242997486373881</c:v>
                </c:pt>
                <c:pt idx="46" formatCode="_(* #,##0.0_);_(* \(#,##0.0\);_(* &quot;-&quot;??_);_(@_)">
                  <c:v>92.445993424097153</c:v>
                </c:pt>
                <c:pt idx="47" formatCode="_(* #,##0.0_);_(* \(#,##0.0\);_(* &quot;-&quot;??_);_(@_)">
                  <c:v>93.701612107711981</c:v>
                </c:pt>
                <c:pt idx="48" formatCode="_(* #,##0.0_);_(* \(#,##0.0\);_(* &quot;-&quot;??_);_(@_)">
                  <c:v>94.982855662420988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50424"/>
        <c:axId val="904831984"/>
      </c:scatterChart>
      <c:valAx>
        <c:axId val="853050424"/>
        <c:scaling>
          <c:orientation val="minMax"/>
          <c:max val="82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Game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31984"/>
        <c:crosses val="autoZero"/>
        <c:crossBetween val="midCat"/>
      </c:valAx>
      <c:valAx>
        <c:axId val="90483198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Cumulative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504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209549</xdr:colOff>
      <xdr:row>0</xdr:row>
      <xdr:rowOff>42861</xdr:rowOff>
    </xdr:from>
    <xdr:to>
      <xdr:col>20</xdr:col>
      <xdr:colOff>142874</xdr:colOff>
      <xdr:row>19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437</v>
      </c>
    </row>
    <row r="2" spans="1:1" x14ac:dyDescent="0.25">
      <c r="A2" t="s">
        <v>451</v>
      </c>
    </row>
    <row r="3" spans="1:1" x14ac:dyDescent="0.25">
      <c r="A3" t="s">
        <v>449</v>
      </c>
    </row>
    <row r="4" spans="1:1" x14ac:dyDescent="0.25">
      <c r="A4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B32" sqref="B32:F33"/>
    </sheetView>
  </sheetViews>
  <sheetFormatPr defaultRowHeight="15" x14ac:dyDescent="0.25"/>
  <cols>
    <col min="1" max="1" width="12.140625" bestFit="1" customWidth="1"/>
    <col min="2" max="2" width="5" bestFit="1" customWidth="1"/>
    <col min="3" max="4" width="3" bestFit="1" customWidth="1"/>
    <col min="5" max="5" width="4.28515625" bestFit="1" customWidth="1"/>
    <col min="6" max="6" width="11" bestFit="1" customWidth="1"/>
    <col min="7" max="7" width="5.42578125" bestFit="1" customWidth="1"/>
    <col min="8" max="8" width="5.28515625" bestFit="1" customWidth="1"/>
    <col min="9" max="9" width="4.28515625" bestFit="1" customWidth="1"/>
    <col min="10" max="11" width="6.42578125" style="2" bestFit="1" customWidth="1"/>
    <col min="12" max="13" width="4" bestFit="1" customWidth="1"/>
    <col min="14" max="14" width="4.85546875" bestFit="1" customWidth="1"/>
    <col min="15" max="15" width="8.7109375" bestFit="1" customWidth="1"/>
    <col min="16" max="16" width="7.5703125" bestFit="1" customWidth="1"/>
    <col min="17" max="17" width="8.5703125" bestFit="1" customWidth="1"/>
    <col min="18" max="18" width="7.5703125" bestFit="1" customWidth="1"/>
    <col min="19" max="19" width="10" bestFit="1" customWidth="1"/>
    <col min="20" max="20" width="12" bestFit="1" customWidth="1"/>
    <col min="21" max="21" width="11.42578125" bestFit="1" customWidth="1"/>
    <col min="22" max="22" width="10.28515625" bestFit="1" customWidth="1"/>
    <col min="23" max="23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111</v>
      </c>
      <c r="R1" t="s">
        <v>112</v>
      </c>
      <c r="S1" t="s">
        <v>114</v>
      </c>
      <c r="T1" t="s">
        <v>113</v>
      </c>
      <c r="U1" t="s">
        <v>117</v>
      </c>
      <c r="V1" t="s">
        <v>116</v>
      </c>
      <c r="W1" t="s">
        <v>118</v>
      </c>
    </row>
    <row r="2" spans="1:23" x14ac:dyDescent="0.25">
      <c r="A2" t="s">
        <v>16</v>
      </c>
      <c r="B2">
        <v>34</v>
      </c>
      <c r="C2">
        <v>21</v>
      </c>
      <c r="D2">
        <v>9</v>
      </c>
      <c r="E2">
        <v>4</v>
      </c>
      <c r="F2">
        <v>46</v>
      </c>
      <c r="G2">
        <v>20</v>
      </c>
      <c r="H2">
        <v>1</v>
      </c>
      <c r="I2">
        <v>1</v>
      </c>
      <c r="J2" s="2" t="s">
        <v>17</v>
      </c>
      <c r="K2" s="2" t="s">
        <v>62</v>
      </c>
      <c r="L2">
        <v>104</v>
      </c>
      <c r="M2">
        <v>76</v>
      </c>
      <c r="N2">
        <v>28</v>
      </c>
      <c r="O2" s="1">
        <v>37379</v>
      </c>
      <c r="P2" t="s">
        <v>18</v>
      </c>
      <c r="Q2">
        <f>VALUE(LEFT(J2,FIND("-",J2)-1))</f>
        <v>15</v>
      </c>
      <c r="R2">
        <f>VALUE(IF(RIGHT(MID(J2,FIND("-",J2)+1,2),1)="-",MID(J2,FIND("-",J2)+1,1),MID(J2,FIND("-",J2)+1,2)))</f>
        <v>3</v>
      </c>
      <c r="S2">
        <f>VALUE(RIGHT(J2,1))</f>
        <v>2</v>
      </c>
      <c r="T2">
        <f>2*Q2+S2</f>
        <v>32</v>
      </c>
      <c r="U2" s="4">
        <f>F2/B2</f>
        <v>1.3529411764705883</v>
      </c>
      <c r="V2" s="4">
        <f>U2/$F$33*$T$32</f>
        <v>1.5240551532586053</v>
      </c>
      <c r="W2" s="4">
        <f>U2/$F$33*$T$33</f>
        <v>1.1818271996825713</v>
      </c>
    </row>
    <row r="3" spans="1:23" x14ac:dyDescent="0.25">
      <c r="A3" t="s">
        <v>19</v>
      </c>
      <c r="B3">
        <v>35</v>
      </c>
      <c r="C3">
        <v>20</v>
      </c>
      <c r="D3">
        <v>12</v>
      </c>
      <c r="E3">
        <v>3</v>
      </c>
      <c r="F3">
        <v>43</v>
      </c>
      <c r="G3">
        <v>17</v>
      </c>
      <c r="H3">
        <v>3</v>
      </c>
      <c r="I3">
        <v>1</v>
      </c>
      <c r="J3" s="2" t="s">
        <v>63</v>
      </c>
      <c r="K3" s="2" t="s">
        <v>64</v>
      </c>
      <c r="L3">
        <v>91</v>
      </c>
      <c r="M3">
        <v>93</v>
      </c>
      <c r="N3">
        <v>-2</v>
      </c>
      <c r="O3" s="1">
        <v>37015</v>
      </c>
      <c r="P3" t="s">
        <v>20</v>
      </c>
      <c r="Q3">
        <f t="shared" ref="Q3:Q31" si="0">VALUE(LEFT(J3,FIND("-",J3)-1))</f>
        <v>11</v>
      </c>
      <c r="R3">
        <f t="shared" ref="R3:R31" si="1">VALUE(IF(RIGHT(MID(J3,FIND("-",J3)+1,2),1)="-",MID(J3,FIND("-",J3)+1,1),MID(J3,FIND("-",J3)+1,2)))</f>
        <v>5</v>
      </c>
      <c r="S3">
        <f t="shared" ref="S3:S31" si="2">VALUE(RIGHT(J3,1))</f>
        <v>3</v>
      </c>
      <c r="T3">
        <f t="shared" ref="T3:T31" si="3">2*Q3+S3</f>
        <v>25</v>
      </c>
      <c r="U3" s="4">
        <f t="shared" ref="U3:U31" si="4">F3/B3</f>
        <v>1.2285714285714286</v>
      </c>
      <c r="V3" s="4">
        <f t="shared" ref="V3:V31" si="5">U3/$F$33*$T$32</f>
        <v>1.3839556733317273</v>
      </c>
      <c r="W3" s="4">
        <f t="shared" ref="W3:W31" si="6">U3/$F$33*$T$33</f>
        <v>1.07318718381113</v>
      </c>
    </row>
    <row r="4" spans="1:23" x14ac:dyDescent="0.25">
      <c r="A4" t="s">
        <v>21</v>
      </c>
      <c r="B4">
        <v>37</v>
      </c>
      <c r="C4">
        <v>18</v>
      </c>
      <c r="D4">
        <v>15</v>
      </c>
      <c r="E4">
        <v>4</v>
      </c>
      <c r="F4">
        <v>40</v>
      </c>
      <c r="G4">
        <v>16</v>
      </c>
      <c r="H4">
        <v>2</v>
      </c>
      <c r="I4">
        <v>1</v>
      </c>
      <c r="J4" s="2" t="s">
        <v>65</v>
      </c>
      <c r="K4" s="2" t="s">
        <v>66</v>
      </c>
      <c r="L4">
        <v>88</v>
      </c>
      <c r="M4">
        <v>91</v>
      </c>
      <c r="N4">
        <v>-3</v>
      </c>
      <c r="O4" s="1">
        <v>37320</v>
      </c>
      <c r="P4" t="s">
        <v>18</v>
      </c>
      <c r="Q4">
        <f t="shared" si="0"/>
        <v>8</v>
      </c>
      <c r="R4">
        <f t="shared" si="1"/>
        <v>9</v>
      </c>
      <c r="S4">
        <f t="shared" si="2"/>
        <v>0</v>
      </c>
      <c r="T4">
        <f t="shared" si="3"/>
        <v>16</v>
      </c>
      <c r="U4" s="4">
        <f t="shared" si="4"/>
        <v>1.0810810810810811</v>
      </c>
      <c r="V4" s="4">
        <f t="shared" si="5"/>
        <v>1.2178114033088738</v>
      </c>
      <c r="W4" s="4">
        <f t="shared" si="6"/>
        <v>0.94435075885328856</v>
      </c>
    </row>
    <row r="5" spans="1:23" x14ac:dyDescent="0.25">
      <c r="A5" t="s">
        <v>22</v>
      </c>
      <c r="B5">
        <v>35</v>
      </c>
      <c r="C5">
        <v>17</v>
      </c>
      <c r="D5">
        <v>15</v>
      </c>
      <c r="E5">
        <v>3</v>
      </c>
      <c r="F5">
        <v>37</v>
      </c>
      <c r="G5">
        <v>15</v>
      </c>
      <c r="H5">
        <v>2</v>
      </c>
      <c r="I5">
        <v>2</v>
      </c>
      <c r="J5" s="2" t="s">
        <v>67</v>
      </c>
      <c r="K5" s="2" t="s">
        <v>68</v>
      </c>
      <c r="L5">
        <v>100</v>
      </c>
      <c r="M5">
        <v>98</v>
      </c>
      <c r="N5">
        <v>2</v>
      </c>
      <c r="O5" s="1">
        <v>37350</v>
      </c>
      <c r="P5" t="s">
        <v>20</v>
      </c>
      <c r="Q5">
        <f t="shared" si="0"/>
        <v>9</v>
      </c>
      <c r="R5">
        <f t="shared" si="1"/>
        <v>5</v>
      </c>
      <c r="S5">
        <f t="shared" si="2"/>
        <v>1</v>
      </c>
      <c r="T5">
        <f t="shared" si="3"/>
        <v>19</v>
      </c>
      <c r="U5" s="4">
        <f t="shared" si="4"/>
        <v>1.0571428571428572</v>
      </c>
      <c r="V5" s="4">
        <f t="shared" si="5"/>
        <v>1.1908455793784629</v>
      </c>
      <c r="W5" s="4">
        <f t="shared" si="6"/>
        <v>0.9234401349072513</v>
      </c>
    </row>
    <row r="6" spans="1:23" x14ac:dyDescent="0.25">
      <c r="A6" t="s">
        <v>23</v>
      </c>
      <c r="B6">
        <v>35</v>
      </c>
      <c r="C6">
        <v>15</v>
      </c>
      <c r="D6">
        <v>14</v>
      </c>
      <c r="E6">
        <v>6</v>
      </c>
      <c r="F6">
        <v>36</v>
      </c>
      <c r="G6">
        <v>12</v>
      </c>
      <c r="H6">
        <v>3</v>
      </c>
      <c r="I6">
        <v>4</v>
      </c>
      <c r="J6" s="2" t="s">
        <v>69</v>
      </c>
      <c r="K6" s="2" t="s">
        <v>70</v>
      </c>
      <c r="L6">
        <v>85</v>
      </c>
      <c r="M6">
        <v>97</v>
      </c>
      <c r="N6">
        <v>-12</v>
      </c>
      <c r="O6" s="1">
        <v>38049</v>
      </c>
      <c r="P6" t="s">
        <v>18</v>
      </c>
      <c r="Q6">
        <f t="shared" si="0"/>
        <v>9</v>
      </c>
      <c r="R6">
        <f t="shared" si="1"/>
        <v>6</v>
      </c>
      <c r="S6">
        <f t="shared" si="2"/>
        <v>1</v>
      </c>
      <c r="T6">
        <f t="shared" si="3"/>
        <v>19</v>
      </c>
      <c r="U6" s="4">
        <f t="shared" si="4"/>
        <v>1.0285714285714285</v>
      </c>
      <c r="V6" s="4">
        <f t="shared" si="5"/>
        <v>1.1586605637195855</v>
      </c>
      <c r="W6" s="4">
        <f t="shared" si="6"/>
        <v>0.89848229342327157</v>
      </c>
    </row>
    <row r="7" spans="1:23" x14ac:dyDescent="0.25">
      <c r="A7" t="s">
        <v>24</v>
      </c>
      <c r="B7">
        <v>33</v>
      </c>
      <c r="C7">
        <v>14</v>
      </c>
      <c r="D7">
        <v>12</v>
      </c>
      <c r="E7">
        <v>7</v>
      </c>
      <c r="F7">
        <v>35</v>
      </c>
      <c r="G7">
        <v>14</v>
      </c>
      <c r="H7">
        <v>0</v>
      </c>
      <c r="I7">
        <v>5</v>
      </c>
      <c r="J7" s="2" t="s">
        <v>71</v>
      </c>
      <c r="K7" s="2" t="s">
        <v>72</v>
      </c>
      <c r="L7">
        <v>97</v>
      </c>
      <c r="M7">
        <v>95</v>
      </c>
      <c r="N7">
        <v>2</v>
      </c>
      <c r="O7" s="1">
        <v>37714</v>
      </c>
      <c r="P7" t="s">
        <v>25</v>
      </c>
      <c r="Q7">
        <f t="shared" si="0"/>
        <v>9</v>
      </c>
      <c r="R7">
        <f t="shared" si="1"/>
        <v>6</v>
      </c>
      <c r="S7">
        <f t="shared" si="2"/>
        <v>2</v>
      </c>
      <c r="T7">
        <f t="shared" si="3"/>
        <v>20</v>
      </c>
      <c r="U7" s="4">
        <f t="shared" si="4"/>
        <v>1.0606060606060606</v>
      </c>
      <c r="V7" s="4">
        <f t="shared" si="5"/>
        <v>1.1947467933977207</v>
      </c>
      <c r="W7" s="4">
        <f t="shared" si="6"/>
        <v>0.92646532781440039</v>
      </c>
    </row>
    <row r="8" spans="1:23" x14ac:dyDescent="0.25">
      <c r="A8" t="s">
        <v>26</v>
      </c>
      <c r="B8">
        <v>34</v>
      </c>
      <c r="C8">
        <v>13</v>
      </c>
      <c r="D8">
        <v>13</v>
      </c>
      <c r="E8">
        <v>8</v>
      </c>
      <c r="F8">
        <v>34</v>
      </c>
      <c r="G8">
        <v>12</v>
      </c>
      <c r="H8">
        <v>1</v>
      </c>
      <c r="I8">
        <v>5</v>
      </c>
      <c r="J8" s="2" t="s">
        <v>73</v>
      </c>
      <c r="K8" s="2" t="s">
        <v>74</v>
      </c>
      <c r="L8">
        <v>75</v>
      </c>
      <c r="M8">
        <v>94</v>
      </c>
      <c r="N8">
        <v>-19</v>
      </c>
      <c r="O8" s="1">
        <v>37714</v>
      </c>
      <c r="P8" t="s">
        <v>27</v>
      </c>
      <c r="Q8">
        <f t="shared" si="0"/>
        <v>7</v>
      </c>
      <c r="R8">
        <f t="shared" si="1"/>
        <v>7</v>
      </c>
      <c r="S8">
        <f t="shared" si="2"/>
        <v>3</v>
      </c>
      <c r="T8">
        <f t="shared" si="3"/>
        <v>17</v>
      </c>
      <c r="U8" s="4">
        <f t="shared" si="4"/>
        <v>1</v>
      </c>
      <c r="V8" s="4">
        <f t="shared" si="5"/>
        <v>1.126475548060708</v>
      </c>
      <c r="W8" s="4">
        <f t="shared" si="6"/>
        <v>0.87352445193929174</v>
      </c>
    </row>
    <row r="9" spans="1:23" x14ac:dyDescent="0.25">
      <c r="A9" t="s">
        <v>28</v>
      </c>
      <c r="B9">
        <v>35</v>
      </c>
      <c r="C9">
        <v>15</v>
      </c>
      <c r="D9">
        <v>16</v>
      </c>
      <c r="E9">
        <v>4</v>
      </c>
      <c r="F9">
        <v>34</v>
      </c>
      <c r="G9">
        <v>10</v>
      </c>
      <c r="H9">
        <v>5</v>
      </c>
      <c r="I9">
        <v>0</v>
      </c>
      <c r="J9" s="2" t="s">
        <v>75</v>
      </c>
      <c r="K9" s="2" t="s">
        <v>76</v>
      </c>
      <c r="L9">
        <v>86</v>
      </c>
      <c r="M9">
        <v>100</v>
      </c>
      <c r="N9">
        <v>-14</v>
      </c>
      <c r="O9" s="1">
        <v>36986</v>
      </c>
      <c r="P9" t="s">
        <v>20</v>
      </c>
      <c r="Q9">
        <f t="shared" si="0"/>
        <v>7</v>
      </c>
      <c r="R9">
        <f t="shared" si="1"/>
        <v>10</v>
      </c>
      <c r="S9">
        <f t="shared" si="2"/>
        <v>3</v>
      </c>
      <c r="T9">
        <f t="shared" si="3"/>
        <v>17</v>
      </c>
      <c r="U9" s="4">
        <f t="shared" si="4"/>
        <v>0.97142857142857142</v>
      </c>
      <c r="V9" s="4">
        <f t="shared" si="5"/>
        <v>1.0942905324018308</v>
      </c>
      <c r="W9" s="4">
        <f t="shared" si="6"/>
        <v>0.84856661045531201</v>
      </c>
    </row>
    <row r="10" spans="1:23" x14ac:dyDescent="0.25">
      <c r="A10" t="s">
        <v>29</v>
      </c>
      <c r="B10">
        <v>33</v>
      </c>
      <c r="C10">
        <v>24</v>
      </c>
      <c r="D10">
        <v>5</v>
      </c>
      <c r="E10">
        <v>4</v>
      </c>
      <c r="F10">
        <v>52</v>
      </c>
      <c r="G10">
        <v>22</v>
      </c>
      <c r="H10">
        <v>2</v>
      </c>
      <c r="I10">
        <v>1</v>
      </c>
      <c r="J10" s="2" t="s">
        <v>30</v>
      </c>
      <c r="K10" s="2" t="s">
        <v>77</v>
      </c>
      <c r="L10">
        <v>114</v>
      </c>
      <c r="M10">
        <v>68</v>
      </c>
      <c r="N10">
        <v>46</v>
      </c>
      <c r="O10" t="s">
        <v>31</v>
      </c>
      <c r="P10" t="s">
        <v>32</v>
      </c>
      <c r="Q10">
        <f t="shared" si="0"/>
        <v>14</v>
      </c>
      <c r="R10">
        <f t="shared" si="1"/>
        <v>3</v>
      </c>
      <c r="S10">
        <f t="shared" si="2"/>
        <v>1</v>
      </c>
      <c r="T10">
        <f t="shared" si="3"/>
        <v>29</v>
      </c>
      <c r="U10" s="4">
        <f t="shared" si="4"/>
        <v>1.5757575757575757</v>
      </c>
      <c r="V10" s="4">
        <f t="shared" si="5"/>
        <v>1.775052378762328</v>
      </c>
      <c r="W10" s="4">
        <f t="shared" si="6"/>
        <v>1.3764627727528234</v>
      </c>
    </row>
    <row r="11" spans="1:23" x14ac:dyDescent="0.25">
      <c r="A11" t="s">
        <v>33</v>
      </c>
      <c r="B11">
        <v>36</v>
      </c>
      <c r="C11">
        <v>23</v>
      </c>
      <c r="D11">
        <v>8</v>
      </c>
      <c r="E11">
        <v>5</v>
      </c>
      <c r="F11">
        <v>51</v>
      </c>
      <c r="G11">
        <v>21</v>
      </c>
      <c r="H11">
        <v>2</v>
      </c>
      <c r="I11">
        <v>1</v>
      </c>
      <c r="J11" s="2" t="s">
        <v>34</v>
      </c>
      <c r="K11" s="2" t="s">
        <v>78</v>
      </c>
      <c r="L11">
        <v>126</v>
      </c>
      <c r="M11">
        <v>102</v>
      </c>
      <c r="N11">
        <v>24</v>
      </c>
      <c r="O11" s="1">
        <v>37438</v>
      </c>
      <c r="P11" t="s">
        <v>25</v>
      </c>
      <c r="Q11">
        <f t="shared" si="0"/>
        <v>15</v>
      </c>
      <c r="R11">
        <f t="shared" si="1"/>
        <v>2</v>
      </c>
      <c r="S11">
        <f t="shared" si="2"/>
        <v>2</v>
      </c>
      <c r="T11">
        <f t="shared" si="3"/>
        <v>32</v>
      </c>
      <c r="U11" s="4">
        <f t="shared" si="4"/>
        <v>1.4166666666666667</v>
      </c>
      <c r="V11" s="4">
        <f t="shared" si="5"/>
        <v>1.59584035975267</v>
      </c>
      <c r="W11" s="4">
        <f t="shared" si="6"/>
        <v>1.2374929735806635</v>
      </c>
    </row>
    <row r="12" spans="1:23" x14ac:dyDescent="0.25">
      <c r="A12" t="s">
        <v>35</v>
      </c>
      <c r="B12">
        <v>37</v>
      </c>
      <c r="C12">
        <v>24</v>
      </c>
      <c r="D12">
        <v>12</v>
      </c>
      <c r="E12">
        <v>1</v>
      </c>
      <c r="F12">
        <v>49</v>
      </c>
      <c r="G12">
        <v>22</v>
      </c>
      <c r="H12">
        <v>2</v>
      </c>
      <c r="I12">
        <v>1</v>
      </c>
      <c r="J12" s="2" t="s">
        <v>36</v>
      </c>
      <c r="K12" s="2" t="s">
        <v>79</v>
      </c>
      <c r="L12">
        <v>123</v>
      </c>
      <c r="M12">
        <v>92</v>
      </c>
      <c r="N12">
        <v>31</v>
      </c>
      <c r="O12" s="1">
        <v>36710</v>
      </c>
      <c r="P12" t="s">
        <v>27</v>
      </c>
      <c r="Q12">
        <f t="shared" si="0"/>
        <v>13</v>
      </c>
      <c r="R12">
        <f t="shared" si="1"/>
        <v>6</v>
      </c>
      <c r="S12">
        <f t="shared" si="2"/>
        <v>1</v>
      </c>
      <c r="T12">
        <f t="shared" si="3"/>
        <v>27</v>
      </c>
      <c r="U12" s="4">
        <f t="shared" si="4"/>
        <v>1.3243243243243243</v>
      </c>
      <c r="V12" s="4">
        <f t="shared" si="5"/>
        <v>1.4918189690533703</v>
      </c>
      <c r="W12" s="4">
        <f t="shared" si="6"/>
        <v>1.1568296795952782</v>
      </c>
    </row>
    <row r="13" spans="1:23" x14ac:dyDescent="0.25">
      <c r="A13" t="s">
        <v>37</v>
      </c>
      <c r="B13">
        <v>33</v>
      </c>
      <c r="C13">
        <v>20</v>
      </c>
      <c r="D13">
        <v>9</v>
      </c>
      <c r="E13">
        <v>4</v>
      </c>
      <c r="F13">
        <v>44</v>
      </c>
      <c r="G13">
        <v>19</v>
      </c>
      <c r="H13">
        <v>1</v>
      </c>
      <c r="I13">
        <v>3</v>
      </c>
      <c r="J13" s="2" t="s">
        <v>80</v>
      </c>
      <c r="K13" s="2" t="s">
        <v>81</v>
      </c>
      <c r="L13">
        <v>90</v>
      </c>
      <c r="M13">
        <v>73</v>
      </c>
      <c r="N13">
        <v>17</v>
      </c>
      <c r="O13" s="1">
        <v>37074</v>
      </c>
      <c r="P13" t="s">
        <v>20</v>
      </c>
      <c r="Q13">
        <f t="shared" si="0"/>
        <v>12</v>
      </c>
      <c r="R13">
        <f t="shared" si="1"/>
        <v>5</v>
      </c>
      <c r="S13">
        <f t="shared" si="2"/>
        <v>0</v>
      </c>
      <c r="T13">
        <f t="shared" si="3"/>
        <v>24</v>
      </c>
      <c r="U13" s="4">
        <f t="shared" si="4"/>
        <v>1.3333333333333333</v>
      </c>
      <c r="V13" s="4">
        <f t="shared" si="5"/>
        <v>1.5019673974142775</v>
      </c>
      <c r="W13" s="4">
        <f t="shared" si="6"/>
        <v>1.164699269252389</v>
      </c>
    </row>
    <row r="14" spans="1:23" x14ac:dyDescent="0.25">
      <c r="A14" t="s">
        <v>38</v>
      </c>
      <c r="B14">
        <v>36</v>
      </c>
      <c r="C14">
        <v>20</v>
      </c>
      <c r="D14">
        <v>12</v>
      </c>
      <c r="E14">
        <v>4</v>
      </c>
      <c r="F14">
        <v>44</v>
      </c>
      <c r="G14">
        <v>16</v>
      </c>
      <c r="H14">
        <v>4</v>
      </c>
      <c r="I14">
        <v>3</v>
      </c>
      <c r="J14" s="2" t="s">
        <v>82</v>
      </c>
      <c r="K14" s="2" t="s">
        <v>83</v>
      </c>
      <c r="L14">
        <v>110</v>
      </c>
      <c r="M14">
        <v>108</v>
      </c>
      <c r="N14">
        <v>2</v>
      </c>
      <c r="O14" s="1">
        <v>37074</v>
      </c>
      <c r="P14" t="s">
        <v>20</v>
      </c>
      <c r="Q14">
        <f t="shared" si="0"/>
        <v>12</v>
      </c>
      <c r="R14">
        <f t="shared" si="1"/>
        <v>5</v>
      </c>
      <c r="S14">
        <f t="shared" si="2"/>
        <v>3</v>
      </c>
      <c r="T14">
        <f t="shared" si="3"/>
        <v>27</v>
      </c>
      <c r="U14" s="4">
        <f t="shared" si="4"/>
        <v>1.2222222222222223</v>
      </c>
      <c r="V14" s="4">
        <f t="shared" si="5"/>
        <v>1.3768034476297546</v>
      </c>
      <c r="W14" s="4">
        <f t="shared" si="6"/>
        <v>1.0676409968146903</v>
      </c>
    </row>
    <row r="15" spans="1:23" x14ac:dyDescent="0.25">
      <c r="A15" t="s">
        <v>39</v>
      </c>
      <c r="B15">
        <v>33</v>
      </c>
      <c r="C15">
        <v>15</v>
      </c>
      <c r="D15">
        <v>11</v>
      </c>
      <c r="E15">
        <v>7</v>
      </c>
      <c r="F15">
        <v>37</v>
      </c>
      <c r="G15">
        <v>13</v>
      </c>
      <c r="H15">
        <v>2</v>
      </c>
      <c r="I15">
        <v>4</v>
      </c>
      <c r="J15" s="2" t="s">
        <v>84</v>
      </c>
      <c r="K15" s="2" t="s">
        <v>85</v>
      </c>
      <c r="L15">
        <v>88</v>
      </c>
      <c r="M15">
        <v>90</v>
      </c>
      <c r="N15">
        <v>-2</v>
      </c>
      <c r="O15" s="1">
        <v>37409</v>
      </c>
      <c r="P15" t="s">
        <v>40</v>
      </c>
      <c r="Q15">
        <f t="shared" si="0"/>
        <v>10</v>
      </c>
      <c r="R15">
        <f t="shared" si="1"/>
        <v>3</v>
      </c>
      <c r="S15">
        <f t="shared" si="2"/>
        <v>1</v>
      </c>
      <c r="T15">
        <f t="shared" si="3"/>
        <v>21</v>
      </c>
      <c r="U15" s="4">
        <f t="shared" si="4"/>
        <v>1.1212121212121211</v>
      </c>
      <c r="V15" s="4">
        <f t="shared" si="5"/>
        <v>1.2630180387347334</v>
      </c>
      <c r="W15" s="4">
        <f t="shared" si="6"/>
        <v>0.97940620368950893</v>
      </c>
    </row>
    <row r="16" spans="1:23" x14ac:dyDescent="0.25">
      <c r="A16" t="s">
        <v>41</v>
      </c>
      <c r="B16">
        <v>34</v>
      </c>
      <c r="C16">
        <v>14</v>
      </c>
      <c r="D16">
        <v>14</v>
      </c>
      <c r="E16">
        <v>6</v>
      </c>
      <c r="F16">
        <v>34</v>
      </c>
      <c r="G16">
        <v>13</v>
      </c>
      <c r="H16">
        <v>1</v>
      </c>
      <c r="I16">
        <v>2</v>
      </c>
      <c r="J16" s="2" t="s">
        <v>86</v>
      </c>
      <c r="K16" s="2" t="s">
        <v>87</v>
      </c>
      <c r="L16">
        <v>94</v>
      </c>
      <c r="M16">
        <v>105</v>
      </c>
      <c r="N16">
        <v>-11</v>
      </c>
      <c r="O16" s="1">
        <v>37015</v>
      </c>
      <c r="P16" t="s">
        <v>40</v>
      </c>
      <c r="Q16">
        <f t="shared" si="0"/>
        <v>11</v>
      </c>
      <c r="R16">
        <f t="shared" si="1"/>
        <v>7</v>
      </c>
      <c r="S16">
        <f t="shared" si="2"/>
        <v>4</v>
      </c>
      <c r="T16">
        <f t="shared" si="3"/>
        <v>26</v>
      </c>
      <c r="U16" s="4">
        <f t="shared" si="4"/>
        <v>1</v>
      </c>
      <c r="V16" s="4">
        <f t="shared" si="5"/>
        <v>1.126475548060708</v>
      </c>
      <c r="W16" s="4">
        <f t="shared" si="6"/>
        <v>0.87352445193929174</v>
      </c>
    </row>
    <row r="17" spans="1:23" x14ac:dyDescent="0.25">
      <c r="A17" t="s">
        <v>42</v>
      </c>
      <c r="B17">
        <v>35</v>
      </c>
      <c r="C17">
        <v>13</v>
      </c>
      <c r="D17">
        <v>15</v>
      </c>
      <c r="E17">
        <v>7</v>
      </c>
      <c r="F17">
        <v>33</v>
      </c>
      <c r="G17">
        <v>11</v>
      </c>
      <c r="H17">
        <v>2</v>
      </c>
      <c r="I17">
        <v>2</v>
      </c>
      <c r="J17" s="2" t="s">
        <v>88</v>
      </c>
      <c r="K17" s="2" t="s">
        <v>89</v>
      </c>
      <c r="L17">
        <v>82</v>
      </c>
      <c r="M17">
        <v>107</v>
      </c>
      <c r="N17">
        <v>-25</v>
      </c>
      <c r="O17" s="1">
        <v>36899</v>
      </c>
      <c r="P17" t="s">
        <v>18</v>
      </c>
      <c r="Q17">
        <f t="shared" si="0"/>
        <v>9</v>
      </c>
      <c r="R17">
        <f t="shared" si="1"/>
        <v>3</v>
      </c>
      <c r="S17">
        <f t="shared" si="2"/>
        <v>2</v>
      </c>
      <c r="T17">
        <f t="shared" si="3"/>
        <v>20</v>
      </c>
      <c r="U17" s="4">
        <f t="shared" si="4"/>
        <v>0.94285714285714284</v>
      </c>
      <c r="V17" s="4">
        <f t="shared" si="5"/>
        <v>1.0621055167429534</v>
      </c>
      <c r="W17" s="4">
        <f t="shared" si="6"/>
        <v>0.82360876897133217</v>
      </c>
    </row>
    <row r="18" spans="1:23" x14ac:dyDescent="0.25">
      <c r="A18" t="s">
        <v>43</v>
      </c>
      <c r="B18">
        <v>37</v>
      </c>
      <c r="C18">
        <v>22</v>
      </c>
      <c r="D18">
        <v>10</v>
      </c>
      <c r="E18">
        <v>5</v>
      </c>
      <c r="F18">
        <v>49</v>
      </c>
      <c r="G18">
        <v>20</v>
      </c>
      <c r="H18">
        <v>2</v>
      </c>
      <c r="I18">
        <v>1</v>
      </c>
      <c r="J18" s="2" t="s">
        <v>44</v>
      </c>
      <c r="K18" s="2" t="s">
        <v>69</v>
      </c>
      <c r="L18">
        <v>103</v>
      </c>
      <c r="M18">
        <v>89</v>
      </c>
      <c r="N18">
        <v>14</v>
      </c>
      <c r="O18" s="1">
        <v>37409</v>
      </c>
      <c r="P18" t="s">
        <v>45</v>
      </c>
      <c r="Q18">
        <f t="shared" si="0"/>
        <v>13</v>
      </c>
      <c r="R18">
        <f t="shared" si="1"/>
        <v>4</v>
      </c>
      <c r="S18">
        <f t="shared" si="2"/>
        <v>4</v>
      </c>
      <c r="T18">
        <f t="shared" si="3"/>
        <v>30</v>
      </c>
      <c r="U18" s="4">
        <f t="shared" si="4"/>
        <v>1.3243243243243243</v>
      </c>
      <c r="V18" s="4">
        <f t="shared" si="5"/>
        <v>1.4918189690533703</v>
      </c>
      <c r="W18" s="4">
        <f t="shared" si="6"/>
        <v>1.1568296795952782</v>
      </c>
    </row>
    <row r="19" spans="1:23" x14ac:dyDescent="0.25">
      <c r="A19" t="s">
        <v>46</v>
      </c>
      <c r="B19">
        <v>34</v>
      </c>
      <c r="C19">
        <v>22</v>
      </c>
      <c r="D19">
        <v>8</v>
      </c>
      <c r="E19">
        <v>4</v>
      </c>
      <c r="F19">
        <v>48</v>
      </c>
      <c r="G19">
        <v>21</v>
      </c>
      <c r="H19">
        <v>1</v>
      </c>
      <c r="I19">
        <v>2</v>
      </c>
      <c r="J19" s="2" t="s">
        <v>90</v>
      </c>
      <c r="K19" s="2" t="s">
        <v>91</v>
      </c>
      <c r="L19">
        <v>105</v>
      </c>
      <c r="M19">
        <v>68</v>
      </c>
      <c r="N19">
        <v>37</v>
      </c>
      <c r="O19" t="s">
        <v>31</v>
      </c>
      <c r="P19" t="s">
        <v>47</v>
      </c>
      <c r="Q19">
        <f t="shared" si="0"/>
        <v>12</v>
      </c>
      <c r="R19">
        <f t="shared" si="1"/>
        <v>3</v>
      </c>
      <c r="S19">
        <f t="shared" si="2"/>
        <v>0</v>
      </c>
      <c r="T19">
        <f t="shared" si="3"/>
        <v>24</v>
      </c>
      <c r="U19" s="4">
        <f t="shared" si="4"/>
        <v>1.411764705882353</v>
      </c>
      <c r="V19" s="4">
        <f t="shared" si="5"/>
        <v>1.5903184207915881</v>
      </c>
      <c r="W19" s="4">
        <f t="shared" si="6"/>
        <v>1.2332109909731179</v>
      </c>
    </row>
    <row r="20" spans="1:23" x14ac:dyDescent="0.25">
      <c r="A20" t="s">
        <v>48</v>
      </c>
      <c r="B20">
        <v>35</v>
      </c>
      <c r="C20">
        <v>18</v>
      </c>
      <c r="D20">
        <v>12</v>
      </c>
      <c r="E20">
        <v>5</v>
      </c>
      <c r="F20">
        <v>41</v>
      </c>
      <c r="G20">
        <v>17</v>
      </c>
      <c r="H20">
        <v>1</v>
      </c>
      <c r="I20">
        <v>1</v>
      </c>
      <c r="J20" s="2" t="s">
        <v>49</v>
      </c>
      <c r="K20" s="2" t="s">
        <v>92</v>
      </c>
      <c r="L20">
        <v>98</v>
      </c>
      <c r="M20">
        <v>103</v>
      </c>
      <c r="N20">
        <v>-5</v>
      </c>
      <c r="O20" s="1">
        <v>36986</v>
      </c>
      <c r="P20" t="s">
        <v>20</v>
      </c>
      <c r="Q20">
        <f t="shared" si="0"/>
        <v>13</v>
      </c>
      <c r="R20">
        <f t="shared" si="1"/>
        <v>2</v>
      </c>
      <c r="S20">
        <f t="shared" si="2"/>
        <v>4</v>
      </c>
      <c r="T20">
        <f t="shared" si="3"/>
        <v>30</v>
      </c>
      <c r="U20" s="4">
        <f t="shared" si="4"/>
        <v>1.1714285714285715</v>
      </c>
      <c r="V20" s="4">
        <f t="shared" si="5"/>
        <v>1.3195856420139727</v>
      </c>
      <c r="W20" s="4">
        <f t="shared" si="6"/>
        <v>1.0232715008431705</v>
      </c>
    </row>
    <row r="21" spans="1:23" x14ac:dyDescent="0.25">
      <c r="A21" t="s">
        <v>50</v>
      </c>
      <c r="B21">
        <v>36</v>
      </c>
      <c r="C21">
        <v>15</v>
      </c>
      <c r="D21">
        <v>14</v>
      </c>
      <c r="E21">
        <v>7</v>
      </c>
      <c r="F21">
        <v>37</v>
      </c>
      <c r="G21">
        <v>15</v>
      </c>
      <c r="H21">
        <v>0</v>
      </c>
      <c r="I21">
        <v>0</v>
      </c>
      <c r="J21" s="2" t="s">
        <v>93</v>
      </c>
      <c r="K21" s="2" t="s">
        <v>94</v>
      </c>
      <c r="L21">
        <v>92</v>
      </c>
      <c r="M21">
        <v>108</v>
      </c>
      <c r="N21">
        <v>-16</v>
      </c>
      <c r="O21" s="1">
        <v>37015</v>
      </c>
      <c r="P21" t="s">
        <v>25</v>
      </c>
      <c r="Q21">
        <f t="shared" si="0"/>
        <v>10</v>
      </c>
      <c r="R21">
        <f t="shared" si="1"/>
        <v>5</v>
      </c>
      <c r="S21">
        <f t="shared" si="2"/>
        <v>3</v>
      </c>
      <c r="T21">
        <f t="shared" si="3"/>
        <v>23</v>
      </c>
      <c r="U21" s="4">
        <f t="shared" si="4"/>
        <v>1.0277777777777777</v>
      </c>
      <c r="V21" s="4">
        <f t="shared" si="5"/>
        <v>1.1577665355068389</v>
      </c>
      <c r="W21" s="4">
        <f t="shared" si="6"/>
        <v>0.89778902004871652</v>
      </c>
    </row>
    <row r="22" spans="1:23" x14ac:dyDescent="0.25">
      <c r="A22" t="s">
        <v>51</v>
      </c>
      <c r="B22">
        <v>37</v>
      </c>
      <c r="C22">
        <v>17</v>
      </c>
      <c r="D22">
        <v>17</v>
      </c>
      <c r="E22">
        <v>3</v>
      </c>
      <c r="F22">
        <v>37</v>
      </c>
      <c r="G22">
        <v>15</v>
      </c>
      <c r="H22">
        <v>2</v>
      </c>
      <c r="I22">
        <v>1</v>
      </c>
      <c r="J22" s="2" t="s">
        <v>95</v>
      </c>
      <c r="K22" s="2" t="s">
        <v>96</v>
      </c>
      <c r="L22">
        <v>98</v>
      </c>
      <c r="M22">
        <v>106</v>
      </c>
      <c r="N22">
        <v>-8</v>
      </c>
      <c r="O22" s="1">
        <v>37015</v>
      </c>
      <c r="P22" t="s">
        <v>25</v>
      </c>
      <c r="Q22">
        <f t="shared" si="0"/>
        <v>10</v>
      </c>
      <c r="R22">
        <f t="shared" si="1"/>
        <v>6</v>
      </c>
      <c r="S22">
        <f t="shared" si="2"/>
        <v>1</v>
      </c>
      <c r="T22">
        <f t="shared" si="3"/>
        <v>21</v>
      </c>
      <c r="U22" s="4">
        <f t="shared" si="4"/>
        <v>1</v>
      </c>
      <c r="V22" s="4">
        <f t="shared" si="5"/>
        <v>1.126475548060708</v>
      </c>
      <c r="W22" s="4">
        <f t="shared" si="6"/>
        <v>0.87352445193929174</v>
      </c>
    </row>
    <row r="23" spans="1:23" x14ac:dyDescent="0.25">
      <c r="A23" t="s">
        <v>52</v>
      </c>
      <c r="B23">
        <v>34</v>
      </c>
      <c r="C23">
        <v>15</v>
      </c>
      <c r="D23">
        <v>13</v>
      </c>
      <c r="E23">
        <v>6</v>
      </c>
      <c r="F23">
        <v>36</v>
      </c>
      <c r="G23">
        <v>14</v>
      </c>
      <c r="H23">
        <v>1</v>
      </c>
      <c r="I23">
        <v>3</v>
      </c>
      <c r="J23" s="2" t="s">
        <v>97</v>
      </c>
      <c r="K23" s="2" t="s">
        <v>98</v>
      </c>
      <c r="L23">
        <v>96</v>
      </c>
      <c r="M23">
        <v>97</v>
      </c>
      <c r="N23">
        <v>-1</v>
      </c>
      <c r="O23" s="1">
        <v>37350</v>
      </c>
      <c r="P23" t="s">
        <v>18</v>
      </c>
      <c r="Q23">
        <f t="shared" si="0"/>
        <v>10</v>
      </c>
      <c r="R23">
        <f t="shared" si="1"/>
        <v>4</v>
      </c>
      <c r="S23">
        <f t="shared" si="2"/>
        <v>4</v>
      </c>
      <c r="T23">
        <f t="shared" si="3"/>
        <v>24</v>
      </c>
      <c r="U23" s="4">
        <f t="shared" si="4"/>
        <v>1.0588235294117647</v>
      </c>
      <c r="V23" s="4">
        <f t="shared" si="5"/>
        <v>1.1927388155936911</v>
      </c>
      <c r="W23" s="4">
        <f t="shared" si="6"/>
        <v>0.92490824322983833</v>
      </c>
    </row>
    <row r="24" spans="1:23" x14ac:dyDescent="0.25">
      <c r="A24" t="s">
        <v>53</v>
      </c>
      <c r="B24">
        <v>34</v>
      </c>
      <c r="C24">
        <v>12</v>
      </c>
      <c r="D24">
        <v>21</v>
      </c>
      <c r="E24">
        <v>1</v>
      </c>
      <c r="F24">
        <v>25</v>
      </c>
      <c r="G24">
        <v>12</v>
      </c>
      <c r="H24">
        <v>0</v>
      </c>
      <c r="I24">
        <v>1</v>
      </c>
      <c r="J24" s="2" t="s">
        <v>99</v>
      </c>
      <c r="K24" s="2" t="s">
        <v>65</v>
      </c>
      <c r="L24">
        <v>70</v>
      </c>
      <c r="M24">
        <v>112</v>
      </c>
      <c r="N24">
        <v>-42</v>
      </c>
      <c r="O24" s="1">
        <v>36592</v>
      </c>
      <c r="P24" t="s">
        <v>20</v>
      </c>
      <c r="Q24">
        <f t="shared" si="0"/>
        <v>4</v>
      </c>
      <c r="R24">
        <f t="shared" si="1"/>
        <v>12</v>
      </c>
      <c r="S24">
        <f t="shared" si="2"/>
        <v>1</v>
      </c>
      <c r="T24">
        <f t="shared" si="3"/>
        <v>9</v>
      </c>
      <c r="U24" s="4">
        <f t="shared" si="4"/>
        <v>0.73529411764705888</v>
      </c>
      <c r="V24" s="4">
        <f t="shared" si="5"/>
        <v>0.82829084416228549</v>
      </c>
      <c r="W24" s="4">
        <f t="shared" si="6"/>
        <v>0.64229739113183226</v>
      </c>
    </row>
    <row r="25" spans="1:23" x14ac:dyDescent="0.25">
      <c r="A25" t="s">
        <v>54</v>
      </c>
      <c r="B25">
        <v>35</v>
      </c>
      <c r="C25">
        <v>22</v>
      </c>
      <c r="D25">
        <v>12</v>
      </c>
      <c r="E25">
        <v>1</v>
      </c>
      <c r="F25">
        <v>45</v>
      </c>
      <c r="G25">
        <v>20</v>
      </c>
      <c r="H25">
        <v>2</v>
      </c>
      <c r="I25">
        <v>0</v>
      </c>
      <c r="J25" s="2" t="s">
        <v>100</v>
      </c>
      <c r="K25" s="2" t="s">
        <v>101</v>
      </c>
      <c r="L25">
        <v>90</v>
      </c>
      <c r="M25">
        <v>77</v>
      </c>
      <c r="N25">
        <v>13</v>
      </c>
      <c r="O25" s="1">
        <v>36710</v>
      </c>
      <c r="P25" t="s">
        <v>40</v>
      </c>
      <c r="Q25">
        <f t="shared" si="0"/>
        <v>12</v>
      </c>
      <c r="R25">
        <f t="shared" si="1"/>
        <v>4</v>
      </c>
      <c r="S25">
        <f t="shared" si="2"/>
        <v>0</v>
      </c>
      <c r="T25">
        <f t="shared" si="3"/>
        <v>24</v>
      </c>
      <c r="U25" s="4">
        <f t="shared" si="4"/>
        <v>1.2857142857142858</v>
      </c>
      <c r="V25" s="4">
        <f t="shared" si="5"/>
        <v>1.4483257046494822</v>
      </c>
      <c r="W25" s="4">
        <f t="shared" si="6"/>
        <v>1.1231028667790894</v>
      </c>
    </row>
    <row r="26" spans="1:23" x14ac:dyDescent="0.25">
      <c r="A26" t="s">
        <v>55</v>
      </c>
      <c r="B26">
        <v>36</v>
      </c>
      <c r="C26">
        <v>18</v>
      </c>
      <c r="D26">
        <v>12</v>
      </c>
      <c r="E26">
        <v>6</v>
      </c>
      <c r="F26">
        <v>42</v>
      </c>
      <c r="G26">
        <v>16</v>
      </c>
      <c r="H26">
        <v>2</v>
      </c>
      <c r="I26">
        <v>2</v>
      </c>
      <c r="J26" s="2" t="s">
        <v>83</v>
      </c>
      <c r="K26" s="2" t="s">
        <v>102</v>
      </c>
      <c r="L26">
        <v>105</v>
      </c>
      <c r="M26">
        <v>97</v>
      </c>
      <c r="N26">
        <v>8</v>
      </c>
      <c r="O26" s="1">
        <v>38079</v>
      </c>
      <c r="P26" t="s">
        <v>20</v>
      </c>
      <c r="Q26">
        <f t="shared" si="0"/>
        <v>8</v>
      </c>
      <c r="R26">
        <f t="shared" si="1"/>
        <v>7</v>
      </c>
      <c r="S26">
        <f t="shared" si="2"/>
        <v>1</v>
      </c>
      <c r="T26">
        <f t="shared" si="3"/>
        <v>17</v>
      </c>
      <c r="U26" s="4">
        <f t="shared" si="4"/>
        <v>1.1666666666666667</v>
      </c>
      <c r="V26" s="4">
        <f t="shared" si="5"/>
        <v>1.314221472737493</v>
      </c>
      <c r="W26" s="4">
        <f t="shared" si="6"/>
        <v>1.0191118605958405</v>
      </c>
    </row>
    <row r="27" spans="1:23" x14ac:dyDescent="0.25">
      <c r="A27" t="s">
        <v>56</v>
      </c>
      <c r="B27">
        <v>36</v>
      </c>
      <c r="C27">
        <v>17</v>
      </c>
      <c r="D27">
        <v>12</v>
      </c>
      <c r="E27">
        <v>7</v>
      </c>
      <c r="F27">
        <v>41</v>
      </c>
      <c r="G27">
        <v>16</v>
      </c>
      <c r="H27">
        <v>1</v>
      </c>
      <c r="I27">
        <v>1</v>
      </c>
      <c r="J27" s="2" t="s">
        <v>103</v>
      </c>
      <c r="K27" s="2" t="s">
        <v>104</v>
      </c>
      <c r="L27">
        <v>98</v>
      </c>
      <c r="M27">
        <v>102</v>
      </c>
      <c r="N27">
        <v>-4</v>
      </c>
      <c r="O27" s="1">
        <v>37379</v>
      </c>
      <c r="P27" t="s">
        <v>45</v>
      </c>
      <c r="Q27">
        <f t="shared" si="0"/>
        <v>10</v>
      </c>
      <c r="R27">
        <f t="shared" si="1"/>
        <v>4</v>
      </c>
      <c r="S27">
        <f t="shared" si="2"/>
        <v>2</v>
      </c>
      <c r="T27">
        <f t="shared" si="3"/>
        <v>22</v>
      </c>
      <c r="U27" s="4">
        <f t="shared" si="4"/>
        <v>1.1388888888888888</v>
      </c>
      <c r="V27" s="4">
        <f t="shared" si="5"/>
        <v>1.2829304852913619</v>
      </c>
      <c r="W27" s="4">
        <f t="shared" si="6"/>
        <v>0.99484729248641557</v>
      </c>
    </row>
    <row r="28" spans="1:23" x14ac:dyDescent="0.25">
      <c r="A28" t="s">
        <v>57</v>
      </c>
      <c r="B28">
        <v>37</v>
      </c>
      <c r="C28">
        <v>19</v>
      </c>
      <c r="D28">
        <v>16</v>
      </c>
      <c r="E28">
        <v>2</v>
      </c>
      <c r="F28">
        <v>40</v>
      </c>
      <c r="G28">
        <v>17</v>
      </c>
      <c r="H28">
        <v>2</v>
      </c>
      <c r="I28">
        <v>1</v>
      </c>
      <c r="J28" s="2" t="s">
        <v>65</v>
      </c>
      <c r="K28" s="2" t="s">
        <v>105</v>
      </c>
      <c r="L28">
        <v>100</v>
      </c>
      <c r="M28">
        <v>106</v>
      </c>
      <c r="N28">
        <v>-6</v>
      </c>
      <c r="O28" s="1">
        <v>36710</v>
      </c>
      <c r="P28" t="s">
        <v>25</v>
      </c>
      <c r="Q28">
        <f t="shared" si="0"/>
        <v>8</v>
      </c>
      <c r="R28">
        <f t="shared" si="1"/>
        <v>9</v>
      </c>
      <c r="S28">
        <f t="shared" si="2"/>
        <v>0</v>
      </c>
      <c r="T28">
        <f t="shared" si="3"/>
        <v>16</v>
      </c>
      <c r="U28" s="4">
        <f t="shared" si="4"/>
        <v>1.0810810810810811</v>
      </c>
      <c r="V28" s="4">
        <f t="shared" si="5"/>
        <v>1.2178114033088738</v>
      </c>
      <c r="W28" s="4">
        <f t="shared" si="6"/>
        <v>0.94435075885328856</v>
      </c>
    </row>
    <row r="29" spans="1:23" x14ac:dyDescent="0.25">
      <c r="A29" t="s">
        <v>58</v>
      </c>
      <c r="B29">
        <v>34</v>
      </c>
      <c r="C29">
        <v>17</v>
      </c>
      <c r="D29">
        <v>13</v>
      </c>
      <c r="E29">
        <v>4</v>
      </c>
      <c r="F29">
        <v>38</v>
      </c>
      <c r="G29">
        <v>16</v>
      </c>
      <c r="H29">
        <v>1</v>
      </c>
      <c r="I29">
        <v>3</v>
      </c>
      <c r="J29" s="2" t="s">
        <v>106</v>
      </c>
      <c r="K29" s="2" t="s">
        <v>107</v>
      </c>
      <c r="L29">
        <v>87</v>
      </c>
      <c r="M29">
        <v>84</v>
      </c>
      <c r="N29">
        <v>3</v>
      </c>
      <c r="O29" s="1">
        <v>37714</v>
      </c>
      <c r="P29" t="s">
        <v>20</v>
      </c>
      <c r="Q29">
        <f t="shared" si="0"/>
        <v>10</v>
      </c>
      <c r="R29">
        <f t="shared" si="1"/>
        <v>4</v>
      </c>
      <c r="S29">
        <f t="shared" si="2"/>
        <v>1</v>
      </c>
      <c r="T29">
        <f t="shared" si="3"/>
        <v>21</v>
      </c>
      <c r="U29" s="4">
        <f t="shared" si="4"/>
        <v>1.1176470588235294</v>
      </c>
      <c r="V29" s="4">
        <f t="shared" si="5"/>
        <v>1.2590020831266739</v>
      </c>
      <c r="W29" s="4">
        <f t="shared" si="6"/>
        <v>0.97629203452038493</v>
      </c>
    </row>
    <row r="30" spans="1:23" x14ac:dyDescent="0.25">
      <c r="A30" t="s">
        <v>59</v>
      </c>
      <c r="B30">
        <v>35</v>
      </c>
      <c r="C30">
        <v>14</v>
      </c>
      <c r="D30">
        <v>18</v>
      </c>
      <c r="E30">
        <v>3</v>
      </c>
      <c r="F30">
        <v>31</v>
      </c>
      <c r="G30">
        <v>11</v>
      </c>
      <c r="H30">
        <v>3</v>
      </c>
      <c r="I30">
        <v>1</v>
      </c>
      <c r="J30" s="2" t="s">
        <v>108</v>
      </c>
      <c r="K30" s="2" t="s">
        <v>99</v>
      </c>
      <c r="L30">
        <v>86</v>
      </c>
      <c r="M30">
        <v>109</v>
      </c>
      <c r="N30">
        <v>-23</v>
      </c>
      <c r="O30" s="1">
        <v>36956</v>
      </c>
      <c r="P30" t="s">
        <v>18</v>
      </c>
      <c r="Q30">
        <f t="shared" si="0"/>
        <v>10</v>
      </c>
      <c r="R30">
        <f t="shared" si="1"/>
        <v>6</v>
      </c>
      <c r="S30">
        <f t="shared" si="2"/>
        <v>2</v>
      </c>
      <c r="T30">
        <f t="shared" si="3"/>
        <v>22</v>
      </c>
      <c r="U30" s="4">
        <f t="shared" si="4"/>
        <v>0.88571428571428568</v>
      </c>
      <c r="V30" s="4">
        <f t="shared" si="5"/>
        <v>0.99773548542519863</v>
      </c>
      <c r="W30" s="4">
        <f t="shared" si="6"/>
        <v>0.77369308600337272</v>
      </c>
    </row>
    <row r="31" spans="1:23" x14ac:dyDescent="0.25">
      <c r="A31" t="s">
        <v>60</v>
      </c>
      <c r="B31">
        <v>35</v>
      </c>
      <c r="C31">
        <v>11</v>
      </c>
      <c r="D31">
        <v>19</v>
      </c>
      <c r="E31">
        <v>5</v>
      </c>
      <c r="F31">
        <v>27</v>
      </c>
      <c r="G31">
        <v>8</v>
      </c>
      <c r="H31">
        <v>3</v>
      </c>
      <c r="I31">
        <v>1</v>
      </c>
      <c r="J31" s="2" t="s">
        <v>109</v>
      </c>
      <c r="K31" s="2" t="s">
        <v>110</v>
      </c>
      <c r="L31">
        <v>77</v>
      </c>
      <c r="M31">
        <v>111</v>
      </c>
      <c r="N31">
        <v>-34</v>
      </c>
      <c r="O31" s="1">
        <v>36956</v>
      </c>
      <c r="P31" t="s">
        <v>61</v>
      </c>
      <c r="Q31">
        <f t="shared" si="0"/>
        <v>6</v>
      </c>
      <c r="R31">
        <f t="shared" si="1"/>
        <v>9</v>
      </c>
      <c r="S31">
        <f t="shared" si="2"/>
        <v>2</v>
      </c>
      <c r="T31">
        <f t="shared" si="3"/>
        <v>14</v>
      </c>
      <c r="U31" s="4">
        <f t="shared" si="4"/>
        <v>0.77142857142857146</v>
      </c>
      <c r="V31" s="4">
        <f t="shared" si="5"/>
        <v>0.86899542278968922</v>
      </c>
      <c r="W31" s="4">
        <f t="shared" si="6"/>
        <v>0.67386172006745371</v>
      </c>
    </row>
    <row r="32" spans="1:23" x14ac:dyDescent="0.25">
      <c r="B32">
        <f>SUM(B2:B31)</f>
        <v>1050</v>
      </c>
      <c r="F32">
        <f>SUM(F2:F31)</f>
        <v>1186</v>
      </c>
      <c r="Q32">
        <f>SUM(Q2:Q31)</f>
        <v>307</v>
      </c>
      <c r="R32">
        <f t="shared" ref="R32:S32" si="7">SUM(R2:R31)</f>
        <v>164</v>
      </c>
      <c r="S32">
        <f t="shared" si="7"/>
        <v>54</v>
      </c>
      <c r="T32">
        <f>SUM(T2:T31)/SUM(Q32:S32)</f>
        <v>1.2723809523809524</v>
      </c>
      <c r="U32" t="s">
        <v>116</v>
      </c>
    </row>
    <row r="33" spans="6:21" x14ac:dyDescent="0.25">
      <c r="F33">
        <f>F32/B32</f>
        <v>1.1295238095238096</v>
      </c>
      <c r="T33">
        <f>F33-(T32-F33)</f>
        <v>0.9866666666666668</v>
      </c>
      <c r="U33" t="s">
        <v>115</v>
      </c>
    </row>
    <row r="34" spans="6:21" x14ac:dyDescent="0.25">
      <c r="T34">
        <f>95/82</f>
        <v>1.1585365853658536</v>
      </c>
      <c r="U3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144" workbookViewId="0">
      <selection activeCell="M172" sqref="M172"/>
    </sheetView>
  </sheetViews>
  <sheetFormatPr defaultRowHeight="15" x14ac:dyDescent="0.25"/>
  <cols>
    <col min="1" max="2" width="12.140625" bestFit="1" customWidth="1"/>
    <col min="3" max="3" width="9.140625" style="2"/>
    <col min="4" max="4" width="7.42578125" style="2" bestFit="1" customWidth="1"/>
    <col min="5" max="5" width="9.28515625" bestFit="1" customWidth="1"/>
    <col min="6" max="6" width="22.5703125" bestFit="1" customWidth="1"/>
    <col min="7" max="7" width="6" bestFit="1" customWidth="1"/>
    <col min="8" max="9" width="3.7109375" style="2" bestFit="1" customWidth="1"/>
    <col min="11" max="11" width="14.28515625" style="4" bestFit="1" customWidth="1"/>
    <col min="12" max="12" width="11.42578125" style="4" bestFit="1" customWidth="1"/>
    <col min="13" max="13" width="12" bestFit="1" customWidth="1"/>
    <col min="14" max="14" width="9.28515625" bestFit="1" customWidth="1"/>
  </cols>
  <sheetData>
    <row r="1" spans="1:9" x14ac:dyDescent="0.25">
      <c r="A1" t="s">
        <v>120</v>
      </c>
      <c r="B1" t="s">
        <v>121</v>
      </c>
      <c r="C1" s="2" t="s">
        <v>122</v>
      </c>
      <c r="D1" s="2" t="s">
        <v>123</v>
      </c>
      <c r="E1" t="s">
        <v>124</v>
      </c>
      <c r="F1" t="s">
        <v>125</v>
      </c>
      <c r="G1" t="s">
        <v>126</v>
      </c>
      <c r="H1" s="2" t="s">
        <v>127</v>
      </c>
      <c r="I1" s="2" t="s">
        <v>128</v>
      </c>
    </row>
    <row r="2" spans="1:9" x14ac:dyDescent="0.25">
      <c r="A2" t="s">
        <v>129</v>
      </c>
      <c r="B2" t="s">
        <v>130</v>
      </c>
      <c r="C2" s="2" t="s">
        <v>3</v>
      </c>
      <c r="D2" s="2" t="s">
        <v>131</v>
      </c>
      <c r="E2" t="s">
        <v>132</v>
      </c>
      <c r="F2" t="s">
        <v>133</v>
      </c>
      <c r="G2" t="s">
        <v>134</v>
      </c>
      <c r="H2" s="2" t="s">
        <v>347</v>
      </c>
      <c r="I2" s="2" t="s">
        <v>348</v>
      </c>
    </row>
    <row r="3" spans="1:9" x14ac:dyDescent="0.25">
      <c r="B3" t="s">
        <v>16</v>
      </c>
      <c r="C3" s="2" t="s">
        <v>365</v>
      </c>
    </row>
    <row r="4" spans="1:9" x14ac:dyDescent="0.25">
      <c r="A4" t="s">
        <v>135</v>
      </c>
      <c r="B4" t="s">
        <v>136</v>
      </c>
      <c r="C4" s="2" t="s">
        <v>2</v>
      </c>
      <c r="D4" s="2" t="s">
        <v>367</v>
      </c>
      <c r="E4" t="s">
        <v>132</v>
      </c>
      <c r="F4" t="s">
        <v>137</v>
      </c>
      <c r="G4" t="s">
        <v>138</v>
      </c>
      <c r="H4" s="2" t="s">
        <v>349</v>
      </c>
      <c r="I4" s="2" t="s">
        <v>350</v>
      </c>
    </row>
    <row r="5" spans="1:9" x14ac:dyDescent="0.25">
      <c r="B5" t="s">
        <v>55</v>
      </c>
      <c r="C5" s="2" t="s">
        <v>366</v>
      </c>
    </row>
    <row r="6" spans="1:9" x14ac:dyDescent="0.25">
      <c r="A6" t="s">
        <v>139</v>
      </c>
      <c r="B6" t="s">
        <v>136</v>
      </c>
      <c r="C6" s="2" t="s">
        <v>3</v>
      </c>
      <c r="D6" s="2" t="s">
        <v>368</v>
      </c>
      <c r="E6" t="s">
        <v>132</v>
      </c>
      <c r="F6" t="s">
        <v>141</v>
      </c>
      <c r="G6" t="s">
        <v>142</v>
      </c>
      <c r="H6" s="2" t="s">
        <v>347</v>
      </c>
      <c r="I6" s="2" t="s">
        <v>351</v>
      </c>
    </row>
    <row r="7" spans="1:9" x14ac:dyDescent="0.25">
      <c r="B7" t="s">
        <v>57</v>
      </c>
      <c r="C7" s="2" t="s">
        <v>140</v>
      </c>
    </row>
    <row r="8" spans="1:9" x14ac:dyDescent="0.25">
      <c r="A8" t="s">
        <v>143</v>
      </c>
      <c r="B8" t="s">
        <v>136</v>
      </c>
      <c r="C8" s="2" t="s">
        <v>3</v>
      </c>
      <c r="D8" s="2" t="s">
        <v>370</v>
      </c>
      <c r="E8" t="s">
        <v>132</v>
      </c>
      <c r="F8" t="s">
        <v>144</v>
      </c>
      <c r="G8" t="s">
        <v>145</v>
      </c>
      <c r="H8" s="2" t="s">
        <v>146</v>
      </c>
      <c r="I8" s="2" t="s">
        <v>352</v>
      </c>
    </row>
    <row r="9" spans="1:9" x14ac:dyDescent="0.25">
      <c r="B9" t="s">
        <v>59</v>
      </c>
      <c r="C9" s="2" t="s">
        <v>369</v>
      </c>
    </row>
    <row r="10" spans="1:9" x14ac:dyDescent="0.25">
      <c r="A10" t="s">
        <v>147</v>
      </c>
      <c r="B10" t="s">
        <v>136</v>
      </c>
      <c r="C10" s="2" t="s">
        <v>3</v>
      </c>
      <c r="D10" s="2" t="s">
        <v>371</v>
      </c>
      <c r="E10" t="s">
        <v>149</v>
      </c>
      <c r="F10" t="s">
        <v>150</v>
      </c>
      <c r="G10" t="s">
        <v>151</v>
      </c>
      <c r="H10" s="2" t="s">
        <v>353</v>
      </c>
      <c r="I10" s="2" t="s">
        <v>354</v>
      </c>
    </row>
    <row r="11" spans="1:9" x14ac:dyDescent="0.25">
      <c r="B11" t="s">
        <v>38</v>
      </c>
      <c r="C11" s="2" t="s">
        <v>148</v>
      </c>
    </row>
    <row r="12" spans="1:9" x14ac:dyDescent="0.25">
      <c r="A12" t="s">
        <v>152</v>
      </c>
      <c r="B12" t="s">
        <v>130</v>
      </c>
      <c r="C12" s="2" t="s">
        <v>3</v>
      </c>
      <c r="D12" s="2" t="s">
        <v>373</v>
      </c>
      <c r="E12" t="s">
        <v>149</v>
      </c>
      <c r="F12" t="s">
        <v>153</v>
      </c>
      <c r="G12" t="s">
        <v>154</v>
      </c>
      <c r="H12" s="2" t="s">
        <v>155</v>
      </c>
      <c r="I12" s="2" t="s">
        <v>348</v>
      </c>
    </row>
    <row r="13" spans="1:9" x14ac:dyDescent="0.25">
      <c r="B13" t="s">
        <v>46</v>
      </c>
      <c r="C13" s="2" t="s">
        <v>372</v>
      </c>
    </row>
    <row r="14" spans="1:9" x14ac:dyDescent="0.25">
      <c r="A14" t="s">
        <v>156</v>
      </c>
      <c r="B14" t="s">
        <v>130</v>
      </c>
      <c r="C14" s="2" t="s">
        <v>2</v>
      </c>
      <c r="D14" s="2" t="s">
        <v>375</v>
      </c>
      <c r="E14" t="s">
        <v>149</v>
      </c>
      <c r="F14" t="s">
        <v>157</v>
      </c>
      <c r="G14" t="s">
        <v>158</v>
      </c>
      <c r="H14" s="2" t="s">
        <v>353</v>
      </c>
      <c r="I14" s="2" t="s">
        <v>355</v>
      </c>
    </row>
    <row r="15" spans="1:9" x14ac:dyDescent="0.25">
      <c r="B15" t="s">
        <v>23</v>
      </c>
      <c r="C15" s="2" t="s">
        <v>374</v>
      </c>
    </row>
    <row r="16" spans="1:9" x14ac:dyDescent="0.25">
      <c r="A16" t="s">
        <v>159</v>
      </c>
      <c r="B16" t="s">
        <v>136</v>
      </c>
      <c r="C16" s="2" t="s">
        <v>2</v>
      </c>
      <c r="D16" s="2" t="s">
        <v>377</v>
      </c>
      <c r="E16" t="s">
        <v>132</v>
      </c>
      <c r="F16" t="s">
        <v>160</v>
      </c>
      <c r="G16" t="s">
        <v>161</v>
      </c>
      <c r="H16" s="2" t="s">
        <v>162</v>
      </c>
      <c r="I16" s="2" t="s">
        <v>351</v>
      </c>
    </row>
    <row r="17" spans="1:9" x14ac:dyDescent="0.25">
      <c r="B17" t="s">
        <v>51</v>
      </c>
      <c r="C17" s="2" t="s">
        <v>376</v>
      </c>
    </row>
    <row r="18" spans="1:9" x14ac:dyDescent="0.25">
      <c r="A18" t="s">
        <v>163</v>
      </c>
      <c r="B18" t="s">
        <v>121</v>
      </c>
      <c r="C18" s="2" t="s">
        <v>122</v>
      </c>
      <c r="D18" s="2" t="s">
        <v>123</v>
      </c>
      <c r="E18" t="s">
        <v>124</v>
      </c>
      <c r="F18" t="s">
        <v>125</v>
      </c>
      <c r="G18" t="s">
        <v>126</v>
      </c>
      <c r="H18" s="2" t="s">
        <v>127</v>
      </c>
      <c r="I18" s="2" t="s">
        <v>128</v>
      </c>
    </row>
    <row r="19" spans="1:9" x14ac:dyDescent="0.25">
      <c r="A19" t="s">
        <v>164</v>
      </c>
      <c r="B19" t="s">
        <v>136</v>
      </c>
      <c r="C19" s="2" t="s">
        <v>2</v>
      </c>
      <c r="D19" s="2" t="s">
        <v>378</v>
      </c>
      <c r="E19" t="s">
        <v>132</v>
      </c>
      <c r="F19" t="s">
        <v>165</v>
      </c>
      <c r="G19" t="s">
        <v>166</v>
      </c>
      <c r="H19" s="2" t="s">
        <v>162</v>
      </c>
      <c r="I19" s="2" t="s">
        <v>162</v>
      </c>
    </row>
    <row r="20" spans="1:9" x14ac:dyDescent="0.25">
      <c r="B20" t="s">
        <v>46</v>
      </c>
      <c r="C20" s="2" t="s">
        <v>369</v>
      </c>
    </row>
    <row r="21" spans="1:9" x14ac:dyDescent="0.25">
      <c r="A21" t="s">
        <v>167</v>
      </c>
      <c r="B21" t="s">
        <v>130</v>
      </c>
      <c r="C21" s="2" t="s">
        <v>3</v>
      </c>
      <c r="D21" s="2" t="s">
        <v>379</v>
      </c>
      <c r="E21" t="s">
        <v>132</v>
      </c>
      <c r="F21" t="s">
        <v>168</v>
      </c>
      <c r="G21" t="s">
        <v>169</v>
      </c>
      <c r="H21" s="2" t="s">
        <v>155</v>
      </c>
      <c r="I21" s="2" t="s">
        <v>170</v>
      </c>
    </row>
    <row r="22" spans="1:9" x14ac:dyDescent="0.25">
      <c r="B22" t="s">
        <v>24</v>
      </c>
      <c r="C22" s="2" t="s">
        <v>369</v>
      </c>
    </row>
    <row r="23" spans="1:9" x14ac:dyDescent="0.25">
      <c r="A23" t="s">
        <v>171</v>
      </c>
      <c r="B23" t="s">
        <v>136</v>
      </c>
      <c r="C23" s="2" t="s">
        <v>2</v>
      </c>
      <c r="D23" s="2" t="s">
        <v>380</v>
      </c>
      <c r="E23" t="s">
        <v>132</v>
      </c>
      <c r="F23" t="s">
        <v>160</v>
      </c>
      <c r="G23" t="s">
        <v>172</v>
      </c>
      <c r="H23" s="2" t="s">
        <v>162</v>
      </c>
      <c r="I23" s="2" t="s">
        <v>356</v>
      </c>
    </row>
    <row r="24" spans="1:9" x14ac:dyDescent="0.25">
      <c r="B24" t="s">
        <v>19</v>
      </c>
      <c r="C24" s="2" t="s">
        <v>369</v>
      </c>
    </row>
    <row r="25" spans="1:9" x14ac:dyDescent="0.25">
      <c r="A25" t="s">
        <v>173</v>
      </c>
      <c r="B25" t="s">
        <v>136</v>
      </c>
      <c r="C25" s="2" t="s">
        <v>3</v>
      </c>
      <c r="D25" s="2" t="s">
        <v>381</v>
      </c>
      <c r="E25" t="s">
        <v>132</v>
      </c>
      <c r="F25" t="s">
        <v>174</v>
      </c>
      <c r="G25" t="s">
        <v>175</v>
      </c>
      <c r="H25" s="2" t="s">
        <v>176</v>
      </c>
      <c r="I25" s="2" t="s">
        <v>357</v>
      </c>
    </row>
    <row r="26" spans="1:9" x14ac:dyDescent="0.25">
      <c r="B26" t="s">
        <v>21</v>
      </c>
      <c r="C26" s="2" t="s">
        <v>372</v>
      </c>
    </row>
    <row r="27" spans="1:9" x14ac:dyDescent="0.25">
      <c r="A27" t="s">
        <v>177</v>
      </c>
      <c r="B27" t="s">
        <v>130</v>
      </c>
      <c r="C27" s="2" t="s">
        <v>3</v>
      </c>
      <c r="D27" s="2" t="s">
        <v>382</v>
      </c>
      <c r="E27" t="s">
        <v>132</v>
      </c>
      <c r="F27" t="s">
        <v>160</v>
      </c>
      <c r="G27" t="s">
        <v>179</v>
      </c>
      <c r="H27" s="2" t="s">
        <v>155</v>
      </c>
      <c r="I27" s="2" t="s">
        <v>358</v>
      </c>
    </row>
    <row r="28" spans="1:9" x14ac:dyDescent="0.25">
      <c r="B28" t="s">
        <v>19</v>
      </c>
      <c r="C28" s="2" t="s">
        <v>178</v>
      </c>
    </row>
    <row r="29" spans="1:9" x14ac:dyDescent="0.25">
      <c r="A29" t="s">
        <v>180</v>
      </c>
      <c r="B29" t="s">
        <v>130</v>
      </c>
      <c r="C29" s="2" t="s">
        <v>3</v>
      </c>
      <c r="D29" s="2" t="s">
        <v>383</v>
      </c>
      <c r="E29" t="s">
        <v>149</v>
      </c>
      <c r="F29" t="s">
        <v>182</v>
      </c>
      <c r="G29" t="s">
        <v>183</v>
      </c>
      <c r="H29" s="2" t="s">
        <v>359</v>
      </c>
      <c r="I29" s="2" t="s">
        <v>351</v>
      </c>
    </row>
    <row r="30" spans="1:9" x14ac:dyDescent="0.25">
      <c r="B30" t="s">
        <v>42</v>
      </c>
      <c r="C30" s="2" t="s">
        <v>181</v>
      </c>
    </row>
    <row r="31" spans="1:9" x14ac:dyDescent="0.25">
      <c r="A31" t="s">
        <v>184</v>
      </c>
      <c r="B31" t="s">
        <v>136</v>
      </c>
      <c r="C31" s="2" t="s">
        <v>3</v>
      </c>
      <c r="D31" s="2" t="s">
        <v>385</v>
      </c>
      <c r="E31" t="s">
        <v>132</v>
      </c>
      <c r="F31" t="s">
        <v>185</v>
      </c>
      <c r="G31" t="s">
        <v>186</v>
      </c>
      <c r="H31" s="2" t="s">
        <v>162</v>
      </c>
      <c r="I31" s="2" t="s">
        <v>360</v>
      </c>
    </row>
    <row r="32" spans="1:9" x14ac:dyDescent="0.25">
      <c r="B32" t="s">
        <v>42</v>
      </c>
      <c r="C32" s="2" t="s">
        <v>384</v>
      </c>
    </row>
    <row r="33" spans="1:9" x14ac:dyDescent="0.25">
      <c r="A33" t="s">
        <v>187</v>
      </c>
      <c r="B33" t="s">
        <v>136</v>
      </c>
      <c r="C33" s="2" t="s">
        <v>3</v>
      </c>
      <c r="D33" s="2" t="s">
        <v>386</v>
      </c>
      <c r="E33" t="s">
        <v>132</v>
      </c>
      <c r="F33" t="s">
        <v>188</v>
      </c>
      <c r="G33" t="s">
        <v>189</v>
      </c>
      <c r="H33" s="2" t="s">
        <v>354</v>
      </c>
      <c r="I33" s="2" t="s">
        <v>162</v>
      </c>
    </row>
    <row r="34" spans="1:9" x14ac:dyDescent="0.25">
      <c r="B34" t="s">
        <v>48</v>
      </c>
      <c r="C34" s="2" t="s">
        <v>365</v>
      </c>
    </row>
    <row r="35" spans="1:9" x14ac:dyDescent="0.25">
      <c r="A35" t="s">
        <v>190</v>
      </c>
      <c r="B35" t="s">
        <v>130</v>
      </c>
      <c r="C35" s="2" t="s">
        <v>3</v>
      </c>
      <c r="D35" s="2" t="s">
        <v>387</v>
      </c>
      <c r="E35" t="s">
        <v>132</v>
      </c>
      <c r="F35" t="s">
        <v>191</v>
      </c>
      <c r="G35" t="s">
        <v>192</v>
      </c>
      <c r="H35" s="2" t="s">
        <v>347</v>
      </c>
      <c r="I35" s="2" t="s">
        <v>361</v>
      </c>
    </row>
    <row r="36" spans="1:9" x14ac:dyDescent="0.25">
      <c r="B36" t="s">
        <v>22</v>
      </c>
      <c r="C36" s="2" t="s">
        <v>365</v>
      </c>
    </row>
    <row r="37" spans="1:9" x14ac:dyDescent="0.25">
      <c r="A37" t="s">
        <v>193</v>
      </c>
      <c r="B37" t="s">
        <v>130</v>
      </c>
      <c r="C37" s="2" t="s">
        <v>2</v>
      </c>
      <c r="D37" s="2" t="s">
        <v>388</v>
      </c>
      <c r="E37" t="s">
        <v>149</v>
      </c>
      <c r="F37" t="s">
        <v>194</v>
      </c>
      <c r="G37" t="s">
        <v>195</v>
      </c>
      <c r="H37" s="2" t="s">
        <v>196</v>
      </c>
      <c r="I37" s="2" t="s">
        <v>359</v>
      </c>
    </row>
    <row r="38" spans="1:9" x14ac:dyDescent="0.25">
      <c r="B38" t="s">
        <v>33</v>
      </c>
      <c r="C38" s="2" t="s">
        <v>178</v>
      </c>
    </row>
    <row r="39" spans="1:9" x14ac:dyDescent="0.25">
      <c r="A39" t="s">
        <v>197</v>
      </c>
      <c r="B39" t="s">
        <v>130</v>
      </c>
      <c r="C39" s="2" t="s">
        <v>2</v>
      </c>
      <c r="D39" s="2" t="s">
        <v>389</v>
      </c>
      <c r="E39" t="s">
        <v>132</v>
      </c>
      <c r="F39" t="s">
        <v>198</v>
      </c>
      <c r="G39" t="s">
        <v>199</v>
      </c>
      <c r="H39" s="2" t="s">
        <v>362</v>
      </c>
      <c r="I39" s="2" t="s">
        <v>348</v>
      </c>
    </row>
    <row r="40" spans="1:9" x14ac:dyDescent="0.25">
      <c r="B40" t="s">
        <v>57</v>
      </c>
      <c r="C40" s="2" t="s">
        <v>384</v>
      </c>
    </row>
    <row r="41" spans="1:9" x14ac:dyDescent="0.25">
      <c r="A41" t="s">
        <v>200</v>
      </c>
      <c r="B41" t="s">
        <v>130</v>
      </c>
      <c r="C41" s="2" t="s">
        <v>3</v>
      </c>
      <c r="D41" s="2" t="s">
        <v>104</v>
      </c>
      <c r="E41" t="s">
        <v>132</v>
      </c>
      <c r="F41" t="s">
        <v>165</v>
      </c>
      <c r="G41" t="s">
        <v>201</v>
      </c>
      <c r="H41" s="2" t="s">
        <v>176</v>
      </c>
      <c r="I41" s="2" t="s">
        <v>348</v>
      </c>
    </row>
    <row r="42" spans="1:9" x14ac:dyDescent="0.25">
      <c r="B42" t="s">
        <v>28</v>
      </c>
      <c r="C42" s="2" t="s">
        <v>178</v>
      </c>
    </row>
    <row r="43" spans="1:9" x14ac:dyDescent="0.25">
      <c r="A43" t="s">
        <v>202</v>
      </c>
      <c r="B43" t="s">
        <v>136</v>
      </c>
      <c r="C43" s="2" t="s">
        <v>3</v>
      </c>
      <c r="D43" s="2" t="s">
        <v>390</v>
      </c>
      <c r="E43" t="s">
        <v>149</v>
      </c>
      <c r="F43" t="s">
        <v>203</v>
      </c>
      <c r="G43" t="s">
        <v>204</v>
      </c>
      <c r="H43" s="2" t="s">
        <v>196</v>
      </c>
      <c r="I43" s="2" t="s">
        <v>356</v>
      </c>
    </row>
    <row r="44" spans="1:9" x14ac:dyDescent="0.25">
      <c r="B44" t="s">
        <v>37</v>
      </c>
      <c r="C44" s="2" t="s">
        <v>376</v>
      </c>
    </row>
    <row r="45" spans="1:9" x14ac:dyDescent="0.25">
      <c r="A45" t="s">
        <v>205</v>
      </c>
      <c r="B45" t="s">
        <v>136</v>
      </c>
      <c r="C45" s="2" t="s">
        <v>2</v>
      </c>
      <c r="D45" s="2" t="s">
        <v>392</v>
      </c>
      <c r="E45" t="s">
        <v>149</v>
      </c>
      <c r="F45" t="s">
        <v>206</v>
      </c>
      <c r="G45" t="s">
        <v>207</v>
      </c>
      <c r="H45" s="2" t="s">
        <v>363</v>
      </c>
      <c r="I45" s="2" t="s">
        <v>353</v>
      </c>
    </row>
    <row r="46" spans="1:9" x14ac:dyDescent="0.25">
      <c r="B46" t="s">
        <v>19</v>
      </c>
      <c r="C46" s="2" t="s">
        <v>391</v>
      </c>
    </row>
    <row r="47" spans="1:9" x14ac:dyDescent="0.25">
      <c r="A47" t="s">
        <v>208</v>
      </c>
      <c r="B47" t="s">
        <v>121</v>
      </c>
      <c r="C47" s="2" t="s">
        <v>122</v>
      </c>
      <c r="D47" s="2" t="s">
        <v>123</v>
      </c>
      <c r="E47" t="s">
        <v>124</v>
      </c>
      <c r="F47" t="s">
        <v>125</v>
      </c>
      <c r="G47" t="s">
        <v>126</v>
      </c>
      <c r="H47" s="2" t="s">
        <v>127</v>
      </c>
      <c r="I47" s="2" t="s">
        <v>128</v>
      </c>
    </row>
    <row r="48" spans="1:9" x14ac:dyDescent="0.25">
      <c r="A48" t="s">
        <v>209</v>
      </c>
      <c r="B48" t="s">
        <v>130</v>
      </c>
      <c r="C48" s="2" t="s">
        <v>2</v>
      </c>
      <c r="D48" s="2" t="s">
        <v>394</v>
      </c>
      <c r="E48" t="s">
        <v>149</v>
      </c>
      <c r="F48" t="s">
        <v>210</v>
      </c>
      <c r="G48" t="s">
        <v>211</v>
      </c>
      <c r="H48" s="2" t="s">
        <v>359</v>
      </c>
      <c r="I48" s="2" t="s">
        <v>155</v>
      </c>
    </row>
    <row r="49" spans="1:9" x14ac:dyDescent="0.25">
      <c r="B49" t="s">
        <v>35</v>
      </c>
      <c r="C49" s="2" t="s">
        <v>393</v>
      </c>
    </row>
    <row r="50" spans="1:9" x14ac:dyDescent="0.25">
      <c r="A50" t="s">
        <v>212</v>
      </c>
      <c r="B50" t="s">
        <v>130</v>
      </c>
      <c r="C50" s="2" t="s">
        <v>3</v>
      </c>
      <c r="D50" s="2" t="s">
        <v>395</v>
      </c>
      <c r="E50" t="s">
        <v>132</v>
      </c>
      <c r="F50" t="s">
        <v>198</v>
      </c>
      <c r="G50" t="s">
        <v>213</v>
      </c>
      <c r="H50" s="2" t="s">
        <v>176</v>
      </c>
      <c r="I50" s="2" t="s">
        <v>348</v>
      </c>
    </row>
    <row r="51" spans="1:9" x14ac:dyDescent="0.25">
      <c r="B51" t="s">
        <v>21</v>
      </c>
      <c r="C51" s="2" t="s">
        <v>369</v>
      </c>
    </row>
    <row r="52" spans="1:9" x14ac:dyDescent="0.25">
      <c r="A52" t="s">
        <v>214</v>
      </c>
      <c r="B52" t="s">
        <v>136</v>
      </c>
      <c r="C52" s="2" t="s">
        <v>3</v>
      </c>
      <c r="D52" s="2" t="s">
        <v>396</v>
      </c>
      <c r="E52" t="s">
        <v>132</v>
      </c>
      <c r="F52" t="s">
        <v>216</v>
      </c>
      <c r="G52" t="s">
        <v>217</v>
      </c>
      <c r="H52" s="2" t="s">
        <v>176</v>
      </c>
      <c r="I52" s="2" t="s">
        <v>364</v>
      </c>
    </row>
    <row r="53" spans="1:9" x14ac:dyDescent="0.25">
      <c r="B53" t="s">
        <v>37</v>
      </c>
      <c r="C53" s="2" t="s">
        <v>215</v>
      </c>
    </row>
    <row r="54" spans="1:9" x14ac:dyDescent="0.25">
      <c r="A54" t="s">
        <v>218</v>
      </c>
      <c r="B54" t="s">
        <v>130</v>
      </c>
      <c r="C54" s="2" t="s">
        <v>2</v>
      </c>
      <c r="D54" s="2" t="s">
        <v>397</v>
      </c>
      <c r="E54" t="s">
        <v>149</v>
      </c>
      <c r="F54" t="s">
        <v>219</v>
      </c>
      <c r="G54" t="s">
        <v>220</v>
      </c>
      <c r="H54" s="2" t="s">
        <v>353</v>
      </c>
      <c r="I54" s="2" t="s">
        <v>353</v>
      </c>
    </row>
    <row r="55" spans="1:9" x14ac:dyDescent="0.25">
      <c r="B55" t="s">
        <v>55</v>
      </c>
      <c r="C55" s="2" t="s">
        <v>140</v>
      </c>
    </row>
    <row r="56" spans="1:9" x14ac:dyDescent="0.25">
      <c r="A56" t="s">
        <v>221</v>
      </c>
      <c r="B56" t="s">
        <v>130</v>
      </c>
      <c r="C56" s="2" t="s">
        <v>3</v>
      </c>
      <c r="D56" s="2" t="s">
        <v>398</v>
      </c>
      <c r="E56" t="s">
        <v>132</v>
      </c>
      <c r="F56" t="s">
        <v>222</v>
      </c>
      <c r="G56" t="s">
        <v>223</v>
      </c>
      <c r="H56" s="2" t="s">
        <v>347</v>
      </c>
      <c r="I56" s="2" t="s">
        <v>361</v>
      </c>
    </row>
    <row r="57" spans="1:9" x14ac:dyDescent="0.25">
      <c r="B57" t="s">
        <v>37</v>
      </c>
      <c r="C57" s="2" t="s">
        <v>365</v>
      </c>
    </row>
    <row r="58" spans="1:9" x14ac:dyDescent="0.25">
      <c r="A58" t="s">
        <v>224</v>
      </c>
      <c r="B58" t="s">
        <v>130</v>
      </c>
      <c r="C58" s="2" t="s">
        <v>2</v>
      </c>
      <c r="D58" s="2" t="s">
        <v>400</v>
      </c>
      <c r="E58" t="s">
        <v>132</v>
      </c>
      <c r="F58" t="s">
        <v>225</v>
      </c>
      <c r="G58" t="s">
        <v>226</v>
      </c>
      <c r="H58" s="2" t="s">
        <v>162</v>
      </c>
      <c r="I58" s="2" t="s">
        <v>170</v>
      </c>
    </row>
    <row r="59" spans="1:9" x14ac:dyDescent="0.25">
      <c r="B59" t="s">
        <v>58</v>
      </c>
      <c r="C59" s="2" t="s">
        <v>399</v>
      </c>
    </row>
    <row r="60" spans="1:9" x14ac:dyDescent="0.25">
      <c r="A60" t="s">
        <v>227</v>
      </c>
      <c r="B60" t="s">
        <v>130</v>
      </c>
      <c r="C60" s="2" t="s">
        <v>2</v>
      </c>
      <c r="D60" s="2" t="s">
        <v>401</v>
      </c>
      <c r="E60" t="s">
        <v>132</v>
      </c>
      <c r="F60" t="s">
        <v>198</v>
      </c>
      <c r="G60" t="s">
        <v>228</v>
      </c>
      <c r="H60" s="2" t="s">
        <v>361</v>
      </c>
      <c r="I60" s="2" t="s">
        <v>162</v>
      </c>
    </row>
    <row r="61" spans="1:9" x14ac:dyDescent="0.25">
      <c r="B61" t="s">
        <v>41</v>
      </c>
      <c r="C61" s="2" t="s">
        <v>215</v>
      </c>
    </row>
    <row r="62" spans="1:9" x14ac:dyDescent="0.25">
      <c r="A62" t="s">
        <v>229</v>
      </c>
      <c r="B62" t="s">
        <v>136</v>
      </c>
      <c r="C62" s="2" t="s">
        <v>3</v>
      </c>
      <c r="D62" s="2" t="s">
        <v>402</v>
      </c>
      <c r="E62" t="s">
        <v>149</v>
      </c>
      <c r="F62" t="s">
        <v>230</v>
      </c>
      <c r="G62" t="s">
        <v>231</v>
      </c>
      <c r="H62" s="2" t="s">
        <v>170</v>
      </c>
      <c r="I62" s="2" t="s">
        <v>350</v>
      </c>
    </row>
    <row r="63" spans="1:9" x14ac:dyDescent="0.25">
      <c r="B63" t="s">
        <v>39</v>
      </c>
      <c r="C63" s="2" t="s">
        <v>178</v>
      </c>
    </row>
    <row r="64" spans="1:9" x14ac:dyDescent="0.25">
      <c r="A64" t="s">
        <v>232</v>
      </c>
      <c r="B64" t="s">
        <v>136</v>
      </c>
      <c r="C64" s="2" t="s">
        <v>3</v>
      </c>
      <c r="D64" s="2" t="s">
        <v>403</v>
      </c>
      <c r="E64" t="s">
        <v>132</v>
      </c>
      <c r="F64" t="s">
        <v>233</v>
      </c>
      <c r="G64" t="s">
        <v>234</v>
      </c>
      <c r="H64" s="2" t="s">
        <v>361</v>
      </c>
      <c r="I64" s="2" t="s">
        <v>356</v>
      </c>
    </row>
    <row r="65" spans="1:14" x14ac:dyDescent="0.25">
      <c r="B65" t="s">
        <v>23</v>
      </c>
      <c r="C65" s="2" t="s">
        <v>148</v>
      </c>
    </row>
    <row r="66" spans="1:14" x14ac:dyDescent="0.25">
      <c r="A66" t="s">
        <v>235</v>
      </c>
      <c r="B66" t="s">
        <v>130</v>
      </c>
      <c r="C66" s="2" t="s">
        <v>3</v>
      </c>
      <c r="D66" s="2" t="s">
        <v>404</v>
      </c>
      <c r="E66" t="s">
        <v>132</v>
      </c>
      <c r="F66" t="s">
        <v>198</v>
      </c>
      <c r="G66" t="s">
        <v>236</v>
      </c>
      <c r="H66" s="2" t="s">
        <v>155</v>
      </c>
      <c r="I66" s="2" t="s">
        <v>355</v>
      </c>
    </row>
    <row r="67" spans="1:14" x14ac:dyDescent="0.25">
      <c r="B67" t="s">
        <v>39</v>
      </c>
      <c r="C67" s="2" t="s">
        <v>376</v>
      </c>
    </row>
    <row r="68" spans="1:14" x14ac:dyDescent="0.25">
      <c r="A68" t="s">
        <v>237</v>
      </c>
      <c r="B68" t="s">
        <v>136</v>
      </c>
      <c r="C68" s="2" t="s">
        <v>3</v>
      </c>
      <c r="D68" s="2" t="s">
        <v>406</v>
      </c>
      <c r="E68" t="s">
        <v>149</v>
      </c>
      <c r="F68" t="s">
        <v>238</v>
      </c>
      <c r="G68" t="s">
        <v>239</v>
      </c>
      <c r="H68" s="2" t="s">
        <v>155</v>
      </c>
      <c r="I68" s="2" t="s">
        <v>359</v>
      </c>
    </row>
    <row r="69" spans="1:14" x14ac:dyDescent="0.25">
      <c r="B69" t="s">
        <v>41</v>
      </c>
      <c r="C69" s="2" t="s">
        <v>405</v>
      </c>
    </row>
    <row r="70" spans="1:14" x14ac:dyDescent="0.25">
      <c r="A70" t="s">
        <v>240</v>
      </c>
      <c r="B70" t="s">
        <v>136</v>
      </c>
      <c r="C70" s="2" t="s">
        <v>2</v>
      </c>
      <c r="D70" s="2" t="s">
        <v>241</v>
      </c>
      <c r="E70" t="s">
        <v>132</v>
      </c>
      <c r="F70" t="s">
        <v>168</v>
      </c>
      <c r="G70" t="s">
        <v>242</v>
      </c>
      <c r="H70" s="2" t="s">
        <v>361</v>
      </c>
      <c r="I70" s="2" t="s">
        <v>359</v>
      </c>
    </row>
    <row r="71" spans="1:14" x14ac:dyDescent="0.25">
      <c r="B71" t="s">
        <v>28</v>
      </c>
      <c r="C71" s="2" t="s">
        <v>393</v>
      </c>
    </row>
    <row r="72" spans="1:14" x14ac:dyDescent="0.25">
      <c r="A72" t="s">
        <v>208</v>
      </c>
      <c r="B72" t="s">
        <v>121</v>
      </c>
      <c r="C72" s="2" t="s">
        <v>243</v>
      </c>
      <c r="D72" s="2" t="s">
        <v>244</v>
      </c>
      <c r="E72" t="s">
        <v>245</v>
      </c>
      <c r="F72" t="s">
        <v>246</v>
      </c>
      <c r="J72" t="s">
        <v>420</v>
      </c>
      <c r="K72" s="4" t="s">
        <v>431</v>
      </c>
      <c r="L72" s="4" t="s">
        <v>432</v>
      </c>
      <c r="M72" t="s">
        <v>433</v>
      </c>
      <c r="N72" t="s">
        <v>434</v>
      </c>
    </row>
    <row r="73" spans="1:14" x14ac:dyDescent="0.25">
      <c r="A73" t="s">
        <v>247</v>
      </c>
      <c r="B73" t="s">
        <v>130</v>
      </c>
      <c r="C73" s="2" t="s">
        <v>407</v>
      </c>
      <c r="E73" t="s">
        <v>248</v>
      </c>
      <c r="F73" t="s">
        <v>249</v>
      </c>
      <c r="J73">
        <f>IF(B73="vs", 23, 22)</f>
        <v>23</v>
      </c>
    </row>
    <row r="74" spans="1:14" x14ac:dyDescent="0.25">
      <c r="B74" t="s">
        <v>21</v>
      </c>
      <c r="J74" t="str">
        <f>B74</f>
        <v>Boston</v>
      </c>
      <c r="K74" s="4">
        <f>VLOOKUP(J74,Standings!$A:$W,J73,FALSE)</f>
        <v>0.94435075885328856</v>
      </c>
      <c r="L74" s="4">
        <f>$K$170/K74*$K$171</f>
        <v>1.4569479148285387</v>
      </c>
      <c r="N74" s="4"/>
    </row>
    <row r="75" spans="1:14" x14ac:dyDescent="0.25">
      <c r="A75" t="s">
        <v>250</v>
      </c>
      <c r="B75" t="s">
        <v>136</v>
      </c>
      <c r="C75" s="2" t="s">
        <v>408</v>
      </c>
      <c r="E75" t="s">
        <v>248</v>
      </c>
      <c r="F75" t="s">
        <v>251</v>
      </c>
      <c r="J75">
        <f t="shared" ref="J75" si="0">IF(B75="vs", 23, 22)</f>
        <v>22</v>
      </c>
    </row>
    <row r="76" spans="1:14" x14ac:dyDescent="0.25">
      <c r="B76" t="s">
        <v>21</v>
      </c>
      <c r="J76" t="str">
        <f t="shared" ref="J76" si="1">B76</f>
        <v>Boston</v>
      </c>
      <c r="K76" s="4">
        <f>VLOOKUP(J76,Standings!$A:$W,J75,FALSE)</f>
        <v>1.2178114033088738</v>
      </c>
      <c r="L76" s="4">
        <f t="shared" ref="L76" si="2">$K$170/K76*$K$171</f>
        <v>1.1297889519179392</v>
      </c>
      <c r="N76" s="4"/>
    </row>
    <row r="77" spans="1:14" x14ac:dyDescent="0.25">
      <c r="A77" t="s">
        <v>252</v>
      </c>
      <c r="B77" t="s">
        <v>136</v>
      </c>
      <c r="C77" s="2" t="s">
        <v>407</v>
      </c>
      <c r="D77" s="2" t="s">
        <v>253</v>
      </c>
      <c r="F77" t="s">
        <v>254</v>
      </c>
      <c r="J77">
        <f t="shared" ref="J77" si="3">IF(B77="vs", 23, 22)</f>
        <v>22</v>
      </c>
    </row>
    <row r="78" spans="1:14" x14ac:dyDescent="0.25">
      <c r="B78" t="s">
        <v>35</v>
      </c>
      <c r="J78" t="str">
        <f t="shared" ref="J78" si="4">B78</f>
        <v>NY Rangers</v>
      </c>
      <c r="K78" s="4">
        <f>VLOOKUP(J78,Standings!$A:$W,J77,FALSE)</f>
        <v>1.4918189690533703</v>
      </c>
      <c r="L78" s="4">
        <f t="shared" ref="L78" si="5">$K$170/K78*$K$171</f>
        <v>0.92227669544321556</v>
      </c>
      <c r="N78" s="4"/>
    </row>
    <row r="79" spans="1:14" x14ac:dyDescent="0.25">
      <c r="A79" t="s">
        <v>255</v>
      </c>
      <c r="B79" t="s">
        <v>136</v>
      </c>
      <c r="C79" s="2" t="s">
        <v>409</v>
      </c>
      <c r="D79" s="2" t="s">
        <v>253</v>
      </c>
      <c r="F79" t="s">
        <v>256</v>
      </c>
      <c r="J79">
        <f t="shared" ref="J79" si="6">IF(B79="vs", 23, 22)</f>
        <v>22</v>
      </c>
    </row>
    <row r="80" spans="1:14" x14ac:dyDescent="0.25">
      <c r="B80" t="s">
        <v>43</v>
      </c>
      <c r="J80" t="str">
        <f t="shared" ref="J80" si="7">B80</f>
        <v>Chicago</v>
      </c>
      <c r="K80" s="4">
        <f>VLOOKUP(J80,Standings!$A:$W,J79,FALSE)</f>
        <v>1.4918189690533703</v>
      </c>
      <c r="L80" s="4">
        <f t="shared" ref="L80" si="8">$K$170/K80*$K$171</f>
        <v>0.92227669544321556</v>
      </c>
      <c r="N80" s="4"/>
    </row>
    <row r="81" spans="1:14" x14ac:dyDescent="0.25">
      <c r="A81" t="s">
        <v>257</v>
      </c>
      <c r="B81" t="s">
        <v>130</v>
      </c>
      <c r="C81" s="2" t="s">
        <v>408</v>
      </c>
      <c r="E81" t="s">
        <v>248</v>
      </c>
      <c r="F81" t="s">
        <v>258</v>
      </c>
      <c r="J81">
        <f t="shared" ref="J81" si="9">IF(B81="vs", 23, 22)</f>
        <v>23</v>
      </c>
    </row>
    <row r="82" spans="1:14" x14ac:dyDescent="0.25">
      <c r="B82" t="s">
        <v>51</v>
      </c>
      <c r="J82" t="str">
        <f t="shared" ref="J82" si="10">B82</f>
        <v>Winnipeg</v>
      </c>
      <c r="K82" s="4">
        <f>VLOOKUP(J82,Standings!$A:$W,J81,FALSE)</f>
        <v>0.87352445193929174</v>
      </c>
      <c r="L82" s="4">
        <f t="shared" ref="L82" si="11">$K$170/K82*$K$171</f>
        <v>1.575078826841664</v>
      </c>
      <c r="N82" s="4"/>
    </row>
    <row r="83" spans="1:14" x14ac:dyDescent="0.25">
      <c r="A83" t="s">
        <v>259</v>
      </c>
      <c r="B83" t="s">
        <v>130</v>
      </c>
      <c r="C83" s="2" t="s">
        <v>407</v>
      </c>
      <c r="E83" t="s">
        <v>248</v>
      </c>
      <c r="F83" t="s">
        <v>260</v>
      </c>
      <c r="J83">
        <f t="shared" ref="J83" si="12">IF(B83="vs", 23, 22)</f>
        <v>23</v>
      </c>
    </row>
    <row r="84" spans="1:14" x14ac:dyDescent="0.25">
      <c r="B84" t="s">
        <v>38</v>
      </c>
      <c r="J84" t="str">
        <f t="shared" ref="J84" si="13">B84</f>
        <v>Philadelphia</v>
      </c>
      <c r="K84" s="4">
        <f>VLOOKUP(J84,Standings!$A:$W,J83,FALSE)</f>
        <v>1.0676409968146903</v>
      </c>
      <c r="L84" s="4">
        <f t="shared" ref="L84" si="14">$K$170/K84*$K$171</f>
        <v>1.2887008583249975</v>
      </c>
      <c r="N84" s="4"/>
    </row>
    <row r="85" spans="1:14" x14ac:dyDescent="0.25">
      <c r="A85" t="s">
        <v>261</v>
      </c>
      <c r="B85" t="s">
        <v>136</v>
      </c>
      <c r="C85" s="2" t="s">
        <v>410</v>
      </c>
      <c r="E85" t="s">
        <v>248</v>
      </c>
      <c r="F85" t="s">
        <v>262</v>
      </c>
      <c r="J85">
        <f t="shared" ref="J85" si="15">IF(B85="vs", 23, 22)</f>
        <v>22</v>
      </c>
    </row>
    <row r="86" spans="1:14" x14ac:dyDescent="0.25">
      <c r="B86" t="s">
        <v>22</v>
      </c>
      <c r="J86" t="str">
        <f t="shared" ref="J86" si="16">B86</f>
        <v>Tampa Bay</v>
      </c>
      <c r="K86" s="4">
        <f>VLOOKUP(J86,Standings!$A:$W,J85,FALSE)</f>
        <v>1.1908455793784629</v>
      </c>
      <c r="L86" s="4">
        <f t="shared" ref="L86" si="17">$K$170/K86*$K$171</f>
        <v>1.1553721933419392</v>
      </c>
      <c r="N86" s="4"/>
    </row>
    <row r="87" spans="1:14" x14ac:dyDescent="0.25">
      <c r="A87" t="s">
        <v>263</v>
      </c>
      <c r="B87" t="s">
        <v>136</v>
      </c>
      <c r="C87" s="2" t="s">
        <v>410</v>
      </c>
      <c r="E87" t="s">
        <v>248</v>
      </c>
      <c r="F87" t="s">
        <v>264</v>
      </c>
      <c r="J87">
        <f t="shared" ref="J87" si="18">IF(B87="vs", 23, 22)</f>
        <v>22</v>
      </c>
    </row>
    <row r="88" spans="1:14" x14ac:dyDescent="0.25">
      <c r="B88" t="s">
        <v>39</v>
      </c>
      <c r="J88" t="str">
        <f t="shared" ref="J88" si="19">B88</f>
        <v>Carolina</v>
      </c>
      <c r="K88" s="4">
        <f>VLOOKUP(J88,Standings!$A:$W,J87,FALSE)</f>
        <v>1.2630180387347334</v>
      </c>
      <c r="L88" s="4">
        <f t="shared" ref="L88" si="20">$K$170/K88*$K$171</f>
        <v>1.0893509251509712</v>
      </c>
      <c r="N88" s="4"/>
    </row>
    <row r="89" spans="1:14" x14ac:dyDescent="0.25">
      <c r="A89" t="s">
        <v>265</v>
      </c>
      <c r="B89" t="s">
        <v>130</v>
      </c>
      <c r="C89" s="2" t="s">
        <v>408</v>
      </c>
      <c r="E89" t="s">
        <v>248</v>
      </c>
      <c r="F89" t="s">
        <v>266</v>
      </c>
      <c r="J89">
        <f t="shared" ref="J89" si="21">IF(B89="vs", 23, 22)</f>
        <v>23</v>
      </c>
    </row>
    <row r="90" spans="1:14" x14ac:dyDescent="0.25">
      <c r="B90" t="s">
        <v>50</v>
      </c>
      <c r="J90" t="str">
        <f t="shared" ref="J90" si="22">B90</f>
        <v>Dallas</v>
      </c>
      <c r="K90" s="4">
        <f>VLOOKUP(J90,Standings!$A:$W,J89,FALSE)</f>
        <v>0.89778902004871652</v>
      </c>
      <c r="L90" s="4">
        <f t="shared" ref="L90" si="23">$K$170/K90*$K$171</f>
        <v>1.5325091288189161</v>
      </c>
      <c r="N90" s="4"/>
    </row>
    <row r="91" spans="1:14" x14ac:dyDescent="0.25">
      <c r="A91" t="s">
        <v>267</v>
      </c>
      <c r="B91" t="s">
        <v>136</v>
      </c>
      <c r="C91" s="2" t="s">
        <v>410</v>
      </c>
      <c r="E91" t="s">
        <v>248</v>
      </c>
      <c r="F91" t="s">
        <v>268</v>
      </c>
      <c r="J91">
        <f t="shared" ref="J91" si="24">IF(B91="vs", 23, 22)</f>
        <v>22</v>
      </c>
    </row>
    <row r="92" spans="1:14" x14ac:dyDescent="0.25">
      <c r="B92" t="s">
        <v>24</v>
      </c>
      <c r="J92" t="str">
        <f t="shared" ref="J92" si="25">B92</f>
        <v>Toronto</v>
      </c>
      <c r="K92" s="4">
        <f>VLOOKUP(J92,Standings!$A:$W,J91,FALSE)</f>
        <v>1.1947467933977207</v>
      </c>
      <c r="L92" s="4">
        <f t="shared" ref="L92" si="26">$K$170/K92*$K$171</f>
        <v>1.1515995494453126</v>
      </c>
      <c r="N92" s="4"/>
    </row>
    <row r="93" spans="1:14" x14ac:dyDescent="0.25">
      <c r="A93" t="s">
        <v>269</v>
      </c>
      <c r="B93" t="s">
        <v>130</v>
      </c>
      <c r="C93" s="2" t="s">
        <v>407</v>
      </c>
      <c r="E93" t="s">
        <v>248</v>
      </c>
      <c r="F93" t="s">
        <v>270</v>
      </c>
      <c r="J93">
        <f t="shared" ref="J93" si="27">IF(B93="vs", 23, 22)</f>
        <v>23</v>
      </c>
    </row>
    <row r="94" spans="1:14" x14ac:dyDescent="0.25">
      <c r="B94" t="s">
        <v>28</v>
      </c>
      <c r="J94" t="str">
        <f t="shared" ref="J94" si="28">B94</f>
        <v>Detroit</v>
      </c>
      <c r="K94" s="4">
        <f>VLOOKUP(J94,Standings!$A:$W,J93,FALSE)</f>
        <v>0.84856661045531201</v>
      </c>
      <c r="L94" s="4">
        <f t="shared" ref="L94" si="29">$K$170/K94*$K$171</f>
        <v>1.621404674689948</v>
      </c>
      <c r="N94" s="4"/>
    </row>
    <row r="95" spans="1:14" x14ac:dyDescent="0.25">
      <c r="A95" t="s">
        <v>271</v>
      </c>
      <c r="B95" t="s">
        <v>136</v>
      </c>
      <c r="C95" s="2" t="s">
        <v>407</v>
      </c>
      <c r="E95" t="s">
        <v>248</v>
      </c>
      <c r="F95" t="s">
        <v>272</v>
      </c>
      <c r="J95">
        <f t="shared" ref="J95" si="30">IF(B95="vs", 23, 22)</f>
        <v>22</v>
      </c>
    </row>
    <row r="96" spans="1:14" x14ac:dyDescent="0.25">
      <c r="B96" t="s">
        <v>16</v>
      </c>
      <c r="J96" t="str">
        <f t="shared" ref="J96" si="31">B96</f>
        <v>Montreal</v>
      </c>
      <c r="K96" s="4">
        <f>VLOOKUP(J96,Standings!$A:$W,J95,FALSE)</f>
        <v>1.5240551532586053</v>
      </c>
      <c r="L96" s="4">
        <f t="shared" ref="L96" si="32">$K$170/K96*$K$171</f>
        <v>0.90276908026345304</v>
      </c>
      <c r="N96" s="4"/>
    </row>
    <row r="97" spans="1:14" x14ac:dyDescent="0.25">
      <c r="A97" t="s">
        <v>273</v>
      </c>
      <c r="B97" t="s">
        <v>136</v>
      </c>
      <c r="C97" s="2" t="s">
        <v>411</v>
      </c>
      <c r="D97" s="2" t="s">
        <v>274</v>
      </c>
      <c r="E97" t="s">
        <v>248</v>
      </c>
      <c r="F97" t="s">
        <v>275</v>
      </c>
      <c r="J97">
        <f t="shared" ref="J97" si="33">IF(B97="vs", 23, 22)</f>
        <v>22</v>
      </c>
    </row>
    <row r="98" spans="1:14" x14ac:dyDescent="0.25">
      <c r="B98" t="s">
        <v>52</v>
      </c>
      <c r="J98" t="str">
        <f t="shared" ref="J98" si="34">B98</f>
        <v>Nashville</v>
      </c>
      <c r="K98" s="4">
        <f>VLOOKUP(J98,Standings!$A:$W,J97,FALSE)</f>
        <v>1.1927388155936911</v>
      </c>
      <c r="L98" s="4">
        <f t="shared" ref="L98" si="35">$K$170/K98*$K$171</f>
        <v>1.1535382692255234</v>
      </c>
      <c r="N98" s="4"/>
    </row>
    <row r="99" spans="1:14" x14ac:dyDescent="0.25">
      <c r="A99" t="s">
        <v>276</v>
      </c>
      <c r="B99" t="s">
        <v>136</v>
      </c>
      <c r="C99" s="2" t="s">
        <v>409</v>
      </c>
      <c r="E99" t="s">
        <v>248</v>
      </c>
      <c r="F99" t="s">
        <v>277</v>
      </c>
      <c r="J99">
        <f t="shared" ref="J99" si="36">IF(B99="vs", 23, 22)</f>
        <v>22</v>
      </c>
    </row>
    <row r="100" spans="1:14" x14ac:dyDescent="0.25">
      <c r="B100" t="s">
        <v>50</v>
      </c>
      <c r="J100" t="str">
        <f t="shared" ref="J100" si="37">B100</f>
        <v>Dallas</v>
      </c>
      <c r="K100" s="4">
        <f>VLOOKUP(J100,Standings!$A:$W,J99,FALSE)</f>
        <v>1.1577665355068389</v>
      </c>
      <c r="L100" s="4">
        <f t="shared" ref="L100" si="38">$K$170/K100*$K$171</f>
        <v>1.1883828274374231</v>
      </c>
      <c r="M100">
        <f>VLOOKUP($J100,LatestStandings!$A:$W,$J99,FALSE)</f>
        <v>1.0866970866970866</v>
      </c>
      <c r="N100" s="4">
        <f t="shared" ref="N100" si="39">MIN(2,$M$170/M100*$M$171)</f>
        <v>1.3079361287654387</v>
      </c>
    </row>
    <row r="101" spans="1:14" x14ac:dyDescent="0.25">
      <c r="A101" t="s">
        <v>278</v>
      </c>
      <c r="B101" t="s">
        <v>136</v>
      </c>
      <c r="C101" s="2" t="s">
        <v>410</v>
      </c>
      <c r="E101" t="s">
        <v>248</v>
      </c>
      <c r="F101" t="s">
        <v>279</v>
      </c>
      <c r="J101">
        <f t="shared" ref="J101" si="40">IF(B101="vs", 23, 22)</f>
        <v>22</v>
      </c>
    </row>
    <row r="102" spans="1:14" x14ac:dyDescent="0.25">
      <c r="B102" t="s">
        <v>16</v>
      </c>
      <c r="J102" t="str">
        <f t="shared" ref="J102" si="41">B102</f>
        <v>Montreal</v>
      </c>
      <c r="K102" s="4">
        <f>VLOOKUP(J102,Standings!$A:$W,J101,FALSE)</f>
        <v>1.5240551532586053</v>
      </c>
      <c r="L102" s="4">
        <f t="shared" ref="L102" si="42">$K$170/K102*$K$171</f>
        <v>0.90276908026345304</v>
      </c>
      <c r="M102">
        <f>VLOOKUP($J102,LatestStandings!$A:$W,$J101,FALSE)</f>
        <v>1.4715689715689715</v>
      </c>
      <c r="N102" s="4">
        <f t="shared" ref="N102" si="43">MIN(2,$M$170/M102*$M$171)</f>
        <v>0.96586052585755466</v>
      </c>
    </row>
    <row r="103" spans="1:14" x14ac:dyDescent="0.25">
      <c r="A103" t="s">
        <v>280</v>
      </c>
      <c r="B103" t="s">
        <v>130</v>
      </c>
      <c r="C103" s="2" t="s">
        <v>407</v>
      </c>
      <c r="D103" s="2" t="s">
        <v>253</v>
      </c>
      <c r="F103" t="s">
        <v>281</v>
      </c>
      <c r="J103">
        <f t="shared" ref="J103" si="44">IF(B103="vs", 23, 22)</f>
        <v>23</v>
      </c>
    </row>
    <row r="104" spans="1:14" x14ac:dyDescent="0.25">
      <c r="B104" t="s">
        <v>35</v>
      </c>
      <c r="J104" t="str">
        <f t="shared" ref="J104" si="45">B104</f>
        <v>NY Rangers</v>
      </c>
      <c r="K104" s="4">
        <f>VLOOKUP(J104,Standings!$A:$W,J103,FALSE)</f>
        <v>1.1568296795952782</v>
      </c>
      <c r="L104" s="4">
        <f t="shared" ref="L104" si="46">$K$170/K104*$K$171</f>
        <v>1.1893452365947259</v>
      </c>
      <c r="M104">
        <f>VLOOKUP($J104,LatestStandings!$A:$W,$J103,FALSE)</f>
        <v>1.1689957002457003</v>
      </c>
      <c r="N104" s="4">
        <f t="shared" ref="N104" si="47">MIN(2,$M$170/M104*$M$171)</f>
        <v>1.2158559526066106</v>
      </c>
    </row>
    <row r="105" spans="1:14" x14ac:dyDescent="0.25">
      <c r="A105" t="s">
        <v>282</v>
      </c>
      <c r="B105" t="s">
        <v>130</v>
      </c>
      <c r="C105" s="2" t="s">
        <v>407</v>
      </c>
      <c r="E105" t="s">
        <v>248</v>
      </c>
      <c r="F105" t="s">
        <v>283</v>
      </c>
      <c r="J105">
        <f t="shared" ref="J105" si="48">IF(B105="vs", 23, 22)</f>
        <v>23</v>
      </c>
    </row>
    <row r="106" spans="1:14" x14ac:dyDescent="0.25">
      <c r="B106" t="s">
        <v>19</v>
      </c>
      <c r="J106" t="str">
        <f t="shared" ref="J106" si="49">B106</f>
        <v>Ottawa</v>
      </c>
      <c r="K106" s="4">
        <f>VLOOKUP(J106,Standings!$A:$W,J105,FALSE)</f>
        <v>1.07318718381113</v>
      </c>
      <c r="L106" s="4">
        <f t="shared" ref="L106" si="50">$K$170/K106*$K$171</f>
        <v>1.2820409055687962</v>
      </c>
      <c r="M106">
        <f>VLOOKUP($J106,LatestStandings!$A:$W,$J105,FALSE)</f>
        <v>1.10364811451768</v>
      </c>
      <c r="N106" s="4">
        <f t="shared" ref="N106" si="51">MIN(2,$M$170/M106*$M$171)</f>
        <v>1.2878474234846335</v>
      </c>
    </row>
    <row r="107" spans="1:14" x14ac:dyDescent="0.25">
      <c r="A107" t="s">
        <v>284</v>
      </c>
      <c r="B107" t="s">
        <v>136</v>
      </c>
      <c r="C107" s="2" t="s">
        <v>407</v>
      </c>
      <c r="E107" t="s">
        <v>248</v>
      </c>
      <c r="F107" t="s">
        <v>285</v>
      </c>
      <c r="J107">
        <f t="shared" ref="J107" si="52">IF(B107="vs", 23, 22)</f>
        <v>22</v>
      </c>
    </row>
    <row r="108" spans="1:14" x14ac:dyDescent="0.25">
      <c r="B108" t="s">
        <v>42</v>
      </c>
      <c r="J108" t="str">
        <f t="shared" ref="J108" si="53">B108</f>
        <v>New Jersey</v>
      </c>
      <c r="K108" s="4">
        <f>VLOOKUP(J108,Standings!$A:$W,J107,FALSE)</f>
        <v>1.0621055167429534</v>
      </c>
      <c r="L108" s="4">
        <f t="shared" ref="L108" si="54">$K$170/K108*$K$171</f>
        <v>1.2954173076864166</v>
      </c>
      <c r="M108">
        <f>VLOOKUP($J108,LatestStandings!$A:$W,$J107,FALSE)</f>
        <v>1.1093366093366093</v>
      </c>
      <c r="N108" s="4">
        <f t="shared" ref="N108" si="55">MIN(2,$M$170/M108*$M$171)</f>
        <v>1.2812435547090013</v>
      </c>
    </row>
    <row r="109" spans="1:14" x14ac:dyDescent="0.25">
      <c r="A109" t="s">
        <v>286</v>
      </c>
      <c r="B109" t="s">
        <v>130</v>
      </c>
      <c r="C109" s="2" t="s">
        <v>407</v>
      </c>
      <c r="E109" t="s">
        <v>248</v>
      </c>
      <c r="F109" t="s">
        <v>287</v>
      </c>
      <c r="J109">
        <f t="shared" ref="J109" si="56">IF(B109="vs", 23, 22)</f>
        <v>23</v>
      </c>
    </row>
    <row r="110" spans="1:14" x14ac:dyDescent="0.25">
      <c r="B110" t="s">
        <v>54</v>
      </c>
      <c r="J110" t="str">
        <f t="shared" ref="J110" si="57">B110</f>
        <v>San Jose</v>
      </c>
      <c r="K110" s="4">
        <f>VLOOKUP(J110,Standings!$A:$W,J109,FALSE)</f>
        <v>1.1231028667790894</v>
      </c>
      <c r="L110" s="4">
        <f t="shared" ref="L110" si="58">$K$170/K110*$K$171</f>
        <v>1.2250613097657383</v>
      </c>
      <c r="M110">
        <f>VLOOKUP($J110,LatestStandings!$A:$W,$J109,FALSE)</f>
        <v>1.1633154490297348</v>
      </c>
      <c r="N110" s="4">
        <f t="shared" ref="N110" si="59">MIN(2,$M$170/M110*$M$171)</f>
        <v>1.2217927492501974</v>
      </c>
    </row>
    <row r="111" spans="1:14" x14ac:dyDescent="0.25">
      <c r="A111" t="s">
        <v>288</v>
      </c>
      <c r="B111" t="s">
        <v>130</v>
      </c>
      <c r="C111" s="2" t="s">
        <v>407</v>
      </c>
      <c r="E111" t="s">
        <v>248</v>
      </c>
      <c r="F111" t="s">
        <v>289</v>
      </c>
      <c r="J111">
        <f t="shared" ref="J111" si="60">IF(B111="vs", 23, 22)</f>
        <v>23</v>
      </c>
    </row>
    <row r="112" spans="1:14" x14ac:dyDescent="0.25">
      <c r="B112" t="s">
        <v>56</v>
      </c>
      <c r="J112" t="str">
        <f t="shared" ref="J112" si="61">B112</f>
        <v>Anaheim</v>
      </c>
      <c r="K112" s="4">
        <f>VLOOKUP(J112,Standings!$A:$W,J111,FALSE)</f>
        <v>0.99484729248641557</v>
      </c>
      <c r="L112" s="4">
        <f t="shared" ref="L112" si="62">$K$170/K112*$K$171</f>
        <v>1.3829960430804853</v>
      </c>
      <c r="M112">
        <f>VLOOKUP($J112,LatestStandings!$A:$W,$J111,FALSE)</f>
        <v>1.1222358722358723</v>
      </c>
      <c r="N112" s="4">
        <f t="shared" ref="N112" si="63">MIN(2,$M$170/M112*$M$171)</f>
        <v>1.2665166172985527</v>
      </c>
    </row>
    <row r="113" spans="1:14" x14ac:dyDescent="0.25">
      <c r="A113" t="s">
        <v>290</v>
      </c>
      <c r="B113" t="s">
        <v>136</v>
      </c>
      <c r="C113" s="2" t="s">
        <v>407</v>
      </c>
      <c r="E113" t="s">
        <v>248</v>
      </c>
      <c r="F113" t="s">
        <v>291</v>
      </c>
      <c r="J113">
        <f t="shared" ref="J113" si="64">IF(B113="vs", 23, 22)</f>
        <v>22</v>
      </c>
    </row>
    <row r="114" spans="1:14" x14ac:dyDescent="0.25">
      <c r="B114" t="s">
        <v>24</v>
      </c>
      <c r="J114" t="str">
        <f t="shared" ref="J114" si="65">B114</f>
        <v>Toronto</v>
      </c>
      <c r="K114" s="4">
        <f>VLOOKUP(J114,Standings!$A:$W,J113,FALSE)</f>
        <v>1.1947467933977207</v>
      </c>
      <c r="L114" s="4">
        <f t="shared" ref="L114" si="66">$K$170/K114*$K$171</f>
        <v>1.1515995494453126</v>
      </c>
      <c r="M114">
        <f>VLOOKUP($J114,LatestStandings!$A:$W,$J113,FALSE)</f>
        <v>1.3065520065520067</v>
      </c>
      <c r="N114" s="4">
        <f t="shared" ref="N114" si="67">MIN(2,$M$170/M114*$M$171)</f>
        <v>1.0878483011680198</v>
      </c>
    </row>
    <row r="115" spans="1:14" x14ac:dyDescent="0.25">
      <c r="A115" t="s">
        <v>292</v>
      </c>
      <c r="B115" t="s">
        <v>130</v>
      </c>
      <c r="C115" s="2" t="s">
        <v>410</v>
      </c>
      <c r="E115" t="s">
        <v>248</v>
      </c>
      <c r="F115" t="s">
        <v>293</v>
      </c>
      <c r="J115">
        <f t="shared" ref="J115" si="68">IF(B115="vs", 23, 22)</f>
        <v>23</v>
      </c>
    </row>
    <row r="116" spans="1:14" x14ac:dyDescent="0.25">
      <c r="B116" t="s">
        <v>59</v>
      </c>
      <c r="J116" t="str">
        <f t="shared" ref="J116" si="69">B116</f>
        <v>Vancouver</v>
      </c>
      <c r="K116" s="4">
        <f>VLOOKUP(J116,Standings!$A:$W,J115,FALSE)</f>
        <v>0.77369308600337272</v>
      </c>
      <c r="L116" s="4">
        <f t="shared" ref="L116" si="70">$K$170/K116*$K$171</f>
        <v>1.7783148044986528</v>
      </c>
      <c r="M116">
        <f>VLOOKUP($J116,LatestStandings!$A:$W,$J115,FALSE)</f>
        <v>0.92777436527436552</v>
      </c>
      <c r="N116" s="4">
        <f t="shared" ref="N116" si="71">MIN(2,$M$170/M116*$M$171)</f>
        <v>1.5319785002843289</v>
      </c>
    </row>
    <row r="117" spans="1:14" x14ac:dyDescent="0.25">
      <c r="A117" t="s">
        <v>294</v>
      </c>
      <c r="B117" t="s">
        <v>136</v>
      </c>
      <c r="C117" s="2" t="s">
        <v>410</v>
      </c>
      <c r="E117" t="s">
        <v>248</v>
      </c>
      <c r="F117" t="s">
        <v>295</v>
      </c>
      <c r="J117">
        <f t="shared" ref="J117" si="72">IF(B117="vs", 23, 22)</f>
        <v>22</v>
      </c>
    </row>
    <row r="118" spans="1:14" x14ac:dyDescent="0.25">
      <c r="B118" t="s">
        <v>19</v>
      </c>
      <c r="J118" t="str">
        <f t="shared" ref="J118" si="73">B118</f>
        <v>Ottawa</v>
      </c>
      <c r="K118" s="4">
        <f>VLOOKUP(J118,Standings!$A:$W,J117,FALSE)</f>
        <v>1.3839556733317273</v>
      </c>
      <c r="L118" s="4">
        <f t="shared" ref="L118" si="74">$K$170/K118*$K$171</f>
        <v>0.99415746868957555</v>
      </c>
      <c r="M118">
        <f>VLOOKUP($J118,LatestStandings!$A:$W,$J117,FALSE)</f>
        <v>1.3746127550475378</v>
      </c>
      <c r="N118" s="4">
        <f t="shared" ref="N118" si="75">MIN(2,$M$170/M118*$M$171)</f>
        <v>1.033986026607264</v>
      </c>
    </row>
    <row r="119" spans="1:14" x14ac:dyDescent="0.25">
      <c r="A119" t="s">
        <v>296</v>
      </c>
      <c r="B119" s="6" t="s">
        <v>130</v>
      </c>
      <c r="C119" s="2" t="s">
        <v>407</v>
      </c>
      <c r="D119" s="2" t="s">
        <v>253</v>
      </c>
      <c r="F119" t="s">
        <v>297</v>
      </c>
      <c r="J119">
        <f t="shared" ref="J119" si="76">IF(B119="vs", 23, 22)</f>
        <v>23</v>
      </c>
    </row>
    <row r="120" spans="1:14" x14ac:dyDescent="0.25">
      <c r="B120" s="6" t="s">
        <v>53</v>
      </c>
      <c r="J120" t="str">
        <f t="shared" ref="J120" si="77">B120</f>
        <v>Colorado</v>
      </c>
      <c r="K120" s="4">
        <f>VLOOKUP(J120,Standings!$A:$W,J119,FALSE)</f>
        <v>0.64229739113183226</v>
      </c>
      <c r="L120" s="4">
        <f t="shared" ref="L120" si="78">$K$170/K120*$K$171</f>
        <v>2.1421072045046627</v>
      </c>
      <c r="M120">
        <f>VLOOKUP($J120,LatestStandings!$A:$W,$J119,FALSE)</f>
        <v>0.5541905541905543</v>
      </c>
      <c r="N120" s="4">
        <f t="shared" ref="N120" si="79">MIN(2,$M$170/M120*$M$171)</f>
        <v>2</v>
      </c>
    </row>
    <row r="121" spans="1:14" x14ac:dyDescent="0.25">
      <c r="A121" t="s">
        <v>298</v>
      </c>
      <c r="B121" s="6" t="s">
        <v>130</v>
      </c>
      <c r="C121" s="2" t="s">
        <v>408</v>
      </c>
      <c r="E121" t="s">
        <v>248</v>
      </c>
      <c r="F121" t="s">
        <v>299</v>
      </c>
      <c r="J121">
        <f t="shared" ref="J121" si="80">IF(B121="vs", 23, 22)</f>
        <v>23</v>
      </c>
    </row>
    <row r="122" spans="1:14" x14ac:dyDescent="0.25">
      <c r="B122" s="6" t="s">
        <v>48</v>
      </c>
      <c r="J122" t="str">
        <f t="shared" ref="J122" si="81">B122</f>
        <v>St. Louis</v>
      </c>
      <c r="K122" s="4">
        <f>VLOOKUP(J122,Standings!$A:$W,J121,FALSE)</f>
        <v>1.0232715008431705</v>
      </c>
      <c r="L122" s="4">
        <f t="shared" ref="L122" si="82">$K$170/K122*$K$171</f>
        <v>1.3445794863282494</v>
      </c>
      <c r="M122">
        <f>VLOOKUP($J122,LatestStandings!$A:$W,$J121,FALSE)</f>
        <v>0.98344082719082748</v>
      </c>
      <c r="N122" s="4">
        <f t="shared" ref="N122" si="83">MIN(2,$M$170/M122*$M$171)</f>
        <v>1.4452627361172914</v>
      </c>
    </row>
    <row r="123" spans="1:14" x14ac:dyDescent="0.25">
      <c r="A123" t="s">
        <v>300</v>
      </c>
      <c r="B123" s="6" t="s">
        <v>130</v>
      </c>
      <c r="C123" s="2" t="s">
        <v>412</v>
      </c>
      <c r="D123" s="2" t="s">
        <v>253</v>
      </c>
      <c r="F123" t="s">
        <v>301</v>
      </c>
      <c r="J123">
        <f t="shared" ref="J123" si="84">IF(B123="vs", 23, 22)</f>
        <v>23</v>
      </c>
    </row>
    <row r="124" spans="1:14" x14ac:dyDescent="0.25">
      <c r="B124" s="6" t="s">
        <v>43</v>
      </c>
      <c r="J124" t="str">
        <f t="shared" ref="J124" si="85">B124</f>
        <v>Chicago</v>
      </c>
      <c r="K124" s="4">
        <f>VLOOKUP(J124,Standings!$A:$W,J123,FALSE)</f>
        <v>1.1568296795952782</v>
      </c>
      <c r="L124" s="4">
        <f t="shared" ref="L124" si="86">$K$170/K124*$K$171</f>
        <v>1.1893452365947259</v>
      </c>
      <c r="M124">
        <f>VLOOKUP($J124,LatestStandings!$A:$W,$J123,FALSE)</f>
        <v>1.157862407862408</v>
      </c>
      <c r="N124" s="4">
        <f t="shared" ref="N124" si="87">MIN(2,$M$170/M124*$M$171)</f>
        <v>1.227546875227828</v>
      </c>
    </row>
    <row r="125" spans="1:14" x14ac:dyDescent="0.25">
      <c r="A125" t="s">
        <v>302</v>
      </c>
      <c r="B125" s="6" t="s">
        <v>136</v>
      </c>
      <c r="C125" s="2" t="s">
        <v>413</v>
      </c>
      <c r="E125" t="s">
        <v>248</v>
      </c>
      <c r="F125" t="s">
        <v>303</v>
      </c>
      <c r="J125">
        <f t="shared" ref="J125" si="88">IF(B125="vs", 23, 22)</f>
        <v>22</v>
      </c>
    </row>
    <row r="126" spans="1:14" x14ac:dyDescent="0.25">
      <c r="B126" s="6" t="s">
        <v>53</v>
      </c>
      <c r="J126" t="str">
        <f t="shared" ref="J126" si="89">B126</f>
        <v>Colorado</v>
      </c>
      <c r="K126" s="4">
        <f>VLOOKUP(J126,Standings!$A:$W,J125,FALSE)</f>
        <v>0.82829084416228549</v>
      </c>
      <c r="L126" s="4">
        <f t="shared" ref="L126" si="90">$K$170/K126*$K$171</f>
        <v>1.6610951076847538</v>
      </c>
      <c r="M126">
        <f>VLOOKUP($J126,LatestStandings!$A:$W,$J125,FALSE)</f>
        <v>0.69025389025389039</v>
      </c>
      <c r="N126" s="4">
        <f t="shared" ref="N126" si="91">MIN(2,$M$170/M126*$M$171)</f>
        <v>2</v>
      </c>
    </row>
    <row r="127" spans="1:14" x14ac:dyDescent="0.25">
      <c r="A127" t="s">
        <v>304</v>
      </c>
      <c r="B127" s="6" t="s">
        <v>136</v>
      </c>
      <c r="C127" s="2" t="s">
        <v>409</v>
      </c>
      <c r="E127" t="s">
        <v>248</v>
      </c>
      <c r="F127" t="s">
        <v>305</v>
      </c>
      <c r="J127">
        <f t="shared" ref="J127" si="92">IF(B127="vs", 23, 22)</f>
        <v>22</v>
      </c>
    </row>
    <row r="128" spans="1:14" x14ac:dyDescent="0.25">
      <c r="B128" s="6" t="s">
        <v>60</v>
      </c>
      <c r="J128" t="str">
        <f t="shared" ref="J128" si="93">B128</f>
        <v>Arizona</v>
      </c>
      <c r="K128" s="4">
        <f>VLOOKUP(J128,Standings!$A:$W,J127,FALSE)</f>
        <v>0.86899542278968922</v>
      </c>
      <c r="L128" s="4">
        <f t="shared" ref="L128" si="94">$K$170/K128*$K$171</f>
        <v>1.5832878205056202</v>
      </c>
      <c r="M128">
        <f>VLOOKUP($J128,LatestStandings!$A:$W,$J127,FALSE)</f>
        <v>0.84970463693867959</v>
      </c>
      <c r="N128" s="4">
        <f t="shared" ref="N128" si="95">MIN(2,$M$170/M128*$M$171)</f>
        <v>1.6727346408700845</v>
      </c>
    </row>
    <row r="129" spans="1:14" x14ac:dyDescent="0.25">
      <c r="A129" t="s">
        <v>306</v>
      </c>
      <c r="B129" s="6" t="s">
        <v>130</v>
      </c>
      <c r="C129" s="2" t="s">
        <v>407</v>
      </c>
      <c r="E129" t="s">
        <v>248</v>
      </c>
      <c r="F129" t="s">
        <v>307</v>
      </c>
      <c r="J129">
        <f t="shared" ref="J129" si="96">IF(B129="vs", 23, 22)</f>
        <v>23</v>
      </c>
    </row>
    <row r="130" spans="1:14" x14ac:dyDescent="0.25">
      <c r="B130" s="6" t="s">
        <v>52</v>
      </c>
      <c r="J130" t="str">
        <f t="shared" ref="J130" si="97">B130</f>
        <v>Nashville</v>
      </c>
      <c r="K130" s="4">
        <f>VLOOKUP(J130,Standings!$A:$W,J129,FALSE)</f>
        <v>0.92490824322983833</v>
      </c>
      <c r="L130" s="4">
        <f t="shared" ref="L130" si="98">$K$170/K130*$K$171</f>
        <v>1.4875744475726826</v>
      </c>
      <c r="M130">
        <f>VLOOKUP($J130,LatestStandings!$A:$W,$J129,FALSE)</f>
        <v>1.0019963144963147</v>
      </c>
      <c r="N130" s="4">
        <f t="shared" ref="N130" si="99">MIN(2,$M$170/M130*$M$171)</f>
        <v>1.4184986113743789</v>
      </c>
    </row>
    <row r="131" spans="1:14" x14ac:dyDescent="0.25">
      <c r="A131" t="s">
        <v>308</v>
      </c>
      <c r="B131" s="6" t="s">
        <v>130</v>
      </c>
      <c r="C131" s="2" t="s">
        <v>407</v>
      </c>
      <c r="E131" t="s">
        <v>248</v>
      </c>
      <c r="F131" t="s">
        <v>309</v>
      </c>
      <c r="J131">
        <f t="shared" ref="J131" si="100">IF(B131="vs", 23, 22)</f>
        <v>23</v>
      </c>
    </row>
    <row r="132" spans="1:14" x14ac:dyDescent="0.25">
      <c r="B132" s="6" t="s">
        <v>60</v>
      </c>
      <c r="J132" t="str">
        <f t="shared" ref="J132" si="101">B132</f>
        <v>Arizona</v>
      </c>
      <c r="K132" s="4">
        <f>VLOOKUP(J132,Standings!$A:$W,J131,FALSE)</f>
        <v>0.67386172006745371</v>
      </c>
      <c r="L132" s="4">
        <f t="shared" ref="L132" si="102">$K$170/K132*$K$171</f>
        <v>2.0417688496095643</v>
      </c>
      <c r="M132">
        <f>VLOOKUP($J132,LatestStandings!$A:$W,$J131,FALSE)</f>
        <v>0.6822102566783419</v>
      </c>
      <c r="N132" s="4">
        <f t="shared" ref="N132" si="103">MIN(2,$M$170/M132*$M$171)</f>
        <v>2</v>
      </c>
    </row>
    <row r="133" spans="1:14" x14ac:dyDescent="0.25">
      <c r="A133" t="s">
        <v>310</v>
      </c>
      <c r="B133" s="6" t="s">
        <v>130</v>
      </c>
      <c r="C133" s="2" t="s">
        <v>407</v>
      </c>
      <c r="E133" t="s">
        <v>248</v>
      </c>
      <c r="F133" t="s">
        <v>311</v>
      </c>
      <c r="J133">
        <f t="shared" ref="J133" si="104">IF(B133="vs", 23, 22)</f>
        <v>23</v>
      </c>
    </row>
    <row r="134" spans="1:14" x14ac:dyDescent="0.25">
      <c r="B134" s="6" t="s">
        <v>22</v>
      </c>
      <c r="J134" t="str">
        <f t="shared" ref="J134" si="105">B134</f>
        <v>Tampa Bay</v>
      </c>
      <c r="K134" s="4">
        <f>VLOOKUP(J134,Standings!$A:$W,J133,FALSE)</f>
        <v>0.9234401349072513</v>
      </c>
      <c r="L134" s="4">
        <f t="shared" ref="L134" si="106">$K$170/K134*$K$171</f>
        <v>1.4899394307961686</v>
      </c>
      <c r="M134">
        <f>VLOOKUP($J134,LatestStandings!$A:$W,$J133,FALSE)</f>
        <v>0.89066339066339084</v>
      </c>
      <c r="N134" s="4">
        <f t="shared" ref="N134" si="107">MIN(2,$M$170/M134*$M$171)</f>
        <v>1.5958109377961762</v>
      </c>
    </row>
    <row r="135" spans="1:14" x14ac:dyDescent="0.25">
      <c r="A135" t="s">
        <v>312</v>
      </c>
      <c r="B135" t="s">
        <v>136</v>
      </c>
      <c r="C135" s="2" t="s">
        <v>414</v>
      </c>
      <c r="E135" t="s">
        <v>248</v>
      </c>
      <c r="F135" t="s">
        <v>313</v>
      </c>
      <c r="J135">
        <f t="shared" ref="J135" si="108">IF(B135="vs", 23, 22)</f>
        <v>22</v>
      </c>
    </row>
    <row r="136" spans="1:14" x14ac:dyDescent="0.25">
      <c r="B136" t="s">
        <v>33</v>
      </c>
      <c r="J136" t="str">
        <f t="shared" ref="J136" si="109">B136</f>
        <v>Pittsburgh</v>
      </c>
      <c r="K136" s="4">
        <f>VLOOKUP(J136,Standings!$A:$W,J135,FALSE)</f>
        <v>1.59584035975267</v>
      </c>
      <c r="L136" s="4">
        <f t="shared" ref="L136" si="110">$K$170/K136*$K$171</f>
        <v>0.86216009049381681</v>
      </c>
      <c r="M136">
        <f>VLOOKUP($J136,LatestStandings!$A:$W,$J135,FALSE)</f>
        <v>1.5341889278059493</v>
      </c>
      <c r="N136" s="4">
        <f t="shared" ref="N136" si="111">MIN(2,$M$170/M136*$M$171)</f>
        <v>0.92643764725112365</v>
      </c>
    </row>
    <row r="137" spans="1:14" x14ac:dyDescent="0.25">
      <c r="A137" t="s">
        <v>314</v>
      </c>
      <c r="B137" t="s">
        <v>130</v>
      </c>
      <c r="C137" s="2" t="s">
        <v>407</v>
      </c>
      <c r="D137" s="2" t="s">
        <v>253</v>
      </c>
      <c r="F137" t="s">
        <v>315</v>
      </c>
      <c r="J137">
        <f t="shared" ref="J137" si="112">IF(B137="vs", 23, 22)</f>
        <v>23</v>
      </c>
    </row>
    <row r="138" spans="1:14" x14ac:dyDescent="0.25">
      <c r="B138" t="s">
        <v>38</v>
      </c>
      <c r="J138" t="str">
        <f t="shared" ref="J138" si="113">B138</f>
        <v>Philadelphia</v>
      </c>
      <c r="K138" s="4">
        <f>VLOOKUP(J138,Standings!$A:$W,J137,FALSE)</f>
        <v>1.0676409968146903</v>
      </c>
      <c r="L138" s="4">
        <f t="shared" ref="L138" si="114">$K$170/K138*$K$171</f>
        <v>1.2887008583249975</v>
      </c>
      <c r="M138">
        <f>VLOOKUP($J138,LatestStandings!$A:$W,$J137,FALSE)</f>
        <v>0.96488533988533998</v>
      </c>
      <c r="N138" s="4">
        <f t="shared" ref="N138" si="115">MIN(2,$M$170/M138*$M$171)</f>
        <v>1.4730562502733935</v>
      </c>
    </row>
    <row r="139" spans="1:14" x14ac:dyDescent="0.25">
      <c r="A139" t="s">
        <v>316</v>
      </c>
      <c r="B139" t="s">
        <v>136</v>
      </c>
      <c r="C139" s="2" t="s">
        <v>407</v>
      </c>
      <c r="E139" t="s">
        <v>248</v>
      </c>
      <c r="F139" t="s">
        <v>317</v>
      </c>
      <c r="J139">
        <f t="shared" ref="J139" si="116">IF(B139="vs", 23, 22)</f>
        <v>22</v>
      </c>
    </row>
    <row r="140" spans="1:14" x14ac:dyDescent="0.25">
      <c r="B140" t="s">
        <v>29</v>
      </c>
      <c r="J140" t="str">
        <f t="shared" ref="J140" si="117">B140</f>
        <v>Columbus</v>
      </c>
      <c r="K140" s="4">
        <f>VLOOKUP(J140,Standings!$A:$W,J139,FALSE)</f>
        <v>1.775052378762328</v>
      </c>
      <c r="L140" s="4">
        <f t="shared" ref="L140" si="118">$K$170/K140*$K$171</f>
        <v>0.7751150813574218</v>
      </c>
      <c r="M140">
        <f>VLOOKUP($J140,LatestStandings!$A:$W,$J139,FALSE)</f>
        <v>1.6049976475508392</v>
      </c>
      <c r="N140" s="4">
        <f t="shared" ref="N140" si="119">MIN(2,$M$170/M140*$M$171)</f>
        <v>0.88556539810769186</v>
      </c>
    </row>
    <row r="141" spans="1:14" x14ac:dyDescent="0.25">
      <c r="A141" t="s">
        <v>318</v>
      </c>
      <c r="B141" t="s">
        <v>130</v>
      </c>
      <c r="C141" s="2" t="s">
        <v>407</v>
      </c>
      <c r="E141" t="s">
        <v>248</v>
      </c>
      <c r="F141" t="s">
        <v>319</v>
      </c>
      <c r="J141">
        <f t="shared" ref="J141" si="120">IF(B141="vs", 23, 22)</f>
        <v>23</v>
      </c>
    </row>
    <row r="142" spans="1:14" x14ac:dyDescent="0.25">
      <c r="B142" t="s">
        <v>29</v>
      </c>
      <c r="J142" t="str">
        <f t="shared" ref="J142" si="121">B142</f>
        <v>Columbus</v>
      </c>
      <c r="K142" s="4">
        <f>VLOOKUP(J142,Standings!$A:$W,J141,FALSE)</f>
        <v>1.3764627727528234</v>
      </c>
      <c r="L142" s="4">
        <f t="shared" ref="L142" si="122">$K$170/K142*$K$171</f>
        <v>0.99956925549567133</v>
      </c>
      <c r="M142">
        <f>VLOOKUP($J142,LatestStandings!$A:$W,$J141,FALSE)</f>
        <v>1.288619373725757</v>
      </c>
      <c r="N142" s="4">
        <f t="shared" ref="N142" si="123">MIN(2,$M$170/M142*$M$171)</f>
        <v>1.1029869717120628</v>
      </c>
    </row>
    <row r="143" spans="1:14" x14ac:dyDescent="0.25">
      <c r="A143" t="s">
        <v>320</v>
      </c>
      <c r="B143" t="s">
        <v>136</v>
      </c>
      <c r="C143" s="2" t="s">
        <v>415</v>
      </c>
      <c r="E143" t="s">
        <v>248</v>
      </c>
      <c r="F143" t="s">
        <v>321</v>
      </c>
      <c r="J143">
        <f t="shared" ref="J143" si="124">IF(B143="vs", 23, 22)</f>
        <v>22</v>
      </c>
    </row>
    <row r="144" spans="1:14" x14ac:dyDescent="0.25">
      <c r="B144" t="s">
        <v>54</v>
      </c>
      <c r="J144" t="str">
        <f t="shared" ref="J144" si="125">B144</f>
        <v>San Jose</v>
      </c>
      <c r="K144" s="4">
        <f>VLOOKUP(J144,Standings!$A:$W,J143,FALSE)</f>
        <v>1.4483257046494822</v>
      </c>
      <c r="L144" s="4">
        <f t="shared" ref="L144" si="126">$K$170/K144*$K$171</f>
        <v>0.94997269230337211</v>
      </c>
      <c r="M144">
        <f>VLOOKUP($J144,LatestStandings!$A:$W,$J143,FALSE)</f>
        <v>1.4489294489294489</v>
      </c>
      <c r="N144" s="4">
        <f t="shared" ref="N144" si="127">MIN(2,$M$170/M144*$M$171)</f>
        <v>0.980952096574079</v>
      </c>
    </row>
    <row r="145" spans="1:14" x14ac:dyDescent="0.25">
      <c r="A145" t="s">
        <v>322</v>
      </c>
      <c r="B145" t="s">
        <v>136</v>
      </c>
      <c r="C145" s="2" t="s">
        <v>415</v>
      </c>
      <c r="E145" t="s">
        <v>248</v>
      </c>
      <c r="F145" t="s">
        <v>323</v>
      </c>
      <c r="J145">
        <f t="shared" ref="J145" si="128">IF(B145="vs", 23, 22)</f>
        <v>22</v>
      </c>
    </row>
    <row r="146" spans="1:14" x14ac:dyDescent="0.25">
      <c r="B146" t="s">
        <v>58</v>
      </c>
      <c r="J146" t="str">
        <f t="shared" ref="J146" si="129">B146</f>
        <v>Los Angeles</v>
      </c>
      <c r="K146" s="4">
        <f>VLOOKUP(J146,Standings!$A:$W,J145,FALSE)</f>
        <v>1.2590020831266739</v>
      </c>
      <c r="L146" s="4">
        <f t="shared" ref="L146" si="130">$K$170/K146*$K$171</f>
        <v>1.0928257287399694</v>
      </c>
      <c r="M146">
        <f>VLOOKUP($J146,LatestStandings!$A:$W,$J145,FALSE)</f>
        <v>1.1555589680589682</v>
      </c>
      <c r="N146" s="4">
        <f t="shared" ref="N146" si="131">MIN(2,$M$170/M146*$M$171)</f>
        <v>1.2299938125206409</v>
      </c>
    </row>
    <row r="147" spans="1:14" x14ac:dyDescent="0.25">
      <c r="A147" t="s">
        <v>324</v>
      </c>
      <c r="B147" t="s">
        <v>136</v>
      </c>
      <c r="C147" s="2" t="s">
        <v>413</v>
      </c>
      <c r="E147" t="s">
        <v>248</v>
      </c>
      <c r="F147" t="s">
        <v>325</v>
      </c>
      <c r="J147">
        <f t="shared" ref="J147" si="132">IF(B147="vs", 23, 22)</f>
        <v>22</v>
      </c>
    </row>
    <row r="148" spans="1:14" x14ac:dyDescent="0.25">
      <c r="B148" t="s">
        <v>56</v>
      </c>
      <c r="J148" t="str">
        <f t="shared" ref="J148" si="133">B148</f>
        <v>Anaheim</v>
      </c>
      <c r="K148" s="4">
        <f>VLOOKUP(J148,Standings!$A:$W,J147,FALSE)</f>
        <v>1.2829304852913619</v>
      </c>
      <c r="L148" s="4">
        <f t="shared" ref="L148" si="134">$K$170/K148*$K$171</f>
        <v>1.0724430393947479</v>
      </c>
      <c r="M148">
        <f>VLOOKUP($J148,LatestStandings!$A:$W,$J147,FALSE)</f>
        <v>1.3977641277641277</v>
      </c>
      <c r="N148" s="4">
        <f t="shared" ref="N148" si="135">MIN(2,$M$170/M148*$M$171)</f>
        <v>1.0168599640547629</v>
      </c>
    </row>
    <row r="149" spans="1:14" x14ac:dyDescent="0.25">
      <c r="A149" t="s">
        <v>326</v>
      </c>
      <c r="B149" t="s">
        <v>136</v>
      </c>
      <c r="C149" s="2" t="s">
        <v>410</v>
      </c>
      <c r="D149" s="2" t="s">
        <v>253</v>
      </c>
      <c r="F149" t="s">
        <v>327</v>
      </c>
      <c r="J149">
        <f t="shared" ref="J149" si="136">IF(B149="vs", 23, 22)</f>
        <v>22</v>
      </c>
    </row>
    <row r="150" spans="1:14" x14ac:dyDescent="0.25">
      <c r="B150" t="s">
        <v>28</v>
      </c>
      <c r="J150" t="str">
        <f t="shared" ref="J150" si="137">B150</f>
        <v>Detroit</v>
      </c>
      <c r="K150" s="4">
        <f>VLOOKUP(J150,Standings!$A:$W,J149,FALSE)</f>
        <v>1.0942905324018308</v>
      </c>
      <c r="L150" s="4">
        <f t="shared" ref="L150" si="138">$K$170/K150*$K$171</f>
        <v>1.2573167986368161</v>
      </c>
      <c r="M150">
        <f>VLOOKUP($J150,LatestStandings!$A:$W,$J149,FALSE)</f>
        <v>1.1324477886977886</v>
      </c>
      <c r="N150" s="4">
        <f t="shared" ref="N150" si="139">MIN(2,$M$170/M150*$M$171)</f>
        <v>1.2550957270618786</v>
      </c>
    </row>
    <row r="151" spans="1:14" x14ac:dyDescent="0.25">
      <c r="A151" t="s">
        <v>328</v>
      </c>
      <c r="B151" t="s">
        <v>130</v>
      </c>
      <c r="C151" s="2" t="s">
        <v>407</v>
      </c>
      <c r="E151" t="s">
        <v>248</v>
      </c>
      <c r="F151" t="s">
        <v>329</v>
      </c>
      <c r="J151">
        <f t="shared" ref="J151" si="140">IF(B151="vs", 23, 22)</f>
        <v>23</v>
      </c>
    </row>
    <row r="152" spans="1:14" x14ac:dyDescent="0.25">
      <c r="B152" t="s">
        <v>33</v>
      </c>
      <c r="J152" t="str">
        <f t="shared" ref="J152" si="141">B152</f>
        <v>Pittsburgh</v>
      </c>
      <c r="K152" s="4">
        <f>VLOOKUP(J152,Standings!$A:$W,J151,FALSE)</f>
        <v>1.2374929735806635</v>
      </c>
      <c r="L152" s="4">
        <f t="shared" ref="L152" si="142">$K$170/K152*$K$171</f>
        <v>1.1118203483588214</v>
      </c>
      <c r="M152">
        <f>VLOOKUP($J152,LatestStandings!$A:$W,$J151,FALSE)</f>
        <v>1.2317685190025618</v>
      </c>
      <c r="N152" s="4">
        <f t="shared" ref="N152" si="143">MIN(2,$M$170/M152*$M$171)</f>
        <v>1.1538940627141583</v>
      </c>
    </row>
    <row r="153" spans="1:14" x14ac:dyDescent="0.25">
      <c r="A153" t="s">
        <v>330</v>
      </c>
      <c r="B153" t="s">
        <v>130</v>
      </c>
      <c r="C153" s="2" t="s">
        <v>407</v>
      </c>
      <c r="E153" t="s">
        <v>248</v>
      </c>
      <c r="F153" t="s">
        <v>331</v>
      </c>
      <c r="J153">
        <f t="shared" ref="J153" si="144">IF(B153="vs", 23, 22)</f>
        <v>23</v>
      </c>
    </row>
    <row r="154" spans="1:14" x14ac:dyDescent="0.25">
      <c r="B154" t="s">
        <v>24</v>
      </c>
      <c r="J154" t="str">
        <f t="shared" ref="J154" si="145">B154</f>
        <v>Toronto</v>
      </c>
      <c r="K154" s="4">
        <f>VLOOKUP(J154,Standings!$A:$W,J153,FALSE)</f>
        <v>0.92646532781440039</v>
      </c>
      <c r="L154" s="4">
        <f t="shared" ref="L154" si="146">$K$170/K154*$K$171</f>
        <v>1.4850743224507117</v>
      </c>
      <c r="M154">
        <f>VLOOKUP($J154,LatestStandings!$A:$W,$J153,FALSE)</f>
        <v>1.0490035490035492</v>
      </c>
      <c r="N154" s="4">
        <f t="shared" ref="N154" si="147">MIN(2,$M$170/M154*$M$171)</f>
        <v>1.3549338151099608</v>
      </c>
    </row>
    <row r="155" spans="1:14" x14ac:dyDescent="0.25">
      <c r="A155" t="s">
        <v>332</v>
      </c>
      <c r="B155" t="s">
        <v>130</v>
      </c>
      <c r="C155" s="2" t="s">
        <v>407</v>
      </c>
      <c r="E155" t="s">
        <v>248</v>
      </c>
      <c r="F155" t="s">
        <v>333</v>
      </c>
      <c r="J155">
        <f t="shared" ref="J155" si="148">IF(B155="vs", 23, 22)</f>
        <v>23</v>
      </c>
    </row>
    <row r="156" spans="1:14" x14ac:dyDescent="0.25">
      <c r="B156" t="s">
        <v>23</v>
      </c>
      <c r="J156" t="str">
        <f t="shared" ref="J156" si="149">B156</f>
        <v>Florida</v>
      </c>
      <c r="K156" s="4">
        <f>VLOOKUP(J156,Standings!$A:$W,J155,FALSE)</f>
        <v>0.89848229342327157</v>
      </c>
      <c r="L156" s="4">
        <f t="shared" ref="L156" si="150">$K$170/K156*$K$171</f>
        <v>1.5313266372071732</v>
      </c>
      <c r="M156">
        <f>VLOOKUP($J156,LatestStandings!$A:$W,$J155,FALSE)</f>
        <v>0.90884019455448051</v>
      </c>
      <c r="N156" s="4">
        <f t="shared" ref="N156" si="151">MIN(2,$M$170/M156*$M$171)</f>
        <v>1.5638947190402526</v>
      </c>
    </row>
    <row r="157" spans="1:14" x14ac:dyDescent="0.25">
      <c r="A157" t="s">
        <v>334</v>
      </c>
      <c r="B157" t="s">
        <v>136</v>
      </c>
      <c r="C157" s="2" t="s">
        <v>407</v>
      </c>
      <c r="E157" t="s">
        <v>248</v>
      </c>
      <c r="F157" t="s">
        <v>335</v>
      </c>
      <c r="J157">
        <f t="shared" ref="J157" si="152">IF(B157="vs", 23, 22)</f>
        <v>22</v>
      </c>
    </row>
    <row r="158" spans="1:14" x14ac:dyDescent="0.25">
      <c r="B158" t="s">
        <v>29</v>
      </c>
      <c r="J158" t="str">
        <f t="shared" ref="J158" si="153">B158</f>
        <v>Columbus</v>
      </c>
      <c r="K158" s="4">
        <f>VLOOKUP(J158,Standings!$A:$W,J157,FALSE)</f>
        <v>1.775052378762328</v>
      </c>
      <c r="L158" s="4">
        <f t="shared" ref="L158" si="154">$K$170/K158*$K$171</f>
        <v>0.7751150813574218</v>
      </c>
      <c r="M158">
        <f>VLOOKUP($J158,LatestStandings!$A:$W,$J157,FALSE)</f>
        <v>1.6049976475508392</v>
      </c>
      <c r="N158" s="4">
        <f t="shared" ref="N158" si="155">MIN(2,$M$170/M158*$M$171)</f>
        <v>0.88556539810769186</v>
      </c>
    </row>
    <row r="159" spans="1:14" x14ac:dyDescent="0.25">
      <c r="A159" t="s">
        <v>336</v>
      </c>
      <c r="B159" t="s">
        <v>130</v>
      </c>
      <c r="C159" s="2" t="s">
        <v>416</v>
      </c>
      <c r="E159" t="s">
        <v>248</v>
      </c>
      <c r="F159" t="s">
        <v>337</v>
      </c>
      <c r="J159">
        <f t="shared" ref="J159" si="156">IF(B159="vs", 23, 22)</f>
        <v>23</v>
      </c>
    </row>
    <row r="160" spans="1:14" x14ac:dyDescent="0.25">
      <c r="B160" t="s">
        <v>41</v>
      </c>
      <c r="J160" t="str">
        <f t="shared" ref="J160" si="157">B160</f>
        <v>NY Islanders</v>
      </c>
      <c r="K160" s="4">
        <f>VLOOKUP(J160,Standings!$A:$W,J159,FALSE)</f>
        <v>0.87352445193929174</v>
      </c>
      <c r="L160" s="4">
        <f t="shared" ref="L160" si="158">$K$170/K160*$K$171</f>
        <v>1.575078826841664</v>
      </c>
      <c r="M160">
        <f>VLOOKUP($J160,LatestStandings!$A:$W,$J159,FALSE)</f>
        <v>0.9487501335327424</v>
      </c>
      <c r="N160" s="4">
        <f t="shared" ref="N160" si="159">MIN(2,$M$170/M160*$M$171)</f>
        <v>1.4981082273188593</v>
      </c>
    </row>
    <row r="161" spans="1:14" x14ac:dyDescent="0.25">
      <c r="A161" t="s">
        <v>338</v>
      </c>
      <c r="B161" t="s">
        <v>130</v>
      </c>
      <c r="C161" s="2" t="s">
        <v>407</v>
      </c>
      <c r="D161" s="2" t="s">
        <v>274</v>
      </c>
      <c r="E161" t="s">
        <v>248</v>
      </c>
      <c r="F161" t="s">
        <v>339</v>
      </c>
      <c r="J161">
        <f t="shared" ref="J161" si="160">IF(B161="vs", 23, 22)</f>
        <v>23</v>
      </c>
    </row>
    <row r="162" spans="1:14" x14ac:dyDescent="0.25">
      <c r="B162" t="s">
        <v>24</v>
      </c>
      <c r="J162" t="str">
        <f t="shared" ref="J162" si="161">B162</f>
        <v>Toronto</v>
      </c>
      <c r="K162" s="4">
        <f>VLOOKUP(J162,Standings!$A:$W,J161,FALSE)</f>
        <v>0.92646532781440039</v>
      </c>
      <c r="L162" s="4">
        <f t="shared" ref="L162" si="162">$K$170/K162*$K$171</f>
        <v>1.4850743224507117</v>
      </c>
      <c r="M162">
        <f>VLOOKUP($J162,LatestStandings!$A:$W,$J161,FALSE)</f>
        <v>1.0490035490035492</v>
      </c>
      <c r="N162" s="4">
        <f t="shared" ref="N162" si="163">MIN(2,$M$170/M162*$M$171)</f>
        <v>1.3549338151099608</v>
      </c>
    </row>
    <row r="163" spans="1:14" x14ac:dyDescent="0.25">
      <c r="A163" t="s">
        <v>340</v>
      </c>
      <c r="B163" t="s">
        <v>130</v>
      </c>
      <c r="C163" s="2" t="s">
        <v>410</v>
      </c>
      <c r="D163" s="2" t="s">
        <v>341</v>
      </c>
      <c r="E163" t="s">
        <v>248</v>
      </c>
      <c r="F163" t="s">
        <v>342</v>
      </c>
      <c r="J163">
        <f t="shared" ref="J163" si="164">IF(B163="vs", 23, 22)</f>
        <v>23</v>
      </c>
    </row>
    <row r="164" spans="1:14" x14ac:dyDescent="0.25">
      <c r="B164" t="s">
        <v>16</v>
      </c>
      <c r="J164" t="str">
        <f t="shared" ref="J164" si="165">B164</f>
        <v>Montreal</v>
      </c>
      <c r="K164" s="4">
        <f>VLOOKUP(J164,Standings!$A:$W,J163,FALSE)</f>
        <v>1.1818271996825713</v>
      </c>
      <c r="L164" s="4">
        <f t="shared" ref="L164" si="166">$K$170/K164*$K$171</f>
        <v>1.1641886981003602</v>
      </c>
      <c r="M164">
        <f>VLOOKUP($J164,LatestStandings!$A:$W,$J163,FALSE)</f>
        <v>1.1814922529208245</v>
      </c>
      <c r="N164" s="4">
        <f t="shared" ref="N164" si="167">MIN(2,$M$170/M164*$M$171)</f>
        <v>1.2029959377232713</v>
      </c>
    </row>
    <row r="165" spans="1:14" x14ac:dyDescent="0.25">
      <c r="A165" t="s">
        <v>343</v>
      </c>
      <c r="B165" t="s">
        <v>136</v>
      </c>
      <c r="C165" s="2" t="s">
        <v>407</v>
      </c>
      <c r="E165" t="s">
        <v>248</v>
      </c>
      <c r="F165" t="s">
        <v>344</v>
      </c>
      <c r="J165">
        <f t="shared" ref="J165" si="168">IF(B165="vs", 23, 22)</f>
        <v>22</v>
      </c>
    </row>
    <row r="166" spans="1:14" x14ac:dyDescent="0.25">
      <c r="B166" t="s">
        <v>23</v>
      </c>
      <c r="J166" t="str">
        <f t="shared" ref="J166" si="169">B166</f>
        <v>Florida</v>
      </c>
      <c r="K166" s="4">
        <f>VLOOKUP(J166,Standings!$A:$W,J165,FALSE)</f>
        <v>1.1586605637195855</v>
      </c>
      <c r="L166" s="4">
        <f t="shared" ref="L166" si="170">$K$170/K166*$K$171</f>
        <v>1.1874658653792154</v>
      </c>
      <c r="M166">
        <f>VLOOKUP($J166,LatestStandings!$A:$W,$J165,FALSE)</f>
        <v>1.1319761319761321</v>
      </c>
      <c r="N166" s="4">
        <f t="shared" ref="N166" si="171">MIN(2,$M$170/M166*$M$171)</f>
        <v>1.2556186836148209</v>
      </c>
    </row>
    <row r="167" spans="1:14" x14ac:dyDescent="0.25">
      <c r="A167" t="s">
        <v>345</v>
      </c>
      <c r="B167" t="s">
        <v>136</v>
      </c>
      <c r="C167" s="2" t="s">
        <v>414</v>
      </c>
      <c r="E167" t="s">
        <v>248</v>
      </c>
      <c r="F167" t="s">
        <v>346</v>
      </c>
      <c r="J167">
        <f t="shared" ref="J167" si="172">IF(B167="vs", 23, 22)</f>
        <v>22</v>
      </c>
    </row>
    <row r="168" spans="1:14" x14ac:dyDescent="0.25">
      <c r="B168" t="s">
        <v>22</v>
      </c>
      <c r="J168" t="str">
        <f t="shared" ref="J168" si="173">B168</f>
        <v>Tampa Bay</v>
      </c>
      <c r="K168" s="4">
        <f>VLOOKUP(J168,Standings!$A:$W,J167,FALSE)</f>
        <v>1.1908455793784629</v>
      </c>
      <c r="L168" s="4">
        <f t="shared" ref="L168" si="174">$K$170/K168*$K$171</f>
        <v>1.1553721933419392</v>
      </c>
      <c r="M168">
        <f>VLOOKUP($J168,LatestStandings!$A:$W,$J167,FALSE)</f>
        <v>1.1093366093366093</v>
      </c>
      <c r="N168" s="4">
        <f t="shared" ref="N168" si="175">MIN(2,$M$170/M168*$M$171)</f>
        <v>1.2812435547090013</v>
      </c>
    </row>
    <row r="170" spans="1:14" x14ac:dyDescent="0.25">
      <c r="J170" t="s">
        <v>417</v>
      </c>
      <c r="K170" s="4">
        <f>AVERAGE(K73:K168)</f>
        <v>1.140693160149935</v>
      </c>
      <c r="L170" s="4">
        <f>AVERAGE(L73:L168)</f>
        <v>1.2708336608457806</v>
      </c>
      <c r="M170" s="4">
        <f>AVERAGE(M73:M168)</f>
        <v>1.1253605548022707</v>
      </c>
      <c r="N170" s="4">
        <f>AVERAGE(N73:N168)</f>
        <v>1.3137958760691704</v>
      </c>
    </row>
    <row r="171" spans="1:14" x14ac:dyDescent="0.25">
      <c r="J171" t="s">
        <v>419</v>
      </c>
      <c r="K171" s="4">
        <v>1.20617</v>
      </c>
      <c r="M171" s="4">
        <v>1.2629999999999999</v>
      </c>
    </row>
    <row r="172" spans="1:14" x14ac:dyDescent="0.25">
      <c r="J172" t="s">
        <v>418</v>
      </c>
      <c r="K172" s="4">
        <f>(95-34)/(82-34)</f>
        <v>1.2708333333333333</v>
      </c>
      <c r="M172" s="4">
        <f>(95-VLOOKUP("Buffalo",LatestStandings!$A:$F,6,FALSE))/(82-VLOOKUP("Buffalo",LatestStandings!$A:$F,2,FALSE))</f>
        <v>1.3142857142857143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E2" sqref="E2"/>
    </sheetView>
  </sheetViews>
  <sheetFormatPr defaultRowHeight="15" x14ac:dyDescent="0.25"/>
  <cols>
    <col min="1" max="1" width="12.140625" bestFit="1" customWidth="1"/>
    <col min="2" max="3" width="12" style="4" bestFit="1" customWidth="1"/>
    <col min="4" max="4" width="12" style="5" customWidth="1"/>
    <col min="5" max="5" width="9.140625" style="3"/>
    <col min="8" max="9" width="9.140625" style="4"/>
  </cols>
  <sheetData>
    <row r="1" spans="1:10" x14ac:dyDescent="0.25">
      <c r="A1" t="s">
        <v>420</v>
      </c>
      <c r="B1" s="4" t="s">
        <v>421</v>
      </c>
      <c r="C1" s="4" t="s">
        <v>422</v>
      </c>
      <c r="D1" s="5" t="s">
        <v>423</v>
      </c>
      <c r="E1" s="3" t="s">
        <v>521</v>
      </c>
      <c r="F1" t="s">
        <v>424</v>
      </c>
      <c r="G1" t="s">
        <v>435</v>
      </c>
      <c r="H1" s="4" t="s">
        <v>436</v>
      </c>
      <c r="I1" s="4" t="s">
        <v>434</v>
      </c>
    </row>
    <row r="2" spans="1:10" x14ac:dyDescent="0.25">
      <c r="D2" s="5">
        <v>34</v>
      </c>
      <c r="E2" s="3">
        <v>34</v>
      </c>
      <c r="F2">
        <v>34</v>
      </c>
    </row>
    <row r="3" spans="1:10" x14ac:dyDescent="0.25">
      <c r="A3" t="s">
        <v>21</v>
      </c>
      <c r="B3" s="4">
        <v>0.94435075885328856</v>
      </c>
      <c r="C3" s="4">
        <v>1.4569479148285387</v>
      </c>
      <c r="D3" s="5">
        <v>35</v>
      </c>
      <c r="E3" s="3">
        <f>34+C3</f>
        <v>35.45694791482854</v>
      </c>
      <c r="F3">
        <v>34</v>
      </c>
    </row>
    <row r="4" spans="1:10" x14ac:dyDescent="0.25">
      <c r="A4" t="s">
        <v>21</v>
      </c>
      <c r="B4" s="4">
        <v>1.2178114033088738</v>
      </c>
      <c r="C4" s="4">
        <v>1.1297889519179392</v>
      </c>
      <c r="D4" s="5">
        <v>36</v>
      </c>
      <c r="E4" s="3">
        <f>E3+C4</f>
        <v>36.586736866746477</v>
      </c>
      <c r="F4">
        <v>34</v>
      </c>
    </row>
    <row r="5" spans="1:10" x14ac:dyDescent="0.25">
      <c r="A5" t="s">
        <v>35</v>
      </c>
      <c r="B5" s="4">
        <v>1.4918189690533703</v>
      </c>
      <c r="C5" s="4">
        <v>0.92227669544321556</v>
      </c>
      <c r="D5" s="5">
        <v>37</v>
      </c>
      <c r="E5" s="3">
        <f t="shared" ref="E5:E50" si="0">E4+C5</f>
        <v>37.509013562189693</v>
      </c>
      <c r="F5">
        <v>36</v>
      </c>
      <c r="G5" s="3"/>
    </row>
    <row r="6" spans="1:10" x14ac:dyDescent="0.25">
      <c r="A6" t="s">
        <v>43</v>
      </c>
      <c r="B6" s="4">
        <v>1.4918189690533703</v>
      </c>
      <c r="C6" s="4">
        <v>0.92227669544321556</v>
      </c>
      <c r="D6" s="5">
        <v>38</v>
      </c>
      <c r="E6" s="3">
        <f t="shared" si="0"/>
        <v>38.431290257632909</v>
      </c>
      <c r="F6">
        <v>37</v>
      </c>
      <c r="G6" s="3"/>
    </row>
    <row r="7" spans="1:10" x14ac:dyDescent="0.25">
      <c r="A7" t="s">
        <v>51</v>
      </c>
      <c r="B7" s="4">
        <v>0.87352445193929174</v>
      </c>
      <c r="C7" s="4">
        <v>1.575078826841664</v>
      </c>
      <c r="D7" s="5">
        <v>39</v>
      </c>
      <c r="E7" s="3">
        <f t="shared" si="0"/>
        <v>40.006369084474571</v>
      </c>
      <c r="F7">
        <v>39</v>
      </c>
      <c r="G7" s="3"/>
    </row>
    <row r="8" spans="1:10" x14ac:dyDescent="0.25">
      <c r="A8" t="s">
        <v>38</v>
      </c>
      <c r="B8" s="4">
        <v>1.0676409968146903</v>
      </c>
      <c r="C8" s="4">
        <v>1.2887008583249975</v>
      </c>
      <c r="D8" s="5">
        <v>40</v>
      </c>
      <c r="E8" s="3">
        <f t="shared" si="0"/>
        <v>41.295069942799572</v>
      </c>
      <c r="F8">
        <v>41</v>
      </c>
      <c r="G8" s="3"/>
    </row>
    <row r="9" spans="1:10" x14ac:dyDescent="0.25">
      <c r="A9" t="s">
        <v>22</v>
      </c>
      <c r="B9" s="4">
        <v>1.1908455793784629</v>
      </c>
      <c r="C9" s="4">
        <v>1.1553721933419392</v>
      </c>
      <c r="D9" s="5">
        <v>41</v>
      </c>
      <c r="E9" s="3">
        <f t="shared" si="0"/>
        <v>42.450442136141511</v>
      </c>
      <c r="F9">
        <v>41</v>
      </c>
      <c r="G9" s="3"/>
    </row>
    <row r="10" spans="1:10" x14ac:dyDescent="0.25">
      <c r="A10" t="s">
        <v>39</v>
      </c>
      <c r="B10" s="4">
        <v>1.2630180387347334</v>
      </c>
      <c r="C10" s="4">
        <v>1.0893509251509712</v>
      </c>
      <c r="D10" s="5">
        <v>42</v>
      </c>
      <c r="E10" s="3">
        <f t="shared" si="0"/>
        <v>43.539793061292485</v>
      </c>
      <c r="F10">
        <v>41</v>
      </c>
      <c r="G10" s="3"/>
    </row>
    <row r="11" spans="1:10" x14ac:dyDescent="0.25">
      <c r="A11" t="s">
        <v>50</v>
      </c>
      <c r="B11" s="4">
        <v>0.89778902004871652</v>
      </c>
      <c r="C11" s="4">
        <v>1.5325091288189161</v>
      </c>
      <c r="D11" s="5">
        <v>43</v>
      </c>
      <c r="E11" s="3">
        <f t="shared" si="0"/>
        <v>45.072302190111401</v>
      </c>
      <c r="F11">
        <v>43</v>
      </c>
      <c r="G11" s="3"/>
    </row>
    <row r="12" spans="1:10" x14ac:dyDescent="0.25">
      <c r="A12" t="s">
        <v>24</v>
      </c>
      <c r="B12" s="4">
        <v>1.1947467933977207</v>
      </c>
      <c r="C12" s="4">
        <v>1.1515995494453126</v>
      </c>
      <c r="D12" s="5">
        <v>44</v>
      </c>
      <c r="E12" s="3">
        <f t="shared" si="0"/>
        <v>46.223901739556716</v>
      </c>
      <c r="F12">
        <v>43</v>
      </c>
      <c r="G12" s="3"/>
    </row>
    <row r="13" spans="1:10" x14ac:dyDescent="0.25">
      <c r="A13" t="s">
        <v>28</v>
      </c>
      <c r="B13" s="4">
        <v>0.84856661045531201</v>
      </c>
      <c r="C13" s="4">
        <v>1.621404674689948</v>
      </c>
      <c r="D13" s="5">
        <v>45</v>
      </c>
      <c r="E13" s="3">
        <f t="shared" si="0"/>
        <v>47.845306414246664</v>
      </c>
      <c r="F13">
        <v>45</v>
      </c>
      <c r="G13" s="3"/>
    </row>
    <row r="14" spans="1:10" x14ac:dyDescent="0.25">
      <c r="A14" t="s">
        <v>16</v>
      </c>
      <c r="B14" s="4">
        <v>1.5240551532586053</v>
      </c>
      <c r="C14" s="4">
        <v>0.90276908026345304</v>
      </c>
      <c r="D14" s="5">
        <v>46</v>
      </c>
      <c r="E14" s="3">
        <f t="shared" si="0"/>
        <v>48.748075494510118</v>
      </c>
      <c r="F14">
        <v>47</v>
      </c>
      <c r="G14" s="3"/>
    </row>
    <row r="15" spans="1:10" x14ac:dyDescent="0.25">
      <c r="A15" t="s">
        <v>52</v>
      </c>
      <c r="B15" s="4">
        <v>1.1927388155936911</v>
      </c>
      <c r="C15" s="4">
        <v>1.1535382692255234</v>
      </c>
      <c r="D15" s="5">
        <v>47</v>
      </c>
      <c r="E15" s="3">
        <f t="shared" si="0"/>
        <v>49.901613763735639</v>
      </c>
      <c r="F15">
        <v>49</v>
      </c>
      <c r="G15" s="3"/>
    </row>
    <row r="16" spans="1:10" x14ac:dyDescent="0.25">
      <c r="A16" t="s">
        <v>50</v>
      </c>
      <c r="B16" s="4">
        <v>1.1577665355068389</v>
      </c>
      <c r="C16" s="4">
        <v>1.1883828274374231</v>
      </c>
      <c r="D16" s="5">
        <v>48</v>
      </c>
      <c r="E16" s="3">
        <f t="shared" si="0"/>
        <v>51.089996591173062</v>
      </c>
      <c r="F16" s="7">
        <f ca="1">G16</f>
        <v>50.307936128765441</v>
      </c>
      <c r="G16" s="3">
        <f t="shared" ref="G15:G50" ca="1" si="1">IF(G15="",F15+I16,G15+I16)</f>
        <v>50.307936128765441</v>
      </c>
      <c r="H16" s="4">
        <f t="shared" ref="H15:H50" ca="1" si="2">INDIRECT(ADDRESS(68+2*ROW(),13,,,"Schedule"))</f>
        <v>1.0866970866970866</v>
      </c>
      <c r="I16" s="4">
        <f t="shared" ref="I15:I50" ca="1" si="3">INDIRECT(ADDRESS(68+2*ROW(),14,,,"Schedule"))</f>
        <v>1.3079361287654387</v>
      </c>
      <c r="J16">
        <f ca="1">IF(I16&gt;1.254,2,IF(I16&gt;1.149,1,0))</f>
        <v>2</v>
      </c>
    </row>
    <row r="17" spans="1:10" x14ac:dyDescent="0.25">
      <c r="A17" t="s">
        <v>16</v>
      </c>
      <c r="B17" s="4">
        <v>1.5240551532586053</v>
      </c>
      <c r="C17" s="4">
        <v>0.90276908026345304</v>
      </c>
      <c r="D17" s="5">
        <v>49</v>
      </c>
      <c r="E17" s="3">
        <f t="shared" si="0"/>
        <v>51.992765671436516</v>
      </c>
      <c r="G17" s="3">
        <f t="shared" ca="1" si="1"/>
        <v>51.273796654622998</v>
      </c>
      <c r="H17" s="4">
        <f t="shared" ca="1" si="2"/>
        <v>1.4715689715689715</v>
      </c>
      <c r="I17" s="4">
        <f t="shared" ca="1" si="3"/>
        <v>0.96586052585755466</v>
      </c>
      <c r="J17">
        <f t="shared" ref="J17:J50" ca="1" si="4">IF(I17&gt;1.254,2,IF(I17&gt;1.149,1,0))</f>
        <v>0</v>
      </c>
    </row>
    <row r="18" spans="1:10" x14ac:dyDescent="0.25">
      <c r="A18" t="s">
        <v>35</v>
      </c>
      <c r="B18" s="4">
        <v>1.1568296795952782</v>
      </c>
      <c r="C18" s="4">
        <v>1.1893452365947259</v>
      </c>
      <c r="D18" s="5">
        <v>50</v>
      </c>
      <c r="E18" s="3">
        <f t="shared" si="0"/>
        <v>53.182110908031241</v>
      </c>
      <c r="G18" s="3">
        <f t="shared" ca="1" si="1"/>
        <v>52.489652607229608</v>
      </c>
      <c r="H18" s="4">
        <f t="shared" ca="1" si="2"/>
        <v>1.1689957002457003</v>
      </c>
      <c r="I18" s="4">
        <f t="shared" ca="1" si="3"/>
        <v>1.2158559526066106</v>
      </c>
      <c r="J18">
        <f t="shared" ca="1" si="4"/>
        <v>1</v>
      </c>
    </row>
    <row r="19" spans="1:10" x14ac:dyDescent="0.25">
      <c r="A19" t="s">
        <v>19</v>
      </c>
      <c r="B19" s="4">
        <v>1.07318718381113</v>
      </c>
      <c r="C19" s="4">
        <v>1.2820409055687962</v>
      </c>
      <c r="D19" s="5">
        <v>51</v>
      </c>
      <c r="E19" s="3">
        <f t="shared" si="0"/>
        <v>54.46415181360004</v>
      </c>
      <c r="G19" s="3">
        <f t="shared" ca="1" si="1"/>
        <v>53.777500030714243</v>
      </c>
      <c r="H19" s="4">
        <f t="shared" ca="1" si="2"/>
        <v>1.10364811451768</v>
      </c>
      <c r="I19" s="4">
        <f t="shared" ca="1" si="3"/>
        <v>1.2878474234846335</v>
      </c>
      <c r="J19">
        <f t="shared" ca="1" si="4"/>
        <v>2</v>
      </c>
    </row>
    <row r="20" spans="1:10" x14ac:dyDescent="0.25">
      <c r="A20" t="s">
        <v>42</v>
      </c>
      <c r="B20" s="4">
        <v>1.0621055167429534</v>
      </c>
      <c r="C20" s="4">
        <v>1.2954173076864166</v>
      </c>
      <c r="D20" s="5">
        <v>52</v>
      </c>
      <c r="E20" s="3">
        <f t="shared" si="0"/>
        <v>55.759569121286454</v>
      </c>
      <c r="G20" s="3">
        <f t="shared" ca="1" si="1"/>
        <v>55.058743585423244</v>
      </c>
      <c r="H20" s="4">
        <f t="shared" ca="1" si="2"/>
        <v>1.1093366093366093</v>
      </c>
      <c r="I20" s="4">
        <f t="shared" ca="1" si="3"/>
        <v>1.2812435547090013</v>
      </c>
      <c r="J20">
        <f t="shared" ca="1" si="4"/>
        <v>2</v>
      </c>
    </row>
    <row r="21" spans="1:10" x14ac:dyDescent="0.25">
      <c r="A21" t="s">
        <v>54</v>
      </c>
      <c r="B21" s="4">
        <v>1.1231028667790894</v>
      </c>
      <c r="C21" s="4">
        <v>1.2250613097657383</v>
      </c>
      <c r="D21" s="5">
        <v>53</v>
      </c>
      <c r="E21" s="3">
        <f t="shared" si="0"/>
        <v>56.984630431052189</v>
      </c>
      <c r="G21" s="3">
        <f t="shared" ca="1" si="1"/>
        <v>56.280536334673442</v>
      </c>
      <c r="H21" s="4">
        <f t="shared" ca="1" si="2"/>
        <v>1.1633154490297348</v>
      </c>
      <c r="I21" s="4">
        <f t="shared" ca="1" si="3"/>
        <v>1.2217927492501974</v>
      </c>
      <c r="J21">
        <f t="shared" ca="1" si="4"/>
        <v>1</v>
      </c>
    </row>
    <row r="22" spans="1:10" x14ac:dyDescent="0.25">
      <c r="A22" t="s">
        <v>56</v>
      </c>
      <c r="B22" s="4">
        <v>0.99484729248641557</v>
      </c>
      <c r="C22" s="4">
        <v>1.3829960430804853</v>
      </c>
      <c r="D22" s="5">
        <v>54</v>
      </c>
      <c r="E22" s="3">
        <f t="shared" si="0"/>
        <v>58.367626474132678</v>
      </c>
      <c r="G22" s="3">
        <f t="shared" ca="1" si="1"/>
        <v>57.547052951971992</v>
      </c>
      <c r="H22" s="4">
        <f t="shared" ca="1" si="2"/>
        <v>1.1222358722358723</v>
      </c>
      <c r="I22" s="4">
        <f t="shared" ca="1" si="3"/>
        <v>1.2665166172985527</v>
      </c>
      <c r="J22">
        <f t="shared" ca="1" si="4"/>
        <v>2</v>
      </c>
    </row>
    <row r="23" spans="1:10" x14ac:dyDescent="0.25">
      <c r="A23" t="s">
        <v>24</v>
      </c>
      <c r="B23" s="4">
        <v>1.1947467933977207</v>
      </c>
      <c r="C23" s="4">
        <v>1.1515995494453126</v>
      </c>
      <c r="D23" s="5">
        <v>55</v>
      </c>
      <c r="E23" s="3">
        <f t="shared" si="0"/>
        <v>59.519226023577993</v>
      </c>
      <c r="G23" s="3">
        <f t="shared" ca="1" si="1"/>
        <v>58.634901253140015</v>
      </c>
      <c r="H23" s="4">
        <f t="shared" ca="1" si="2"/>
        <v>1.3065520065520067</v>
      </c>
      <c r="I23" s="4">
        <f t="shared" ca="1" si="3"/>
        <v>1.0878483011680198</v>
      </c>
      <c r="J23">
        <f t="shared" ca="1" si="4"/>
        <v>0</v>
      </c>
    </row>
    <row r="24" spans="1:10" x14ac:dyDescent="0.25">
      <c r="A24" t="s">
        <v>59</v>
      </c>
      <c r="B24" s="4">
        <v>0.77369308600337272</v>
      </c>
      <c r="C24" s="4">
        <v>1.7783148044986528</v>
      </c>
      <c r="D24" s="5">
        <v>56</v>
      </c>
      <c r="E24" s="3">
        <f t="shared" si="0"/>
        <v>61.297540828076649</v>
      </c>
      <c r="G24" s="3">
        <f t="shared" ca="1" si="1"/>
        <v>60.166879753424347</v>
      </c>
      <c r="H24" s="4">
        <f t="shared" ca="1" si="2"/>
        <v>0.92777436527436552</v>
      </c>
      <c r="I24" s="4">
        <f t="shared" ca="1" si="3"/>
        <v>1.5319785002843289</v>
      </c>
      <c r="J24">
        <f t="shared" ca="1" si="4"/>
        <v>2</v>
      </c>
    </row>
    <row r="25" spans="1:10" x14ac:dyDescent="0.25">
      <c r="A25" t="s">
        <v>19</v>
      </c>
      <c r="B25" s="4">
        <v>1.3839556733317273</v>
      </c>
      <c r="C25" s="4">
        <v>0.99415746868957555</v>
      </c>
      <c r="D25" s="5">
        <v>57</v>
      </c>
      <c r="E25" s="3">
        <f t="shared" si="0"/>
        <v>62.291698296766228</v>
      </c>
      <c r="G25" s="3">
        <f t="shared" ca="1" si="1"/>
        <v>61.200865780031613</v>
      </c>
      <c r="H25" s="4">
        <f t="shared" ca="1" si="2"/>
        <v>1.3746127550475378</v>
      </c>
      <c r="I25" s="4">
        <f t="shared" ca="1" si="3"/>
        <v>1.033986026607264</v>
      </c>
      <c r="J25">
        <f t="shared" ca="1" si="4"/>
        <v>0</v>
      </c>
    </row>
    <row r="26" spans="1:10" x14ac:dyDescent="0.25">
      <c r="A26" t="s">
        <v>53</v>
      </c>
      <c r="B26" s="4">
        <v>0.64229739113183226</v>
      </c>
      <c r="C26" s="4">
        <v>2.1421072045046627</v>
      </c>
      <c r="D26" s="5">
        <v>58</v>
      </c>
      <c r="E26" s="3">
        <f t="shared" si="0"/>
        <v>64.433805501270896</v>
      </c>
      <c r="G26" s="3">
        <f t="shared" ca="1" si="1"/>
        <v>63.200865780031613</v>
      </c>
      <c r="H26" s="4">
        <f t="shared" ca="1" si="2"/>
        <v>0.5541905541905543</v>
      </c>
      <c r="I26" s="4">
        <f t="shared" ca="1" si="3"/>
        <v>2</v>
      </c>
      <c r="J26">
        <f t="shared" ca="1" si="4"/>
        <v>2</v>
      </c>
    </row>
    <row r="27" spans="1:10" x14ac:dyDescent="0.25">
      <c r="A27" t="s">
        <v>48</v>
      </c>
      <c r="B27" s="4">
        <v>1.0232715008431705</v>
      </c>
      <c r="C27" s="4">
        <v>1.3445794863282494</v>
      </c>
      <c r="D27" s="5">
        <v>59</v>
      </c>
      <c r="E27" s="3">
        <f t="shared" si="0"/>
        <v>65.778384987599139</v>
      </c>
      <c r="G27" s="3">
        <f t="shared" ca="1" si="1"/>
        <v>64.646128516148906</v>
      </c>
      <c r="H27" s="4">
        <f t="shared" ca="1" si="2"/>
        <v>0.98344082719082748</v>
      </c>
      <c r="I27" s="4">
        <f t="shared" ca="1" si="3"/>
        <v>1.4452627361172914</v>
      </c>
      <c r="J27">
        <f t="shared" ca="1" si="4"/>
        <v>2</v>
      </c>
    </row>
    <row r="28" spans="1:10" x14ac:dyDescent="0.25">
      <c r="A28" t="s">
        <v>43</v>
      </c>
      <c r="B28" s="4">
        <v>1.1568296795952782</v>
      </c>
      <c r="C28" s="4">
        <v>1.1893452365947259</v>
      </c>
      <c r="D28" s="5">
        <v>60</v>
      </c>
      <c r="E28" s="3">
        <f t="shared" si="0"/>
        <v>66.967730224193872</v>
      </c>
      <c r="G28" s="3">
        <f t="shared" ca="1" si="1"/>
        <v>65.873675391376736</v>
      </c>
      <c r="H28" s="4">
        <f t="shared" ca="1" si="2"/>
        <v>1.157862407862408</v>
      </c>
      <c r="I28" s="4">
        <f t="shared" ca="1" si="3"/>
        <v>1.227546875227828</v>
      </c>
      <c r="J28">
        <f t="shared" ca="1" si="4"/>
        <v>1</v>
      </c>
    </row>
    <row r="29" spans="1:10" x14ac:dyDescent="0.25">
      <c r="A29" t="s">
        <v>53</v>
      </c>
      <c r="B29" s="4">
        <v>0.82829084416228549</v>
      </c>
      <c r="C29" s="4">
        <v>1.6610951076847538</v>
      </c>
      <c r="D29" s="5">
        <v>61</v>
      </c>
      <c r="E29" s="3">
        <f t="shared" si="0"/>
        <v>68.62882533187863</v>
      </c>
      <c r="G29" s="3">
        <f t="shared" ca="1" si="1"/>
        <v>67.873675391376736</v>
      </c>
      <c r="H29" s="4">
        <f t="shared" ca="1" si="2"/>
        <v>0.69025389025389039</v>
      </c>
      <c r="I29" s="4">
        <f t="shared" ca="1" si="3"/>
        <v>2</v>
      </c>
      <c r="J29">
        <f t="shared" ca="1" si="4"/>
        <v>2</v>
      </c>
    </row>
    <row r="30" spans="1:10" x14ac:dyDescent="0.25">
      <c r="A30" t="s">
        <v>60</v>
      </c>
      <c r="B30" s="4">
        <v>0.86899542278968922</v>
      </c>
      <c r="C30" s="4">
        <v>1.5832878205056202</v>
      </c>
      <c r="D30" s="5">
        <v>62</v>
      </c>
      <c r="E30" s="3">
        <f t="shared" si="0"/>
        <v>70.212113152384248</v>
      </c>
      <c r="G30" s="3">
        <f t="shared" ca="1" si="1"/>
        <v>69.546410032246825</v>
      </c>
      <c r="H30" s="4">
        <f t="shared" ca="1" si="2"/>
        <v>0.84970463693867959</v>
      </c>
      <c r="I30" s="4">
        <f t="shared" ca="1" si="3"/>
        <v>1.6727346408700845</v>
      </c>
      <c r="J30">
        <f t="shared" ca="1" si="4"/>
        <v>2</v>
      </c>
    </row>
    <row r="31" spans="1:10" x14ac:dyDescent="0.25">
      <c r="A31" t="s">
        <v>52</v>
      </c>
      <c r="B31" s="4">
        <v>0.92490824322983833</v>
      </c>
      <c r="C31" s="4">
        <v>1.4875744475726826</v>
      </c>
      <c r="D31" s="5">
        <v>63</v>
      </c>
      <c r="E31" s="3">
        <f t="shared" si="0"/>
        <v>71.699687599956931</v>
      </c>
      <c r="G31" s="3">
        <f t="shared" ca="1" si="1"/>
        <v>70.9649086436212</v>
      </c>
      <c r="H31" s="4">
        <f t="shared" ca="1" si="2"/>
        <v>1.0019963144963147</v>
      </c>
      <c r="I31" s="4">
        <f t="shared" ca="1" si="3"/>
        <v>1.4184986113743789</v>
      </c>
      <c r="J31">
        <f t="shared" ca="1" si="4"/>
        <v>2</v>
      </c>
    </row>
    <row r="32" spans="1:10" x14ac:dyDescent="0.25">
      <c r="A32" t="s">
        <v>60</v>
      </c>
      <c r="B32" s="4">
        <v>0.67386172006745371</v>
      </c>
      <c r="C32" s="4">
        <v>2.0417688496095643</v>
      </c>
      <c r="D32" s="5">
        <v>64</v>
      </c>
      <c r="E32" s="3">
        <f t="shared" si="0"/>
        <v>73.741456449566499</v>
      </c>
      <c r="G32" s="3">
        <f t="shared" ca="1" si="1"/>
        <v>72.9649086436212</v>
      </c>
      <c r="H32" s="4">
        <f t="shared" ca="1" si="2"/>
        <v>0.6822102566783419</v>
      </c>
      <c r="I32" s="4">
        <f t="shared" ca="1" si="3"/>
        <v>2</v>
      </c>
      <c r="J32">
        <f t="shared" ca="1" si="4"/>
        <v>2</v>
      </c>
    </row>
    <row r="33" spans="1:10" x14ac:dyDescent="0.25">
      <c r="A33" t="s">
        <v>22</v>
      </c>
      <c r="B33" s="4">
        <v>0.9234401349072513</v>
      </c>
      <c r="C33" s="4">
        <v>1.4899394307961686</v>
      </c>
      <c r="D33" s="5">
        <v>65</v>
      </c>
      <c r="E33" s="3">
        <f t="shared" si="0"/>
        <v>75.231395880362669</v>
      </c>
      <c r="G33" s="3">
        <f t="shared" ca="1" si="1"/>
        <v>74.560719581417374</v>
      </c>
      <c r="H33" s="4">
        <f t="shared" ca="1" si="2"/>
        <v>0.89066339066339084</v>
      </c>
      <c r="I33" s="4">
        <f t="shared" ca="1" si="3"/>
        <v>1.5958109377961762</v>
      </c>
      <c r="J33">
        <f t="shared" ca="1" si="4"/>
        <v>2</v>
      </c>
    </row>
    <row r="34" spans="1:10" x14ac:dyDescent="0.25">
      <c r="A34" t="s">
        <v>33</v>
      </c>
      <c r="B34" s="4">
        <v>1.59584035975267</v>
      </c>
      <c r="C34" s="4">
        <v>0.86216009049381681</v>
      </c>
      <c r="D34" s="5">
        <v>66</v>
      </c>
      <c r="E34" s="3">
        <f t="shared" si="0"/>
        <v>76.093555970856485</v>
      </c>
      <c r="G34" s="3">
        <f t="shared" ca="1" si="1"/>
        <v>75.487157228668494</v>
      </c>
      <c r="H34" s="4">
        <f t="shared" ca="1" si="2"/>
        <v>1.5341889278059493</v>
      </c>
      <c r="I34" s="4">
        <f t="shared" ca="1" si="3"/>
        <v>0.92643764725112365</v>
      </c>
      <c r="J34">
        <f t="shared" ca="1" si="4"/>
        <v>0</v>
      </c>
    </row>
    <row r="35" spans="1:10" x14ac:dyDescent="0.25">
      <c r="A35" t="s">
        <v>38</v>
      </c>
      <c r="B35" s="4">
        <v>1.0676409968146903</v>
      </c>
      <c r="C35" s="4">
        <v>1.2887008583249975</v>
      </c>
      <c r="D35" s="5">
        <v>67</v>
      </c>
      <c r="E35" s="3">
        <f t="shared" si="0"/>
        <v>77.382256829181486</v>
      </c>
      <c r="G35" s="3">
        <f t="shared" ca="1" si="1"/>
        <v>76.960213478941881</v>
      </c>
      <c r="H35" s="4">
        <f t="shared" ca="1" si="2"/>
        <v>0.96488533988533998</v>
      </c>
      <c r="I35" s="4">
        <f t="shared" ca="1" si="3"/>
        <v>1.4730562502733935</v>
      </c>
      <c r="J35">
        <f t="shared" ca="1" si="4"/>
        <v>2</v>
      </c>
    </row>
    <row r="36" spans="1:10" x14ac:dyDescent="0.25">
      <c r="A36" t="s">
        <v>29</v>
      </c>
      <c r="B36" s="4">
        <v>1.775052378762328</v>
      </c>
      <c r="C36" s="4">
        <v>0.7751150813574218</v>
      </c>
      <c r="D36" s="5">
        <v>68</v>
      </c>
      <c r="E36" s="3">
        <f t="shared" si="0"/>
        <v>78.157371910538913</v>
      </c>
      <c r="G36" s="3">
        <f t="shared" ca="1" si="1"/>
        <v>77.845778877049568</v>
      </c>
      <c r="H36" s="4">
        <f t="shared" ca="1" si="2"/>
        <v>1.6049976475508392</v>
      </c>
      <c r="I36" s="4">
        <f t="shared" ca="1" si="3"/>
        <v>0.88556539810769186</v>
      </c>
      <c r="J36">
        <f t="shared" ca="1" si="4"/>
        <v>0</v>
      </c>
    </row>
    <row r="37" spans="1:10" x14ac:dyDescent="0.25">
      <c r="A37" t="s">
        <v>29</v>
      </c>
      <c r="B37" s="4">
        <v>1.3764627727528234</v>
      </c>
      <c r="C37" s="4">
        <v>0.99956925549567133</v>
      </c>
      <c r="D37" s="5">
        <v>69</v>
      </c>
      <c r="E37" s="3">
        <f t="shared" si="0"/>
        <v>79.156941166034585</v>
      </c>
      <c r="G37" s="3">
        <f t="shared" ca="1" si="1"/>
        <v>78.948765848761624</v>
      </c>
      <c r="H37" s="4">
        <f t="shared" ca="1" si="2"/>
        <v>1.288619373725757</v>
      </c>
      <c r="I37" s="4">
        <f t="shared" ca="1" si="3"/>
        <v>1.1029869717120628</v>
      </c>
      <c r="J37">
        <f t="shared" ca="1" si="4"/>
        <v>0</v>
      </c>
    </row>
    <row r="38" spans="1:10" x14ac:dyDescent="0.25">
      <c r="A38" t="s">
        <v>54</v>
      </c>
      <c r="B38" s="4">
        <v>1.4483257046494822</v>
      </c>
      <c r="C38" s="4">
        <v>0.94997269230337211</v>
      </c>
      <c r="D38" s="5">
        <v>70</v>
      </c>
      <c r="E38" s="3">
        <f t="shared" si="0"/>
        <v>80.106913858337961</v>
      </c>
      <c r="G38" s="3">
        <f t="shared" ca="1" si="1"/>
        <v>79.92971794533571</v>
      </c>
      <c r="H38" s="4">
        <f t="shared" ca="1" si="2"/>
        <v>1.4489294489294489</v>
      </c>
      <c r="I38" s="4">
        <f t="shared" ca="1" si="3"/>
        <v>0.980952096574079</v>
      </c>
      <c r="J38">
        <f t="shared" ca="1" si="4"/>
        <v>0</v>
      </c>
    </row>
    <row r="39" spans="1:10" x14ac:dyDescent="0.25">
      <c r="A39" t="s">
        <v>58</v>
      </c>
      <c r="B39" s="4">
        <v>1.2590020831266739</v>
      </c>
      <c r="C39" s="4">
        <v>1.0928257287399694</v>
      </c>
      <c r="D39" s="5">
        <v>71</v>
      </c>
      <c r="E39" s="3">
        <f t="shared" si="0"/>
        <v>81.199739587077929</v>
      </c>
      <c r="G39" s="3">
        <f t="shared" ca="1" si="1"/>
        <v>81.159711757856357</v>
      </c>
      <c r="H39" s="4">
        <f t="shared" ca="1" si="2"/>
        <v>1.1555589680589682</v>
      </c>
      <c r="I39" s="4">
        <f t="shared" ca="1" si="3"/>
        <v>1.2299938125206409</v>
      </c>
      <c r="J39">
        <f t="shared" ca="1" si="4"/>
        <v>1</v>
      </c>
    </row>
    <row r="40" spans="1:10" x14ac:dyDescent="0.25">
      <c r="A40" t="s">
        <v>56</v>
      </c>
      <c r="B40" s="4">
        <v>1.2829304852913619</v>
      </c>
      <c r="C40" s="4">
        <v>1.0724430393947479</v>
      </c>
      <c r="D40" s="5">
        <v>72</v>
      </c>
      <c r="E40" s="3">
        <f t="shared" si="0"/>
        <v>82.27218262647267</v>
      </c>
      <c r="G40" s="3">
        <f t="shared" ca="1" si="1"/>
        <v>82.176571721911117</v>
      </c>
      <c r="H40" s="4">
        <f t="shared" ca="1" si="2"/>
        <v>1.3977641277641277</v>
      </c>
      <c r="I40" s="4">
        <f t="shared" ca="1" si="3"/>
        <v>1.0168599640547629</v>
      </c>
      <c r="J40">
        <f t="shared" ca="1" si="4"/>
        <v>0</v>
      </c>
    </row>
    <row r="41" spans="1:10" x14ac:dyDescent="0.25">
      <c r="A41" t="s">
        <v>28</v>
      </c>
      <c r="B41" s="4">
        <v>1.0942905324018308</v>
      </c>
      <c r="C41" s="4">
        <v>1.2573167986368161</v>
      </c>
      <c r="D41" s="5">
        <v>73</v>
      </c>
      <c r="E41" s="3">
        <f t="shared" si="0"/>
        <v>83.529499425109492</v>
      </c>
      <c r="G41" s="3">
        <f t="shared" ca="1" si="1"/>
        <v>83.431667448973002</v>
      </c>
      <c r="H41" s="4">
        <f t="shared" ca="1" si="2"/>
        <v>1.1324477886977886</v>
      </c>
      <c r="I41" s="4">
        <f t="shared" ca="1" si="3"/>
        <v>1.2550957270618786</v>
      </c>
      <c r="J41">
        <f t="shared" ca="1" si="4"/>
        <v>2</v>
      </c>
    </row>
    <row r="42" spans="1:10" x14ac:dyDescent="0.25">
      <c r="A42" t="s">
        <v>33</v>
      </c>
      <c r="B42" s="4">
        <v>1.2374929735806635</v>
      </c>
      <c r="C42" s="4">
        <v>1.1118203483588214</v>
      </c>
      <c r="D42" s="5">
        <v>74</v>
      </c>
      <c r="E42" s="3">
        <f t="shared" si="0"/>
        <v>84.641319773468311</v>
      </c>
      <c r="G42" s="3">
        <f t="shared" ca="1" si="1"/>
        <v>84.58556151168716</v>
      </c>
      <c r="H42" s="4">
        <f t="shared" ca="1" si="2"/>
        <v>1.2317685190025618</v>
      </c>
      <c r="I42" s="4">
        <f t="shared" ca="1" si="3"/>
        <v>1.1538940627141583</v>
      </c>
      <c r="J42">
        <f t="shared" ca="1" si="4"/>
        <v>1</v>
      </c>
    </row>
    <row r="43" spans="1:10" x14ac:dyDescent="0.25">
      <c r="A43" t="s">
        <v>24</v>
      </c>
      <c r="B43" s="4">
        <v>0.92646532781440039</v>
      </c>
      <c r="C43" s="4">
        <v>1.4850743224507117</v>
      </c>
      <c r="D43" s="5">
        <v>75</v>
      </c>
      <c r="E43" s="3">
        <f t="shared" si="0"/>
        <v>86.126394095919025</v>
      </c>
      <c r="G43" s="3">
        <f t="shared" ca="1" si="1"/>
        <v>85.940495326797119</v>
      </c>
      <c r="H43" s="4">
        <f t="shared" ca="1" si="2"/>
        <v>1.0490035490035492</v>
      </c>
      <c r="I43" s="4">
        <f t="shared" ca="1" si="3"/>
        <v>1.3549338151099608</v>
      </c>
      <c r="J43">
        <f t="shared" ca="1" si="4"/>
        <v>2</v>
      </c>
    </row>
    <row r="44" spans="1:10" x14ac:dyDescent="0.25">
      <c r="A44" t="s">
        <v>23</v>
      </c>
      <c r="B44" s="4">
        <v>0.89848229342327157</v>
      </c>
      <c r="C44" s="4">
        <v>1.5313266372071732</v>
      </c>
      <c r="D44" s="5">
        <v>76</v>
      </c>
      <c r="E44" s="3">
        <f t="shared" si="0"/>
        <v>87.657720733126197</v>
      </c>
      <c r="G44" s="3">
        <f t="shared" ca="1" si="1"/>
        <v>87.504390045837368</v>
      </c>
      <c r="H44" s="4">
        <f t="shared" ca="1" si="2"/>
        <v>0.90884019455448051</v>
      </c>
      <c r="I44" s="4">
        <f t="shared" ca="1" si="3"/>
        <v>1.5638947190402526</v>
      </c>
      <c r="J44">
        <f t="shared" ca="1" si="4"/>
        <v>2</v>
      </c>
    </row>
    <row r="45" spans="1:10" x14ac:dyDescent="0.25">
      <c r="A45" t="s">
        <v>29</v>
      </c>
      <c r="B45" s="4">
        <v>1.775052378762328</v>
      </c>
      <c r="C45" s="4">
        <v>0.7751150813574218</v>
      </c>
      <c r="D45" s="5">
        <v>77</v>
      </c>
      <c r="E45" s="3">
        <f t="shared" si="0"/>
        <v>88.432835814483624</v>
      </c>
      <c r="G45" s="3">
        <f t="shared" ca="1" si="1"/>
        <v>88.389955443945055</v>
      </c>
      <c r="H45" s="4">
        <f t="shared" ca="1" si="2"/>
        <v>1.6049976475508392</v>
      </c>
      <c r="I45" s="4">
        <f t="shared" ca="1" si="3"/>
        <v>0.88556539810769186</v>
      </c>
      <c r="J45">
        <f t="shared" ca="1" si="4"/>
        <v>0</v>
      </c>
    </row>
    <row r="46" spans="1:10" x14ac:dyDescent="0.25">
      <c r="A46" t="s">
        <v>41</v>
      </c>
      <c r="B46" s="4">
        <v>0.87352445193929174</v>
      </c>
      <c r="C46" s="4">
        <v>1.575078826841664</v>
      </c>
      <c r="D46" s="5">
        <v>78</v>
      </c>
      <c r="E46" s="3">
        <f t="shared" si="0"/>
        <v>90.007914641325286</v>
      </c>
      <c r="G46" s="3">
        <f t="shared" ca="1" si="1"/>
        <v>89.888063671263922</v>
      </c>
      <c r="H46" s="4">
        <f t="shared" ca="1" si="2"/>
        <v>0.9487501335327424</v>
      </c>
      <c r="I46" s="4">
        <f t="shared" ca="1" si="3"/>
        <v>1.4981082273188593</v>
      </c>
      <c r="J46">
        <f t="shared" ca="1" si="4"/>
        <v>2</v>
      </c>
    </row>
    <row r="47" spans="1:10" x14ac:dyDescent="0.25">
      <c r="A47" t="s">
        <v>24</v>
      </c>
      <c r="B47" s="4">
        <v>0.92646532781440039</v>
      </c>
      <c r="C47" s="4">
        <v>1.4850743224507117</v>
      </c>
      <c r="D47" s="5">
        <v>79</v>
      </c>
      <c r="E47" s="3">
        <f t="shared" si="0"/>
        <v>91.492988963776</v>
      </c>
      <c r="G47" s="3">
        <f t="shared" ca="1" si="1"/>
        <v>91.242997486373881</v>
      </c>
      <c r="H47" s="4">
        <f t="shared" ca="1" si="2"/>
        <v>1.0490035490035492</v>
      </c>
      <c r="I47" s="4">
        <f t="shared" ca="1" si="3"/>
        <v>1.3549338151099608</v>
      </c>
      <c r="J47">
        <f t="shared" ca="1" si="4"/>
        <v>2</v>
      </c>
    </row>
    <row r="48" spans="1:10" x14ac:dyDescent="0.25">
      <c r="A48" t="s">
        <v>16</v>
      </c>
      <c r="B48" s="4">
        <v>1.1818271996825713</v>
      </c>
      <c r="C48" s="4">
        <v>1.1641886981003602</v>
      </c>
      <c r="D48" s="5">
        <v>80</v>
      </c>
      <c r="E48" s="3">
        <f t="shared" si="0"/>
        <v>92.657177661876361</v>
      </c>
      <c r="G48" s="3">
        <f t="shared" ca="1" si="1"/>
        <v>92.445993424097153</v>
      </c>
      <c r="H48" s="4">
        <f t="shared" ca="1" si="2"/>
        <v>1.1814922529208245</v>
      </c>
      <c r="I48" s="4">
        <f t="shared" ca="1" si="3"/>
        <v>1.2029959377232713</v>
      </c>
      <c r="J48">
        <f t="shared" ca="1" si="4"/>
        <v>1</v>
      </c>
    </row>
    <row r="49" spans="1:10" x14ac:dyDescent="0.25">
      <c r="A49" t="s">
        <v>23</v>
      </c>
      <c r="B49" s="4">
        <v>1.1586605637195855</v>
      </c>
      <c r="C49" s="4">
        <v>1.1874658653792154</v>
      </c>
      <c r="D49" s="5">
        <v>81</v>
      </c>
      <c r="E49" s="3">
        <f t="shared" si="0"/>
        <v>93.84464352725557</v>
      </c>
      <c r="G49" s="3">
        <f t="shared" ca="1" si="1"/>
        <v>93.701612107711981</v>
      </c>
      <c r="H49" s="4">
        <f t="shared" ca="1" si="2"/>
        <v>1.1319761319761321</v>
      </c>
      <c r="I49" s="4">
        <f t="shared" ca="1" si="3"/>
        <v>1.2556186836148209</v>
      </c>
      <c r="J49">
        <f t="shared" ca="1" si="4"/>
        <v>2</v>
      </c>
    </row>
    <row r="50" spans="1:10" x14ac:dyDescent="0.25">
      <c r="A50" t="s">
        <v>22</v>
      </c>
      <c r="B50" s="4">
        <v>1.1908455793784629</v>
      </c>
      <c r="C50" s="4">
        <v>1.1553721933419392</v>
      </c>
      <c r="D50" s="5">
        <v>82</v>
      </c>
      <c r="E50" s="3">
        <f t="shared" si="0"/>
        <v>95.000015720597503</v>
      </c>
      <c r="G50" s="3">
        <f t="shared" ca="1" si="1"/>
        <v>94.982855662420988</v>
      </c>
      <c r="H50" s="4">
        <f t="shared" ca="1" si="2"/>
        <v>1.1093366093366093</v>
      </c>
      <c r="I50" s="4">
        <f t="shared" ca="1" si="3"/>
        <v>1.2812435547090013</v>
      </c>
      <c r="J50">
        <f t="shared" ca="1" si="4"/>
        <v>2</v>
      </c>
    </row>
  </sheetData>
  <autoFilter ref="A1:C50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sqref="A1:P35"/>
    </sheetView>
  </sheetViews>
  <sheetFormatPr defaultRowHeight="15" x14ac:dyDescent="0.25"/>
  <cols>
    <col min="10" max="11" width="9.140625" style="2"/>
    <col min="15" max="15" width="9.140625" style="2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111</v>
      </c>
      <c r="R1" t="s">
        <v>112</v>
      </c>
      <c r="S1" t="s">
        <v>114</v>
      </c>
      <c r="T1" t="s">
        <v>113</v>
      </c>
      <c r="U1" t="s">
        <v>117</v>
      </c>
      <c r="V1" t="s">
        <v>116</v>
      </c>
      <c r="W1" t="s">
        <v>118</v>
      </c>
    </row>
    <row r="2" spans="1:23" x14ac:dyDescent="0.25">
      <c r="A2" t="s">
        <v>16</v>
      </c>
      <c r="B2">
        <v>49</v>
      </c>
      <c r="C2">
        <v>29</v>
      </c>
      <c r="D2">
        <v>13</v>
      </c>
      <c r="E2">
        <v>7</v>
      </c>
      <c r="F2">
        <v>65</v>
      </c>
      <c r="G2">
        <v>28</v>
      </c>
      <c r="H2">
        <v>1</v>
      </c>
      <c r="I2">
        <v>1</v>
      </c>
      <c r="J2" s="2" t="s">
        <v>489</v>
      </c>
      <c r="K2" s="2" t="s">
        <v>461</v>
      </c>
      <c r="L2">
        <v>149</v>
      </c>
      <c r="M2">
        <v>122</v>
      </c>
      <c r="N2">
        <v>27</v>
      </c>
      <c r="O2" s="2" t="s">
        <v>427</v>
      </c>
      <c r="P2" t="s">
        <v>27</v>
      </c>
      <c r="Q2">
        <f t="shared" ref="Q2:Q30" si="0">VALUE(LEFT(J2,FIND("-",J2)-1))</f>
        <v>17</v>
      </c>
      <c r="R2">
        <f t="shared" ref="R2:R30" si="1">VALUE(IF(RIGHT(MID(J2,FIND("-",J2)+1,2),1)="-",MID(J2,FIND("-",J2)+1,1),MID(J2,FIND("-",J2)+1,2)))</f>
        <v>5</v>
      </c>
      <c r="S2">
        <f t="shared" ref="S2:S30" si="2">VALUE(RIGHT(J2,1))</f>
        <v>3</v>
      </c>
      <c r="T2">
        <f>IFERROR(2*Q2+S2,"")</f>
        <v>37</v>
      </c>
      <c r="U2" s="4">
        <f t="shared" ref="U2:U30" si="3">F2/B2</f>
        <v>1.3265306122448979</v>
      </c>
      <c r="V2" s="4">
        <f>U2/$F$38*$T$38</f>
        <v>1.4715689715689715</v>
      </c>
      <c r="W2" s="4">
        <f>U2/$F$38*$T$39</f>
        <v>1.1814922529208245</v>
      </c>
    </row>
    <row r="3" spans="1:23" x14ac:dyDescent="0.25">
      <c r="A3" t="s">
        <v>19</v>
      </c>
      <c r="B3">
        <v>46</v>
      </c>
      <c r="C3">
        <v>26</v>
      </c>
      <c r="D3">
        <v>15</v>
      </c>
      <c r="E3">
        <v>5</v>
      </c>
      <c r="F3">
        <v>57</v>
      </c>
      <c r="G3">
        <v>22</v>
      </c>
      <c r="H3">
        <v>4</v>
      </c>
      <c r="I3">
        <v>1</v>
      </c>
      <c r="J3" s="2" t="s">
        <v>490</v>
      </c>
      <c r="K3" s="2" t="s">
        <v>463</v>
      </c>
      <c r="L3">
        <v>125</v>
      </c>
      <c r="M3">
        <v>120</v>
      </c>
      <c r="N3">
        <v>5</v>
      </c>
      <c r="O3" s="2" t="s">
        <v>430</v>
      </c>
      <c r="P3" t="s">
        <v>27</v>
      </c>
      <c r="Q3">
        <f t="shared" si="0"/>
        <v>14</v>
      </c>
      <c r="R3">
        <f t="shared" si="1"/>
        <v>7</v>
      </c>
      <c r="S3">
        <f t="shared" si="2"/>
        <v>5</v>
      </c>
      <c r="T3">
        <f t="shared" ref="T3:T35" si="4">IFERROR(2*Q3+S3,"")</f>
        <v>33</v>
      </c>
      <c r="U3" s="4">
        <f t="shared" si="3"/>
        <v>1.2391304347826086</v>
      </c>
      <c r="V3" s="4">
        <f t="shared" ref="V3:V35" si="5">U3/$F$38*$T$38</f>
        <v>1.3746127550475378</v>
      </c>
      <c r="W3" s="4">
        <f t="shared" ref="W3:W35" si="6">U3/$F$38*$T$39</f>
        <v>1.10364811451768</v>
      </c>
    </row>
    <row r="4" spans="1:23" x14ac:dyDescent="0.25">
      <c r="A4" t="s">
        <v>21</v>
      </c>
      <c r="B4">
        <v>51</v>
      </c>
      <c r="C4">
        <v>24</v>
      </c>
      <c r="D4">
        <v>21</v>
      </c>
      <c r="E4">
        <v>6</v>
      </c>
      <c r="F4">
        <v>54</v>
      </c>
      <c r="G4">
        <v>22</v>
      </c>
      <c r="H4">
        <v>2</v>
      </c>
      <c r="I4">
        <v>2</v>
      </c>
      <c r="J4" s="2" t="s">
        <v>491</v>
      </c>
      <c r="K4" s="2" t="s">
        <v>464</v>
      </c>
      <c r="L4">
        <v>127</v>
      </c>
      <c r="M4">
        <v>132</v>
      </c>
      <c r="N4">
        <v>-5</v>
      </c>
      <c r="O4" s="2" t="s">
        <v>379</v>
      </c>
      <c r="P4" t="s">
        <v>27</v>
      </c>
      <c r="Q4">
        <f t="shared" si="0"/>
        <v>11</v>
      </c>
      <c r="R4">
        <f t="shared" si="1"/>
        <v>12</v>
      </c>
      <c r="S4">
        <f t="shared" si="2"/>
        <v>0</v>
      </c>
      <c r="T4">
        <f t="shared" si="4"/>
        <v>22</v>
      </c>
      <c r="U4" s="4">
        <f t="shared" si="3"/>
        <v>1.0588235294117647</v>
      </c>
      <c r="V4" s="4">
        <f t="shared" si="5"/>
        <v>1.1745917040034688</v>
      </c>
      <c r="W4" s="4">
        <f t="shared" si="6"/>
        <v>0.94305535482006086</v>
      </c>
    </row>
    <row r="5" spans="1:23" x14ac:dyDescent="0.25">
      <c r="A5" t="s">
        <v>24</v>
      </c>
      <c r="B5">
        <v>45</v>
      </c>
      <c r="C5">
        <v>22</v>
      </c>
      <c r="D5">
        <v>14</v>
      </c>
      <c r="E5">
        <v>9</v>
      </c>
      <c r="F5">
        <v>53</v>
      </c>
      <c r="G5">
        <v>21</v>
      </c>
      <c r="H5">
        <v>1</v>
      </c>
      <c r="I5">
        <v>6</v>
      </c>
      <c r="J5" s="2" t="s">
        <v>492</v>
      </c>
      <c r="K5" s="2" t="s">
        <v>438</v>
      </c>
      <c r="L5">
        <v>140</v>
      </c>
      <c r="M5">
        <v>131</v>
      </c>
      <c r="N5">
        <v>9</v>
      </c>
      <c r="O5" s="2" t="s">
        <v>466</v>
      </c>
      <c r="P5" t="s">
        <v>27</v>
      </c>
      <c r="Q5">
        <f t="shared" si="0"/>
        <v>12</v>
      </c>
      <c r="R5">
        <f t="shared" si="1"/>
        <v>8</v>
      </c>
      <c r="S5">
        <f t="shared" si="2"/>
        <v>3</v>
      </c>
      <c r="T5">
        <f t="shared" si="4"/>
        <v>27</v>
      </c>
      <c r="U5" s="4">
        <f t="shared" si="3"/>
        <v>1.1777777777777778</v>
      </c>
      <c r="V5" s="4">
        <f t="shared" si="5"/>
        <v>1.3065520065520067</v>
      </c>
      <c r="W5" s="4">
        <f t="shared" si="6"/>
        <v>1.0490035490035492</v>
      </c>
    </row>
    <row r="6" spans="1:23" x14ac:dyDescent="0.25">
      <c r="A6" t="s">
        <v>23</v>
      </c>
      <c r="B6">
        <v>49</v>
      </c>
      <c r="C6">
        <v>20</v>
      </c>
      <c r="D6">
        <v>19</v>
      </c>
      <c r="E6">
        <v>10</v>
      </c>
      <c r="F6">
        <v>50</v>
      </c>
      <c r="G6">
        <v>17</v>
      </c>
      <c r="H6">
        <v>3</v>
      </c>
      <c r="I6">
        <v>5</v>
      </c>
      <c r="J6" s="2" t="s">
        <v>439</v>
      </c>
      <c r="K6" s="2" t="s">
        <v>493</v>
      </c>
      <c r="L6">
        <v>114</v>
      </c>
      <c r="M6">
        <v>136</v>
      </c>
      <c r="N6">
        <v>-22</v>
      </c>
      <c r="O6" s="2" t="s">
        <v>379</v>
      </c>
      <c r="P6" t="s">
        <v>425</v>
      </c>
      <c r="Q6">
        <f t="shared" si="0"/>
        <v>11</v>
      </c>
      <c r="R6">
        <f t="shared" si="1"/>
        <v>9</v>
      </c>
      <c r="S6">
        <f t="shared" si="2"/>
        <v>3</v>
      </c>
      <c r="T6">
        <f t="shared" si="4"/>
        <v>25</v>
      </c>
      <c r="U6" s="4">
        <f t="shared" si="3"/>
        <v>1.0204081632653061</v>
      </c>
      <c r="V6" s="4">
        <f t="shared" si="5"/>
        <v>1.1319761319761321</v>
      </c>
      <c r="W6" s="4">
        <f t="shared" si="6"/>
        <v>0.90884019455448051</v>
      </c>
    </row>
    <row r="7" spans="1:23" x14ac:dyDescent="0.25">
      <c r="A7" t="s">
        <v>26</v>
      </c>
      <c r="B7">
        <v>47</v>
      </c>
      <c r="C7">
        <v>20</v>
      </c>
      <c r="D7">
        <v>18</v>
      </c>
      <c r="E7">
        <v>9</v>
      </c>
      <c r="F7">
        <v>49</v>
      </c>
      <c r="G7">
        <v>19</v>
      </c>
      <c r="H7">
        <v>1</v>
      </c>
      <c r="I7">
        <v>5</v>
      </c>
      <c r="J7" s="2" t="s">
        <v>465</v>
      </c>
      <c r="K7" s="2" t="s">
        <v>396</v>
      </c>
      <c r="L7">
        <v>115</v>
      </c>
      <c r="M7">
        <v>132</v>
      </c>
      <c r="N7">
        <v>-17</v>
      </c>
      <c r="O7" s="2" t="s">
        <v>430</v>
      </c>
      <c r="P7" t="s">
        <v>40</v>
      </c>
      <c r="Q7">
        <f t="shared" si="0"/>
        <v>11</v>
      </c>
      <c r="R7">
        <f t="shared" si="1"/>
        <v>8</v>
      </c>
      <c r="S7">
        <f t="shared" si="2"/>
        <v>3</v>
      </c>
      <c r="T7">
        <f t="shared" si="4"/>
        <v>25</v>
      </c>
      <c r="U7" s="4">
        <f t="shared" si="3"/>
        <v>1.0425531914893618</v>
      </c>
      <c r="V7" s="4">
        <f t="shared" si="5"/>
        <v>1.1565424224998695</v>
      </c>
      <c r="W7" s="4">
        <f t="shared" si="6"/>
        <v>0.92856396047885437</v>
      </c>
    </row>
    <row r="8" spans="1:23" x14ac:dyDescent="0.25">
      <c r="A8" t="s">
        <v>28</v>
      </c>
      <c r="B8">
        <v>48</v>
      </c>
      <c r="C8">
        <v>20</v>
      </c>
      <c r="D8">
        <v>19</v>
      </c>
      <c r="E8">
        <v>9</v>
      </c>
      <c r="F8">
        <v>49</v>
      </c>
      <c r="G8">
        <v>14</v>
      </c>
      <c r="H8">
        <v>6</v>
      </c>
      <c r="I8">
        <v>0</v>
      </c>
      <c r="J8" s="2" t="s">
        <v>467</v>
      </c>
      <c r="K8" s="2" t="s">
        <v>494</v>
      </c>
      <c r="L8">
        <v>123</v>
      </c>
      <c r="M8">
        <v>140</v>
      </c>
      <c r="N8">
        <v>-17</v>
      </c>
      <c r="O8" s="2" t="s">
        <v>495</v>
      </c>
      <c r="P8" t="s">
        <v>45</v>
      </c>
      <c r="Q8">
        <f t="shared" si="0"/>
        <v>10</v>
      </c>
      <c r="R8">
        <f t="shared" si="1"/>
        <v>10</v>
      </c>
      <c r="S8">
        <f t="shared" si="2"/>
        <v>4</v>
      </c>
      <c r="T8">
        <f t="shared" si="4"/>
        <v>24</v>
      </c>
      <c r="U8" s="4">
        <f t="shared" si="3"/>
        <v>1.0208333333333333</v>
      </c>
      <c r="V8" s="4">
        <f t="shared" si="5"/>
        <v>1.1324477886977886</v>
      </c>
      <c r="W8" s="4">
        <f t="shared" si="6"/>
        <v>0.90921887796887801</v>
      </c>
    </row>
    <row r="9" spans="1:23" x14ac:dyDescent="0.25">
      <c r="A9" t="s">
        <v>22</v>
      </c>
      <c r="B9">
        <v>49</v>
      </c>
      <c r="C9">
        <v>22</v>
      </c>
      <c r="D9">
        <v>22</v>
      </c>
      <c r="E9">
        <v>5</v>
      </c>
      <c r="F9">
        <v>49</v>
      </c>
      <c r="G9">
        <v>20</v>
      </c>
      <c r="H9">
        <v>2</v>
      </c>
      <c r="I9">
        <v>2</v>
      </c>
      <c r="J9" s="2" t="s">
        <v>440</v>
      </c>
      <c r="K9" s="2" t="s">
        <v>496</v>
      </c>
      <c r="L9">
        <v>135</v>
      </c>
      <c r="M9">
        <v>144</v>
      </c>
      <c r="N9">
        <v>-9</v>
      </c>
      <c r="O9" s="2" t="s">
        <v>441</v>
      </c>
      <c r="P9" t="s">
        <v>27</v>
      </c>
      <c r="Q9">
        <f t="shared" si="0"/>
        <v>12</v>
      </c>
      <c r="R9">
        <f t="shared" si="1"/>
        <v>8</v>
      </c>
      <c r="S9">
        <f t="shared" si="2"/>
        <v>2</v>
      </c>
      <c r="T9">
        <f t="shared" si="4"/>
        <v>26</v>
      </c>
      <c r="U9" s="4">
        <f t="shared" si="3"/>
        <v>1</v>
      </c>
      <c r="V9" s="4">
        <f t="shared" si="5"/>
        <v>1.1093366093366093</v>
      </c>
      <c r="W9" s="4">
        <f t="shared" si="6"/>
        <v>0.89066339066339084</v>
      </c>
    </row>
    <row r="10" spans="1:23" x14ac:dyDescent="0.25">
      <c r="A10" t="s">
        <v>443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s="2" t="s">
        <v>9</v>
      </c>
      <c r="K10" s="2" t="s">
        <v>10</v>
      </c>
      <c r="L10" t="s">
        <v>11</v>
      </c>
      <c r="M10" t="s">
        <v>12</v>
      </c>
      <c r="N10" t="s">
        <v>13</v>
      </c>
      <c r="O10" s="2" t="s">
        <v>14</v>
      </c>
      <c r="P10" t="s">
        <v>15</v>
      </c>
      <c r="Q10" t="e">
        <f t="shared" si="0"/>
        <v>#VALUE!</v>
      </c>
      <c r="R10" t="e">
        <f t="shared" si="1"/>
        <v>#VALUE!</v>
      </c>
      <c r="S10" t="e">
        <f t="shared" si="2"/>
        <v>#VALUE!</v>
      </c>
      <c r="T10" t="str">
        <f t="shared" si="4"/>
        <v/>
      </c>
      <c r="U10" s="4" t="e">
        <f t="shared" si="3"/>
        <v>#VALUE!</v>
      </c>
      <c r="V10" s="4" t="e">
        <f t="shared" si="5"/>
        <v>#VALUE!</v>
      </c>
      <c r="W10" s="4" t="e">
        <f t="shared" si="6"/>
        <v>#VALUE!</v>
      </c>
    </row>
    <row r="11" spans="1:23" x14ac:dyDescent="0.25">
      <c r="A11" t="s">
        <v>37</v>
      </c>
      <c r="B11">
        <v>48</v>
      </c>
      <c r="C11">
        <v>32</v>
      </c>
      <c r="D11">
        <v>10</v>
      </c>
      <c r="E11">
        <v>6</v>
      </c>
      <c r="F11">
        <v>70</v>
      </c>
      <c r="G11">
        <v>31</v>
      </c>
      <c r="H11">
        <v>1</v>
      </c>
      <c r="I11">
        <v>4</v>
      </c>
      <c r="J11" s="2" t="s">
        <v>497</v>
      </c>
      <c r="K11" s="2" t="s">
        <v>498</v>
      </c>
      <c r="L11">
        <v>155</v>
      </c>
      <c r="M11">
        <v>104</v>
      </c>
      <c r="N11">
        <v>51</v>
      </c>
      <c r="O11" s="2" t="s">
        <v>499</v>
      </c>
      <c r="P11" t="s">
        <v>20</v>
      </c>
      <c r="Q11">
        <f t="shared" si="0"/>
        <v>19</v>
      </c>
      <c r="R11">
        <f t="shared" si="1"/>
        <v>5</v>
      </c>
      <c r="S11">
        <f t="shared" si="2"/>
        <v>1</v>
      </c>
      <c r="T11">
        <f t="shared" si="4"/>
        <v>39</v>
      </c>
      <c r="U11" s="4">
        <f t="shared" si="3"/>
        <v>1.4583333333333333</v>
      </c>
      <c r="V11" s="4">
        <f t="shared" si="5"/>
        <v>1.6177825552825551</v>
      </c>
      <c r="W11" s="4">
        <f t="shared" si="6"/>
        <v>1.2988841113841114</v>
      </c>
    </row>
    <row r="12" spans="1:23" x14ac:dyDescent="0.25">
      <c r="A12" t="s">
        <v>29</v>
      </c>
      <c r="B12">
        <v>47</v>
      </c>
      <c r="C12">
        <v>32</v>
      </c>
      <c r="D12">
        <v>11</v>
      </c>
      <c r="E12">
        <v>4</v>
      </c>
      <c r="F12">
        <v>68</v>
      </c>
      <c r="G12">
        <v>30</v>
      </c>
      <c r="H12">
        <v>2</v>
      </c>
      <c r="I12">
        <v>1</v>
      </c>
      <c r="J12" s="2" t="s">
        <v>444</v>
      </c>
      <c r="K12" s="2" t="s">
        <v>500</v>
      </c>
      <c r="L12">
        <v>157</v>
      </c>
      <c r="M12">
        <v>110</v>
      </c>
      <c r="N12">
        <v>47</v>
      </c>
      <c r="O12" s="2" t="s">
        <v>429</v>
      </c>
      <c r="P12" t="s">
        <v>20</v>
      </c>
      <c r="Q12">
        <f t="shared" si="0"/>
        <v>18</v>
      </c>
      <c r="R12">
        <f t="shared" si="1"/>
        <v>5</v>
      </c>
      <c r="S12">
        <f t="shared" si="2"/>
        <v>1</v>
      </c>
      <c r="T12">
        <f t="shared" si="4"/>
        <v>37</v>
      </c>
      <c r="U12" s="4">
        <f t="shared" si="3"/>
        <v>1.446808510638298</v>
      </c>
      <c r="V12" s="4">
        <f t="shared" si="5"/>
        <v>1.6049976475508392</v>
      </c>
      <c r="W12" s="4">
        <f t="shared" si="6"/>
        <v>1.288619373725757</v>
      </c>
    </row>
    <row r="13" spans="1:23" x14ac:dyDescent="0.25">
      <c r="A13" t="s">
        <v>33</v>
      </c>
      <c r="B13">
        <v>47</v>
      </c>
      <c r="C13">
        <v>30</v>
      </c>
      <c r="D13">
        <v>12</v>
      </c>
      <c r="E13">
        <v>5</v>
      </c>
      <c r="F13">
        <v>65</v>
      </c>
      <c r="G13">
        <v>28</v>
      </c>
      <c r="H13">
        <v>2</v>
      </c>
      <c r="I13">
        <v>1</v>
      </c>
      <c r="J13" s="2" t="s">
        <v>501</v>
      </c>
      <c r="K13" s="2" t="s">
        <v>442</v>
      </c>
      <c r="L13">
        <v>169</v>
      </c>
      <c r="M13">
        <v>137</v>
      </c>
      <c r="N13">
        <v>32</v>
      </c>
      <c r="O13" s="2" t="s">
        <v>426</v>
      </c>
      <c r="P13" t="s">
        <v>20</v>
      </c>
      <c r="Q13">
        <f t="shared" si="0"/>
        <v>20</v>
      </c>
      <c r="R13">
        <f t="shared" si="1"/>
        <v>3</v>
      </c>
      <c r="S13">
        <f t="shared" si="2"/>
        <v>2</v>
      </c>
      <c r="T13">
        <f t="shared" si="4"/>
        <v>42</v>
      </c>
      <c r="U13" s="4">
        <f t="shared" si="3"/>
        <v>1.3829787234042554</v>
      </c>
      <c r="V13" s="4">
        <f t="shared" si="5"/>
        <v>1.5341889278059493</v>
      </c>
      <c r="W13" s="4">
        <f t="shared" si="6"/>
        <v>1.2317685190025618</v>
      </c>
    </row>
    <row r="14" spans="1:23" x14ac:dyDescent="0.25">
      <c r="A14" t="s">
        <v>35</v>
      </c>
      <c r="B14">
        <v>48</v>
      </c>
      <c r="C14">
        <v>31</v>
      </c>
      <c r="D14">
        <v>16</v>
      </c>
      <c r="E14">
        <v>1</v>
      </c>
      <c r="F14">
        <v>63</v>
      </c>
      <c r="G14">
        <v>29</v>
      </c>
      <c r="H14">
        <v>2</v>
      </c>
      <c r="I14">
        <v>1</v>
      </c>
      <c r="J14" s="2" t="s">
        <v>502</v>
      </c>
      <c r="K14" s="2" t="s">
        <v>469</v>
      </c>
      <c r="L14">
        <v>167</v>
      </c>
      <c r="M14">
        <v>127</v>
      </c>
      <c r="N14">
        <v>40</v>
      </c>
      <c r="O14" s="2" t="s">
        <v>426</v>
      </c>
      <c r="P14" t="s">
        <v>40</v>
      </c>
      <c r="Q14">
        <f t="shared" si="0"/>
        <v>14</v>
      </c>
      <c r="R14">
        <f t="shared" si="1"/>
        <v>9</v>
      </c>
      <c r="S14">
        <f t="shared" si="2"/>
        <v>1</v>
      </c>
      <c r="T14">
        <f t="shared" si="4"/>
        <v>29</v>
      </c>
      <c r="U14" s="4">
        <f t="shared" si="3"/>
        <v>1.3125</v>
      </c>
      <c r="V14" s="4">
        <f t="shared" si="5"/>
        <v>1.4560042997542997</v>
      </c>
      <c r="W14" s="4">
        <f t="shared" si="6"/>
        <v>1.1689957002457003</v>
      </c>
    </row>
    <row r="15" spans="1:23" x14ac:dyDescent="0.25">
      <c r="A15" t="s">
        <v>38</v>
      </c>
      <c r="B15">
        <v>48</v>
      </c>
      <c r="C15">
        <v>23</v>
      </c>
      <c r="D15">
        <v>19</v>
      </c>
      <c r="E15">
        <v>6</v>
      </c>
      <c r="F15">
        <v>52</v>
      </c>
      <c r="G15">
        <v>18</v>
      </c>
      <c r="H15">
        <v>5</v>
      </c>
      <c r="I15">
        <v>4</v>
      </c>
      <c r="J15" s="2" t="s">
        <v>470</v>
      </c>
      <c r="K15" s="2" t="s">
        <v>452</v>
      </c>
      <c r="L15">
        <v>136</v>
      </c>
      <c r="M15">
        <v>154</v>
      </c>
      <c r="N15">
        <v>-18</v>
      </c>
      <c r="O15" s="2" t="s">
        <v>453</v>
      </c>
      <c r="P15" t="s">
        <v>27</v>
      </c>
      <c r="Q15">
        <f t="shared" si="0"/>
        <v>14</v>
      </c>
      <c r="R15">
        <f t="shared" si="1"/>
        <v>7</v>
      </c>
      <c r="S15">
        <f t="shared" si="2"/>
        <v>3</v>
      </c>
      <c r="T15">
        <f t="shared" si="4"/>
        <v>31</v>
      </c>
      <c r="U15" s="4">
        <f t="shared" si="3"/>
        <v>1.0833333333333333</v>
      </c>
      <c r="V15" s="4">
        <f t="shared" si="5"/>
        <v>1.2017813267813267</v>
      </c>
      <c r="W15" s="4">
        <f t="shared" si="6"/>
        <v>0.96488533988533998</v>
      </c>
    </row>
    <row r="16" spans="1:23" x14ac:dyDescent="0.25">
      <c r="A16" t="s">
        <v>41</v>
      </c>
      <c r="B16">
        <v>46</v>
      </c>
      <c r="C16">
        <v>20</v>
      </c>
      <c r="D16">
        <v>17</v>
      </c>
      <c r="E16">
        <v>9</v>
      </c>
      <c r="F16">
        <v>49</v>
      </c>
      <c r="G16">
        <v>19</v>
      </c>
      <c r="H16">
        <v>1</v>
      </c>
      <c r="I16">
        <v>3</v>
      </c>
      <c r="J16" s="2" t="s">
        <v>503</v>
      </c>
      <c r="K16" s="2" t="s">
        <v>445</v>
      </c>
      <c r="L16">
        <v>133</v>
      </c>
      <c r="M16">
        <v>135</v>
      </c>
      <c r="N16">
        <v>-2</v>
      </c>
      <c r="O16" s="2" t="s">
        <v>473</v>
      </c>
      <c r="P16" t="s">
        <v>27</v>
      </c>
      <c r="Q16">
        <f t="shared" si="0"/>
        <v>14</v>
      </c>
      <c r="R16">
        <f t="shared" si="1"/>
        <v>8</v>
      </c>
      <c r="S16">
        <f t="shared" si="2"/>
        <v>5</v>
      </c>
      <c r="T16">
        <f t="shared" si="4"/>
        <v>33</v>
      </c>
      <c r="U16" s="4">
        <f t="shared" si="3"/>
        <v>1.0652173913043479</v>
      </c>
      <c r="V16" s="4">
        <f t="shared" si="5"/>
        <v>1.1816846490759536</v>
      </c>
      <c r="W16" s="4">
        <f t="shared" si="6"/>
        <v>0.9487501335327424</v>
      </c>
    </row>
    <row r="17" spans="1:23" x14ac:dyDescent="0.25">
      <c r="A17" t="s">
        <v>39</v>
      </c>
      <c r="B17">
        <v>47</v>
      </c>
      <c r="C17">
        <v>21</v>
      </c>
      <c r="D17">
        <v>19</v>
      </c>
      <c r="E17">
        <v>7</v>
      </c>
      <c r="F17">
        <v>49</v>
      </c>
      <c r="G17">
        <v>19</v>
      </c>
      <c r="H17">
        <v>2</v>
      </c>
      <c r="I17">
        <v>4</v>
      </c>
      <c r="J17" s="2" t="s">
        <v>471</v>
      </c>
      <c r="K17" s="2" t="s">
        <v>504</v>
      </c>
      <c r="L17">
        <v>126</v>
      </c>
      <c r="M17">
        <v>137</v>
      </c>
      <c r="N17">
        <v>-11</v>
      </c>
      <c r="O17" s="2" t="s">
        <v>429</v>
      </c>
      <c r="P17" t="s">
        <v>425</v>
      </c>
      <c r="Q17">
        <f t="shared" si="0"/>
        <v>15</v>
      </c>
      <c r="R17">
        <f t="shared" si="1"/>
        <v>5</v>
      </c>
      <c r="S17">
        <f t="shared" si="2"/>
        <v>1</v>
      </c>
      <c r="T17">
        <f t="shared" si="4"/>
        <v>31</v>
      </c>
      <c r="U17" s="4">
        <f t="shared" si="3"/>
        <v>1.0425531914893618</v>
      </c>
      <c r="V17" s="4">
        <f t="shared" si="5"/>
        <v>1.1565424224998695</v>
      </c>
      <c r="W17" s="4">
        <f t="shared" si="6"/>
        <v>0.92856396047885437</v>
      </c>
    </row>
    <row r="18" spans="1:23" x14ac:dyDescent="0.25">
      <c r="A18" t="s">
        <v>42</v>
      </c>
      <c r="B18">
        <v>49</v>
      </c>
      <c r="C18">
        <v>20</v>
      </c>
      <c r="D18">
        <v>20</v>
      </c>
      <c r="E18">
        <v>9</v>
      </c>
      <c r="F18">
        <v>49</v>
      </c>
      <c r="G18">
        <v>17</v>
      </c>
      <c r="H18">
        <v>3</v>
      </c>
      <c r="I18">
        <v>2</v>
      </c>
      <c r="J18" s="2" t="s">
        <v>505</v>
      </c>
      <c r="K18" s="2" t="s">
        <v>472</v>
      </c>
      <c r="L18">
        <v>111</v>
      </c>
      <c r="M18">
        <v>139</v>
      </c>
      <c r="N18">
        <v>-28</v>
      </c>
      <c r="O18" s="2" t="s">
        <v>379</v>
      </c>
      <c r="P18" t="s">
        <v>20</v>
      </c>
      <c r="Q18">
        <f t="shared" si="0"/>
        <v>10</v>
      </c>
      <c r="R18">
        <f t="shared" si="1"/>
        <v>8</v>
      </c>
      <c r="S18">
        <f t="shared" si="2"/>
        <v>3</v>
      </c>
      <c r="T18">
        <f t="shared" si="4"/>
        <v>23</v>
      </c>
      <c r="U18" s="4">
        <f t="shared" si="3"/>
        <v>1</v>
      </c>
      <c r="V18" s="4">
        <f t="shared" si="5"/>
        <v>1.1093366093366093</v>
      </c>
      <c r="W18" s="4">
        <f t="shared" si="6"/>
        <v>0.89066339066339084</v>
      </c>
    </row>
    <row r="19" spans="1:23" x14ac:dyDescent="0.25">
      <c r="A19" t="s">
        <v>446</v>
      </c>
      <c r="Q19" t="e">
        <f t="shared" si="0"/>
        <v>#VALUE!</v>
      </c>
      <c r="R19" t="e">
        <f t="shared" si="1"/>
        <v>#VALUE!</v>
      </c>
      <c r="S19" t="e">
        <f t="shared" si="2"/>
        <v>#VALUE!</v>
      </c>
      <c r="T19" t="str">
        <f t="shared" si="4"/>
        <v/>
      </c>
      <c r="U19" s="4" t="e">
        <f t="shared" si="3"/>
        <v>#DIV/0!</v>
      </c>
      <c r="V19" s="4" t="e">
        <f t="shared" si="5"/>
        <v>#DIV/0!</v>
      </c>
      <c r="W19" s="4" t="e">
        <f t="shared" si="6"/>
        <v>#DIV/0!</v>
      </c>
    </row>
    <row r="20" spans="1:23" x14ac:dyDescent="0.25">
      <c r="A20" t="s">
        <v>447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s="2" t="s">
        <v>9</v>
      </c>
      <c r="K20" s="2" t="s">
        <v>10</v>
      </c>
      <c r="L20" t="s">
        <v>11</v>
      </c>
      <c r="M20" t="s">
        <v>12</v>
      </c>
      <c r="N20" t="s">
        <v>13</v>
      </c>
      <c r="O20" s="2" t="s">
        <v>14</v>
      </c>
      <c r="P20" t="s">
        <v>15</v>
      </c>
      <c r="Q20" t="e">
        <f t="shared" si="0"/>
        <v>#VALUE!</v>
      </c>
      <c r="R20" t="e">
        <f t="shared" si="1"/>
        <v>#VALUE!</v>
      </c>
      <c r="S20" t="e">
        <f t="shared" si="2"/>
        <v>#VALUE!</v>
      </c>
      <c r="T20" t="str">
        <f t="shared" si="4"/>
        <v/>
      </c>
      <c r="U20" s="4" t="e">
        <f t="shared" si="3"/>
        <v>#VALUE!</v>
      </c>
      <c r="V20" s="4" t="e">
        <f t="shared" si="5"/>
        <v>#VALUE!</v>
      </c>
      <c r="W20" s="4" t="e">
        <f t="shared" si="6"/>
        <v>#VALUE!</v>
      </c>
    </row>
    <row r="21" spans="1:23" x14ac:dyDescent="0.25">
      <c r="A21" t="s">
        <v>46</v>
      </c>
      <c r="B21">
        <v>47</v>
      </c>
      <c r="C21">
        <v>31</v>
      </c>
      <c r="D21">
        <v>11</v>
      </c>
      <c r="E21">
        <v>5</v>
      </c>
      <c r="F21">
        <v>67</v>
      </c>
      <c r="G21">
        <v>29</v>
      </c>
      <c r="H21">
        <v>2</v>
      </c>
      <c r="I21">
        <v>2</v>
      </c>
      <c r="J21" s="2" t="s">
        <v>474</v>
      </c>
      <c r="K21" s="2" t="s">
        <v>506</v>
      </c>
      <c r="L21">
        <v>155</v>
      </c>
      <c r="M21">
        <v>108</v>
      </c>
      <c r="N21">
        <v>47</v>
      </c>
      <c r="O21" s="2" t="s">
        <v>454</v>
      </c>
      <c r="P21" t="s">
        <v>27</v>
      </c>
      <c r="Q21">
        <f t="shared" si="0"/>
        <v>16</v>
      </c>
      <c r="R21">
        <f t="shared" si="1"/>
        <v>6</v>
      </c>
      <c r="S21">
        <f t="shared" si="2"/>
        <v>0</v>
      </c>
      <c r="T21">
        <f t="shared" si="4"/>
        <v>32</v>
      </c>
      <c r="U21" s="4">
        <f t="shared" si="3"/>
        <v>1.425531914893617</v>
      </c>
      <c r="V21" s="4">
        <f t="shared" si="5"/>
        <v>1.5813947409692091</v>
      </c>
      <c r="W21" s="4">
        <f t="shared" si="6"/>
        <v>1.2696690888180251</v>
      </c>
    </row>
    <row r="22" spans="1:23" x14ac:dyDescent="0.25">
      <c r="A22" t="s">
        <v>43</v>
      </c>
      <c r="B22">
        <v>50</v>
      </c>
      <c r="C22">
        <v>30</v>
      </c>
      <c r="D22">
        <v>15</v>
      </c>
      <c r="E22">
        <v>5</v>
      </c>
      <c r="F22">
        <v>65</v>
      </c>
      <c r="G22">
        <v>28</v>
      </c>
      <c r="H22">
        <v>2</v>
      </c>
      <c r="I22">
        <v>1</v>
      </c>
      <c r="J22" s="2" t="s">
        <v>507</v>
      </c>
      <c r="K22" s="2" t="s">
        <v>475</v>
      </c>
      <c r="L22">
        <v>139</v>
      </c>
      <c r="M22">
        <v>127</v>
      </c>
      <c r="N22">
        <v>12</v>
      </c>
      <c r="O22" s="2" t="s">
        <v>468</v>
      </c>
      <c r="P22" t="s">
        <v>20</v>
      </c>
      <c r="Q22">
        <f t="shared" si="0"/>
        <v>18</v>
      </c>
      <c r="R22">
        <f t="shared" si="1"/>
        <v>6</v>
      </c>
      <c r="S22">
        <f t="shared" si="2"/>
        <v>4</v>
      </c>
      <c r="T22">
        <f t="shared" si="4"/>
        <v>40</v>
      </c>
      <c r="U22" s="4">
        <f t="shared" si="3"/>
        <v>1.3</v>
      </c>
      <c r="V22" s="4">
        <f t="shared" si="5"/>
        <v>1.4421375921375923</v>
      </c>
      <c r="W22" s="4">
        <f t="shared" si="6"/>
        <v>1.157862407862408</v>
      </c>
    </row>
    <row r="23" spans="1:23" x14ac:dyDescent="0.25">
      <c r="A23" t="s">
        <v>52</v>
      </c>
      <c r="B23">
        <v>48</v>
      </c>
      <c r="C23">
        <v>23</v>
      </c>
      <c r="D23">
        <v>17</v>
      </c>
      <c r="E23">
        <v>8</v>
      </c>
      <c r="F23">
        <v>54</v>
      </c>
      <c r="G23">
        <v>21</v>
      </c>
      <c r="H23">
        <v>2</v>
      </c>
      <c r="I23">
        <v>3</v>
      </c>
      <c r="J23" s="2" t="s">
        <v>508</v>
      </c>
      <c r="K23" s="2" t="s">
        <v>476</v>
      </c>
      <c r="L23">
        <v>134</v>
      </c>
      <c r="M23">
        <v>127</v>
      </c>
      <c r="N23">
        <v>7</v>
      </c>
      <c r="O23" s="2" t="s">
        <v>430</v>
      </c>
      <c r="P23" t="s">
        <v>20</v>
      </c>
      <c r="Q23">
        <f t="shared" si="0"/>
        <v>12</v>
      </c>
      <c r="R23">
        <f t="shared" si="1"/>
        <v>5</v>
      </c>
      <c r="S23">
        <f t="shared" si="2"/>
        <v>6</v>
      </c>
      <c r="T23">
        <f t="shared" si="4"/>
        <v>30</v>
      </c>
      <c r="U23" s="4">
        <f t="shared" si="3"/>
        <v>1.125</v>
      </c>
      <c r="V23" s="4">
        <f t="shared" si="5"/>
        <v>1.2480036855036856</v>
      </c>
      <c r="W23" s="4">
        <f t="shared" si="6"/>
        <v>1.0019963144963147</v>
      </c>
    </row>
    <row r="24" spans="1:23" x14ac:dyDescent="0.25">
      <c r="A24" t="s">
        <v>48</v>
      </c>
      <c r="B24">
        <v>48</v>
      </c>
      <c r="C24">
        <v>24</v>
      </c>
      <c r="D24">
        <v>19</v>
      </c>
      <c r="E24">
        <v>5</v>
      </c>
      <c r="F24">
        <v>53</v>
      </c>
      <c r="G24">
        <v>23</v>
      </c>
      <c r="H24">
        <v>1</v>
      </c>
      <c r="I24">
        <v>1</v>
      </c>
      <c r="J24" s="2" t="s">
        <v>477</v>
      </c>
      <c r="K24" s="2" t="s">
        <v>509</v>
      </c>
      <c r="L24">
        <v>137</v>
      </c>
      <c r="M24">
        <v>147</v>
      </c>
      <c r="N24">
        <v>-10</v>
      </c>
      <c r="O24" s="2" t="s">
        <v>478</v>
      </c>
      <c r="P24" t="s">
        <v>27</v>
      </c>
      <c r="Q24">
        <f t="shared" si="0"/>
        <v>16</v>
      </c>
      <c r="R24">
        <f t="shared" si="1"/>
        <v>7</v>
      </c>
      <c r="S24">
        <f t="shared" si="2"/>
        <v>4</v>
      </c>
      <c r="T24">
        <f t="shared" si="4"/>
        <v>36</v>
      </c>
      <c r="U24" s="4">
        <f t="shared" si="3"/>
        <v>1.1041666666666667</v>
      </c>
      <c r="V24" s="4">
        <f t="shared" si="5"/>
        <v>1.2248925061425062</v>
      </c>
      <c r="W24" s="4">
        <f t="shared" si="6"/>
        <v>0.98344082719082748</v>
      </c>
    </row>
    <row r="25" spans="1:23" x14ac:dyDescent="0.25">
      <c r="A25" t="s">
        <v>50</v>
      </c>
      <c r="B25">
        <v>49</v>
      </c>
      <c r="C25">
        <v>19</v>
      </c>
      <c r="D25">
        <v>20</v>
      </c>
      <c r="E25">
        <v>10</v>
      </c>
      <c r="F25">
        <v>48</v>
      </c>
      <c r="G25">
        <v>19</v>
      </c>
      <c r="H25">
        <v>0</v>
      </c>
      <c r="I25">
        <v>1</v>
      </c>
      <c r="J25" s="2" t="s">
        <v>510</v>
      </c>
      <c r="K25" s="2" t="s">
        <v>479</v>
      </c>
      <c r="L25">
        <v>131</v>
      </c>
      <c r="M25">
        <v>154</v>
      </c>
      <c r="N25">
        <v>-23</v>
      </c>
      <c r="O25" s="2" t="s">
        <v>453</v>
      </c>
      <c r="P25" t="s">
        <v>45</v>
      </c>
      <c r="Q25">
        <f t="shared" si="0"/>
        <v>12</v>
      </c>
      <c r="R25">
        <f t="shared" si="1"/>
        <v>7</v>
      </c>
      <c r="S25">
        <f t="shared" si="2"/>
        <v>6</v>
      </c>
      <c r="T25">
        <f t="shared" si="4"/>
        <v>30</v>
      </c>
      <c r="U25" s="4">
        <f t="shared" si="3"/>
        <v>0.97959183673469385</v>
      </c>
      <c r="V25" s="4">
        <f t="shared" si="5"/>
        <v>1.0866970866970866</v>
      </c>
      <c r="W25" s="4">
        <f t="shared" si="6"/>
        <v>0.87248658677230118</v>
      </c>
    </row>
    <row r="26" spans="1:23" x14ac:dyDescent="0.25">
      <c r="A26" t="s">
        <v>51</v>
      </c>
      <c r="B26">
        <v>51</v>
      </c>
      <c r="C26">
        <v>22</v>
      </c>
      <c r="D26">
        <v>25</v>
      </c>
      <c r="E26">
        <v>4</v>
      </c>
      <c r="F26">
        <v>48</v>
      </c>
      <c r="G26">
        <v>20</v>
      </c>
      <c r="H26">
        <v>2</v>
      </c>
      <c r="I26">
        <v>1</v>
      </c>
      <c r="J26" s="2" t="s">
        <v>511</v>
      </c>
      <c r="K26" s="2" t="s">
        <v>455</v>
      </c>
      <c r="L26">
        <v>145</v>
      </c>
      <c r="M26">
        <v>158</v>
      </c>
      <c r="N26">
        <v>-13</v>
      </c>
      <c r="O26" s="2" t="s">
        <v>441</v>
      </c>
      <c r="P26" t="s">
        <v>18</v>
      </c>
      <c r="Q26">
        <f t="shared" si="0"/>
        <v>13</v>
      </c>
      <c r="R26">
        <f t="shared" si="1"/>
        <v>11</v>
      </c>
      <c r="S26">
        <f t="shared" si="2"/>
        <v>1</v>
      </c>
      <c r="T26">
        <f t="shared" si="4"/>
        <v>27</v>
      </c>
      <c r="U26" s="4">
        <f t="shared" si="3"/>
        <v>0.94117647058823528</v>
      </c>
      <c r="V26" s="4">
        <f t="shared" si="5"/>
        <v>1.04408151466975</v>
      </c>
      <c r="W26" s="4">
        <f t="shared" si="6"/>
        <v>0.83827142650672071</v>
      </c>
    </row>
    <row r="27" spans="1:23" x14ac:dyDescent="0.25">
      <c r="A27" t="s">
        <v>53</v>
      </c>
      <c r="B27">
        <v>45</v>
      </c>
      <c r="C27">
        <v>13</v>
      </c>
      <c r="D27">
        <v>30</v>
      </c>
      <c r="E27">
        <v>2</v>
      </c>
      <c r="F27">
        <v>28</v>
      </c>
      <c r="G27">
        <v>13</v>
      </c>
      <c r="H27">
        <v>0</v>
      </c>
      <c r="I27">
        <v>1</v>
      </c>
      <c r="J27" s="2" t="s">
        <v>512</v>
      </c>
      <c r="K27" s="2" t="s">
        <v>480</v>
      </c>
      <c r="L27">
        <v>91</v>
      </c>
      <c r="M27">
        <v>153</v>
      </c>
      <c r="N27">
        <v>-62</v>
      </c>
      <c r="O27" s="2" t="s">
        <v>481</v>
      </c>
      <c r="P27" t="s">
        <v>513</v>
      </c>
      <c r="Q27">
        <f t="shared" si="0"/>
        <v>5</v>
      </c>
      <c r="R27">
        <f t="shared" si="1"/>
        <v>17</v>
      </c>
      <c r="S27">
        <f t="shared" si="2"/>
        <v>1</v>
      </c>
      <c r="T27">
        <f t="shared" si="4"/>
        <v>11</v>
      </c>
      <c r="U27" s="4">
        <f t="shared" si="3"/>
        <v>0.62222222222222223</v>
      </c>
      <c r="V27" s="4">
        <f t="shared" si="5"/>
        <v>0.69025389025389039</v>
      </c>
      <c r="W27" s="4">
        <f t="shared" si="6"/>
        <v>0.5541905541905543</v>
      </c>
    </row>
    <row r="28" spans="1:23" x14ac:dyDescent="0.25">
      <c r="A28" t="s">
        <v>448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s="2" t="s">
        <v>9</v>
      </c>
      <c r="K28" s="2" t="s">
        <v>10</v>
      </c>
      <c r="L28" t="s">
        <v>11</v>
      </c>
      <c r="M28" t="s">
        <v>12</v>
      </c>
      <c r="N28" t="s">
        <v>13</v>
      </c>
      <c r="O28" s="2" t="s">
        <v>14</v>
      </c>
      <c r="P28" t="s">
        <v>15</v>
      </c>
      <c r="Q28" t="e">
        <f t="shared" si="0"/>
        <v>#VALUE!</v>
      </c>
      <c r="R28" t="e">
        <f t="shared" si="1"/>
        <v>#VALUE!</v>
      </c>
      <c r="S28" t="e">
        <f t="shared" si="2"/>
        <v>#VALUE!</v>
      </c>
      <c r="T28" t="str">
        <f t="shared" si="4"/>
        <v/>
      </c>
      <c r="U28" s="4" t="e">
        <f t="shared" si="3"/>
        <v>#VALUE!</v>
      </c>
      <c r="V28" s="4" t="e">
        <f t="shared" si="5"/>
        <v>#VALUE!</v>
      </c>
      <c r="W28" s="4" t="e">
        <f t="shared" si="6"/>
        <v>#VALUE!</v>
      </c>
    </row>
    <row r="29" spans="1:23" x14ac:dyDescent="0.25">
      <c r="A29" t="s">
        <v>54</v>
      </c>
      <c r="B29">
        <v>49</v>
      </c>
      <c r="C29">
        <v>31</v>
      </c>
      <c r="D29">
        <v>16</v>
      </c>
      <c r="E29">
        <v>2</v>
      </c>
      <c r="F29">
        <v>64</v>
      </c>
      <c r="G29">
        <v>29</v>
      </c>
      <c r="H29">
        <v>2</v>
      </c>
      <c r="I29">
        <v>0</v>
      </c>
      <c r="J29" s="2" t="s">
        <v>482</v>
      </c>
      <c r="K29" s="2" t="s">
        <v>514</v>
      </c>
      <c r="L29">
        <v>134</v>
      </c>
      <c r="M29">
        <v>112</v>
      </c>
      <c r="N29">
        <v>22</v>
      </c>
      <c r="O29" s="2" t="s">
        <v>515</v>
      </c>
      <c r="P29" t="s">
        <v>516</v>
      </c>
      <c r="Q29">
        <f t="shared" si="0"/>
        <v>17</v>
      </c>
      <c r="R29">
        <f t="shared" si="1"/>
        <v>6</v>
      </c>
      <c r="S29">
        <f t="shared" si="2"/>
        <v>1</v>
      </c>
      <c r="T29">
        <f t="shared" si="4"/>
        <v>35</v>
      </c>
      <c r="U29" s="4">
        <f t="shared" si="3"/>
        <v>1.3061224489795917</v>
      </c>
      <c r="V29" s="4">
        <f t="shared" si="5"/>
        <v>1.4489294489294489</v>
      </c>
      <c r="W29" s="4">
        <f t="shared" si="6"/>
        <v>1.1633154490297348</v>
      </c>
    </row>
    <row r="30" spans="1:23" x14ac:dyDescent="0.25">
      <c r="A30" t="s">
        <v>56</v>
      </c>
      <c r="B30">
        <v>50</v>
      </c>
      <c r="C30">
        <v>27</v>
      </c>
      <c r="D30">
        <v>14</v>
      </c>
      <c r="E30">
        <v>9</v>
      </c>
      <c r="F30">
        <v>63</v>
      </c>
      <c r="G30">
        <v>25</v>
      </c>
      <c r="H30">
        <v>2</v>
      </c>
      <c r="I30">
        <v>1</v>
      </c>
      <c r="J30" s="2" t="s">
        <v>460</v>
      </c>
      <c r="K30" s="2" t="s">
        <v>517</v>
      </c>
      <c r="L30">
        <v>133</v>
      </c>
      <c r="M30">
        <v>125</v>
      </c>
      <c r="N30">
        <v>8</v>
      </c>
      <c r="O30" s="2" t="s">
        <v>454</v>
      </c>
      <c r="P30" t="s">
        <v>27</v>
      </c>
      <c r="Q30">
        <f t="shared" si="0"/>
        <v>16</v>
      </c>
      <c r="R30">
        <f t="shared" si="1"/>
        <v>5</v>
      </c>
      <c r="S30">
        <f t="shared" si="2"/>
        <v>3</v>
      </c>
      <c r="T30">
        <f t="shared" si="4"/>
        <v>35</v>
      </c>
      <c r="U30" s="4">
        <f t="shared" si="3"/>
        <v>1.26</v>
      </c>
      <c r="V30" s="4">
        <f t="shared" si="5"/>
        <v>1.3977641277641277</v>
      </c>
      <c r="W30" s="4">
        <f t="shared" si="6"/>
        <v>1.1222358722358723</v>
      </c>
    </row>
    <row r="31" spans="1:23" x14ac:dyDescent="0.25">
      <c r="A31" t="s">
        <v>55</v>
      </c>
      <c r="B31">
        <v>49</v>
      </c>
      <c r="C31">
        <v>26</v>
      </c>
      <c r="D31">
        <v>15</v>
      </c>
      <c r="E31">
        <v>8</v>
      </c>
      <c r="F31">
        <v>60</v>
      </c>
      <c r="G31">
        <v>23</v>
      </c>
      <c r="H31">
        <v>3</v>
      </c>
      <c r="I31">
        <v>4</v>
      </c>
      <c r="J31" s="2" t="s">
        <v>483</v>
      </c>
      <c r="K31" s="2" t="s">
        <v>462</v>
      </c>
      <c r="L31">
        <v>144</v>
      </c>
      <c r="M31">
        <v>131</v>
      </c>
      <c r="N31">
        <v>13</v>
      </c>
      <c r="O31" s="2" t="s">
        <v>454</v>
      </c>
      <c r="P31" t="s">
        <v>27</v>
      </c>
      <c r="Q31">
        <f t="shared" ref="Q31:Q35" si="7">VALUE(LEFT(J31,FIND("-",J31)-1))</f>
        <v>13</v>
      </c>
      <c r="R31">
        <f t="shared" ref="R31:R35" si="8">VALUE(IF(RIGHT(MID(J31,FIND("-",J31)+1,2),1)="-",MID(J31,FIND("-",J31)+1,1),MID(J31,FIND("-",J31)+1,2)))</f>
        <v>8</v>
      </c>
      <c r="S31">
        <f t="shared" ref="S31:S35" si="9">VALUE(RIGHT(J31,1))</f>
        <v>3</v>
      </c>
      <c r="T31">
        <f t="shared" si="4"/>
        <v>29</v>
      </c>
      <c r="U31" s="4">
        <f t="shared" ref="U31:U35" si="10">F31/B31</f>
        <v>1.2244897959183674</v>
      </c>
      <c r="V31" s="4">
        <f t="shared" si="5"/>
        <v>1.3583713583713586</v>
      </c>
      <c r="W31" s="4">
        <f t="shared" si="6"/>
        <v>1.0906082334653766</v>
      </c>
    </row>
    <row r="32" spans="1:23" x14ac:dyDescent="0.25">
      <c r="A32" t="s">
        <v>57</v>
      </c>
      <c r="B32">
        <v>51</v>
      </c>
      <c r="C32">
        <v>24</v>
      </c>
      <c r="D32">
        <v>24</v>
      </c>
      <c r="E32">
        <v>3</v>
      </c>
      <c r="F32">
        <v>51</v>
      </c>
      <c r="G32">
        <v>22</v>
      </c>
      <c r="H32">
        <v>2</v>
      </c>
      <c r="I32">
        <v>2</v>
      </c>
      <c r="J32" s="2" t="s">
        <v>484</v>
      </c>
      <c r="K32" s="2" t="s">
        <v>518</v>
      </c>
      <c r="L32">
        <v>131</v>
      </c>
      <c r="M32">
        <v>147</v>
      </c>
      <c r="N32">
        <v>-16</v>
      </c>
      <c r="O32" s="2" t="s">
        <v>441</v>
      </c>
      <c r="P32" t="s">
        <v>425</v>
      </c>
      <c r="Q32">
        <f t="shared" si="7"/>
        <v>13</v>
      </c>
      <c r="R32">
        <f t="shared" si="8"/>
        <v>13</v>
      </c>
      <c r="S32">
        <f t="shared" si="9"/>
        <v>0</v>
      </c>
      <c r="T32">
        <f t="shared" si="4"/>
        <v>26</v>
      </c>
      <c r="U32" s="4">
        <f t="shared" si="10"/>
        <v>1</v>
      </c>
      <c r="V32" s="4">
        <f t="shared" si="5"/>
        <v>1.1093366093366093</v>
      </c>
      <c r="W32" s="4">
        <f t="shared" si="6"/>
        <v>0.89066339066339084</v>
      </c>
    </row>
    <row r="33" spans="1:23" x14ac:dyDescent="0.25">
      <c r="A33" t="s">
        <v>58</v>
      </c>
      <c r="B33">
        <v>48</v>
      </c>
      <c r="C33">
        <v>23</v>
      </c>
      <c r="D33">
        <v>21</v>
      </c>
      <c r="E33">
        <v>4</v>
      </c>
      <c r="F33">
        <v>50</v>
      </c>
      <c r="G33">
        <v>22</v>
      </c>
      <c r="H33">
        <v>1</v>
      </c>
      <c r="I33">
        <v>3</v>
      </c>
      <c r="J33" s="2" t="s">
        <v>487</v>
      </c>
      <c r="K33" s="2" t="s">
        <v>519</v>
      </c>
      <c r="L33">
        <v>120</v>
      </c>
      <c r="M33">
        <v>121</v>
      </c>
      <c r="N33">
        <v>-1</v>
      </c>
      <c r="O33" s="2" t="s">
        <v>478</v>
      </c>
      <c r="P33" t="s">
        <v>27</v>
      </c>
      <c r="Q33">
        <f t="shared" si="7"/>
        <v>14</v>
      </c>
      <c r="R33">
        <f t="shared" si="8"/>
        <v>8</v>
      </c>
      <c r="S33">
        <f t="shared" si="9"/>
        <v>1</v>
      </c>
      <c r="T33">
        <f t="shared" si="4"/>
        <v>29</v>
      </c>
      <c r="U33" s="4">
        <f t="shared" si="10"/>
        <v>1.0416666666666667</v>
      </c>
      <c r="V33" s="4">
        <f t="shared" si="5"/>
        <v>1.1555589680589682</v>
      </c>
      <c r="W33" s="4">
        <f t="shared" si="6"/>
        <v>0.92777436527436552</v>
      </c>
    </row>
    <row r="34" spans="1:23" x14ac:dyDescent="0.25">
      <c r="A34" t="s">
        <v>59</v>
      </c>
      <c r="B34">
        <v>48</v>
      </c>
      <c r="C34">
        <v>22</v>
      </c>
      <c r="D34">
        <v>20</v>
      </c>
      <c r="E34">
        <v>6</v>
      </c>
      <c r="F34">
        <v>50</v>
      </c>
      <c r="G34">
        <v>18</v>
      </c>
      <c r="H34">
        <v>4</v>
      </c>
      <c r="I34">
        <v>2</v>
      </c>
      <c r="J34" s="2" t="s">
        <v>485</v>
      </c>
      <c r="K34" s="2" t="s">
        <v>486</v>
      </c>
      <c r="L34">
        <v>116</v>
      </c>
      <c r="M34">
        <v>135</v>
      </c>
      <c r="N34">
        <v>-19</v>
      </c>
      <c r="O34" s="2" t="s">
        <v>473</v>
      </c>
      <c r="P34" t="s">
        <v>20</v>
      </c>
      <c r="Q34">
        <f t="shared" si="7"/>
        <v>17</v>
      </c>
      <c r="R34">
        <f t="shared" si="8"/>
        <v>6</v>
      </c>
      <c r="S34">
        <f t="shared" si="9"/>
        <v>3</v>
      </c>
      <c r="T34">
        <f t="shared" si="4"/>
        <v>37</v>
      </c>
      <c r="U34" s="4">
        <f t="shared" si="10"/>
        <v>1.0416666666666667</v>
      </c>
      <c r="V34" s="4">
        <f t="shared" si="5"/>
        <v>1.1555589680589682</v>
      </c>
      <c r="W34" s="4">
        <f t="shared" si="6"/>
        <v>0.92777436527436552</v>
      </c>
    </row>
    <row r="35" spans="1:23" x14ac:dyDescent="0.25">
      <c r="A35" t="s">
        <v>60</v>
      </c>
      <c r="B35">
        <v>47</v>
      </c>
      <c r="C35">
        <v>15</v>
      </c>
      <c r="D35">
        <v>26</v>
      </c>
      <c r="E35">
        <v>6</v>
      </c>
      <c r="F35">
        <v>36</v>
      </c>
      <c r="G35">
        <v>11</v>
      </c>
      <c r="H35">
        <v>4</v>
      </c>
      <c r="I35">
        <v>1</v>
      </c>
      <c r="J35" s="2" t="s">
        <v>520</v>
      </c>
      <c r="K35" s="2" t="s">
        <v>488</v>
      </c>
      <c r="L35">
        <v>105</v>
      </c>
      <c r="M35">
        <v>152</v>
      </c>
      <c r="N35">
        <v>-47</v>
      </c>
      <c r="O35" s="2" t="s">
        <v>428</v>
      </c>
      <c r="P35" t="s">
        <v>25</v>
      </c>
      <c r="Q35">
        <f t="shared" si="7"/>
        <v>10</v>
      </c>
      <c r="R35">
        <f t="shared" si="8"/>
        <v>11</v>
      </c>
      <c r="S35">
        <f t="shared" si="9"/>
        <v>2</v>
      </c>
      <c r="T35">
        <f t="shared" si="4"/>
        <v>22</v>
      </c>
      <c r="U35" s="4">
        <f t="shared" si="10"/>
        <v>0.76595744680851063</v>
      </c>
      <c r="V35" s="4">
        <f t="shared" si="5"/>
        <v>0.84970463693867959</v>
      </c>
      <c r="W35" s="4">
        <f t="shared" si="6"/>
        <v>0.6822102566783419</v>
      </c>
    </row>
    <row r="37" spans="1:23" x14ac:dyDescent="0.25">
      <c r="A37" t="s">
        <v>456</v>
      </c>
      <c r="B37">
        <f>SUM(B2:B35)</f>
        <v>1444</v>
      </c>
      <c r="F37">
        <f>SUM(F2:F35)</f>
        <v>1628</v>
      </c>
      <c r="T37">
        <f>SUM(T2:T35)</f>
        <v>903</v>
      </c>
    </row>
    <row r="38" spans="1:23" x14ac:dyDescent="0.25">
      <c r="A38" t="s">
        <v>457</v>
      </c>
      <c r="F38">
        <f>F37/B37</f>
        <v>1.1274238227146813</v>
      </c>
      <c r="S38" t="s">
        <v>458</v>
      </c>
      <c r="T38">
        <f>T37/(B37/2)</f>
        <v>1.2506925207756232</v>
      </c>
    </row>
    <row r="39" spans="1:23" x14ac:dyDescent="0.25">
      <c r="S39" t="s">
        <v>459</v>
      </c>
      <c r="T39">
        <f>(F37-T37)/(B37/2)</f>
        <v>1.0041551246537397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Standings</vt:lpstr>
      <vt:lpstr>Schedule</vt:lpstr>
      <vt:lpstr>Scorecard</vt:lpstr>
      <vt:lpstr>LatestStandings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Lyons, Michael</dc:creator>
  <cp:lastModifiedBy>Lyons, Michael</cp:lastModifiedBy>
  <cp:lastPrinted>2017-01-16T23:14:03Z</cp:lastPrinted>
  <dcterms:created xsi:type="dcterms:W3CDTF">2016-12-28T15:04:05Z</dcterms:created>
  <dcterms:modified xsi:type="dcterms:W3CDTF">2017-01-25T15:07:03Z</dcterms:modified>
</cp:coreProperties>
</file>