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240" yWindow="3360" windowWidth="46600" windowHeight="22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6" i="1" l="1"/>
  <c r="H22" i="1"/>
  <c r="P4" i="1"/>
  <c r="R4" i="1"/>
  <c r="S4" i="1"/>
  <c r="H4" i="1"/>
  <c r="P5" i="1"/>
  <c r="R5" i="1"/>
  <c r="S5" i="1"/>
  <c r="P6" i="1"/>
  <c r="R6" i="1"/>
  <c r="S6" i="1"/>
  <c r="H5" i="1"/>
  <c r="P7" i="1"/>
  <c r="R7" i="1"/>
  <c r="S7" i="1"/>
  <c r="P8" i="1"/>
  <c r="R8" i="1"/>
  <c r="S8" i="1"/>
  <c r="P9" i="1"/>
  <c r="R9" i="1"/>
  <c r="S9" i="1"/>
  <c r="H6" i="1"/>
  <c r="P10" i="1"/>
  <c r="R10" i="1"/>
  <c r="S10" i="1"/>
  <c r="P11" i="1"/>
  <c r="R11" i="1"/>
  <c r="S11" i="1"/>
  <c r="P12" i="1"/>
  <c r="R12" i="1"/>
  <c r="S12" i="1"/>
  <c r="P13" i="1"/>
  <c r="R13" i="1"/>
  <c r="S13" i="1"/>
  <c r="P14" i="1"/>
  <c r="R14" i="1"/>
  <c r="S14" i="1"/>
  <c r="H7" i="1"/>
  <c r="P15" i="1"/>
  <c r="R15" i="1"/>
  <c r="S15" i="1"/>
  <c r="P16" i="1"/>
  <c r="R16" i="1"/>
  <c r="S16" i="1"/>
  <c r="P17" i="1"/>
  <c r="R17" i="1"/>
  <c r="S17" i="1"/>
  <c r="P18" i="1"/>
  <c r="R18" i="1"/>
  <c r="S18" i="1"/>
  <c r="P19" i="1"/>
  <c r="R19" i="1"/>
  <c r="S19" i="1"/>
  <c r="H8" i="1"/>
  <c r="H9" i="1"/>
  <c r="I22" i="1"/>
  <c r="J22" i="1"/>
  <c r="AG26" i="1"/>
  <c r="H23" i="1"/>
  <c r="I23" i="1"/>
  <c r="J23" i="1"/>
  <c r="AH26" i="1"/>
  <c r="H24" i="1"/>
  <c r="I24" i="1"/>
  <c r="J24" i="1"/>
  <c r="Z26" i="1"/>
  <c r="G21" i="1"/>
  <c r="AA26" i="1"/>
  <c r="G22" i="1"/>
  <c r="AB26" i="1"/>
  <c r="G23" i="1"/>
  <c r="AC26" i="1"/>
  <c r="G24" i="1"/>
  <c r="G25" i="1"/>
  <c r="AE26" i="1"/>
  <c r="H21" i="1"/>
  <c r="H25" i="1"/>
  <c r="I21" i="1"/>
  <c r="I25" i="1"/>
  <c r="F25" i="1"/>
  <c r="AI5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3" i="1"/>
  <c r="AI24" i="1"/>
  <c r="AI26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3" i="1"/>
  <c r="AK23" i="1"/>
  <c r="AJ24" i="1"/>
  <c r="AK24" i="1"/>
  <c r="AJ4" i="1"/>
  <c r="AK4" i="1"/>
  <c r="S21" i="1"/>
  <c r="V4" i="1"/>
  <c r="W4" i="1"/>
  <c r="AJ26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3" i="1"/>
  <c r="AD24" i="1"/>
  <c r="AD26" i="1"/>
  <c r="J21" i="1"/>
  <c r="H16" i="1"/>
  <c r="I16" i="1"/>
  <c r="J16" i="1"/>
  <c r="H15" i="1"/>
  <c r="I15" i="1"/>
  <c r="J15" i="1"/>
  <c r="H14" i="1"/>
  <c r="I14" i="1"/>
  <c r="J14" i="1"/>
  <c r="H13" i="1"/>
  <c r="I13" i="1"/>
  <c r="J13" i="1"/>
  <c r="H12" i="1"/>
  <c r="I12" i="1"/>
  <c r="J12" i="1"/>
  <c r="H17" i="1"/>
  <c r="G12" i="1"/>
  <c r="G13" i="1"/>
  <c r="G14" i="1"/>
  <c r="G15" i="1"/>
  <c r="G16" i="1"/>
  <c r="G17" i="1"/>
  <c r="F17" i="1"/>
  <c r="I5" i="1"/>
  <c r="J5" i="1"/>
  <c r="I6" i="1"/>
  <c r="J6" i="1"/>
  <c r="I7" i="1"/>
  <c r="J7" i="1"/>
  <c r="I8" i="1"/>
  <c r="J8" i="1"/>
  <c r="I4" i="1"/>
  <c r="J4" i="1"/>
  <c r="T5" i="1"/>
  <c r="U5" i="1"/>
  <c r="G4" i="1"/>
  <c r="G5" i="1"/>
  <c r="G6" i="1"/>
  <c r="G7" i="1"/>
  <c r="G8" i="1"/>
  <c r="G9" i="1"/>
  <c r="F9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1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4" i="1"/>
  <c r="U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P21" i="1"/>
  <c r="C5" i="1"/>
  <c r="R21" i="1"/>
  <c r="C3" i="1"/>
</calcChain>
</file>

<file path=xl/comments1.xml><?xml version="1.0" encoding="utf-8"?>
<comments xmlns="http://schemas.openxmlformats.org/spreadsheetml/2006/main">
  <authors>
    <author>Alex Stephens</author>
  </authors>
  <commentList>
    <comment ref="T2" authorId="0">
      <text>
        <r>
          <rPr>
            <b/>
            <sz val="9"/>
            <color indexed="81"/>
            <rFont val="Calibri"/>
            <family val="2"/>
          </rPr>
          <t>Alex Stephens:</t>
        </r>
        <r>
          <rPr>
            <sz val="9"/>
            <color indexed="81"/>
            <rFont val="Calibri"/>
            <family val="2"/>
          </rPr>
          <t xml:space="preserve">
= (# combos per shape / # hands per shape) / (all combos)</t>
        </r>
      </text>
    </comment>
  </commentList>
</comments>
</file>

<file path=xl/sharedStrings.xml><?xml version="1.0" encoding="utf-8"?>
<sst xmlns="http://schemas.openxmlformats.org/spreadsheetml/2006/main" count="137" uniqueCount="98">
  <si>
    <t># Starting Hands</t>
  </si>
  <si>
    <t># Hand Shapes</t>
  </si>
  <si>
    <t>Rank Type</t>
  </si>
  <si>
    <t>Shapes</t>
  </si>
  <si>
    <t>Distinct Hands</t>
  </si>
  <si>
    <t>Combos</t>
  </si>
  <si>
    <t>Prob</t>
  </si>
  <si>
    <t>Odds</t>
  </si>
  <si>
    <t>Suit Type</t>
  </si>
  <si>
    <t>aaaa</t>
  </si>
  <si>
    <t>aaab</t>
  </si>
  <si>
    <t>aabb</t>
  </si>
  <si>
    <t>aabc</t>
  </si>
  <si>
    <t>abcd</t>
  </si>
  <si>
    <t>Hand Shape</t>
  </si>
  <si>
    <t>Distnct Hands</t>
  </si>
  <si>
    <t>Suits per Hand</t>
  </si>
  <si>
    <t>Four of  Kind</t>
  </si>
  <si>
    <t>XaXbXcXd</t>
  </si>
  <si>
    <t>Deriv</t>
  </si>
  <si>
    <t>Number</t>
  </si>
  <si>
    <t>C(4,4)</t>
  </si>
  <si>
    <t>Three of a Kind</t>
  </si>
  <si>
    <t>XaXbXcYa</t>
  </si>
  <si>
    <t>XaXbXcYd</t>
  </si>
  <si>
    <t>Description</t>
  </si>
  <si>
    <t>C(13,1)</t>
  </si>
  <si>
    <t>C(13,1)C(12,1)</t>
  </si>
  <si>
    <t>C(4,3)C(3,1)</t>
  </si>
  <si>
    <t>C(4,3)</t>
  </si>
  <si>
    <t>Two Pair</t>
  </si>
  <si>
    <t>One Pair</t>
  </si>
  <si>
    <t>No Pair</t>
  </si>
  <si>
    <t>XaXbYaYb</t>
  </si>
  <si>
    <t>XaXbYaYc</t>
  </si>
  <si>
    <t>XaXbYcYd</t>
  </si>
  <si>
    <t>XaXbYaZa</t>
  </si>
  <si>
    <t>XaXbYaZb</t>
  </si>
  <si>
    <t>XaXbYaZc</t>
  </si>
  <si>
    <t>XaXbYcZc</t>
  </si>
  <si>
    <t>XaXbYcZd</t>
  </si>
  <si>
    <t>XaYaZaRa</t>
  </si>
  <si>
    <t>XaYaZaRb</t>
  </si>
  <si>
    <t>XaYaZbRb</t>
  </si>
  <si>
    <t>XaYaZbRc</t>
  </si>
  <si>
    <t>XaYbZcRd</t>
  </si>
  <si>
    <t>C(13,2)</t>
  </si>
  <si>
    <t>C(13,1)C(12,2)</t>
  </si>
  <si>
    <t>C(13,1)C(12,2)C(2,1)</t>
  </si>
  <si>
    <t>C(13,4)</t>
  </si>
  <si>
    <t>C(13,4)*C(4,3)</t>
  </si>
  <si>
    <t>C(13,4)*C(4,2)/2!</t>
  </si>
  <si>
    <t>C(13,4)*C(4,2)</t>
  </si>
  <si>
    <t>C(4,2)</t>
  </si>
  <si>
    <t>C(4,2)C(2,1)^2</t>
  </si>
  <si>
    <t>C(4,2)C(2,1)</t>
  </si>
  <si>
    <t>C(4,2)*2!</t>
  </si>
  <si>
    <t>C(4,1)</t>
  </si>
  <si>
    <t>C(4,1)C(3,1)</t>
  </si>
  <si>
    <t>C(4,1)C(3,2)*2!</t>
  </si>
  <si>
    <t>4!</t>
  </si>
  <si>
    <t># Distinct Hands</t>
  </si>
  <si>
    <t>Totals</t>
  </si>
  <si>
    <t>Dealt Any Hand</t>
  </si>
  <si>
    <t>Odds (Against)</t>
  </si>
  <si>
    <t>Dealt Specific Hand</t>
  </si>
  <si>
    <t>Total Hands</t>
  </si>
  <si>
    <t>Total Suits</t>
  </si>
  <si>
    <t>4K::abcd</t>
  </si>
  <si>
    <t>3K::aabc</t>
  </si>
  <si>
    <t>3K::abcd</t>
  </si>
  <si>
    <t>2P::aabb</t>
  </si>
  <si>
    <t>2P::aabc</t>
  </si>
  <si>
    <t>2P::abcd</t>
  </si>
  <si>
    <t>1P::aaab</t>
  </si>
  <si>
    <t>1P::aabb</t>
  </si>
  <si>
    <t>1P::aabc</t>
  </si>
  <si>
    <t>1P::abcd</t>
  </si>
  <si>
    <t>NP::aaaa</t>
  </si>
  <si>
    <t>NP::aaab</t>
  </si>
  <si>
    <t>NP::aabb</t>
  </si>
  <si>
    <t>NP::aabc</t>
  </si>
  <si>
    <t>NP::abcd</t>
  </si>
  <si>
    <t>XXXY::3K</t>
  </si>
  <si>
    <t>XXYY::2P</t>
  </si>
  <si>
    <t>XXYZ::1P</t>
  </si>
  <si>
    <t>XYZR::NP</t>
  </si>
  <si>
    <t>XXXX::4K</t>
  </si>
  <si>
    <t># Ranks In Starting Hand</t>
  </si>
  <si>
    <t>Sequence shape == # of straights that can be made with a hand</t>
  </si>
  <si>
    <t>Seq. Shape</t>
  </si>
  <si>
    <t>1 rank</t>
  </si>
  <si>
    <t>2 ranks</t>
  </si>
  <si>
    <t>3 ranks</t>
  </si>
  <si>
    <t>4 ranks</t>
  </si>
  <si>
    <t>Distinct Hands By Rank In Hand</t>
  </si>
  <si>
    <t>Combos By Rank In Hand</t>
  </si>
  <si>
    <t>Total != 20 b/c different ranks can yield the same 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</si>
</sst>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_(* #,##0_);_(* \(#,##0\);_(* &quot;-&quot;??_);_(@_)"/>
    <numFmt numFmtId="166" formatCode="0.0%"/>
    <numFmt numFmtId="167" formatCode="0.000%"/>
    <numFmt numFmtId="175" formatCode="0.000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  <xf numFmtId="10" fontId="0" fillId="0" borderId="0" xfId="2" applyNumberFormat="1" applyFont="1"/>
    <xf numFmtId="0" fontId="3" fillId="0" borderId="0" xfId="0" applyFont="1" applyAlignment="1">
      <alignment horizontal="center" vertical="center"/>
    </xf>
    <xf numFmtId="165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0" fillId="0" borderId="2" xfId="1" applyNumberFormat="1" applyFont="1" applyBorder="1"/>
    <xf numFmtId="167" fontId="0" fillId="0" borderId="2" xfId="2" applyNumberFormat="1" applyFont="1" applyBorder="1"/>
    <xf numFmtId="0" fontId="0" fillId="0" borderId="3" xfId="0" applyBorder="1" applyAlignment="1">
      <alignment horizontal="right"/>
    </xf>
    <xf numFmtId="0" fontId="0" fillId="0" borderId="4" xfId="0" applyBorder="1"/>
    <xf numFmtId="165" fontId="0" fillId="0" borderId="5" xfId="1" applyNumberFormat="1" applyFont="1" applyBorder="1"/>
    <xf numFmtId="167" fontId="0" fillId="0" borderId="5" xfId="2" applyNumberFormat="1" applyFont="1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65" fontId="0" fillId="0" borderId="8" xfId="1" applyNumberFormat="1" applyFont="1" applyBorder="1"/>
    <xf numFmtId="167" fontId="0" fillId="0" borderId="8" xfId="2" applyNumberFormat="1" applyFont="1" applyBorder="1"/>
    <xf numFmtId="0" fontId="0" fillId="0" borderId="9" xfId="0" applyBorder="1" applyAlignment="1">
      <alignment horizontal="right"/>
    </xf>
    <xf numFmtId="0" fontId="0" fillId="0" borderId="10" xfId="0" applyBorder="1"/>
    <xf numFmtId="165" fontId="0" fillId="0" borderId="0" xfId="1" applyNumberFormat="1" applyFont="1" applyBorder="1"/>
    <xf numFmtId="167" fontId="0" fillId="0" borderId="0" xfId="2" applyNumberFormat="1" applyFont="1" applyBorder="1"/>
    <xf numFmtId="0" fontId="0" fillId="0" borderId="11" xfId="0" applyBorder="1" applyAlignment="1">
      <alignment horizontal="right"/>
    </xf>
    <xf numFmtId="0" fontId="2" fillId="0" borderId="10" xfId="0" applyFont="1" applyBorder="1"/>
    <xf numFmtId="0" fontId="2" fillId="0" borderId="14" xfId="0" applyFont="1" applyBorder="1"/>
    <xf numFmtId="0" fontId="0" fillId="0" borderId="15" xfId="0" quotePrefix="1" applyBorder="1"/>
    <xf numFmtId="165" fontId="0" fillId="0" borderId="3" xfId="1" applyNumberFormat="1" applyFont="1" applyBorder="1"/>
    <xf numFmtId="0" fontId="0" fillId="0" borderId="4" xfId="0" quotePrefix="1" applyBorder="1"/>
    <xf numFmtId="165" fontId="0" fillId="0" borderId="6" xfId="1" applyNumberFormat="1" applyFont="1" applyBorder="1"/>
    <xf numFmtId="0" fontId="0" fillId="0" borderId="7" xfId="0" quotePrefix="1" applyBorder="1"/>
    <xf numFmtId="165" fontId="0" fillId="0" borderId="9" xfId="1" applyNumberFormat="1" applyFont="1" applyBorder="1"/>
    <xf numFmtId="0" fontId="0" fillId="0" borderId="10" xfId="0" quotePrefix="1" applyBorder="1"/>
    <xf numFmtId="165" fontId="0" fillId="0" borderId="11" xfId="1" applyNumberFormat="1" applyFont="1" applyBorder="1"/>
    <xf numFmtId="0" fontId="2" fillId="0" borderId="10" xfId="0" quotePrefix="1" applyFont="1" applyBorder="1"/>
    <xf numFmtId="175" fontId="0" fillId="0" borderId="15" xfId="2" applyNumberFormat="1" applyFont="1" applyBorder="1"/>
    <xf numFmtId="175" fontId="0" fillId="0" borderId="4" xfId="2" applyNumberFormat="1" applyFont="1" applyBorder="1"/>
    <xf numFmtId="175" fontId="0" fillId="0" borderId="7" xfId="2" applyNumberFormat="1" applyFont="1" applyBorder="1"/>
    <xf numFmtId="175" fontId="0" fillId="0" borderId="10" xfId="2" applyNumberFormat="1" applyFont="1" applyBorder="1"/>
    <xf numFmtId="0" fontId="0" fillId="0" borderId="0" xfId="0" applyFill="1" applyBorder="1"/>
    <xf numFmtId="165" fontId="0" fillId="0" borderId="1" xfId="1" applyNumberFormat="1" applyFont="1" applyBorder="1"/>
    <xf numFmtId="167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8" xfId="0" applyFont="1" applyBorder="1"/>
    <xf numFmtId="165" fontId="0" fillId="0" borderId="0" xfId="1" applyNumberFormat="1" applyFont="1" applyAlignment="1">
      <alignment horizontal="right"/>
    </xf>
    <xf numFmtId="165" fontId="0" fillId="0" borderId="8" xfId="1" applyNumberFormat="1" applyFont="1" applyBorder="1" applyAlignment="1">
      <alignment horizontal="right"/>
    </xf>
    <xf numFmtId="165" fontId="0" fillId="0" borderId="8" xfId="0" applyNumberFormat="1" applyBorder="1"/>
    <xf numFmtId="10" fontId="0" fillId="0" borderId="8" xfId="2" applyNumberFormat="1" applyFont="1" applyBorder="1"/>
    <xf numFmtId="166" fontId="0" fillId="0" borderId="8" xfId="2" applyNumberFormat="1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2" xfId="0" applyFont="1" applyBorder="1"/>
    <xf numFmtId="0" fontId="0" fillId="0" borderId="1" xfId="0" applyFont="1" applyBorder="1"/>
    <xf numFmtId="0" fontId="0" fillId="0" borderId="4" xfId="0" applyFont="1" applyBorder="1"/>
    <xf numFmtId="0" fontId="0" fillId="0" borderId="12" xfId="0" applyFont="1" applyBorder="1"/>
    <xf numFmtId="0" fontId="0" fillId="0" borderId="7" xfId="0" applyFont="1" applyBorder="1"/>
    <xf numFmtId="0" fontId="0" fillId="0" borderId="13" xfId="0" applyFont="1" applyBorder="1"/>
    <xf numFmtId="0" fontId="0" fillId="0" borderId="10" xfId="0" applyFont="1" applyBorder="1"/>
    <xf numFmtId="0" fontId="0" fillId="0" borderId="14" xfId="0" applyFont="1" applyBorder="1"/>
    <xf numFmtId="0" fontId="3" fillId="2" borderId="1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5" xfId="2" applyNumberFormat="1" applyFont="1" applyBorder="1"/>
    <xf numFmtId="0" fontId="0" fillId="0" borderId="10" xfId="0" applyBorder="1" applyAlignment="1">
      <alignment horizontal="center"/>
    </xf>
    <xf numFmtId="10" fontId="0" fillId="0" borderId="0" xfId="2" applyNumberFormat="1" applyFont="1" applyBorder="1"/>
    <xf numFmtId="0" fontId="0" fillId="0" borderId="7" xfId="0" applyBorder="1" applyAlignment="1">
      <alignment horizontal="center"/>
    </xf>
    <xf numFmtId="165" fontId="0" fillId="0" borderId="4" xfId="1" applyNumberFormat="1" applyFont="1" applyBorder="1"/>
    <xf numFmtId="165" fontId="0" fillId="0" borderId="10" xfId="1" applyNumberFormat="1" applyFont="1" applyBorder="1"/>
    <xf numFmtId="165" fontId="0" fillId="0" borderId="7" xfId="1" applyNumberFormat="1" applyFont="1" applyBorder="1"/>
    <xf numFmtId="165" fontId="0" fillId="0" borderId="12" xfId="1" applyNumberFormat="1" applyFont="1" applyBorder="1"/>
    <xf numFmtId="165" fontId="0" fillId="0" borderId="14" xfId="1" applyNumberFormat="1" applyFont="1" applyBorder="1"/>
    <xf numFmtId="165" fontId="0" fillId="0" borderId="13" xfId="1" applyNumberFormat="1" applyFont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3" fillId="0" borderId="15" xfId="0" applyFont="1" applyFill="1" applyBorder="1" applyAlignment="1">
      <alignment horizontal="center"/>
    </xf>
    <xf numFmtId="165" fontId="0" fillId="0" borderId="15" xfId="1" applyNumberFormat="1" applyFont="1" applyBorder="1"/>
    <xf numFmtId="0" fontId="8" fillId="0" borderId="0" xfId="0" applyFont="1"/>
  </cellXfs>
  <cellStyles count="3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Prob</c:v>
                </c:pt>
              </c:strCache>
            </c:strRef>
          </c:tx>
          <c:invertIfNegative val="0"/>
          <c:cat>
            <c:strRef>
              <c:f>Sheet1!$N$4:$N$19</c:f>
              <c:strCache>
                <c:ptCount val="16"/>
                <c:pt idx="0">
                  <c:v>4K::abcd</c:v>
                </c:pt>
                <c:pt idx="1">
                  <c:v>3K::aabc</c:v>
                </c:pt>
                <c:pt idx="2">
                  <c:v>3K::abcd</c:v>
                </c:pt>
                <c:pt idx="3">
                  <c:v>2P::aabb</c:v>
                </c:pt>
                <c:pt idx="4">
                  <c:v>2P::aabc</c:v>
                </c:pt>
                <c:pt idx="5">
                  <c:v>2P::abcd</c:v>
                </c:pt>
                <c:pt idx="6">
                  <c:v>1P::aaab</c:v>
                </c:pt>
                <c:pt idx="7">
                  <c:v>1P::aabb</c:v>
                </c:pt>
                <c:pt idx="8">
                  <c:v>1P::aabc</c:v>
                </c:pt>
                <c:pt idx="9">
                  <c:v>1P::aabc</c:v>
                </c:pt>
                <c:pt idx="10">
                  <c:v>1P::abcd</c:v>
                </c:pt>
                <c:pt idx="11">
                  <c:v>NP::aaaa</c:v>
                </c:pt>
                <c:pt idx="12">
                  <c:v>NP::aaab</c:v>
                </c:pt>
                <c:pt idx="13">
                  <c:v>NP::aabb</c:v>
                </c:pt>
                <c:pt idx="14">
                  <c:v>NP::aabc</c:v>
                </c:pt>
                <c:pt idx="15">
                  <c:v>NP::abcd</c:v>
                </c:pt>
              </c:strCache>
            </c:strRef>
          </c:cat>
          <c:val>
            <c:numRef>
              <c:f>Sheet1!$V$4:$V$19</c:f>
              <c:numCache>
                <c:formatCode>0.000%</c:formatCode>
                <c:ptCount val="16"/>
                <c:pt idx="0">
                  <c:v>4.80192076830732E-5</c:v>
                </c:pt>
                <c:pt idx="1">
                  <c:v>0.00691476590636254</c:v>
                </c:pt>
                <c:pt idx="2">
                  <c:v>0.00230492196878751</c:v>
                </c:pt>
                <c:pt idx="3">
                  <c:v>0.00172869147659064</c:v>
                </c:pt>
                <c:pt idx="4">
                  <c:v>0.00691476590636254</c:v>
                </c:pt>
                <c:pt idx="5">
                  <c:v>0.00172869147659064</c:v>
                </c:pt>
                <c:pt idx="6">
                  <c:v>0.038031212484994</c:v>
                </c:pt>
                <c:pt idx="7">
                  <c:v>0.038031212484994</c:v>
                </c:pt>
                <c:pt idx="8">
                  <c:v>0.152124849939976</c:v>
                </c:pt>
                <c:pt idx="9">
                  <c:v>0.038031212484994</c:v>
                </c:pt>
                <c:pt idx="10">
                  <c:v>0.038031212484994</c:v>
                </c:pt>
                <c:pt idx="11">
                  <c:v>0.0105642256902761</c:v>
                </c:pt>
                <c:pt idx="12">
                  <c:v>0.126770708283313</c:v>
                </c:pt>
                <c:pt idx="13">
                  <c:v>0.095078031212485</c:v>
                </c:pt>
                <c:pt idx="14">
                  <c:v>0.38031212484994</c:v>
                </c:pt>
                <c:pt idx="15">
                  <c:v>0.0633853541416567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6215048"/>
        <c:axId val="-2035788504"/>
      </c:barChart>
      <c:catAx>
        <c:axId val="-203621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788504"/>
        <c:crosses val="autoZero"/>
        <c:auto val="1"/>
        <c:lblAlgn val="ctr"/>
        <c:lblOffset val="100"/>
        <c:noMultiLvlLbl val="0"/>
      </c:catAx>
      <c:valAx>
        <c:axId val="-2035788504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-203621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Sheet1!$Y$4:$Y$24</c:f>
              <c:strCache>
                <c:ptCount val="1"/>
                <c:pt idx="0">
                  <c:v>0 1 2 3 4 5 6 7 8 9 10 11 12 13 14 15 16 17 18 19 20</c:v>
                </c:pt>
              </c:strCache>
            </c:strRef>
          </c:tx>
          <c:invertIfNegative val="0"/>
          <c:val>
            <c:numRef>
              <c:f>Sheet1!$AJ$4:$AJ$24</c:f>
              <c:numCache>
                <c:formatCode>0.00%</c:formatCode>
                <c:ptCount val="21"/>
                <c:pt idx="0">
                  <c:v>0.0123409363745498</c:v>
                </c:pt>
                <c:pt idx="1">
                  <c:v>0.0316779019300028</c:v>
                </c:pt>
                <c:pt idx="2">
                  <c:v>0.096053190506972</c:v>
                </c:pt>
                <c:pt idx="3">
                  <c:v>0.0902170098808754</c:v>
                </c:pt>
                <c:pt idx="4">
                  <c:v>0.158611136762397</c:v>
                </c:pt>
                <c:pt idx="5">
                  <c:v>0.131203250530982</c:v>
                </c:pt>
                <c:pt idx="6">
                  <c:v>0.0933788900175455</c:v>
                </c:pt>
                <c:pt idx="7">
                  <c:v>0.106617416197248</c:v>
                </c:pt>
                <c:pt idx="8">
                  <c:v>0.0600461723150799</c:v>
                </c:pt>
                <c:pt idx="9">
                  <c:v>0.0676110444177671</c:v>
                </c:pt>
                <c:pt idx="10">
                  <c:v>0.0437344168436605</c:v>
                </c:pt>
                <c:pt idx="11">
                  <c:v>0.0517720934527657</c:v>
                </c:pt>
                <c:pt idx="12">
                  <c:v>0.0236402253208976</c:v>
                </c:pt>
                <c:pt idx="13">
                  <c:v>0.00378243605134361</c:v>
                </c:pt>
                <c:pt idx="14">
                  <c:v>0.00189121802567181</c:v>
                </c:pt>
                <c:pt idx="15">
                  <c:v>0.00189121802567181</c:v>
                </c:pt>
                <c:pt idx="16">
                  <c:v>0.00945609012835903</c:v>
                </c:pt>
                <c:pt idx="17">
                  <c:v>0.00945609012835903</c:v>
                </c:pt>
                <c:pt idx="19">
                  <c:v>0.00189121802567181</c:v>
                </c:pt>
                <c:pt idx="20">
                  <c:v>0.00472804506417952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1776696"/>
        <c:axId val="-1994035688"/>
      </c:barChart>
      <c:catAx>
        <c:axId val="-204177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4035688"/>
        <c:crosses val="autoZero"/>
        <c:auto val="1"/>
        <c:lblAlgn val="ctr"/>
        <c:lblOffset val="100"/>
        <c:noMultiLvlLbl val="0"/>
      </c:catAx>
      <c:valAx>
        <c:axId val="-1994035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04177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22</xdr:row>
      <xdr:rowOff>6350</xdr:rowOff>
    </xdr:from>
    <xdr:to>
      <xdr:col>23</xdr:col>
      <xdr:colOff>12700</xdr:colOff>
      <xdr:row>36</xdr:row>
      <xdr:rowOff>82550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37</xdr:row>
      <xdr:rowOff>12700</xdr:rowOff>
    </xdr:from>
    <xdr:to>
      <xdr:col>23</xdr:col>
      <xdr:colOff>12700</xdr:colOff>
      <xdr:row>51</xdr:row>
      <xdr:rowOff>88900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2"/>
  <sheetViews>
    <sheetView tabSelected="1" workbookViewId="0">
      <selection activeCell="AM58" sqref="AM58"/>
    </sheetView>
  </sheetViews>
  <sheetFormatPr baseColWidth="10" defaultRowHeight="15" x14ac:dyDescent="0"/>
  <cols>
    <col min="1" max="1" width="2.33203125" customWidth="1"/>
    <col min="2" max="2" width="14.83203125" bestFit="1" customWidth="1"/>
    <col min="3" max="3" width="11.5" bestFit="1" customWidth="1"/>
    <col min="4" max="4" width="2.33203125" customWidth="1"/>
    <col min="5" max="5" width="21.5" bestFit="1" customWidth="1"/>
    <col min="6" max="6" width="8.1640625" bestFit="1" customWidth="1"/>
    <col min="7" max="7" width="13.1640625" bestFit="1" customWidth="1"/>
    <col min="8" max="8" width="9.5" bestFit="1" customWidth="1"/>
    <col min="9" max="9" width="8.1640625" bestFit="1" customWidth="1"/>
    <col min="10" max="10" width="9.5" bestFit="1" customWidth="1"/>
    <col min="11" max="11" width="2.33203125" customWidth="1"/>
    <col min="12" max="12" width="13.83203125" bestFit="1" customWidth="1"/>
    <col min="13" max="13" width="11.1640625" bestFit="1" customWidth="1"/>
    <col min="14" max="14" width="10.83203125" bestFit="1" customWidth="1"/>
    <col min="15" max="15" width="17.6640625" bestFit="1" customWidth="1"/>
    <col min="16" max="16" width="8" bestFit="1" customWidth="1"/>
    <col min="17" max="17" width="13.5" bestFit="1" customWidth="1"/>
    <col min="18" max="18" width="8" bestFit="1" customWidth="1"/>
    <col min="19" max="19" width="9" bestFit="1" customWidth="1"/>
    <col min="20" max="20" width="8.1640625" bestFit="1" customWidth="1"/>
    <col min="21" max="21" width="10.33203125" bestFit="1" customWidth="1"/>
    <col min="22" max="22" width="9.33203125" bestFit="1" customWidth="1"/>
    <col min="23" max="23" width="13.5" bestFit="1" customWidth="1"/>
    <col min="24" max="24" width="2.33203125" customWidth="1"/>
    <col min="25" max="25" width="10.33203125" bestFit="1" customWidth="1"/>
    <col min="26" max="26" width="6.5" bestFit="1" customWidth="1"/>
    <col min="27" max="28" width="7.1640625" bestFit="1" customWidth="1"/>
    <col min="29" max="29" width="8" bestFit="1" customWidth="1"/>
    <col min="30" max="30" width="13.1640625" bestFit="1" customWidth="1"/>
    <col min="31" max="31" width="6.5" bestFit="1" customWidth="1"/>
    <col min="32" max="32" width="7.1640625" bestFit="1" customWidth="1"/>
    <col min="33" max="33" width="8" bestFit="1" customWidth="1"/>
    <col min="34" max="35" width="9" bestFit="1" customWidth="1"/>
    <col min="36" max="36" width="9" customWidth="1"/>
    <col min="37" max="37" width="13.5" bestFit="1" customWidth="1"/>
  </cols>
  <sheetData>
    <row r="2" spans="2:37">
      <c r="L2" s="4"/>
      <c r="M2" s="4"/>
      <c r="N2" s="4"/>
      <c r="O2" s="51" t="s">
        <v>15</v>
      </c>
      <c r="P2" s="51"/>
      <c r="Q2" s="51" t="s">
        <v>16</v>
      </c>
      <c r="R2" s="51"/>
      <c r="S2" s="4"/>
      <c r="T2" s="51" t="s">
        <v>65</v>
      </c>
      <c r="U2" s="51"/>
      <c r="V2" s="51" t="s">
        <v>63</v>
      </c>
      <c r="W2" s="51"/>
      <c r="Z2" s="62" t="s">
        <v>95</v>
      </c>
      <c r="AA2" s="63"/>
      <c r="AB2" s="63"/>
      <c r="AC2" s="64"/>
      <c r="AE2" s="62" t="s">
        <v>96</v>
      </c>
      <c r="AF2" s="63"/>
      <c r="AG2" s="63"/>
      <c r="AH2" s="64"/>
    </row>
    <row r="3" spans="2:37">
      <c r="B3" s="53" t="s">
        <v>0</v>
      </c>
      <c r="C3" s="40">
        <f>COMBIN(52,4)</f>
        <v>270725.00000000006</v>
      </c>
      <c r="E3" s="50" t="s">
        <v>2</v>
      </c>
      <c r="F3" s="50" t="s">
        <v>3</v>
      </c>
      <c r="G3" s="50" t="s">
        <v>4</v>
      </c>
      <c r="H3" s="50" t="s">
        <v>5</v>
      </c>
      <c r="I3" s="50" t="s">
        <v>6</v>
      </c>
      <c r="J3" s="50" t="s">
        <v>7</v>
      </c>
      <c r="L3" s="50" t="s">
        <v>2</v>
      </c>
      <c r="M3" s="50" t="s">
        <v>14</v>
      </c>
      <c r="N3" s="50" t="s">
        <v>25</v>
      </c>
      <c r="O3" s="50" t="s">
        <v>19</v>
      </c>
      <c r="P3" s="50" t="s">
        <v>20</v>
      </c>
      <c r="Q3" s="50" t="s">
        <v>19</v>
      </c>
      <c r="R3" s="50" t="s">
        <v>20</v>
      </c>
      <c r="S3" s="50" t="s">
        <v>5</v>
      </c>
      <c r="T3" s="50" t="s">
        <v>6</v>
      </c>
      <c r="U3" s="50" t="s">
        <v>7</v>
      </c>
      <c r="V3" s="50" t="s">
        <v>6</v>
      </c>
      <c r="W3" s="50" t="s">
        <v>64</v>
      </c>
      <c r="Y3" s="50" t="s">
        <v>90</v>
      </c>
      <c r="Z3" s="50" t="s">
        <v>91</v>
      </c>
      <c r="AA3" s="50" t="s">
        <v>92</v>
      </c>
      <c r="AB3" s="50" t="s">
        <v>93</v>
      </c>
      <c r="AC3" s="50" t="s">
        <v>94</v>
      </c>
      <c r="AD3" s="50" t="s">
        <v>4</v>
      </c>
      <c r="AE3" s="50" t="s">
        <v>91</v>
      </c>
      <c r="AF3" s="50" t="s">
        <v>92</v>
      </c>
      <c r="AG3" s="50" t="s">
        <v>93</v>
      </c>
      <c r="AH3" s="50" t="s">
        <v>94</v>
      </c>
      <c r="AI3" s="50" t="s">
        <v>5</v>
      </c>
      <c r="AJ3" s="50" t="s">
        <v>6</v>
      </c>
      <c r="AK3" s="50" t="s">
        <v>64</v>
      </c>
    </row>
    <row r="4" spans="2:37">
      <c r="B4" s="53" t="s">
        <v>1</v>
      </c>
      <c r="C4" s="40">
        <v>16</v>
      </c>
      <c r="E4" s="42" t="s">
        <v>87</v>
      </c>
      <c r="F4" s="1">
        <v>1</v>
      </c>
      <c r="G4" s="1">
        <f>SUM(P4)</f>
        <v>13</v>
      </c>
      <c r="H4" s="1">
        <f>SUM(S4)</f>
        <v>13</v>
      </c>
      <c r="I4" s="2">
        <f>H4/$H$9</f>
        <v>4.8019207683073229E-5</v>
      </c>
      <c r="J4" s="45" t="str">
        <f>ROUND((1-I4)/I4,1)&amp;" : 1"</f>
        <v>20824 : 1</v>
      </c>
      <c r="L4" s="6" t="s">
        <v>17</v>
      </c>
      <c r="M4" s="54" t="s">
        <v>18</v>
      </c>
      <c r="N4" s="55" t="s">
        <v>68</v>
      </c>
      <c r="O4" s="26" t="s">
        <v>26</v>
      </c>
      <c r="P4" s="27">
        <f>COMBIN(13,1)</f>
        <v>13</v>
      </c>
      <c r="Q4" s="26" t="s">
        <v>21</v>
      </c>
      <c r="R4" s="27">
        <f>COMBIN(4,4)</f>
        <v>1</v>
      </c>
      <c r="S4" s="8">
        <f>P4*R4</f>
        <v>13</v>
      </c>
      <c r="T4" s="35">
        <f>(S4/P4)/$S$21</f>
        <v>3.6937852063902484E-6</v>
      </c>
      <c r="U4" s="10" t="str">
        <f>ROUND((1-T4)/T4,1)&amp;" : 1"</f>
        <v>270724 : 1</v>
      </c>
      <c r="V4" s="9">
        <f>S4/$S$21</f>
        <v>4.8019207683073229E-5</v>
      </c>
      <c r="W4" s="10" t="str">
        <f>ROUND((1-V4)/V4,1)&amp;" : 1"</f>
        <v>20824 : 1</v>
      </c>
      <c r="Y4" s="65">
        <v>0</v>
      </c>
      <c r="Z4" s="70">
        <v>13</v>
      </c>
      <c r="AA4" s="12">
        <v>224</v>
      </c>
      <c r="AB4" s="12">
        <v>72</v>
      </c>
      <c r="AC4" s="12"/>
      <c r="AD4" s="73">
        <f>SUM(Z4:AC4)</f>
        <v>309</v>
      </c>
      <c r="AE4" s="70">
        <v>13</v>
      </c>
      <c r="AF4" s="12">
        <v>2176</v>
      </c>
      <c r="AG4" s="12">
        <v>1152</v>
      </c>
      <c r="AH4" s="29"/>
      <c r="AI4" s="12">
        <f>SUM(AE4:AH4)</f>
        <v>3341</v>
      </c>
      <c r="AJ4" s="66">
        <f>AI4/$AI$26</f>
        <v>1.234093637454982E-2</v>
      </c>
      <c r="AK4" s="14" t="str">
        <f>ROUND((1-AJ4)/AJ4,1)&amp;" : 1"</f>
        <v>80 : 1</v>
      </c>
    </row>
    <row r="5" spans="2:37">
      <c r="B5" s="53" t="s">
        <v>61</v>
      </c>
      <c r="C5" s="40">
        <f>P21</f>
        <v>16432</v>
      </c>
      <c r="E5" s="42" t="s">
        <v>83</v>
      </c>
      <c r="F5" s="1">
        <v>2</v>
      </c>
      <c r="G5" s="1">
        <f>SUM(P5:P6)</f>
        <v>312</v>
      </c>
      <c r="H5" s="1">
        <f>SUM(S5:S6)</f>
        <v>2496</v>
      </c>
      <c r="I5" s="2">
        <f t="shared" ref="I5:I8" si="0">H5/$H$9</f>
        <v>9.2196878751500608E-3</v>
      </c>
      <c r="J5" s="45" t="str">
        <f t="shared" ref="J5:J8" si="1">ROUND((1-I5)/I5,1)&amp;" : 1"</f>
        <v>107.5 : 1</v>
      </c>
      <c r="L5" s="7" t="s">
        <v>22</v>
      </c>
      <c r="M5" s="56" t="s">
        <v>23</v>
      </c>
      <c r="N5" s="57" t="s">
        <v>69</v>
      </c>
      <c r="O5" s="28" t="s">
        <v>27</v>
      </c>
      <c r="P5" s="29">
        <f>COMBIN(13,1)*COMBIN(12,1)</f>
        <v>156</v>
      </c>
      <c r="Q5" s="28" t="s">
        <v>28</v>
      </c>
      <c r="R5" s="29">
        <f>COMBIN(4,3)*COMBIN(3,1)</f>
        <v>12</v>
      </c>
      <c r="S5" s="12">
        <f t="shared" ref="S5:S19" si="2">P5*R5</f>
        <v>1872</v>
      </c>
      <c r="T5" s="36">
        <f>(S5/P5)/$S$21</f>
        <v>4.4325422476682978E-5</v>
      </c>
      <c r="U5" s="14" t="str">
        <f>ROUND((1-T5)/T5,1)&amp;" : 1"</f>
        <v>22559.4 : 1</v>
      </c>
      <c r="V5" s="13">
        <f t="shared" ref="V5:V19" si="3">S5/$S$21</f>
        <v>6.9147659063625447E-3</v>
      </c>
      <c r="W5" s="14" t="str">
        <f t="shared" ref="W5:W19" si="4">ROUND((1-V5)/V5,1)&amp;" : 1"</f>
        <v>143.6 : 1</v>
      </c>
      <c r="Y5" s="67">
        <v>1</v>
      </c>
      <c r="Z5" s="71"/>
      <c r="AA5" s="21">
        <v>112</v>
      </c>
      <c r="AB5" s="21">
        <v>468</v>
      </c>
      <c r="AC5" s="21"/>
      <c r="AD5" s="74">
        <f t="shared" ref="AD5:AD24" si="5">SUM(Z5:AC5)</f>
        <v>580</v>
      </c>
      <c r="AE5" s="71"/>
      <c r="AF5" s="21">
        <v>1088</v>
      </c>
      <c r="AG5" s="21">
        <v>7488</v>
      </c>
      <c r="AH5" s="33"/>
      <c r="AI5" s="21">
        <f t="shared" ref="AI5:AI24" si="6">SUM(AE5:AH5)</f>
        <v>8576</v>
      </c>
      <c r="AJ5" s="68">
        <f>AI5/$AI$26</f>
        <v>3.1677901930002771E-2</v>
      </c>
      <c r="AK5" s="23" t="str">
        <f t="shared" ref="AK5:AK24" si="7">ROUND((1-AJ5)/AJ5,1)&amp;" : 1"</f>
        <v>30.6 : 1</v>
      </c>
    </row>
    <row r="6" spans="2:37">
      <c r="E6" s="42" t="s">
        <v>84</v>
      </c>
      <c r="F6" s="1">
        <v>3</v>
      </c>
      <c r="G6" s="1">
        <f>SUM(P7:P9)</f>
        <v>234</v>
      </c>
      <c r="H6" s="1">
        <f>SUM(S7:S9)</f>
        <v>2808</v>
      </c>
      <c r="I6" s="2">
        <f t="shared" si="0"/>
        <v>1.0372148859543818E-2</v>
      </c>
      <c r="J6" s="45" t="str">
        <f t="shared" si="1"/>
        <v>95.4 : 1</v>
      </c>
      <c r="L6" s="7"/>
      <c r="M6" s="58" t="s">
        <v>24</v>
      </c>
      <c r="N6" s="59" t="s">
        <v>70</v>
      </c>
      <c r="O6" s="30" t="s">
        <v>27</v>
      </c>
      <c r="P6" s="31">
        <f>COMBIN(13,1)*COMBIN(12,1)</f>
        <v>156</v>
      </c>
      <c r="Q6" s="30" t="s">
        <v>29</v>
      </c>
      <c r="R6" s="31">
        <f>COMBIN(4,3)</f>
        <v>4</v>
      </c>
      <c r="S6" s="17">
        <f t="shared" si="2"/>
        <v>624</v>
      </c>
      <c r="T6" s="37">
        <f t="shared" ref="T6:T19" si="8">(S6/P6)/$S$21</f>
        <v>1.4775140825560994E-5</v>
      </c>
      <c r="U6" s="19" t="str">
        <f t="shared" ref="U6:U19" si="9">ROUND((1-T6)/T6,1)&amp;" : 1"</f>
        <v>67680.3 : 1</v>
      </c>
      <c r="V6" s="18">
        <f t="shared" si="3"/>
        <v>2.3049219687875152E-3</v>
      </c>
      <c r="W6" s="19" t="str">
        <f t="shared" si="4"/>
        <v>432.9 : 1</v>
      </c>
      <c r="Y6" s="67">
        <v>2</v>
      </c>
      <c r="Z6" s="71"/>
      <c r="AA6" s="21">
        <v>91</v>
      </c>
      <c r="AB6" s="21">
        <v>1314</v>
      </c>
      <c r="AC6" s="21">
        <v>240</v>
      </c>
      <c r="AD6" s="74">
        <f t="shared" si="5"/>
        <v>1645</v>
      </c>
      <c r="AE6" s="71"/>
      <c r="AF6" s="21">
        <v>884</v>
      </c>
      <c r="AG6" s="21">
        <v>21024</v>
      </c>
      <c r="AH6" s="33">
        <v>4096</v>
      </c>
      <c r="AI6" s="21">
        <f t="shared" si="6"/>
        <v>26004</v>
      </c>
      <c r="AJ6" s="68">
        <f>AI6/$AI$26</f>
        <v>9.6053190506972017E-2</v>
      </c>
      <c r="AK6" s="23" t="str">
        <f t="shared" si="7"/>
        <v>9.4 : 1</v>
      </c>
    </row>
    <row r="7" spans="2:37">
      <c r="E7" s="42" t="s">
        <v>85</v>
      </c>
      <c r="F7" s="1">
        <v>5</v>
      </c>
      <c r="G7" s="1">
        <f>SUM(P10:P14)</f>
        <v>5148</v>
      </c>
      <c r="H7" s="1">
        <f>SUM(S10:S14)</f>
        <v>82368</v>
      </c>
      <c r="I7" s="2">
        <f t="shared" si="0"/>
        <v>0.30424969987995198</v>
      </c>
      <c r="J7" s="45" t="str">
        <f t="shared" si="1"/>
        <v>2.3 : 1</v>
      </c>
      <c r="L7" s="7" t="s">
        <v>30</v>
      </c>
      <c r="M7" s="56" t="s">
        <v>33</v>
      </c>
      <c r="N7" s="57" t="s">
        <v>71</v>
      </c>
      <c r="O7" s="28" t="s">
        <v>46</v>
      </c>
      <c r="P7" s="29">
        <f>COMBIN(13,2)</f>
        <v>78</v>
      </c>
      <c r="Q7" s="28" t="s">
        <v>53</v>
      </c>
      <c r="R7" s="29">
        <f>COMBIN(4,2)</f>
        <v>6</v>
      </c>
      <c r="S7" s="12">
        <f t="shared" si="2"/>
        <v>468</v>
      </c>
      <c r="T7" s="36">
        <f t="shared" si="8"/>
        <v>2.2162711238341489E-5</v>
      </c>
      <c r="U7" s="14" t="str">
        <f t="shared" si="9"/>
        <v>45119.8 : 1</v>
      </c>
      <c r="V7" s="13">
        <f t="shared" si="3"/>
        <v>1.7286914765906362E-3</v>
      </c>
      <c r="W7" s="14" t="str">
        <f t="shared" si="4"/>
        <v>577.5 : 1</v>
      </c>
      <c r="Y7" s="67">
        <v>3</v>
      </c>
      <c r="Z7" s="71"/>
      <c r="AA7" s="21">
        <v>70</v>
      </c>
      <c r="AB7" s="21">
        <v>972</v>
      </c>
      <c r="AC7" s="21">
        <v>480</v>
      </c>
      <c r="AD7" s="74">
        <f t="shared" si="5"/>
        <v>1522</v>
      </c>
      <c r="AE7" s="71"/>
      <c r="AF7" s="21">
        <v>680</v>
      </c>
      <c r="AG7" s="21">
        <v>15552</v>
      </c>
      <c r="AH7" s="33">
        <v>8192</v>
      </c>
      <c r="AI7" s="21">
        <f t="shared" si="6"/>
        <v>24424</v>
      </c>
      <c r="AJ7" s="68">
        <f>AI7/$AI$26</f>
        <v>9.0217009880875429E-2</v>
      </c>
      <c r="AK7" s="23" t="str">
        <f t="shared" si="7"/>
        <v>10.1 : 1</v>
      </c>
    </row>
    <row r="8" spans="2:37">
      <c r="E8" s="44" t="s">
        <v>86</v>
      </c>
      <c r="F8" s="17">
        <v>5</v>
      </c>
      <c r="G8" s="17">
        <f>SUM(P15:P19)</f>
        <v>10725</v>
      </c>
      <c r="H8" s="17">
        <f>SUM(S15:S19)</f>
        <v>183040</v>
      </c>
      <c r="I8" s="49">
        <f t="shared" si="0"/>
        <v>0.67611044417767108</v>
      </c>
      <c r="J8" s="46" t="str">
        <f t="shared" si="1"/>
        <v>0.5 : 1</v>
      </c>
      <c r="L8" s="7"/>
      <c r="M8" s="60" t="s">
        <v>34</v>
      </c>
      <c r="N8" s="61" t="s">
        <v>72</v>
      </c>
      <c r="O8" s="32" t="s">
        <v>46</v>
      </c>
      <c r="P8" s="33">
        <f t="shared" ref="P8:P9" si="10">COMBIN(13,2)</f>
        <v>78</v>
      </c>
      <c r="Q8" s="32" t="s">
        <v>54</v>
      </c>
      <c r="R8" s="33">
        <f>COMBIN(4,2)*COMBIN(2,1)^2</f>
        <v>24</v>
      </c>
      <c r="S8" s="21">
        <f t="shared" si="2"/>
        <v>1872</v>
      </c>
      <c r="T8" s="38">
        <f t="shared" si="8"/>
        <v>8.8650844953365955E-5</v>
      </c>
      <c r="U8" s="23" t="str">
        <f t="shared" si="9"/>
        <v>11279.2 : 1</v>
      </c>
      <c r="V8" s="22">
        <f t="shared" si="3"/>
        <v>6.9147659063625447E-3</v>
      </c>
      <c r="W8" s="23" t="str">
        <f t="shared" si="4"/>
        <v>143.6 : 1</v>
      </c>
      <c r="Y8" s="67">
        <v>4</v>
      </c>
      <c r="Z8" s="71"/>
      <c r="AA8" s="21">
        <v>49</v>
      </c>
      <c r="AB8" s="21">
        <v>1278</v>
      </c>
      <c r="AC8" s="21">
        <v>1290</v>
      </c>
      <c r="AD8" s="74">
        <f t="shared" si="5"/>
        <v>2617</v>
      </c>
      <c r="AE8" s="71"/>
      <c r="AF8" s="21">
        <v>476</v>
      </c>
      <c r="AG8" s="21">
        <v>20448</v>
      </c>
      <c r="AH8" s="33">
        <v>22016</v>
      </c>
      <c r="AI8" s="21">
        <f t="shared" si="6"/>
        <v>42940</v>
      </c>
      <c r="AJ8" s="68">
        <f>AI8/$AI$26</f>
        <v>0.15861113676239727</v>
      </c>
      <c r="AK8" s="23" t="str">
        <f t="shared" si="7"/>
        <v>5.3 : 1</v>
      </c>
    </row>
    <row r="9" spans="2:37">
      <c r="F9" s="1">
        <f>SUM(F4:F8)</f>
        <v>16</v>
      </c>
      <c r="G9" s="1">
        <f>SUM(G4:G8)</f>
        <v>16432</v>
      </c>
      <c r="H9" s="1">
        <f>SUM(H4:H8)</f>
        <v>270725</v>
      </c>
      <c r="I9" s="1"/>
      <c r="J9" s="1"/>
      <c r="L9" s="7"/>
      <c r="M9" s="58" t="s">
        <v>35</v>
      </c>
      <c r="N9" s="59" t="s">
        <v>73</v>
      </c>
      <c r="O9" s="30" t="s">
        <v>46</v>
      </c>
      <c r="P9" s="31">
        <f t="shared" si="10"/>
        <v>78</v>
      </c>
      <c r="Q9" s="15" t="s">
        <v>53</v>
      </c>
      <c r="R9" s="31">
        <f>COMBIN(4,2)</f>
        <v>6</v>
      </c>
      <c r="S9" s="17">
        <f t="shared" si="2"/>
        <v>468</v>
      </c>
      <c r="T9" s="37">
        <f t="shared" si="8"/>
        <v>2.2162711238341489E-5</v>
      </c>
      <c r="U9" s="19" t="str">
        <f t="shared" si="9"/>
        <v>45119.8 : 1</v>
      </c>
      <c r="V9" s="18">
        <f t="shared" si="3"/>
        <v>1.7286914765906362E-3</v>
      </c>
      <c r="W9" s="19" t="str">
        <f t="shared" si="4"/>
        <v>577.5 : 1</v>
      </c>
      <c r="Y9" s="67">
        <v>5</v>
      </c>
      <c r="Z9" s="71"/>
      <c r="AA9" s="21"/>
      <c r="AB9" s="21">
        <v>108</v>
      </c>
      <c r="AC9" s="21">
        <v>1980</v>
      </c>
      <c r="AD9" s="74">
        <f t="shared" si="5"/>
        <v>2088</v>
      </c>
      <c r="AE9" s="71"/>
      <c r="AF9" s="21"/>
      <c r="AG9" s="21">
        <v>1728</v>
      </c>
      <c r="AH9" s="33">
        <v>33792</v>
      </c>
      <c r="AI9" s="21">
        <f t="shared" si="6"/>
        <v>35520</v>
      </c>
      <c r="AJ9" s="68">
        <f>AI9/$AI$26</f>
        <v>0.13120325053098161</v>
      </c>
      <c r="AK9" s="23" t="str">
        <f t="shared" si="7"/>
        <v>6.6 : 1</v>
      </c>
    </row>
    <row r="10" spans="2:37">
      <c r="L10" s="7" t="s">
        <v>31</v>
      </c>
      <c r="M10" s="56" t="s">
        <v>36</v>
      </c>
      <c r="N10" s="57" t="s">
        <v>74</v>
      </c>
      <c r="O10" s="28" t="s">
        <v>47</v>
      </c>
      <c r="P10" s="29">
        <f>COMBIN(13,1)*COMBIN(12,2)</f>
        <v>858</v>
      </c>
      <c r="Q10" s="11" t="s">
        <v>55</v>
      </c>
      <c r="R10" s="29">
        <f>COMBIN(4,2)*COMBIN(2,1)</f>
        <v>12</v>
      </c>
      <c r="S10" s="12">
        <f t="shared" si="2"/>
        <v>10296</v>
      </c>
      <c r="T10" s="36">
        <f t="shared" si="8"/>
        <v>4.4325422476682978E-5</v>
      </c>
      <c r="U10" s="14" t="str">
        <f t="shared" si="9"/>
        <v>22559.4 : 1</v>
      </c>
      <c r="V10" s="13">
        <f t="shared" si="3"/>
        <v>3.8031212484993998E-2</v>
      </c>
      <c r="W10" s="14" t="str">
        <f t="shared" si="4"/>
        <v>25.3 : 1</v>
      </c>
      <c r="Y10" s="67">
        <v>6</v>
      </c>
      <c r="Z10" s="71"/>
      <c r="AA10" s="21"/>
      <c r="AB10" s="21">
        <v>108</v>
      </c>
      <c r="AC10" s="21">
        <v>1380</v>
      </c>
      <c r="AD10" s="74">
        <f t="shared" si="5"/>
        <v>1488</v>
      </c>
      <c r="AE10" s="71"/>
      <c r="AF10" s="21"/>
      <c r="AG10" s="21">
        <v>1728</v>
      </c>
      <c r="AH10" s="33">
        <v>23552</v>
      </c>
      <c r="AI10" s="21">
        <f t="shared" si="6"/>
        <v>25280</v>
      </c>
      <c r="AJ10" s="68">
        <f>AI10/$AI$26</f>
        <v>9.3378890017545485E-2</v>
      </c>
      <c r="AK10" s="23" t="str">
        <f t="shared" si="7"/>
        <v>9.7 : 1</v>
      </c>
    </row>
    <row r="11" spans="2:37">
      <c r="E11" s="52" t="s">
        <v>8</v>
      </c>
      <c r="F11" s="52" t="s">
        <v>3</v>
      </c>
      <c r="G11" s="52" t="s">
        <v>4</v>
      </c>
      <c r="H11" s="52" t="s">
        <v>5</v>
      </c>
      <c r="I11" s="52" t="s">
        <v>6</v>
      </c>
      <c r="J11" s="52" t="s">
        <v>7</v>
      </c>
      <c r="L11" s="7"/>
      <c r="M11" s="60" t="s">
        <v>37</v>
      </c>
      <c r="N11" s="61" t="s">
        <v>75</v>
      </c>
      <c r="O11" s="32" t="s">
        <v>47</v>
      </c>
      <c r="P11" s="33">
        <f t="shared" ref="P11:P14" si="11">COMBIN(13,1)*COMBIN(12,2)</f>
        <v>858</v>
      </c>
      <c r="Q11" s="20" t="s">
        <v>55</v>
      </c>
      <c r="R11" s="33">
        <f>COMBIN(4,2)*COMBIN(2,1)</f>
        <v>12</v>
      </c>
      <c r="S11" s="21">
        <f t="shared" si="2"/>
        <v>10296</v>
      </c>
      <c r="T11" s="38">
        <f t="shared" si="8"/>
        <v>4.4325422476682978E-5</v>
      </c>
      <c r="U11" s="23" t="str">
        <f t="shared" si="9"/>
        <v>22559.4 : 1</v>
      </c>
      <c r="V11" s="22">
        <f t="shared" si="3"/>
        <v>3.8031212484993998E-2</v>
      </c>
      <c r="W11" s="23" t="str">
        <f t="shared" si="4"/>
        <v>25.3 : 1</v>
      </c>
      <c r="Y11" s="67">
        <v>7</v>
      </c>
      <c r="Z11" s="71"/>
      <c r="AA11" s="21"/>
      <c r="AB11" s="21">
        <v>396</v>
      </c>
      <c r="AC11" s="21">
        <v>1320</v>
      </c>
      <c r="AD11" s="74">
        <f t="shared" si="5"/>
        <v>1716</v>
      </c>
      <c r="AE11" s="71"/>
      <c r="AF11" s="21"/>
      <c r="AG11" s="21">
        <v>6336</v>
      </c>
      <c r="AH11" s="33">
        <v>22528</v>
      </c>
      <c r="AI11" s="21">
        <f t="shared" si="6"/>
        <v>28864</v>
      </c>
      <c r="AJ11" s="68">
        <f>AI11/$AI$26</f>
        <v>0.10661741619724813</v>
      </c>
      <c r="AK11" s="23" t="str">
        <f t="shared" si="7"/>
        <v>8.4 : 1</v>
      </c>
    </row>
    <row r="12" spans="2:37">
      <c r="E12" s="42" t="s">
        <v>9</v>
      </c>
      <c r="F12">
        <v>1</v>
      </c>
      <c r="G12" s="5">
        <f>SUM(P15)</f>
        <v>715</v>
      </c>
      <c r="H12" s="5">
        <f>SUM(S15)</f>
        <v>2860</v>
      </c>
      <c r="I12" s="2">
        <f>H12/$H$9</f>
        <v>1.0564225690276111E-2</v>
      </c>
      <c r="J12" s="45" t="str">
        <f>ROUND((1-I12)/I12,1)&amp;" : 1"</f>
        <v>93.7 : 1</v>
      </c>
      <c r="L12" s="7"/>
      <c r="M12" s="24" t="s">
        <v>38</v>
      </c>
      <c r="N12" s="25" t="s">
        <v>76</v>
      </c>
      <c r="O12" s="34" t="s">
        <v>48</v>
      </c>
      <c r="P12" s="33">
        <f>COMBIN(13,1)*COMBIN(12,2)*COMBIN(2,1)</f>
        <v>1716</v>
      </c>
      <c r="Q12" s="20" t="s">
        <v>54</v>
      </c>
      <c r="R12" s="33">
        <f>COMBIN(4,2)*COMBIN(2,1)^2</f>
        <v>24</v>
      </c>
      <c r="S12" s="21">
        <f t="shared" si="2"/>
        <v>41184</v>
      </c>
      <c r="T12" s="38">
        <f t="shared" si="8"/>
        <v>8.8650844953365955E-5</v>
      </c>
      <c r="U12" s="23" t="str">
        <f t="shared" si="9"/>
        <v>11279.2 : 1</v>
      </c>
      <c r="V12" s="22">
        <f t="shared" si="3"/>
        <v>0.15212484993997599</v>
      </c>
      <c r="W12" s="23" t="str">
        <f t="shared" si="4"/>
        <v>5.6 : 1</v>
      </c>
      <c r="Y12" s="67">
        <v>8</v>
      </c>
      <c r="Z12" s="71"/>
      <c r="AA12" s="21"/>
      <c r="AB12" s="21">
        <v>72</v>
      </c>
      <c r="AC12" s="21">
        <v>885</v>
      </c>
      <c r="AD12" s="74">
        <f t="shared" si="5"/>
        <v>957</v>
      </c>
      <c r="AE12" s="71"/>
      <c r="AF12" s="21"/>
      <c r="AG12" s="21">
        <v>1152</v>
      </c>
      <c r="AH12" s="33">
        <v>15104</v>
      </c>
      <c r="AI12" s="21">
        <f t="shared" si="6"/>
        <v>16256</v>
      </c>
      <c r="AJ12" s="68">
        <f>AI12/$AI$26</f>
        <v>6.0046172315079881E-2</v>
      </c>
      <c r="AK12" s="23" t="str">
        <f t="shared" si="7"/>
        <v>15.7 : 1</v>
      </c>
    </row>
    <row r="13" spans="2:37">
      <c r="E13" s="42" t="s">
        <v>10</v>
      </c>
      <c r="F13">
        <v>2</v>
      </c>
      <c r="G13" s="5">
        <f>SUM(P10,P16)</f>
        <v>3718</v>
      </c>
      <c r="H13" s="5">
        <f>SUM(S10,S16)</f>
        <v>44616</v>
      </c>
      <c r="I13" s="2">
        <f t="shared" ref="I13:I16" si="12">H13/$H$9</f>
        <v>0.16480192076830733</v>
      </c>
      <c r="J13" s="45" t="str">
        <f t="shared" ref="J13:J16" si="13">ROUND((1-I13)/I13,1)&amp;" : 1"</f>
        <v>5.1 : 1</v>
      </c>
      <c r="L13" s="7"/>
      <c r="M13" s="60" t="s">
        <v>39</v>
      </c>
      <c r="N13" s="61" t="s">
        <v>76</v>
      </c>
      <c r="O13" s="32" t="s">
        <v>47</v>
      </c>
      <c r="P13" s="33">
        <f t="shared" si="11"/>
        <v>858</v>
      </c>
      <c r="Q13" s="20" t="s">
        <v>55</v>
      </c>
      <c r="R13" s="33">
        <f>COMBIN(4,2)*COMBIN(2,1)</f>
        <v>12</v>
      </c>
      <c r="S13" s="21">
        <f t="shared" si="2"/>
        <v>10296</v>
      </c>
      <c r="T13" s="38">
        <f t="shared" si="8"/>
        <v>4.4325422476682978E-5</v>
      </c>
      <c r="U13" s="23" t="str">
        <f t="shared" si="9"/>
        <v>22559.4 : 1</v>
      </c>
      <c r="V13" s="22">
        <f t="shared" si="3"/>
        <v>3.8031212484993998E-2</v>
      </c>
      <c r="W13" s="23" t="str">
        <f t="shared" si="4"/>
        <v>25.3 : 1</v>
      </c>
      <c r="Y13" s="67">
        <v>9</v>
      </c>
      <c r="Z13" s="71"/>
      <c r="AA13" s="21"/>
      <c r="AB13" s="21">
        <v>216</v>
      </c>
      <c r="AC13" s="21">
        <v>870</v>
      </c>
      <c r="AD13" s="74">
        <f t="shared" si="5"/>
        <v>1086</v>
      </c>
      <c r="AE13" s="71"/>
      <c r="AF13" s="21"/>
      <c r="AG13" s="21">
        <v>3456</v>
      </c>
      <c r="AH13" s="33">
        <v>14848</v>
      </c>
      <c r="AI13" s="21">
        <f t="shared" si="6"/>
        <v>18304</v>
      </c>
      <c r="AJ13" s="68">
        <f>AI13/$AI$26</f>
        <v>6.7611044417767108E-2</v>
      </c>
      <c r="AK13" s="23" t="str">
        <f t="shared" si="7"/>
        <v>13.8 : 1</v>
      </c>
    </row>
    <row r="14" spans="2:37">
      <c r="E14" s="42" t="s">
        <v>11</v>
      </c>
      <c r="F14">
        <v>3</v>
      </c>
      <c r="G14" s="5">
        <f>SUM(P7,P11,P17)</f>
        <v>3081</v>
      </c>
      <c r="H14" s="5">
        <f>SUM(S7,S11,S17)</f>
        <v>36504</v>
      </c>
      <c r="I14" s="2">
        <f t="shared" si="12"/>
        <v>0.13483793517406964</v>
      </c>
      <c r="J14" s="45" t="str">
        <f t="shared" si="13"/>
        <v>6.4 : 1</v>
      </c>
      <c r="L14" s="7"/>
      <c r="M14" s="58" t="s">
        <v>40</v>
      </c>
      <c r="N14" s="59" t="s">
        <v>77</v>
      </c>
      <c r="O14" s="30" t="s">
        <v>47</v>
      </c>
      <c r="P14" s="31">
        <f t="shared" si="11"/>
        <v>858</v>
      </c>
      <c r="Q14" s="15" t="s">
        <v>56</v>
      </c>
      <c r="R14" s="31">
        <f>COMBIN(4,2)*(2*1)</f>
        <v>12</v>
      </c>
      <c r="S14" s="17">
        <f t="shared" si="2"/>
        <v>10296</v>
      </c>
      <c r="T14" s="37">
        <f t="shared" si="8"/>
        <v>4.4325422476682978E-5</v>
      </c>
      <c r="U14" s="19" t="str">
        <f t="shared" si="9"/>
        <v>22559.4 : 1</v>
      </c>
      <c r="V14" s="18">
        <f t="shared" si="3"/>
        <v>3.8031212484993998E-2</v>
      </c>
      <c r="W14" s="19" t="str">
        <f t="shared" si="4"/>
        <v>25.3 : 1</v>
      </c>
      <c r="Y14" s="67">
        <v>10</v>
      </c>
      <c r="Z14" s="71"/>
      <c r="AA14" s="21"/>
      <c r="AB14" s="21">
        <v>36</v>
      </c>
      <c r="AC14" s="21">
        <v>660</v>
      </c>
      <c r="AD14" s="74">
        <f t="shared" si="5"/>
        <v>696</v>
      </c>
      <c r="AE14" s="71"/>
      <c r="AF14" s="21"/>
      <c r="AG14" s="21">
        <v>576</v>
      </c>
      <c r="AH14" s="33">
        <v>11264</v>
      </c>
      <c r="AI14" s="21">
        <f t="shared" si="6"/>
        <v>11840</v>
      </c>
      <c r="AJ14" s="68">
        <f>AI14/$AI$26</f>
        <v>4.3734416843660542E-2</v>
      </c>
      <c r="AK14" s="23" t="str">
        <f t="shared" si="7"/>
        <v>21.9 : 1</v>
      </c>
    </row>
    <row r="15" spans="2:37">
      <c r="E15" s="80" t="s">
        <v>12</v>
      </c>
      <c r="F15">
        <v>5</v>
      </c>
      <c r="G15" s="5">
        <f>SUM(P5,P8,P13,P18,P12)</f>
        <v>7098</v>
      </c>
      <c r="H15" s="5">
        <f>SUM(S5,S8,S13,S18,S12)</f>
        <v>158184</v>
      </c>
      <c r="I15" s="2">
        <f t="shared" si="12"/>
        <v>0.58429771908763506</v>
      </c>
      <c r="J15" s="45" t="str">
        <f t="shared" si="13"/>
        <v>0.7 : 1</v>
      </c>
      <c r="L15" s="7" t="s">
        <v>32</v>
      </c>
      <c r="M15" s="56" t="s">
        <v>41</v>
      </c>
      <c r="N15" s="57" t="s">
        <v>78</v>
      </c>
      <c r="O15" s="28" t="s">
        <v>49</v>
      </c>
      <c r="P15" s="29">
        <f>COMBIN(13,4)</f>
        <v>715</v>
      </c>
      <c r="Q15" s="11" t="s">
        <v>57</v>
      </c>
      <c r="R15" s="29">
        <f>COMBIN(4,1)</f>
        <v>4</v>
      </c>
      <c r="S15" s="12">
        <f t="shared" si="2"/>
        <v>2860</v>
      </c>
      <c r="T15" s="36">
        <f t="shared" si="8"/>
        <v>1.4775140825560994E-5</v>
      </c>
      <c r="U15" s="14" t="str">
        <f t="shared" si="9"/>
        <v>67680.3 : 1</v>
      </c>
      <c r="V15" s="13">
        <f t="shared" si="3"/>
        <v>1.0564225690276111E-2</v>
      </c>
      <c r="W15" s="14" t="str">
        <f t="shared" si="4"/>
        <v>93.7 : 1</v>
      </c>
      <c r="Y15" s="67">
        <v>11</v>
      </c>
      <c r="Z15" s="71"/>
      <c r="AA15" s="21"/>
      <c r="AB15" s="21">
        <v>108</v>
      </c>
      <c r="AC15" s="21">
        <v>720</v>
      </c>
      <c r="AD15" s="74">
        <f t="shared" si="5"/>
        <v>828</v>
      </c>
      <c r="AE15" s="71"/>
      <c r="AF15" s="21"/>
      <c r="AG15" s="21">
        <v>1728</v>
      </c>
      <c r="AH15" s="33">
        <v>12288</v>
      </c>
      <c r="AI15" s="21">
        <f t="shared" si="6"/>
        <v>14016</v>
      </c>
      <c r="AJ15" s="68">
        <f>AI15/$AI$26</f>
        <v>5.1772093452765719E-2</v>
      </c>
      <c r="AK15" s="23" t="str">
        <f t="shared" si="7"/>
        <v>18.3 : 1</v>
      </c>
    </row>
    <row r="16" spans="2:37">
      <c r="E16" s="44" t="s">
        <v>13</v>
      </c>
      <c r="F16" s="16">
        <v>5</v>
      </c>
      <c r="G16" s="47">
        <f>SUM(P4,P9,P14,P19,P6)</f>
        <v>1820</v>
      </c>
      <c r="H16" s="47">
        <f>SUM(S4,S9,S14,S19,S6)</f>
        <v>28561</v>
      </c>
      <c r="I16" s="49">
        <f t="shared" si="12"/>
        <v>0.10549819927971188</v>
      </c>
      <c r="J16" s="46" t="str">
        <f t="shared" si="13"/>
        <v>8.5 : 1</v>
      </c>
      <c r="L16" s="7"/>
      <c r="M16" s="60" t="s">
        <v>42</v>
      </c>
      <c r="N16" s="61" t="s">
        <v>79</v>
      </c>
      <c r="O16" s="32" t="s">
        <v>50</v>
      </c>
      <c r="P16" s="33">
        <f>COMBIN(13,4)*COMBIN(4,3)</f>
        <v>2860</v>
      </c>
      <c r="Q16" s="32" t="s">
        <v>58</v>
      </c>
      <c r="R16" s="33">
        <f>COMBIN(4,1)*COMBIN(3,1)</f>
        <v>12</v>
      </c>
      <c r="S16" s="21">
        <f t="shared" si="2"/>
        <v>34320</v>
      </c>
      <c r="T16" s="38">
        <f t="shared" si="8"/>
        <v>4.4325422476682978E-5</v>
      </c>
      <c r="U16" s="23" t="str">
        <f t="shared" si="9"/>
        <v>22559.4 : 1</v>
      </c>
      <c r="V16" s="22">
        <f t="shared" si="3"/>
        <v>0.12677070828331333</v>
      </c>
      <c r="W16" s="23" t="str">
        <f t="shared" si="4"/>
        <v>6.9 : 1</v>
      </c>
      <c r="Y16" s="67">
        <v>12</v>
      </c>
      <c r="Z16" s="71"/>
      <c r="AA16" s="21"/>
      <c r="AB16" s="21"/>
      <c r="AC16" s="21">
        <v>375</v>
      </c>
      <c r="AD16" s="74">
        <f t="shared" si="5"/>
        <v>375</v>
      </c>
      <c r="AE16" s="71"/>
      <c r="AF16" s="21"/>
      <c r="AG16" s="21"/>
      <c r="AH16" s="33">
        <v>6400</v>
      </c>
      <c r="AI16" s="21">
        <f t="shared" si="6"/>
        <v>6400</v>
      </c>
      <c r="AJ16" s="68">
        <f>AI16/$AI$26</f>
        <v>2.3640225320897591E-2</v>
      </c>
      <c r="AK16" s="23" t="str">
        <f t="shared" si="7"/>
        <v>41.3 : 1</v>
      </c>
    </row>
    <row r="17" spans="4:37">
      <c r="F17" s="1">
        <f>SUM(F12:F16)</f>
        <v>16</v>
      </c>
      <c r="G17" s="1">
        <f>SUM(G12:G16)</f>
        <v>16432</v>
      </c>
      <c r="H17" s="1">
        <f>SUM(H12:H16)</f>
        <v>270725</v>
      </c>
      <c r="L17" s="7"/>
      <c r="M17" s="60" t="s">
        <v>43</v>
      </c>
      <c r="N17" s="61" t="s">
        <v>80</v>
      </c>
      <c r="O17" s="32" t="s">
        <v>51</v>
      </c>
      <c r="P17" s="33">
        <f>COMBIN(13,4)*COMBIN(4,2)/(2*1)</f>
        <v>2145</v>
      </c>
      <c r="Q17" s="32" t="s">
        <v>55</v>
      </c>
      <c r="R17" s="33">
        <f>COMBIN(4,2)*COMBIN(2,1)</f>
        <v>12</v>
      </c>
      <c r="S17" s="21">
        <f t="shared" si="2"/>
        <v>25740</v>
      </c>
      <c r="T17" s="38">
        <f t="shared" si="8"/>
        <v>4.4325422476682978E-5</v>
      </c>
      <c r="U17" s="23" t="str">
        <f t="shared" si="9"/>
        <v>22559.4 : 1</v>
      </c>
      <c r="V17" s="22">
        <f t="shared" si="3"/>
        <v>9.5078031212484995E-2</v>
      </c>
      <c r="W17" s="23" t="str">
        <f t="shared" si="4"/>
        <v>9.5 : 1</v>
      </c>
      <c r="Y17" s="67">
        <v>13</v>
      </c>
      <c r="Z17" s="71"/>
      <c r="AA17" s="21"/>
      <c r="AB17" s="21"/>
      <c r="AC17" s="21">
        <v>60</v>
      </c>
      <c r="AD17" s="74">
        <f t="shared" si="5"/>
        <v>60</v>
      </c>
      <c r="AE17" s="71"/>
      <c r="AF17" s="21"/>
      <c r="AG17" s="21"/>
      <c r="AH17" s="33">
        <v>1024</v>
      </c>
      <c r="AI17" s="21">
        <f t="shared" si="6"/>
        <v>1024</v>
      </c>
      <c r="AJ17" s="68">
        <f>AI17/$AI$26</f>
        <v>3.7824360513436144E-3</v>
      </c>
      <c r="AK17" s="23" t="str">
        <f t="shared" si="7"/>
        <v>263.4 : 1</v>
      </c>
    </row>
    <row r="18" spans="4:37">
      <c r="L18" s="7"/>
      <c r="M18" s="60" t="s">
        <v>44</v>
      </c>
      <c r="N18" s="61" t="s">
        <v>81</v>
      </c>
      <c r="O18" s="32" t="s">
        <v>52</v>
      </c>
      <c r="P18" s="33">
        <f>COMBIN(13,4)*COMBIN(4,2)</f>
        <v>4290</v>
      </c>
      <c r="Q18" s="32" t="s">
        <v>59</v>
      </c>
      <c r="R18" s="33">
        <f>COMBIN(4,1)*COMBIN(3,2)*(2*1)</f>
        <v>24</v>
      </c>
      <c r="S18" s="21">
        <f t="shared" si="2"/>
        <v>102960</v>
      </c>
      <c r="T18" s="38">
        <f t="shared" si="8"/>
        <v>8.8650844953365955E-5</v>
      </c>
      <c r="U18" s="23" t="str">
        <f t="shared" si="9"/>
        <v>11279.2 : 1</v>
      </c>
      <c r="V18" s="22">
        <f t="shared" si="3"/>
        <v>0.38031212484993998</v>
      </c>
      <c r="W18" s="23" t="str">
        <f t="shared" si="4"/>
        <v>1.6 : 1</v>
      </c>
      <c r="Y18" s="67">
        <v>14</v>
      </c>
      <c r="Z18" s="71"/>
      <c r="AA18" s="21"/>
      <c r="AB18" s="21"/>
      <c r="AC18" s="21">
        <v>30</v>
      </c>
      <c r="AD18" s="74">
        <f t="shared" si="5"/>
        <v>30</v>
      </c>
      <c r="AE18" s="71"/>
      <c r="AF18" s="21"/>
      <c r="AG18" s="21"/>
      <c r="AH18" s="33">
        <v>512</v>
      </c>
      <c r="AI18" s="21">
        <f t="shared" si="6"/>
        <v>512</v>
      </c>
      <c r="AJ18" s="68">
        <f>AI18/$AI$26</f>
        <v>1.8912180256718072E-3</v>
      </c>
      <c r="AK18" s="23" t="str">
        <f t="shared" si="7"/>
        <v>527.8 : 1</v>
      </c>
    </row>
    <row r="19" spans="4:37">
      <c r="E19" t="s">
        <v>89</v>
      </c>
      <c r="L19" s="7"/>
      <c r="M19" s="58" t="s">
        <v>45</v>
      </c>
      <c r="N19" s="59" t="s">
        <v>82</v>
      </c>
      <c r="O19" s="30" t="s">
        <v>49</v>
      </c>
      <c r="P19" s="31">
        <f>COMBIN(13,4)</f>
        <v>715</v>
      </c>
      <c r="Q19" s="30" t="s">
        <v>60</v>
      </c>
      <c r="R19" s="31">
        <f>4*3*2*1</f>
        <v>24</v>
      </c>
      <c r="S19" s="17">
        <f t="shared" si="2"/>
        <v>17160</v>
      </c>
      <c r="T19" s="37">
        <f t="shared" si="8"/>
        <v>8.8650844953365955E-5</v>
      </c>
      <c r="U19" s="19" t="str">
        <f t="shared" si="9"/>
        <v>11279.2 : 1</v>
      </c>
      <c r="V19" s="18">
        <f t="shared" si="3"/>
        <v>6.3385354141656663E-2</v>
      </c>
      <c r="W19" s="19" t="str">
        <f t="shared" si="4"/>
        <v>14.8 : 1</v>
      </c>
      <c r="Y19" s="67">
        <v>15</v>
      </c>
      <c r="Z19" s="71"/>
      <c r="AA19" s="21"/>
      <c r="AB19" s="21"/>
      <c r="AC19" s="21">
        <v>30</v>
      </c>
      <c r="AD19" s="74">
        <f t="shared" si="5"/>
        <v>30</v>
      </c>
      <c r="AE19" s="71"/>
      <c r="AF19" s="21"/>
      <c r="AG19" s="21"/>
      <c r="AH19" s="33">
        <v>512</v>
      </c>
      <c r="AI19" s="21">
        <f t="shared" si="6"/>
        <v>512</v>
      </c>
      <c r="AJ19" s="68">
        <f>AI19/$AI$26</f>
        <v>1.8912180256718072E-3</v>
      </c>
      <c r="AK19" s="23" t="str">
        <f t="shared" si="7"/>
        <v>527.8 : 1</v>
      </c>
    </row>
    <row r="20" spans="4:37">
      <c r="E20" s="50" t="s">
        <v>88</v>
      </c>
      <c r="F20" s="50" t="s">
        <v>3</v>
      </c>
      <c r="G20" s="50" t="s">
        <v>4</v>
      </c>
      <c r="H20" s="50" t="s">
        <v>5</v>
      </c>
      <c r="I20" s="50" t="s">
        <v>6</v>
      </c>
      <c r="J20" s="50" t="s">
        <v>7</v>
      </c>
      <c r="P20" s="1"/>
      <c r="R20" s="1"/>
      <c r="S20" s="1"/>
      <c r="Y20" s="67">
        <v>16</v>
      </c>
      <c r="Z20" s="71"/>
      <c r="AA20" s="21"/>
      <c r="AB20" s="21"/>
      <c r="AC20" s="21">
        <v>150</v>
      </c>
      <c r="AD20" s="74">
        <f t="shared" si="5"/>
        <v>150</v>
      </c>
      <c r="AE20" s="71"/>
      <c r="AF20" s="21"/>
      <c r="AG20" s="21"/>
      <c r="AH20" s="33">
        <v>2560</v>
      </c>
      <c r="AI20" s="21">
        <f t="shared" si="6"/>
        <v>2560</v>
      </c>
      <c r="AJ20" s="68">
        <f>AI20/$AI$26</f>
        <v>9.4560901283590355E-3</v>
      </c>
      <c r="AK20" s="23" t="str">
        <f t="shared" si="7"/>
        <v>104.8 : 1</v>
      </c>
    </row>
    <row r="21" spans="4:37">
      <c r="E21" s="42">
        <v>1</v>
      </c>
      <c r="F21" s="1">
        <v>1</v>
      </c>
      <c r="G21" s="1">
        <f>Z26</f>
        <v>13</v>
      </c>
      <c r="H21" s="1">
        <f>AE26</f>
        <v>13</v>
      </c>
      <c r="I21" s="2">
        <f>H21/$H$9</f>
        <v>4.8019207683073229E-5</v>
      </c>
      <c r="J21" s="45" t="str">
        <f>ROUND((1-I21)/I21,1)&amp;" : 1"</f>
        <v>20824 : 1</v>
      </c>
      <c r="L21" s="6" t="s">
        <v>62</v>
      </c>
      <c r="O21" s="78" t="s">
        <v>66</v>
      </c>
      <c r="P21" s="27">
        <f>SUM(P4:P19)</f>
        <v>16432</v>
      </c>
      <c r="Q21" s="78" t="s">
        <v>67</v>
      </c>
      <c r="R21" s="27">
        <f>SUM(R4:R19)</f>
        <v>201</v>
      </c>
      <c r="S21" s="40">
        <f>SUM(S4:S19)</f>
        <v>270725</v>
      </c>
      <c r="V21" s="41">
        <f>SUM(V4:V19)</f>
        <v>1</v>
      </c>
      <c r="Y21" s="67">
        <v>17</v>
      </c>
      <c r="Z21" s="71"/>
      <c r="AA21" s="21"/>
      <c r="AB21" s="21"/>
      <c r="AC21" s="21">
        <v>150</v>
      </c>
      <c r="AD21" s="74">
        <f t="shared" si="5"/>
        <v>150</v>
      </c>
      <c r="AE21" s="71"/>
      <c r="AF21" s="21"/>
      <c r="AG21" s="21"/>
      <c r="AH21" s="33">
        <v>2560</v>
      </c>
      <c r="AI21" s="21">
        <f t="shared" si="6"/>
        <v>2560</v>
      </c>
      <c r="AJ21" s="68">
        <f>AI21/$AI$26</f>
        <v>9.4560901283590355E-3</v>
      </c>
      <c r="AK21" s="23" t="str">
        <f t="shared" si="7"/>
        <v>104.8 : 1</v>
      </c>
    </row>
    <row r="22" spans="4:37">
      <c r="E22">
        <v>2</v>
      </c>
      <c r="F22" s="1">
        <v>5</v>
      </c>
      <c r="G22" s="1">
        <f>AA26</f>
        <v>546</v>
      </c>
      <c r="H22" s="1">
        <f>AF26</f>
        <v>5304</v>
      </c>
      <c r="I22" s="2">
        <f t="shared" ref="I22:I24" si="14">H22/$H$9</f>
        <v>1.9591836734693877E-2</v>
      </c>
      <c r="J22" s="45" t="str">
        <f t="shared" ref="J22:J24" si="15">ROUND((1-I22)/I22,1)&amp;" : 1"</f>
        <v>50 : 1</v>
      </c>
      <c r="Y22" s="67">
        <v>18</v>
      </c>
      <c r="Z22" s="71"/>
      <c r="AA22" s="21"/>
      <c r="AB22" s="21"/>
      <c r="AC22" s="21"/>
      <c r="AD22" s="74"/>
      <c r="AE22" s="71"/>
      <c r="AF22" s="21"/>
      <c r="AG22" s="21"/>
      <c r="AH22" s="33"/>
      <c r="AI22" s="21"/>
      <c r="AJ22" s="68"/>
      <c r="AK22" s="23"/>
    </row>
    <row r="23" spans="4:37">
      <c r="E23">
        <v>3</v>
      </c>
      <c r="F23" s="1">
        <v>12</v>
      </c>
      <c r="G23" s="1">
        <f>AB26</f>
        <v>5148</v>
      </c>
      <c r="H23" s="1">
        <f>AG26</f>
        <v>82368</v>
      </c>
      <c r="I23" s="2">
        <f t="shared" si="14"/>
        <v>0.30424969987995198</v>
      </c>
      <c r="J23" s="45" t="str">
        <f t="shared" si="15"/>
        <v>2.3 : 1</v>
      </c>
      <c r="Y23" s="67">
        <v>19</v>
      </c>
      <c r="Z23" s="71"/>
      <c r="AA23" s="21"/>
      <c r="AB23" s="21"/>
      <c r="AC23" s="21">
        <v>30</v>
      </c>
      <c r="AD23" s="74">
        <f t="shared" si="5"/>
        <v>30</v>
      </c>
      <c r="AE23" s="71"/>
      <c r="AF23" s="21"/>
      <c r="AG23" s="21"/>
      <c r="AH23" s="33">
        <v>512</v>
      </c>
      <c r="AI23" s="21">
        <f t="shared" si="6"/>
        <v>512</v>
      </c>
      <c r="AJ23" s="68">
        <f>AI23/$AI$26</f>
        <v>1.8912180256718072E-3</v>
      </c>
      <c r="AK23" s="23" t="str">
        <f t="shared" si="7"/>
        <v>527.8 : 1</v>
      </c>
    </row>
    <row r="24" spans="4:37">
      <c r="E24" s="16">
        <v>4</v>
      </c>
      <c r="F24" s="17">
        <v>18</v>
      </c>
      <c r="G24" s="17">
        <f>AC26</f>
        <v>10725</v>
      </c>
      <c r="H24" s="17">
        <f>AH26</f>
        <v>183040</v>
      </c>
      <c r="I24" s="49">
        <f t="shared" si="14"/>
        <v>0.67611044417767108</v>
      </c>
      <c r="J24" s="46" t="str">
        <f t="shared" si="15"/>
        <v>0.5 : 1</v>
      </c>
      <c r="Y24" s="69">
        <v>20</v>
      </c>
      <c r="Z24" s="72"/>
      <c r="AA24" s="17"/>
      <c r="AB24" s="17"/>
      <c r="AC24" s="17">
        <v>75</v>
      </c>
      <c r="AD24" s="75">
        <f t="shared" si="5"/>
        <v>75</v>
      </c>
      <c r="AE24" s="72"/>
      <c r="AF24" s="17"/>
      <c r="AG24" s="17"/>
      <c r="AH24" s="31">
        <v>1280</v>
      </c>
      <c r="AI24" s="17">
        <f t="shared" si="6"/>
        <v>1280</v>
      </c>
      <c r="AJ24" s="48">
        <f>AI24/$AI$26</f>
        <v>4.7280450641795178E-3</v>
      </c>
      <c r="AK24" s="19" t="str">
        <f t="shared" si="7"/>
        <v>210.5 : 1</v>
      </c>
    </row>
    <row r="25" spans="4:37">
      <c r="F25" s="5">
        <f>SUM(F21:F24)</f>
        <v>36</v>
      </c>
      <c r="G25" s="5">
        <f t="shared" ref="G25:I25" si="16">SUM(G21:G24)</f>
        <v>16432</v>
      </c>
      <c r="H25" s="5">
        <f t="shared" si="16"/>
        <v>270725</v>
      </c>
      <c r="I25" s="5">
        <f t="shared" si="16"/>
        <v>1</v>
      </c>
    </row>
    <row r="26" spans="4:37">
      <c r="F26" t="s">
        <v>97</v>
      </c>
      <c r="Y26" s="43" t="s">
        <v>62</v>
      </c>
      <c r="Z26" s="79">
        <f>SUM(Z4:Z24)</f>
        <v>13</v>
      </c>
      <c r="AA26" s="8">
        <f>SUM(AA4:AA24)</f>
        <v>546</v>
      </c>
      <c r="AB26" s="8">
        <f>SUM(AB4:AB24)</f>
        <v>5148</v>
      </c>
      <c r="AC26" s="27">
        <f>SUM(AC4:AC24)</f>
        <v>10725</v>
      </c>
      <c r="AD26" s="40">
        <f>SUM(AD4:AD24)</f>
        <v>16432</v>
      </c>
      <c r="AE26" s="79">
        <f>SUM(AE4:AE24)</f>
        <v>13</v>
      </c>
      <c r="AF26" s="8">
        <f>SUM(AF4:AF24)</f>
        <v>5304</v>
      </c>
      <c r="AG26" s="8">
        <f>SUM(AG4:AG24)</f>
        <v>82368</v>
      </c>
      <c r="AH26" s="27">
        <f>SUM(AH4:AH24)</f>
        <v>183040</v>
      </c>
      <c r="AI26" s="1">
        <f>SUM(AI4:AI24)</f>
        <v>270725</v>
      </c>
      <c r="AJ26" s="3">
        <f>SUM(AJ4:AJ24)</f>
        <v>1</v>
      </c>
    </row>
    <row r="28" spans="4:37">
      <c r="D28" s="39"/>
      <c r="E28" s="39"/>
      <c r="F28" s="39"/>
      <c r="G28" s="39"/>
      <c r="H28" s="39"/>
      <c r="I28" s="39"/>
      <c r="J28" s="39"/>
    </row>
    <row r="29" spans="4:37">
      <c r="D29" s="39"/>
      <c r="E29" s="76"/>
      <c r="F29" s="76"/>
      <c r="G29" s="76"/>
      <c r="H29" s="39"/>
      <c r="I29" s="39"/>
      <c r="J29" s="39"/>
    </row>
    <row r="30" spans="4:37">
      <c r="D30" s="39"/>
      <c r="E30" s="39"/>
      <c r="F30" s="39"/>
      <c r="G30" s="39"/>
      <c r="H30" s="77"/>
      <c r="I30" s="39"/>
      <c r="J30" s="39"/>
    </row>
    <row r="31" spans="4:37">
      <c r="D31" s="39"/>
      <c r="E31" s="39"/>
      <c r="F31" s="39"/>
      <c r="G31" s="39"/>
      <c r="H31" s="39"/>
      <c r="I31" s="39"/>
      <c r="J31" s="39"/>
    </row>
    <row r="32" spans="4:37">
      <c r="D32" s="39"/>
      <c r="E32" s="39"/>
      <c r="F32" s="39"/>
      <c r="G32" s="39"/>
      <c r="H32" s="39"/>
      <c r="I32" s="39"/>
      <c r="J32" s="39"/>
    </row>
  </sheetData>
  <mergeCells count="10">
    <mergeCell ref="V2:W2"/>
    <mergeCell ref="T2:U2"/>
    <mergeCell ref="Z2:AC2"/>
    <mergeCell ref="AE2:AH2"/>
    <mergeCell ref="L5:L6"/>
    <mergeCell ref="L7:L9"/>
    <mergeCell ref="L15:L19"/>
    <mergeCell ref="L10:L14"/>
    <mergeCell ref="O2:P2"/>
    <mergeCell ref="Q2:R2"/>
  </mergeCells>
  <conditionalFormatting sqref="V4:V19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{D7C7EFED-F12D-4742-A32E-6A685A7D237D}</x14:id>
        </ext>
      </extLst>
    </cfRule>
  </conditionalFormatting>
  <conditionalFormatting sqref="I4:I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{8EFE1A67-6A6C-F545-B4BE-B4C218342616}</x14:id>
        </ext>
      </extLst>
    </cfRule>
  </conditionalFormatting>
  <conditionalFormatting sqref="I12:I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{AD0F9EE2-2C48-1448-B9AB-8BD392A397ED}</x14:id>
        </ext>
      </extLst>
    </cfRule>
  </conditionalFormatting>
  <conditionalFormatting sqref="I21:I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{3738233A-D1B2-D04D-B69A-62A9A705BC94}</x14:id>
        </ext>
      </extLst>
    </cfRule>
  </conditionalFormatting>
  <conditionalFormatting sqref="AJ4:AJ24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{3A0A7CD9-602A-414D-9501-8B3C0BC0146D}</x14:id>
        </ext>
      </extLst>
    </cfRule>
  </conditionalFormatting>
  <pageMargins left="0.75" right="0.75" top="1" bottom="1" header="0.5" footer="0.5"/>
  <pageSetup orientation="portrait" horizontalDpi="4294967292" verticalDpi="4294967292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C7EFED-F12D-4742-A32E-6A685A7D2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V4:V19</xm:sqref>
        </x14:conditionalFormatting>
        <x14:conditionalFormatting xmlns:xm="http://schemas.microsoft.com/office/excel/2006/main">
          <x14:cfRule type="dataBar" id="{8EFE1A67-6A6C-F545-B4BE-B4C2183426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I4:I8</xm:sqref>
        </x14:conditionalFormatting>
        <x14:conditionalFormatting xmlns:xm="http://schemas.microsoft.com/office/excel/2006/main">
          <x14:cfRule type="dataBar" id="{AD0F9EE2-2C48-1448-B9AB-8BD392A397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I12:I16</xm:sqref>
        </x14:conditionalFormatting>
        <x14:conditionalFormatting xmlns:xm="http://schemas.microsoft.com/office/excel/2006/main">
          <x14:cfRule type="dataBar" id="{3738233A-D1B2-D04D-B69A-62A9A705BC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I21:I24</xm:sqref>
        </x14:conditionalFormatting>
        <x14:conditionalFormatting xmlns:xm="http://schemas.microsoft.com/office/excel/2006/main">
          <x14:cfRule type="dataBar" id="{3A0A7CD9-602A-414D-9501-8B3C0BC014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AJ4:AJ24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Stephens</dc:creator>
  <cp:lastModifiedBy>Alex Stephens</cp:lastModifiedBy>
  <dcterms:created xsi:type="dcterms:W3CDTF">2014-07-21T22:31:44Z</dcterms:created>
  <dcterms:modified xsi:type="dcterms:W3CDTF">2014-07-22T02:44:27Z</dcterms:modified>
</cp:coreProperties>
</file>