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0" yWindow="200" windowWidth="18960" windowHeight="25660" tabRatio="500" activeTab="4"/>
  </bookViews>
  <sheets>
    <sheet name="SPR Scenarios" sheetId="3" r:id="rId1"/>
    <sheet name="Players to Flop" sheetId="4" r:id="rId2"/>
    <sheet name="Equity Deltas" sheetId="2" r:id="rId3"/>
    <sheet name="Combinatorics" sheetId="1" r:id="rId4"/>
    <sheet name="Starting Hand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5" l="1"/>
  <c r="E58" i="5"/>
  <c r="E47" i="5"/>
  <c r="E36" i="5"/>
  <c r="E24" i="5"/>
  <c r="E12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5" i="5"/>
  <c r="E6" i="5"/>
  <c r="E7" i="5"/>
  <c r="E8" i="5"/>
  <c r="E9" i="5"/>
  <c r="E10" i="5"/>
  <c r="E11" i="5"/>
  <c r="E4" i="5"/>
  <c r="E3" i="5"/>
  <c r="D4" i="5"/>
  <c r="D5" i="5"/>
  <c r="D6" i="5"/>
  <c r="D7" i="5"/>
  <c r="D8" i="5"/>
  <c r="D9" i="5"/>
  <c r="D10" i="5"/>
  <c r="D11" i="5"/>
  <c r="D3" i="5"/>
  <c r="P6" i="2"/>
  <c r="P7" i="2"/>
  <c r="P8" i="2"/>
  <c r="P9" i="2"/>
  <c r="P13" i="2"/>
  <c r="P14" i="2"/>
  <c r="P15" i="2"/>
  <c r="P16" i="2"/>
  <c r="Q14" i="2"/>
  <c r="R14" i="2"/>
  <c r="Q15" i="2"/>
  <c r="R15" i="2"/>
  <c r="Q16" i="2"/>
  <c r="R16" i="2"/>
  <c r="R13" i="2"/>
  <c r="Q13" i="2"/>
  <c r="L14" i="2"/>
  <c r="M14" i="2"/>
  <c r="L15" i="2"/>
  <c r="M15" i="2"/>
  <c r="L16" i="2"/>
  <c r="M16" i="2"/>
  <c r="M13" i="2"/>
  <c r="L13" i="2"/>
  <c r="K14" i="2"/>
  <c r="K15" i="2"/>
  <c r="K16" i="2"/>
  <c r="K13" i="2"/>
  <c r="Q7" i="2"/>
  <c r="R7" i="2"/>
  <c r="Q8" i="2"/>
  <c r="R8" i="2"/>
  <c r="Q9" i="2"/>
  <c r="R9" i="2"/>
  <c r="Q6" i="2"/>
  <c r="R6" i="2"/>
  <c r="L6" i="2"/>
  <c r="M6" i="2"/>
  <c r="L7" i="2"/>
  <c r="M7" i="2"/>
  <c r="L8" i="2"/>
  <c r="M8" i="2"/>
  <c r="L9" i="2"/>
  <c r="M9" i="2"/>
  <c r="K7" i="2"/>
  <c r="K8" i="2"/>
  <c r="K9" i="2"/>
  <c r="K6" i="2"/>
  <c r="D2" i="4"/>
  <c r="AI4" i="3"/>
  <c r="AI5" i="3"/>
  <c r="AI6" i="3"/>
  <c r="AI7" i="3"/>
  <c r="AI8" i="3"/>
  <c r="AI9" i="3"/>
  <c r="AI3" i="3"/>
  <c r="AF7" i="3"/>
  <c r="AG7" i="3"/>
  <c r="AH7" i="3"/>
  <c r="AF8" i="3"/>
  <c r="AG8" i="3"/>
  <c r="AH8" i="3"/>
  <c r="AF9" i="3"/>
  <c r="AG9" i="3"/>
  <c r="AH9" i="3"/>
  <c r="AF6" i="3"/>
  <c r="AG6" i="3"/>
  <c r="AH6" i="3"/>
  <c r="AH5" i="3"/>
  <c r="AH4" i="3"/>
  <c r="AG4" i="3"/>
  <c r="AF5" i="3"/>
  <c r="AG5" i="3"/>
  <c r="AF4" i="3"/>
  <c r="AH3" i="3"/>
  <c r="AG3" i="3"/>
  <c r="AF3" i="3"/>
  <c r="L39" i="3"/>
  <c r="L38" i="3"/>
  <c r="L35" i="3"/>
  <c r="M38" i="3"/>
  <c r="N38" i="3"/>
  <c r="M39" i="3"/>
  <c r="N39" i="3"/>
  <c r="N41" i="3"/>
  <c r="L41" i="3"/>
  <c r="K38" i="3"/>
  <c r="K39" i="3"/>
  <c r="N13" i="3"/>
  <c r="F38" i="3"/>
  <c r="G38" i="3"/>
  <c r="G39" i="3"/>
  <c r="E38" i="3"/>
  <c r="E39" i="3"/>
  <c r="D39" i="3"/>
  <c r="F39" i="3"/>
  <c r="G41" i="3"/>
  <c r="E41" i="3"/>
  <c r="D38" i="3"/>
  <c r="Z21" i="3"/>
  <c r="AA21" i="3"/>
  <c r="Z25" i="3"/>
  <c r="AB21" i="3"/>
  <c r="AA25" i="3"/>
  <c r="AB25" i="3"/>
  <c r="AB27" i="3"/>
  <c r="Z27" i="3"/>
  <c r="Y25" i="3"/>
  <c r="S21" i="3"/>
  <c r="T21" i="3"/>
  <c r="S25" i="3"/>
  <c r="U21" i="3"/>
  <c r="T25" i="3"/>
  <c r="U25" i="3"/>
  <c r="U27" i="3"/>
  <c r="S27" i="3"/>
  <c r="R25" i="3"/>
  <c r="L21" i="3"/>
  <c r="M21" i="3"/>
  <c r="L25" i="3"/>
  <c r="N21" i="3"/>
  <c r="M25" i="3"/>
  <c r="N25" i="3"/>
  <c r="N27" i="3"/>
  <c r="L27" i="3"/>
  <c r="K25" i="3"/>
  <c r="F21" i="3"/>
  <c r="G21" i="3"/>
  <c r="E21" i="3"/>
  <c r="E25" i="3"/>
  <c r="F25" i="3"/>
  <c r="G25" i="3"/>
  <c r="G27" i="3"/>
  <c r="E27" i="3"/>
  <c r="D25" i="3"/>
  <c r="AB8" i="3"/>
  <c r="AA8" i="3"/>
  <c r="Z8" i="3"/>
  <c r="Y9" i="3"/>
  <c r="Y8" i="3"/>
  <c r="Z6" i="3"/>
  <c r="AA6" i="3"/>
  <c r="Z7" i="3"/>
  <c r="Z9" i="3"/>
  <c r="Z10" i="3"/>
  <c r="Z11" i="3"/>
  <c r="AB6" i="3"/>
  <c r="AA7" i="3"/>
  <c r="AB7" i="3"/>
  <c r="AA9" i="3"/>
  <c r="AB9" i="3"/>
  <c r="AA10" i="3"/>
  <c r="AB10" i="3"/>
  <c r="AA11" i="3"/>
  <c r="AB11" i="3"/>
  <c r="AB13" i="3"/>
  <c r="Z13" i="3"/>
  <c r="Y11" i="3"/>
  <c r="Y10" i="3"/>
  <c r="U9" i="3"/>
  <c r="T9" i="3"/>
  <c r="S9" i="3"/>
  <c r="R11" i="3"/>
  <c r="R10" i="3"/>
  <c r="R9" i="3"/>
  <c r="S6" i="3"/>
  <c r="T6" i="3"/>
  <c r="S7" i="3"/>
  <c r="S10" i="3"/>
  <c r="S11" i="3"/>
  <c r="U6" i="3"/>
  <c r="T7" i="3"/>
  <c r="U7" i="3"/>
  <c r="T10" i="3"/>
  <c r="U10" i="3"/>
  <c r="T11" i="3"/>
  <c r="U11" i="3"/>
  <c r="U13" i="3"/>
  <c r="S13" i="3"/>
  <c r="N7" i="3"/>
  <c r="N10" i="3"/>
  <c r="N11" i="3"/>
  <c r="N6" i="3"/>
  <c r="M7" i="3"/>
  <c r="M10" i="3"/>
  <c r="M11" i="3"/>
  <c r="L13" i="3"/>
  <c r="G13" i="3"/>
  <c r="E13" i="3"/>
  <c r="G7" i="3"/>
  <c r="G11" i="3"/>
  <c r="G6" i="3"/>
  <c r="L11" i="3"/>
  <c r="K11" i="3"/>
  <c r="L10" i="3"/>
  <c r="K10" i="3"/>
  <c r="L7" i="3"/>
  <c r="L6" i="3"/>
  <c r="M6" i="3"/>
  <c r="F7" i="3"/>
  <c r="F11" i="3"/>
  <c r="F6" i="3"/>
  <c r="E7" i="3"/>
  <c r="E11" i="3"/>
  <c r="E6" i="3"/>
  <c r="D11" i="3"/>
  <c r="AF26" i="1"/>
  <c r="H22" i="1"/>
  <c r="P4" i="1"/>
  <c r="R4" i="1"/>
  <c r="S4" i="1"/>
  <c r="H4" i="1"/>
  <c r="P5" i="1"/>
  <c r="R5" i="1"/>
  <c r="S5" i="1"/>
  <c r="P6" i="1"/>
  <c r="R6" i="1"/>
  <c r="S6" i="1"/>
  <c r="H5" i="1"/>
  <c r="P7" i="1"/>
  <c r="R7" i="1"/>
  <c r="S7" i="1"/>
  <c r="P8" i="1"/>
  <c r="R8" i="1"/>
  <c r="S8" i="1"/>
  <c r="P9" i="1"/>
  <c r="R9" i="1"/>
  <c r="S9" i="1"/>
  <c r="H6" i="1"/>
  <c r="P10" i="1"/>
  <c r="R10" i="1"/>
  <c r="S10" i="1"/>
  <c r="P11" i="1"/>
  <c r="R11" i="1"/>
  <c r="S11" i="1"/>
  <c r="P12" i="1"/>
  <c r="R12" i="1"/>
  <c r="S12" i="1"/>
  <c r="P13" i="1"/>
  <c r="R13" i="1"/>
  <c r="S13" i="1"/>
  <c r="P14" i="1"/>
  <c r="R14" i="1"/>
  <c r="S14" i="1"/>
  <c r="H7" i="1"/>
  <c r="P15" i="1"/>
  <c r="R15" i="1"/>
  <c r="S15" i="1"/>
  <c r="P16" i="1"/>
  <c r="R16" i="1"/>
  <c r="S16" i="1"/>
  <c r="P17" i="1"/>
  <c r="R17" i="1"/>
  <c r="S17" i="1"/>
  <c r="P18" i="1"/>
  <c r="R18" i="1"/>
  <c r="S18" i="1"/>
  <c r="P19" i="1"/>
  <c r="R19" i="1"/>
  <c r="S19" i="1"/>
  <c r="H8" i="1"/>
  <c r="H9" i="1"/>
  <c r="I22" i="1"/>
  <c r="J22" i="1"/>
  <c r="AG26" i="1"/>
  <c r="H23" i="1"/>
  <c r="I23" i="1"/>
  <c r="J23" i="1"/>
  <c r="AH26" i="1"/>
  <c r="H24" i="1"/>
  <c r="I24" i="1"/>
  <c r="J24" i="1"/>
  <c r="Z26" i="1"/>
  <c r="G21" i="1"/>
  <c r="AA26" i="1"/>
  <c r="G22" i="1"/>
  <c r="AB26" i="1"/>
  <c r="G23" i="1"/>
  <c r="AC26" i="1"/>
  <c r="G24" i="1"/>
  <c r="G25" i="1"/>
  <c r="AE26" i="1"/>
  <c r="H21" i="1"/>
  <c r="H25" i="1"/>
  <c r="I21" i="1"/>
  <c r="I25" i="1"/>
  <c r="F25" i="1"/>
  <c r="AI5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6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3" i="1"/>
  <c r="AK23" i="1"/>
  <c r="AJ24" i="1"/>
  <c r="AK24" i="1"/>
  <c r="AJ4" i="1"/>
  <c r="AK4" i="1"/>
  <c r="S21" i="1"/>
  <c r="V4" i="1"/>
  <c r="W4" i="1"/>
  <c r="AJ2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3" i="1"/>
  <c r="AD24" i="1"/>
  <c r="AD26" i="1"/>
  <c r="J21" i="1"/>
  <c r="H16" i="1"/>
  <c r="I16" i="1"/>
  <c r="J16" i="1"/>
  <c r="H15" i="1"/>
  <c r="I15" i="1"/>
  <c r="J15" i="1"/>
  <c r="H14" i="1"/>
  <c r="I14" i="1"/>
  <c r="J14" i="1"/>
  <c r="H13" i="1"/>
  <c r="I13" i="1"/>
  <c r="J13" i="1"/>
  <c r="H12" i="1"/>
  <c r="I12" i="1"/>
  <c r="J12" i="1"/>
  <c r="H17" i="1"/>
  <c r="G12" i="1"/>
  <c r="G13" i="1"/>
  <c r="G14" i="1"/>
  <c r="G15" i="1"/>
  <c r="G16" i="1"/>
  <c r="G17" i="1"/>
  <c r="F17" i="1"/>
  <c r="I5" i="1"/>
  <c r="J5" i="1"/>
  <c r="I6" i="1"/>
  <c r="J6" i="1"/>
  <c r="I7" i="1"/>
  <c r="J7" i="1"/>
  <c r="I8" i="1"/>
  <c r="J8" i="1"/>
  <c r="I4" i="1"/>
  <c r="J4" i="1"/>
  <c r="T5" i="1"/>
  <c r="U5" i="1"/>
  <c r="G4" i="1"/>
  <c r="G5" i="1"/>
  <c r="G6" i="1"/>
  <c r="G7" i="1"/>
  <c r="G8" i="1"/>
  <c r="G9" i="1"/>
  <c r="F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4" i="1"/>
  <c r="U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P21" i="1"/>
  <c r="C5" i="1"/>
  <c r="R21" i="1"/>
  <c r="C3" i="1"/>
</calcChain>
</file>

<file path=xl/comments1.xml><?xml version="1.0" encoding="utf-8"?>
<comments xmlns="http://schemas.openxmlformats.org/spreadsheetml/2006/main">
  <authors>
    <author>Alex Stephens</author>
  </authors>
  <commentList>
    <comment ref="T2" authorId="0">
      <text>
        <r>
          <rPr>
            <b/>
            <sz val="9"/>
            <color indexed="81"/>
            <rFont val="Calibri"/>
            <family val="2"/>
          </rPr>
          <t>Alex Stephens:</t>
        </r>
        <r>
          <rPr>
            <sz val="9"/>
            <color indexed="81"/>
            <rFont val="Calibri"/>
            <family val="2"/>
          </rPr>
          <t xml:space="preserve">
= (# combos per shape / # hands per shape) / (all combos)</t>
        </r>
      </text>
    </comment>
  </commentList>
</comments>
</file>

<file path=xl/sharedStrings.xml><?xml version="1.0" encoding="utf-8"?>
<sst xmlns="http://schemas.openxmlformats.org/spreadsheetml/2006/main" count="438" uniqueCount="206">
  <si>
    <t># Starting Hands</t>
  </si>
  <si>
    <t># Hand Shapes</t>
  </si>
  <si>
    <t>Rank Type</t>
  </si>
  <si>
    <t>Shapes</t>
  </si>
  <si>
    <t>Distinct Hands</t>
  </si>
  <si>
    <t>Combos</t>
  </si>
  <si>
    <t>Prob</t>
  </si>
  <si>
    <t>Odds</t>
  </si>
  <si>
    <t>Suit Type</t>
  </si>
  <si>
    <t>aaaa</t>
  </si>
  <si>
    <t>aaab</t>
  </si>
  <si>
    <t>aabb</t>
  </si>
  <si>
    <t>aabc</t>
  </si>
  <si>
    <t>abcd</t>
  </si>
  <si>
    <t>Hand Shape</t>
  </si>
  <si>
    <t>Distnct Hands</t>
  </si>
  <si>
    <t>Suits per Hand</t>
  </si>
  <si>
    <t>Four of  Kind</t>
  </si>
  <si>
    <t>XaXbXcXd</t>
  </si>
  <si>
    <t>Deriv</t>
  </si>
  <si>
    <t>Number</t>
  </si>
  <si>
    <t>C(4,4)</t>
  </si>
  <si>
    <t>Three of a Kind</t>
  </si>
  <si>
    <t>XaXbXcYa</t>
  </si>
  <si>
    <t>XaXbXcYd</t>
  </si>
  <si>
    <t>Description</t>
  </si>
  <si>
    <t>C(13,1)</t>
  </si>
  <si>
    <t>C(13,1)C(12,1)</t>
  </si>
  <si>
    <t>C(4,3)C(3,1)</t>
  </si>
  <si>
    <t>C(4,3)</t>
  </si>
  <si>
    <t>Two Pair</t>
  </si>
  <si>
    <t>One Pair</t>
  </si>
  <si>
    <t>No Pair</t>
  </si>
  <si>
    <t>XaXbYaYb</t>
  </si>
  <si>
    <t>XaXbYaYc</t>
  </si>
  <si>
    <t>XaXbYcYd</t>
  </si>
  <si>
    <t>XaXbYaZa</t>
  </si>
  <si>
    <t>XaXbYaZb</t>
  </si>
  <si>
    <t>XaXbYaZc</t>
  </si>
  <si>
    <t>XaXbYcZc</t>
  </si>
  <si>
    <t>XaXbYcZd</t>
  </si>
  <si>
    <t>XaYaZaRa</t>
  </si>
  <si>
    <t>XaYaZaRb</t>
  </si>
  <si>
    <t>XaYaZbRb</t>
  </si>
  <si>
    <t>XaYaZbRc</t>
  </si>
  <si>
    <t>XaYbZcRd</t>
  </si>
  <si>
    <t>C(13,2)</t>
  </si>
  <si>
    <t>C(13,1)C(12,2)</t>
  </si>
  <si>
    <t>C(13,1)C(12,2)C(2,1)</t>
  </si>
  <si>
    <t>C(13,4)</t>
  </si>
  <si>
    <t>C(13,4)*C(4,3)</t>
  </si>
  <si>
    <t>C(13,4)*C(4,2)/2!</t>
  </si>
  <si>
    <t>C(13,4)*C(4,2)</t>
  </si>
  <si>
    <t>C(4,2)</t>
  </si>
  <si>
    <t>C(4,2)C(2,1)^2</t>
  </si>
  <si>
    <t>C(4,2)C(2,1)</t>
  </si>
  <si>
    <t>C(4,2)*2!</t>
  </si>
  <si>
    <t>C(4,1)</t>
  </si>
  <si>
    <t>C(4,1)C(3,1)</t>
  </si>
  <si>
    <t>C(4,1)C(3,2)*2!</t>
  </si>
  <si>
    <t>4!</t>
  </si>
  <si>
    <t># Distinct Hands</t>
  </si>
  <si>
    <t>Totals</t>
  </si>
  <si>
    <t>Dealt Any Hand</t>
  </si>
  <si>
    <t>Odds (Against)</t>
  </si>
  <si>
    <t>Dealt Specific Hand</t>
  </si>
  <si>
    <t>Total Hands</t>
  </si>
  <si>
    <t>Total Suits</t>
  </si>
  <si>
    <t>4K::abcd</t>
  </si>
  <si>
    <t>3K::aabc</t>
  </si>
  <si>
    <t>3K::abcd</t>
  </si>
  <si>
    <t>2P::aabb</t>
  </si>
  <si>
    <t>2P::aabc</t>
  </si>
  <si>
    <t>2P::abcd</t>
  </si>
  <si>
    <t>1P::aaab</t>
  </si>
  <si>
    <t>1P::aabb</t>
  </si>
  <si>
    <t>1P::aabc</t>
  </si>
  <si>
    <t>1P::abcd</t>
  </si>
  <si>
    <t>NP::aaaa</t>
  </si>
  <si>
    <t>NP::aaab</t>
  </si>
  <si>
    <t>NP::aabb</t>
  </si>
  <si>
    <t>NP::aabc</t>
  </si>
  <si>
    <t>NP::abcd</t>
  </si>
  <si>
    <t>XXXY::3K</t>
  </si>
  <si>
    <t>XXYY::2P</t>
  </si>
  <si>
    <t>XXYZ::1P</t>
  </si>
  <si>
    <t>XYZR::NP</t>
  </si>
  <si>
    <t>XXXX::4K</t>
  </si>
  <si>
    <t># Ranks In Starting Hand</t>
  </si>
  <si>
    <t>Sequence shape == # of straights that can be made with a hand</t>
  </si>
  <si>
    <t>Seq. Shape</t>
  </si>
  <si>
    <t>1 rank</t>
  </si>
  <si>
    <t>2 ranks</t>
  </si>
  <si>
    <t>3 ranks</t>
  </si>
  <si>
    <t>4 ranks</t>
  </si>
  <si>
    <t>Distinct Hands By Rank In Hand</t>
  </si>
  <si>
    <t>Combos By Rank In Hand</t>
  </si>
  <si>
    <t>Total != 20 b/c different ranks can yield the same shape</t>
  </si>
  <si>
    <t>Player</t>
  </si>
  <si>
    <t>SB</t>
  </si>
  <si>
    <t>BB</t>
  </si>
  <si>
    <t>UTG</t>
  </si>
  <si>
    <t>HJ</t>
  </si>
  <si>
    <t>CO</t>
  </si>
  <si>
    <t>BTN</t>
  </si>
  <si>
    <t>Bets (BB)</t>
  </si>
  <si>
    <t>SPR</t>
  </si>
  <si>
    <t>Stack Size [f]</t>
  </si>
  <si>
    <t>Stack Size [i]</t>
  </si>
  <si>
    <t>Round 1</t>
  </si>
  <si>
    <t>Round 2</t>
  </si>
  <si>
    <t>Eff SPR</t>
  </si>
  <si>
    <t>Pot</t>
  </si>
  <si>
    <t>Scenario 5:  BTN Pots &amp; 50 BB Short Stack Calls</t>
  </si>
  <si>
    <t>Scenario 6:  BTN Pots &amp; 40 BB Short Stack Calls</t>
  </si>
  <si>
    <t>Scenario 7:  BTN Pots &amp; 30 BB Short Stack Calls</t>
  </si>
  <si>
    <t>Scenario 9:  CO Pots &amp; BTN Re-Pots &amp; CO Calls</t>
  </si>
  <si>
    <t>Scenario 1: 100BB Stacks / BTN Pots &amp; Blinds Call</t>
  </si>
  <si>
    <t>Scenario 2:  100BB Stacks / CO Pots &amp; 3 Callers</t>
  </si>
  <si>
    <t>Scenario 3: 100BB Stacks / HJ Pots &amp; 4 Callers</t>
  </si>
  <si>
    <t>Scenario 4:  100BB Stacks / UTG Pots &amp; 5 Callers</t>
  </si>
  <si>
    <t>Scenario 8:  BTN Pots &amp; 20 BB Short Stack Calls</t>
  </si>
  <si>
    <t>Scenario 9:  CO Pots &amp; BTN Re-Pots &amp; BB RE-pots</t>
  </si>
  <si>
    <t>Blinds Only</t>
  </si>
  <si>
    <t>Blinds + 1 PSB</t>
  </si>
  <si>
    <t>Blinds + 2 PSB</t>
  </si>
  <si>
    <t>Raise</t>
  </si>
  <si>
    <t>3-Bet</t>
  </si>
  <si>
    <t>4-Bet</t>
  </si>
  <si>
    <t>Nomenclature</t>
  </si>
  <si>
    <t>Pot Prior to Action</t>
  </si>
  <si>
    <t>Pot Size [BB]</t>
  </si>
  <si>
    <t>Blinds + 3 PSB</t>
  </si>
  <si>
    <t>5-bet</t>
  </si>
  <si>
    <t>Pot After PSB [BB]</t>
  </si>
  <si>
    <t>Pot-Sized Bet (PSB) in BB</t>
  </si>
  <si>
    <t>Blinds + 4 PSB</t>
  </si>
  <si>
    <t>Blinds + 5 PSB</t>
  </si>
  <si>
    <t>Blinds + 6 PSB</t>
  </si>
  <si>
    <t>6-Bet</t>
  </si>
  <si>
    <t>7-Bet</t>
  </si>
  <si>
    <t>8-bet</t>
  </si>
  <si>
    <t>Log(Pot After PSB)</t>
  </si>
  <si>
    <t>AKQT</t>
  </si>
  <si>
    <t>AKJT</t>
  </si>
  <si>
    <t>AKQx</t>
  </si>
  <si>
    <t>Broadway Wrap</t>
  </si>
  <si>
    <t>AKJx</t>
  </si>
  <si>
    <t>AKTx</t>
  </si>
  <si>
    <t>AQJx</t>
  </si>
  <si>
    <t>AQTx</t>
  </si>
  <si>
    <t>AJTx</t>
  </si>
  <si>
    <t>vs. 10%</t>
  </si>
  <si>
    <t>vs. 25%</t>
  </si>
  <si>
    <t>vs. 50%</t>
  </si>
  <si>
    <t>vs. 2 x 25%</t>
  </si>
  <si>
    <t>vs. 2 x 50%</t>
  </si>
  <si>
    <t>AKQJ</t>
  </si>
  <si>
    <t>AKsQJ</t>
  </si>
  <si>
    <t>AKsQJs</t>
  </si>
  <si>
    <t>vs. 2 x 10%</t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</si>
  <si>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>Equity vs. (AKQX vs. 10%)</t>
    </r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</si>
  <si>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>Equity vs. (AKQX vs. 2 x 10%)</t>
    </r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</si>
  <si>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>Equity vs. (AKQX vs. 2 x X%)</t>
    </r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</si>
  <si>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>Equity vs. (AKQX vs. X%)</t>
    </r>
  </si>
  <si>
    <t>Example Equity Simulations</t>
  </si>
  <si>
    <t>Hero Hand</t>
  </si>
  <si>
    <t>KQJT</t>
  </si>
  <si>
    <t>QJT9</t>
  </si>
  <si>
    <t>JT98</t>
  </si>
  <si>
    <t>T987</t>
  </si>
  <si>
    <t>Perfect Rundowns</t>
  </si>
  <si>
    <t>vs. 100%</t>
  </si>
  <si>
    <t>KQJ9</t>
  </si>
  <si>
    <t>QJT8</t>
  </si>
  <si>
    <t>JT97</t>
  </si>
  <si>
    <t>T986</t>
  </si>
  <si>
    <t>KQT9</t>
  </si>
  <si>
    <t>QJ98</t>
  </si>
  <si>
    <t>JT87</t>
  </si>
  <si>
    <t>T976</t>
  </si>
  <si>
    <t>QJT7</t>
  </si>
  <si>
    <t>JT96</t>
  </si>
  <si>
    <t>T985</t>
  </si>
  <si>
    <t>AKQ9</t>
  </si>
  <si>
    <t>KQJ8</t>
  </si>
  <si>
    <t>Bottom 2x 1-Gap</t>
  </si>
  <si>
    <t>Bottom 1x 2-Gap</t>
  </si>
  <si>
    <t>Middle 1x 1-Gap</t>
  </si>
  <si>
    <t>Bottom 1x 1-Gap</t>
  </si>
  <si>
    <t>AKJ9</t>
  </si>
  <si>
    <t>KQT8</t>
  </si>
  <si>
    <t>QJ97</t>
  </si>
  <si>
    <t>JT86</t>
  </si>
  <si>
    <t>T975</t>
  </si>
  <si>
    <t>Middle 1x 2-Gap</t>
  </si>
  <si>
    <t>AKT9</t>
  </si>
  <si>
    <t>KQ98</t>
  </si>
  <si>
    <t>QJ87</t>
  </si>
  <si>
    <t>JT76</t>
  </si>
  <si>
    <t>T965</t>
  </si>
  <si>
    <t>Can make 13-card nut wrap &amp; pair-plus 17-card wrap</t>
  </si>
  <si>
    <t>Has 16-card nut wrap potential</t>
  </si>
  <si>
    <t>Has 20-card wrap potential</t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</si>
  <si>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 xml:space="preserve"> Equity (Prior)</t>
    </r>
  </si>
  <si>
    <r>
      <rPr>
        <b/>
        <sz val="12"/>
        <color theme="0"/>
        <rFont val="Symbol"/>
      </rPr>
      <t>D</t>
    </r>
    <r>
      <rPr>
        <b/>
        <sz val="12"/>
        <color theme="0"/>
        <rFont val="Calibri"/>
        <family val="2"/>
        <scheme val="minor"/>
      </rPr>
      <t xml:space="preserve"> Equity (AKQJ)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</si>
</sst>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0%"/>
    <numFmt numFmtId="172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mbria"/>
    </font>
    <font>
      <b/>
      <sz val="12"/>
      <color theme="0"/>
      <name val="Symbo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164" fontId="0" fillId="0" borderId="2" xfId="1" applyNumberFormat="1" applyFont="1" applyBorder="1"/>
    <xf numFmtId="166" fontId="0" fillId="0" borderId="2" xfId="2" applyNumberFormat="1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164" fontId="0" fillId="0" borderId="5" xfId="1" applyNumberFormat="1" applyFont="1" applyBorder="1"/>
    <xf numFmtId="166" fontId="0" fillId="0" borderId="5" xfId="2" applyNumberFormat="1" applyFon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166" fontId="0" fillId="0" borderId="8" xfId="2" applyNumberFormat="1" applyFont="1" applyBorder="1"/>
    <xf numFmtId="0" fontId="0" fillId="0" borderId="9" xfId="0" applyBorder="1" applyAlignment="1">
      <alignment horizontal="right"/>
    </xf>
    <xf numFmtId="0" fontId="0" fillId="0" borderId="10" xfId="0" applyBorder="1"/>
    <xf numFmtId="164" fontId="0" fillId="0" borderId="0" xfId="1" applyNumberFormat="1" applyFont="1" applyBorder="1"/>
    <xf numFmtId="166" fontId="0" fillId="0" borderId="0" xfId="2" applyNumberFormat="1" applyFont="1" applyBorder="1"/>
    <xf numFmtId="0" fontId="0" fillId="0" borderId="11" xfId="0" applyBorder="1" applyAlignment="1">
      <alignment horizontal="right"/>
    </xf>
    <xf numFmtId="0" fontId="2" fillId="0" borderId="10" xfId="0" applyFont="1" applyBorder="1"/>
    <xf numFmtId="0" fontId="2" fillId="0" borderId="14" xfId="0" applyFont="1" applyBorder="1"/>
    <xf numFmtId="0" fontId="0" fillId="0" borderId="15" xfId="0" quotePrefix="1" applyBorder="1"/>
    <xf numFmtId="164" fontId="0" fillId="0" borderId="3" xfId="1" applyNumberFormat="1" applyFont="1" applyBorder="1"/>
    <xf numFmtId="0" fontId="0" fillId="0" borderId="4" xfId="0" quotePrefix="1" applyBorder="1"/>
    <xf numFmtId="164" fontId="0" fillId="0" borderId="6" xfId="1" applyNumberFormat="1" applyFont="1" applyBorder="1"/>
    <xf numFmtId="0" fontId="0" fillId="0" borderId="7" xfId="0" quotePrefix="1" applyBorder="1"/>
    <xf numFmtId="164" fontId="0" fillId="0" borderId="9" xfId="1" applyNumberFormat="1" applyFont="1" applyBorder="1"/>
    <xf numFmtId="0" fontId="0" fillId="0" borderId="10" xfId="0" quotePrefix="1" applyBorder="1"/>
    <xf numFmtId="164" fontId="0" fillId="0" borderId="11" xfId="1" applyNumberFormat="1" applyFont="1" applyBorder="1"/>
    <xf numFmtId="0" fontId="2" fillId="0" borderId="10" xfId="0" quotePrefix="1" applyFont="1" applyBorder="1"/>
    <xf numFmtId="167" fontId="0" fillId="0" borderId="15" xfId="2" applyNumberFormat="1" applyFont="1" applyBorder="1"/>
    <xf numFmtId="167" fontId="0" fillId="0" borderId="4" xfId="2" applyNumberFormat="1" applyFont="1" applyBorder="1"/>
    <xf numFmtId="167" fontId="0" fillId="0" borderId="7" xfId="2" applyNumberFormat="1" applyFont="1" applyBorder="1"/>
    <xf numFmtId="167" fontId="0" fillId="0" borderId="10" xfId="2" applyNumberFormat="1" applyFont="1" applyBorder="1"/>
    <xf numFmtId="0" fontId="0" fillId="0" borderId="0" xfId="0" applyFill="1" applyBorder="1"/>
    <xf numFmtId="164" fontId="0" fillId="0" borderId="1" xfId="1" applyNumberFormat="1" applyFont="1" applyBorder="1"/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/>
    <xf numFmtId="164" fontId="0" fillId="0" borderId="0" xfId="1" applyNumberFormat="1" applyFont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0" fillId="0" borderId="8" xfId="0" applyNumberFormat="1" applyBorder="1"/>
    <xf numFmtId="10" fontId="0" fillId="0" borderId="8" xfId="2" applyNumberFormat="1" applyFont="1" applyBorder="1"/>
    <xf numFmtId="165" fontId="0" fillId="0" borderId="8" xfId="2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13" xfId="0" applyFont="1" applyBorder="1"/>
    <xf numFmtId="0" fontId="0" fillId="0" borderId="10" xfId="0" applyFont="1" applyBorder="1"/>
    <xf numFmtId="0" fontId="0" fillId="0" borderId="14" xfId="0" applyFont="1" applyBorder="1"/>
    <xf numFmtId="0" fontId="0" fillId="0" borderId="4" xfId="0" applyBorder="1" applyAlignment="1">
      <alignment horizontal="center"/>
    </xf>
    <xf numFmtId="10" fontId="0" fillId="0" borderId="5" xfId="2" applyNumberFormat="1" applyFont="1" applyBorder="1"/>
    <xf numFmtId="0" fontId="0" fillId="0" borderId="10" xfId="0" applyBorder="1" applyAlignment="1">
      <alignment horizontal="center"/>
    </xf>
    <xf numFmtId="10" fontId="0" fillId="0" borderId="0" xfId="2" applyNumberFormat="1" applyFont="1" applyBorder="1"/>
    <xf numFmtId="0" fontId="0" fillId="0" borderId="7" xfId="0" applyBorder="1" applyAlignment="1">
      <alignment horizontal="center"/>
    </xf>
    <xf numFmtId="164" fontId="0" fillId="0" borderId="4" xfId="1" applyNumberFormat="1" applyFont="1" applyBorder="1"/>
    <xf numFmtId="164" fontId="0" fillId="0" borderId="10" xfId="1" applyNumberFormat="1" applyFont="1" applyBorder="1"/>
    <xf numFmtId="164" fontId="0" fillId="0" borderId="7" xfId="1" applyNumberFormat="1" applyFont="1" applyBorder="1"/>
    <xf numFmtId="164" fontId="0" fillId="0" borderId="12" xfId="1" applyNumberFormat="1" applyFont="1" applyBorder="1"/>
    <xf numFmtId="164" fontId="0" fillId="0" borderId="14" xfId="1" applyNumberFormat="1" applyFont="1" applyBorder="1"/>
    <xf numFmtId="164" fontId="0" fillId="0" borderId="13" xfId="1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3" fillId="0" borderId="15" xfId="0" applyFont="1" applyFill="1" applyBorder="1" applyAlignment="1">
      <alignment horizontal="center"/>
    </xf>
    <xf numFmtId="164" fontId="0" fillId="0" borderId="15" xfId="1" applyNumberFormat="1" applyFont="1" applyBorder="1"/>
    <xf numFmtId="0" fontId="8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2" fontId="0" fillId="0" borderId="0" xfId="0" applyNumberFormat="1"/>
    <xf numFmtId="1" fontId="0" fillId="0" borderId="0" xfId="0" applyNumberFormat="1"/>
    <xf numFmtId="0" fontId="9" fillId="3" borderId="0" xfId="0" applyFont="1" applyFill="1" applyAlignment="1">
      <alignment horizontal="center"/>
    </xf>
    <xf numFmtId="0" fontId="3" fillId="4" borderId="15" xfId="0" applyFont="1" applyFill="1" applyBorder="1"/>
    <xf numFmtId="0" fontId="0" fillId="0" borderId="0" xfId="0" applyFont="1"/>
    <xf numFmtId="172" fontId="0" fillId="0" borderId="0" xfId="0" applyNumberFormat="1" applyFont="1"/>
    <xf numFmtId="0" fontId="3" fillId="2" borderId="1" xfId="0" applyFont="1" applyFill="1" applyBorder="1" applyAlignment="1">
      <alignment horizontal="center"/>
    </xf>
    <xf numFmtId="172" fontId="3" fillId="4" borderId="3" xfId="0" applyNumberFormat="1" applyFont="1" applyFill="1" applyBorder="1"/>
    <xf numFmtId="0" fontId="10" fillId="0" borderId="0" xfId="0" applyFont="1" applyAlignment="1">
      <alignment horizontal="left" vertical="center"/>
    </xf>
    <xf numFmtId="9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right"/>
    </xf>
    <xf numFmtId="0" fontId="11" fillId="0" borderId="0" xfId="0" applyFont="1" applyAlignment="1">
      <alignment horizontal="left" vertical="center"/>
    </xf>
    <xf numFmtId="10" fontId="0" fillId="0" borderId="10" xfId="0" applyNumberFormat="1" applyBorder="1"/>
    <xf numFmtId="10" fontId="0" fillId="0" borderId="0" xfId="0" applyNumberFormat="1" applyBorder="1"/>
    <xf numFmtId="10" fontId="0" fillId="0" borderId="11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9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10" fontId="0" fillId="0" borderId="8" xfId="0" applyNumberForma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13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 Scenarios'!$AH$2</c:f>
              <c:strCache>
                <c:ptCount val="1"/>
                <c:pt idx="0">
                  <c:v>Pot After PSB [BB]</c:v>
                </c:pt>
              </c:strCache>
            </c:strRef>
          </c:tx>
          <c:invertIfNegative val="0"/>
          <c:cat>
            <c:strRef>
              <c:f>'SPR Scenarios'!$AD$3:$AD$9</c:f>
              <c:strCache>
                <c:ptCount val="7"/>
                <c:pt idx="0">
                  <c:v>Blinds Only</c:v>
                </c:pt>
                <c:pt idx="1">
                  <c:v>Blinds + 1 PSB</c:v>
                </c:pt>
                <c:pt idx="2">
                  <c:v>Blinds + 2 PSB</c:v>
                </c:pt>
                <c:pt idx="3">
                  <c:v>Blinds + 3 PSB</c:v>
                </c:pt>
                <c:pt idx="4">
                  <c:v>Blinds + 4 PSB</c:v>
                </c:pt>
                <c:pt idx="5">
                  <c:v>Blinds + 5 PSB</c:v>
                </c:pt>
                <c:pt idx="6">
                  <c:v>Blinds + 6 PSB</c:v>
                </c:pt>
              </c:strCache>
            </c:strRef>
          </c:cat>
          <c:val>
            <c:numRef>
              <c:f>'SPR Scenarios'!$AH$3:$AH$9</c:f>
              <c:numCache>
                <c:formatCode>0.0</c:formatCode>
                <c:ptCount val="7"/>
                <c:pt idx="0">
                  <c:v>5.0</c:v>
                </c:pt>
                <c:pt idx="1">
                  <c:v>13.5</c:v>
                </c:pt>
                <c:pt idx="2">
                  <c:v>35.5</c:v>
                </c:pt>
                <c:pt idx="3">
                  <c:v>93.0</c:v>
                </c:pt>
                <c:pt idx="4">
                  <c:v>243.5</c:v>
                </c:pt>
                <c:pt idx="5">
                  <c:v>637.5</c:v>
                </c:pt>
                <c:pt idx="6">
                  <c:v>1669.0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887816"/>
        <c:axId val="-2011884808"/>
      </c:barChart>
      <c:catAx>
        <c:axId val="-201188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884808"/>
        <c:crosses val="autoZero"/>
        <c:auto val="1"/>
        <c:lblAlgn val="ctr"/>
        <c:lblOffset val="100"/>
        <c:noMultiLvlLbl val="0"/>
      </c:catAx>
      <c:valAx>
        <c:axId val="-2011884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1188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 Scenarios'!$AI$2</c:f>
              <c:strCache>
                <c:ptCount val="1"/>
                <c:pt idx="0">
                  <c:v>Log(Pot After PSB)</c:v>
                </c:pt>
              </c:strCache>
            </c:strRef>
          </c:tx>
          <c:invertIfNegative val="0"/>
          <c:cat>
            <c:strRef>
              <c:f>'SPR Scenarios'!$AD$3:$AD$9</c:f>
              <c:strCache>
                <c:ptCount val="7"/>
                <c:pt idx="0">
                  <c:v>Blinds Only</c:v>
                </c:pt>
                <c:pt idx="1">
                  <c:v>Blinds + 1 PSB</c:v>
                </c:pt>
                <c:pt idx="2">
                  <c:v>Blinds + 2 PSB</c:v>
                </c:pt>
                <c:pt idx="3">
                  <c:v>Blinds + 3 PSB</c:v>
                </c:pt>
                <c:pt idx="4">
                  <c:v>Blinds + 4 PSB</c:v>
                </c:pt>
                <c:pt idx="5">
                  <c:v>Blinds + 5 PSB</c:v>
                </c:pt>
                <c:pt idx="6">
                  <c:v>Blinds + 6 PSB</c:v>
                </c:pt>
              </c:strCache>
            </c:strRef>
          </c:cat>
          <c:val>
            <c:numRef>
              <c:f>'SPR Scenarios'!$AI$3:$AI$9</c:f>
              <c:numCache>
                <c:formatCode>0.0</c:formatCode>
                <c:ptCount val="7"/>
                <c:pt idx="0">
                  <c:v>0.698970004336019</c:v>
                </c:pt>
                <c:pt idx="1">
                  <c:v>1.130333768495006</c:v>
                </c:pt>
                <c:pt idx="2">
                  <c:v>1.550228353055094</c:v>
                </c:pt>
                <c:pt idx="3">
                  <c:v>1.968482948553935</c:v>
                </c:pt>
                <c:pt idx="4">
                  <c:v>2.386498965550653</c:v>
                </c:pt>
                <c:pt idx="5">
                  <c:v>2.804480189105993</c:v>
                </c:pt>
                <c:pt idx="6">
                  <c:v>3.222456336679247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213256"/>
        <c:axId val="-2014682168"/>
      </c:barChart>
      <c:catAx>
        <c:axId val="-201521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682168"/>
        <c:crosses val="autoZero"/>
        <c:auto val="1"/>
        <c:lblAlgn val="ctr"/>
        <c:lblOffset val="100"/>
        <c:noMultiLvlLbl val="0"/>
      </c:catAx>
      <c:valAx>
        <c:axId val="-2014682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1521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Combinatorics!$V$3</c:f>
              <c:strCache>
                <c:ptCount val="1"/>
                <c:pt idx="0">
                  <c:v>Prob</c:v>
                </c:pt>
              </c:strCache>
            </c:strRef>
          </c:tx>
          <c:invertIfNegative val="0"/>
          <c:cat>
            <c:strRef>
              <c:f>Combinatorics!$N$4:$N$19</c:f>
              <c:strCache>
                <c:ptCount val="16"/>
                <c:pt idx="0">
                  <c:v>4K::abcd</c:v>
                </c:pt>
                <c:pt idx="1">
                  <c:v>3K::aabc</c:v>
                </c:pt>
                <c:pt idx="2">
                  <c:v>3K::abcd</c:v>
                </c:pt>
                <c:pt idx="3">
                  <c:v>2P::aabb</c:v>
                </c:pt>
                <c:pt idx="4">
                  <c:v>2P::aabc</c:v>
                </c:pt>
                <c:pt idx="5">
                  <c:v>2P::abcd</c:v>
                </c:pt>
                <c:pt idx="6">
                  <c:v>1P::aaab</c:v>
                </c:pt>
                <c:pt idx="7">
                  <c:v>1P::aabb</c:v>
                </c:pt>
                <c:pt idx="8">
                  <c:v>1P::aabc</c:v>
                </c:pt>
                <c:pt idx="9">
                  <c:v>1P::aabc</c:v>
                </c:pt>
                <c:pt idx="10">
                  <c:v>1P::abcd</c:v>
                </c:pt>
                <c:pt idx="11">
                  <c:v>NP::aaaa</c:v>
                </c:pt>
                <c:pt idx="12">
                  <c:v>NP::aaab</c:v>
                </c:pt>
                <c:pt idx="13">
                  <c:v>NP::aabb</c:v>
                </c:pt>
                <c:pt idx="14">
                  <c:v>NP::aabc</c:v>
                </c:pt>
                <c:pt idx="15">
                  <c:v>NP::abcd</c:v>
                </c:pt>
              </c:strCache>
            </c:strRef>
          </c:cat>
          <c:val>
            <c:numRef>
              <c:f>Combinatorics!$V$4:$V$19</c:f>
              <c:numCache>
                <c:formatCode>0.000%</c:formatCode>
                <c:ptCount val="16"/>
                <c:pt idx="0">
                  <c:v>4.80192076830732E-5</c:v>
                </c:pt>
                <c:pt idx="1">
                  <c:v>0.00691476590636254</c:v>
                </c:pt>
                <c:pt idx="2">
                  <c:v>0.00230492196878751</c:v>
                </c:pt>
                <c:pt idx="3">
                  <c:v>0.00172869147659064</c:v>
                </c:pt>
                <c:pt idx="4">
                  <c:v>0.00691476590636254</c:v>
                </c:pt>
                <c:pt idx="5">
                  <c:v>0.00172869147659064</c:v>
                </c:pt>
                <c:pt idx="6">
                  <c:v>0.038031212484994</c:v>
                </c:pt>
                <c:pt idx="7">
                  <c:v>0.038031212484994</c:v>
                </c:pt>
                <c:pt idx="8">
                  <c:v>0.152124849939976</c:v>
                </c:pt>
                <c:pt idx="9">
                  <c:v>0.038031212484994</c:v>
                </c:pt>
                <c:pt idx="10">
                  <c:v>0.038031212484994</c:v>
                </c:pt>
                <c:pt idx="11">
                  <c:v>0.0105642256902761</c:v>
                </c:pt>
                <c:pt idx="12">
                  <c:v>0.126770708283313</c:v>
                </c:pt>
                <c:pt idx="13">
                  <c:v>0.095078031212485</c:v>
                </c:pt>
                <c:pt idx="14">
                  <c:v>0.38031212484994</c:v>
                </c:pt>
                <c:pt idx="15">
                  <c:v>0.0633853541416567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268040"/>
        <c:axId val="-2094269896"/>
      </c:barChart>
      <c:catAx>
        <c:axId val="-20942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69896"/>
        <c:crosses val="autoZero"/>
        <c:auto val="1"/>
        <c:lblAlgn val="ctr"/>
        <c:lblOffset val="100"/>
        <c:noMultiLvlLbl val="0"/>
      </c:catAx>
      <c:valAx>
        <c:axId val="-20942698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942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Combinatorics!$Y$4:$Y$24</c:f>
              <c:strCache>
                <c:ptCount val="1"/>
                <c:pt idx="0">
                  <c:v>0 1 2 3 4 5 6 7 8 9 10 11 12 13 14 15 16 17 18 19 20</c:v>
                </c:pt>
              </c:strCache>
            </c:strRef>
          </c:tx>
          <c:invertIfNegative val="0"/>
          <c:val>
            <c:numRef>
              <c:f>Combinatorics!$AJ$4:$AJ$24</c:f>
              <c:numCache>
                <c:formatCode>0.00%</c:formatCode>
                <c:ptCount val="21"/>
                <c:pt idx="0">
                  <c:v>0.0123409363745498</c:v>
                </c:pt>
                <c:pt idx="1">
                  <c:v>0.0316779019300028</c:v>
                </c:pt>
                <c:pt idx="2">
                  <c:v>0.096053190506972</c:v>
                </c:pt>
                <c:pt idx="3">
                  <c:v>0.0902170098808754</c:v>
                </c:pt>
                <c:pt idx="4">
                  <c:v>0.158611136762397</c:v>
                </c:pt>
                <c:pt idx="5">
                  <c:v>0.131203250530982</c:v>
                </c:pt>
                <c:pt idx="6">
                  <c:v>0.0933788900175455</c:v>
                </c:pt>
                <c:pt idx="7">
                  <c:v>0.106617416197248</c:v>
                </c:pt>
                <c:pt idx="8">
                  <c:v>0.0600461723150799</c:v>
                </c:pt>
                <c:pt idx="9">
                  <c:v>0.0676110444177671</c:v>
                </c:pt>
                <c:pt idx="10">
                  <c:v>0.0437344168436605</c:v>
                </c:pt>
                <c:pt idx="11">
                  <c:v>0.0517720934527657</c:v>
                </c:pt>
                <c:pt idx="12">
                  <c:v>0.0236402253208976</c:v>
                </c:pt>
                <c:pt idx="13">
                  <c:v>0.00378243605134361</c:v>
                </c:pt>
                <c:pt idx="14">
                  <c:v>0.00189121802567181</c:v>
                </c:pt>
                <c:pt idx="15">
                  <c:v>0.00189121802567181</c:v>
                </c:pt>
                <c:pt idx="16">
                  <c:v>0.00945609012835903</c:v>
                </c:pt>
                <c:pt idx="17">
                  <c:v>0.00945609012835903</c:v>
                </c:pt>
                <c:pt idx="19">
                  <c:v>0.00189121802567181</c:v>
                </c:pt>
                <c:pt idx="20">
                  <c:v>0.00472804506417952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386200"/>
        <c:axId val="-2021391000"/>
      </c:barChart>
      <c:catAx>
        <c:axId val="-20213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91000"/>
        <c:crosses val="autoZero"/>
        <c:auto val="1"/>
        <c:lblAlgn val="ctr"/>
        <c:lblOffset val="100"/>
        <c:noMultiLvlLbl val="0"/>
      </c:catAx>
      <c:valAx>
        <c:axId val="-2021391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2138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10</xdr:row>
      <xdr:rowOff>0</xdr:rowOff>
    </xdr:from>
    <xdr:to>
      <xdr:col>33</xdr:col>
      <xdr:colOff>1003300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33</xdr:col>
      <xdr:colOff>1003300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22</xdr:row>
      <xdr:rowOff>6350</xdr:rowOff>
    </xdr:from>
    <xdr:to>
      <xdr:col>23</xdr:col>
      <xdr:colOff>12700</xdr:colOff>
      <xdr:row>36</xdr:row>
      <xdr:rowOff>82550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12700</xdr:rowOff>
    </xdr:from>
    <xdr:to>
      <xdr:col>23</xdr:col>
      <xdr:colOff>12700</xdr:colOff>
      <xdr:row>51</xdr:row>
      <xdr:rowOff>88900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1"/>
  <sheetViews>
    <sheetView workbookViewId="0">
      <selection activeCell="G61" sqref="G61"/>
    </sheetView>
  </sheetViews>
  <sheetFormatPr baseColWidth="10" defaultRowHeight="15" x14ac:dyDescent="0"/>
  <cols>
    <col min="1" max="1" width="2.33203125" customWidth="1"/>
    <col min="2" max="2" width="6.33203125" style="41" bestFit="1" customWidth="1"/>
    <col min="3" max="3" width="11.33203125" bestFit="1" customWidth="1"/>
    <col min="4" max="5" width="8" bestFit="1" customWidth="1"/>
    <col min="6" max="6" width="11.5" bestFit="1" customWidth="1"/>
    <col min="7" max="7" width="4.33203125" bestFit="1" customWidth="1"/>
    <col min="8" max="8" width="2.33203125" customWidth="1"/>
    <col min="9" max="9" width="6.33203125" style="41" bestFit="1" customWidth="1"/>
    <col min="10" max="10" width="11.33203125" bestFit="1" customWidth="1"/>
    <col min="11" max="12" width="8" bestFit="1" customWidth="1"/>
    <col min="13" max="13" width="11.5" bestFit="1" customWidth="1"/>
    <col min="14" max="14" width="4.33203125" bestFit="1" customWidth="1"/>
    <col min="15" max="15" width="2.33203125" customWidth="1"/>
    <col min="16" max="16" width="6.33203125" style="41" bestFit="1" customWidth="1"/>
    <col min="17" max="17" width="11.33203125" bestFit="1" customWidth="1"/>
    <col min="18" max="19" width="8" bestFit="1" customWidth="1"/>
    <col min="20" max="20" width="11.5" bestFit="1" customWidth="1"/>
    <col min="21" max="21" width="4.33203125" bestFit="1" customWidth="1"/>
    <col min="22" max="22" width="2.33203125" customWidth="1"/>
    <col min="23" max="23" width="6.33203125" style="41" bestFit="1" customWidth="1"/>
    <col min="24" max="24" width="11.33203125" bestFit="1" customWidth="1"/>
    <col min="25" max="26" width="8" bestFit="1" customWidth="1"/>
    <col min="27" max="27" width="11.5" bestFit="1" customWidth="1"/>
    <col min="28" max="28" width="4.33203125" bestFit="1" customWidth="1"/>
    <col min="30" max="30" width="16.6640625" bestFit="1" customWidth="1"/>
    <col min="31" max="31" width="13.1640625" bestFit="1" customWidth="1"/>
    <col min="32" max="32" width="11.83203125" bestFit="1" customWidth="1"/>
    <col min="33" max="33" width="21.83203125" bestFit="1" customWidth="1"/>
    <col min="34" max="34" width="16.33203125" bestFit="1" customWidth="1"/>
    <col min="35" max="35" width="16.5" bestFit="1" customWidth="1"/>
  </cols>
  <sheetData>
    <row r="2" spans="2:35">
      <c r="B2" s="83" t="s">
        <v>117</v>
      </c>
      <c r="C2" s="83"/>
      <c r="D2" s="83"/>
      <c r="E2" s="83"/>
      <c r="F2" s="83"/>
      <c r="G2" s="83"/>
      <c r="I2" s="83" t="s">
        <v>118</v>
      </c>
      <c r="J2" s="83"/>
      <c r="K2" s="83"/>
      <c r="L2" s="83"/>
      <c r="M2" s="83"/>
      <c r="N2" s="83"/>
      <c r="P2" s="83" t="s">
        <v>119</v>
      </c>
      <c r="Q2" s="83"/>
      <c r="R2" s="83"/>
      <c r="S2" s="83"/>
      <c r="T2" s="83"/>
      <c r="U2" s="83"/>
      <c r="W2" s="83" t="s">
        <v>120</v>
      </c>
      <c r="X2" s="83"/>
      <c r="Y2" s="83"/>
      <c r="Z2" s="83"/>
      <c r="AA2" s="83"/>
      <c r="AB2" s="83"/>
      <c r="AD2" s="51" t="s">
        <v>130</v>
      </c>
      <c r="AE2" s="51" t="s">
        <v>129</v>
      </c>
      <c r="AF2" s="51" t="s">
        <v>131</v>
      </c>
      <c r="AG2" s="51" t="s">
        <v>135</v>
      </c>
      <c r="AH2" s="51" t="s">
        <v>134</v>
      </c>
      <c r="AI2" s="51" t="s">
        <v>142</v>
      </c>
    </row>
    <row r="3" spans="2:35">
      <c r="AD3" s="41" t="s">
        <v>123</v>
      </c>
      <c r="AE3" s="85" t="s">
        <v>126</v>
      </c>
      <c r="AF3" s="85">
        <f>1.5</f>
        <v>1.5</v>
      </c>
      <c r="AG3" s="85">
        <f>1+(1+AF3)</f>
        <v>3.5</v>
      </c>
      <c r="AH3" s="81">
        <f>SUM(AF3:AG3)</f>
        <v>5</v>
      </c>
      <c r="AI3" s="81">
        <f>LOG(AH3)</f>
        <v>0.69897000433601886</v>
      </c>
    </row>
    <row r="4" spans="2:35">
      <c r="C4" s="41"/>
      <c r="D4" s="87" t="s">
        <v>105</v>
      </c>
      <c r="E4" s="87"/>
      <c r="F4" s="41"/>
      <c r="G4" s="41"/>
      <c r="H4" s="41"/>
      <c r="J4" s="41"/>
      <c r="K4" s="87" t="s">
        <v>105</v>
      </c>
      <c r="L4" s="87"/>
      <c r="M4" s="41"/>
      <c r="N4" s="41"/>
      <c r="O4" s="41"/>
      <c r="Q4" s="41"/>
      <c r="R4" s="87" t="s">
        <v>105</v>
      </c>
      <c r="S4" s="87"/>
      <c r="T4" s="41"/>
      <c r="U4" s="41"/>
      <c r="V4" s="41"/>
      <c r="X4" s="41"/>
      <c r="Y4" s="87" t="s">
        <v>105</v>
      </c>
      <c r="Z4" s="87"/>
      <c r="AA4" s="41"/>
      <c r="AB4" s="41"/>
      <c r="AD4" s="41" t="s">
        <v>124</v>
      </c>
      <c r="AE4" s="85" t="s">
        <v>127</v>
      </c>
      <c r="AF4" s="86">
        <f>AH3</f>
        <v>5</v>
      </c>
      <c r="AG4" s="86">
        <f>AG3+AF4</f>
        <v>8.5</v>
      </c>
      <c r="AH4" s="81">
        <f>SUM(AF4:AG4)</f>
        <v>13.5</v>
      </c>
      <c r="AI4" s="81">
        <f t="shared" ref="AI4:AI9" si="0">LOG(AH4)</f>
        <v>1.1303337684950061</v>
      </c>
    </row>
    <row r="5" spans="2:35">
      <c r="B5" s="51" t="s">
        <v>98</v>
      </c>
      <c r="C5" s="51" t="s">
        <v>108</v>
      </c>
      <c r="D5" s="51" t="s">
        <v>109</v>
      </c>
      <c r="E5" s="51" t="s">
        <v>110</v>
      </c>
      <c r="F5" s="51" t="s">
        <v>107</v>
      </c>
      <c r="G5" s="51" t="s">
        <v>106</v>
      </c>
      <c r="H5" s="41"/>
      <c r="I5" s="51" t="s">
        <v>98</v>
      </c>
      <c r="J5" s="51" t="s">
        <v>108</v>
      </c>
      <c r="K5" s="51" t="s">
        <v>109</v>
      </c>
      <c r="L5" s="51" t="s">
        <v>110</v>
      </c>
      <c r="M5" s="51" t="s">
        <v>107</v>
      </c>
      <c r="N5" s="51" t="s">
        <v>106</v>
      </c>
      <c r="O5" s="41"/>
      <c r="P5" s="51" t="s">
        <v>98</v>
      </c>
      <c r="Q5" s="51" t="s">
        <v>108</v>
      </c>
      <c r="R5" s="51" t="s">
        <v>109</v>
      </c>
      <c r="S5" s="51" t="s">
        <v>110</v>
      </c>
      <c r="T5" s="51" t="s">
        <v>107</v>
      </c>
      <c r="U5" s="51" t="s">
        <v>106</v>
      </c>
      <c r="V5" s="41"/>
      <c r="W5" s="51" t="s">
        <v>98</v>
      </c>
      <c r="X5" s="51" t="s">
        <v>108</v>
      </c>
      <c r="Y5" s="51" t="s">
        <v>109</v>
      </c>
      <c r="Z5" s="51" t="s">
        <v>110</v>
      </c>
      <c r="AA5" s="51" t="s">
        <v>107</v>
      </c>
      <c r="AB5" s="51" t="s">
        <v>106</v>
      </c>
      <c r="AD5" s="41" t="s">
        <v>125</v>
      </c>
      <c r="AE5" s="85" t="s">
        <v>128</v>
      </c>
      <c r="AF5" s="86">
        <f>AH4</f>
        <v>13.5</v>
      </c>
      <c r="AG5" s="86">
        <f>AG4+AF5</f>
        <v>22</v>
      </c>
      <c r="AH5" s="81">
        <f>SUM(AF5:AG5)</f>
        <v>35.5</v>
      </c>
      <c r="AI5" s="81">
        <f t="shared" si="0"/>
        <v>1.550228353055094</v>
      </c>
    </row>
    <row r="6" spans="2:35">
      <c r="B6" s="41" t="s">
        <v>99</v>
      </c>
      <c r="C6">
        <v>100</v>
      </c>
      <c r="D6">
        <v>0.5</v>
      </c>
      <c r="E6">
        <f>3.5</f>
        <v>3.5</v>
      </c>
      <c r="F6">
        <f>C6-E6</f>
        <v>96.5</v>
      </c>
      <c r="G6" s="82">
        <f>F6/SUM(E$6:E$11)</f>
        <v>9.1904761904761898</v>
      </c>
      <c r="I6" s="41" t="s">
        <v>99</v>
      </c>
      <c r="J6">
        <v>100</v>
      </c>
      <c r="K6">
        <v>0.5</v>
      </c>
      <c r="L6">
        <f>3.5</f>
        <v>3.5</v>
      </c>
      <c r="M6">
        <f>J6-L6</f>
        <v>96.5</v>
      </c>
      <c r="N6" s="82">
        <f>M6/SUM(L$6:L$11)</f>
        <v>6.8928571428571432</v>
      </c>
      <c r="P6" s="41" t="s">
        <v>99</v>
      </c>
      <c r="Q6">
        <v>100</v>
      </c>
      <c r="R6">
        <v>0.5</v>
      </c>
      <c r="S6">
        <f>3.5</f>
        <v>3.5</v>
      </c>
      <c r="T6">
        <f>Q6-S6</f>
        <v>96.5</v>
      </c>
      <c r="U6" s="82">
        <f>T6/SUM(S$6:S$11)</f>
        <v>5.5142857142857142</v>
      </c>
      <c r="W6" s="41" t="s">
        <v>99</v>
      </c>
      <c r="X6">
        <v>100</v>
      </c>
      <c r="Y6">
        <v>0.5</v>
      </c>
      <c r="Z6">
        <f>3.5</f>
        <v>3.5</v>
      </c>
      <c r="AA6">
        <f>X6-Z6</f>
        <v>96.5</v>
      </c>
      <c r="AB6" s="82">
        <f>AA6/SUM(Z$6:Z$11)</f>
        <v>4.5952380952380949</v>
      </c>
      <c r="AD6" s="41" t="s">
        <v>132</v>
      </c>
      <c r="AE6" s="85" t="s">
        <v>133</v>
      </c>
      <c r="AF6" s="86">
        <f>AH5</f>
        <v>35.5</v>
      </c>
      <c r="AG6" s="86">
        <f>AG5+AF6</f>
        <v>57.5</v>
      </c>
      <c r="AH6" s="81">
        <f>SUM(AF6:AG6)</f>
        <v>93</v>
      </c>
      <c r="AI6" s="81">
        <f t="shared" si="0"/>
        <v>1.968482948553935</v>
      </c>
    </row>
    <row r="7" spans="2:35">
      <c r="B7" s="41" t="s">
        <v>100</v>
      </c>
      <c r="C7">
        <v>100</v>
      </c>
      <c r="D7">
        <v>1</v>
      </c>
      <c r="E7">
        <f t="shared" ref="E7:E11" si="1">3.5</f>
        <v>3.5</v>
      </c>
      <c r="F7">
        <f t="shared" ref="F7:F11" si="2">C7-E7</f>
        <v>96.5</v>
      </c>
      <c r="G7" s="82">
        <f t="shared" ref="G7:G11" si="3">F7/SUM(E$6:E$11)</f>
        <v>9.1904761904761898</v>
      </c>
      <c r="I7" s="41" t="s">
        <v>100</v>
      </c>
      <c r="J7">
        <v>100</v>
      </c>
      <c r="K7">
        <v>1</v>
      </c>
      <c r="L7">
        <f t="shared" ref="L7:L11" si="4">3.5</f>
        <v>3.5</v>
      </c>
      <c r="M7">
        <f t="shared" ref="M7:M11" si="5">J7-L7</f>
        <v>96.5</v>
      </c>
      <c r="N7" s="82">
        <f t="shared" ref="N7:N11" si="6">M7/SUM(L$6:L$11)</f>
        <v>6.8928571428571432</v>
      </c>
      <c r="P7" s="41" t="s">
        <v>100</v>
      </c>
      <c r="Q7">
        <v>100</v>
      </c>
      <c r="R7">
        <v>1</v>
      </c>
      <c r="S7">
        <f t="shared" ref="S7:S11" si="7">3.5</f>
        <v>3.5</v>
      </c>
      <c r="T7">
        <f t="shared" ref="T7" si="8">Q7-S7</f>
        <v>96.5</v>
      </c>
      <c r="U7" s="82">
        <f t="shared" ref="U7" si="9">T7/SUM(S$6:S$11)</f>
        <v>5.5142857142857142</v>
      </c>
      <c r="W7" s="41" t="s">
        <v>100</v>
      </c>
      <c r="X7">
        <v>100</v>
      </c>
      <c r="Y7">
        <v>1</v>
      </c>
      <c r="Z7">
        <f t="shared" ref="Z7:Z11" si="10">3.5</f>
        <v>3.5</v>
      </c>
      <c r="AA7">
        <f t="shared" ref="AA7:AA8" si="11">X7-Z7</f>
        <v>96.5</v>
      </c>
      <c r="AB7" s="82">
        <f t="shared" ref="AB7:AB8" si="12">AA7/SUM(Z$6:Z$11)</f>
        <v>4.5952380952380949</v>
      </c>
      <c r="AD7" s="41" t="s">
        <v>136</v>
      </c>
      <c r="AE7" s="85" t="s">
        <v>139</v>
      </c>
      <c r="AF7" s="86">
        <f t="shared" ref="AF7:AF9" si="13">AH6</f>
        <v>93</v>
      </c>
      <c r="AG7" s="86">
        <f t="shared" ref="AG7:AG9" si="14">AG6+AF7</f>
        <v>150.5</v>
      </c>
      <c r="AH7" s="81">
        <f t="shared" ref="AH7:AH9" si="15">SUM(AF7:AG7)</f>
        <v>243.5</v>
      </c>
      <c r="AI7" s="81">
        <f t="shared" si="0"/>
        <v>2.3864989655506532</v>
      </c>
    </row>
    <row r="8" spans="2:35">
      <c r="B8" s="41" t="s">
        <v>101</v>
      </c>
      <c r="C8">
        <v>100</v>
      </c>
      <c r="G8" s="82"/>
      <c r="I8" s="41" t="s">
        <v>101</v>
      </c>
      <c r="J8">
        <v>100</v>
      </c>
      <c r="N8" s="82"/>
      <c r="P8" s="41" t="s">
        <v>101</v>
      </c>
      <c r="Q8">
        <v>100</v>
      </c>
      <c r="U8" s="82"/>
      <c r="W8" s="41" t="s">
        <v>101</v>
      </c>
      <c r="X8">
        <v>100</v>
      </c>
      <c r="Y8">
        <f>2*Y7+SUM(Y6:Y7)</f>
        <v>3.5</v>
      </c>
      <c r="Z8">
        <f t="shared" si="10"/>
        <v>3.5</v>
      </c>
      <c r="AA8">
        <f t="shared" si="11"/>
        <v>96.5</v>
      </c>
      <c r="AB8" s="82">
        <f t="shared" si="12"/>
        <v>4.5952380952380949</v>
      </c>
      <c r="AD8" s="41" t="s">
        <v>137</v>
      </c>
      <c r="AE8" s="85" t="s">
        <v>140</v>
      </c>
      <c r="AF8" s="86">
        <f t="shared" si="13"/>
        <v>243.5</v>
      </c>
      <c r="AG8" s="86">
        <f t="shared" si="14"/>
        <v>394</v>
      </c>
      <c r="AH8" s="81">
        <f t="shared" si="15"/>
        <v>637.5</v>
      </c>
      <c r="AI8" s="81">
        <f t="shared" si="0"/>
        <v>2.8044801891059929</v>
      </c>
    </row>
    <row r="9" spans="2:35">
      <c r="B9" s="41" t="s">
        <v>102</v>
      </c>
      <c r="C9">
        <v>100</v>
      </c>
      <c r="G9" s="82"/>
      <c r="I9" s="41" t="s">
        <v>102</v>
      </c>
      <c r="J9">
        <v>100</v>
      </c>
      <c r="N9" s="82"/>
      <c r="P9" s="41" t="s">
        <v>102</v>
      </c>
      <c r="Q9">
        <v>100</v>
      </c>
      <c r="R9">
        <f>2*R7+SUM(R6:R7)</f>
        <v>3.5</v>
      </c>
      <c r="S9">
        <f t="shared" si="7"/>
        <v>3.5</v>
      </c>
      <c r="T9">
        <f t="shared" ref="T9:T11" si="16">Q9-S9</f>
        <v>96.5</v>
      </c>
      <c r="U9" s="82">
        <f t="shared" ref="U9:U11" si="17">T9/SUM(S$6:S$11)</f>
        <v>5.5142857142857142</v>
      </c>
      <c r="W9" s="41" t="s">
        <v>102</v>
      </c>
      <c r="X9">
        <v>100</v>
      </c>
      <c r="Y9">
        <f>Y8</f>
        <v>3.5</v>
      </c>
      <c r="Z9">
        <f t="shared" si="10"/>
        <v>3.5</v>
      </c>
      <c r="AA9">
        <f t="shared" ref="AA9:AA11" si="18">X9-Z9</f>
        <v>96.5</v>
      </c>
      <c r="AB9" s="82">
        <f t="shared" ref="AB9:AB11" si="19">AA9/SUM(Z$6:Z$11)</f>
        <v>4.5952380952380949</v>
      </c>
      <c r="AD9" s="41" t="s">
        <v>138</v>
      </c>
      <c r="AE9" s="85" t="s">
        <v>141</v>
      </c>
      <c r="AF9" s="86">
        <f t="shared" si="13"/>
        <v>637.5</v>
      </c>
      <c r="AG9" s="86">
        <f t="shared" si="14"/>
        <v>1031.5</v>
      </c>
      <c r="AH9" s="81">
        <f t="shared" si="15"/>
        <v>1669</v>
      </c>
      <c r="AI9" s="81">
        <f t="shared" si="0"/>
        <v>3.2224563366792469</v>
      </c>
    </row>
    <row r="10" spans="2:35">
      <c r="B10" s="41" t="s">
        <v>103</v>
      </c>
      <c r="C10">
        <v>100</v>
      </c>
      <c r="G10" s="82"/>
      <c r="I10" s="41" t="s">
        <v>103</v>
      </c>
      <c r="J10">
        <v>100</v>
      </c>
      <c r="K10">
        <f>2*K7+SUM(K6:K7)</f>
        <v>3.5</v>
      </c>
      <c r="L10">
        <f t="shared" si="4"/>
        <v>3.5</v>
      </c>
      <c r="M10">
        <f t="shared" si="5"/>
        <v>96.5</v>
      </c>
      <c r="N10" s="82">
        <f t="shared" si="6"/>
        <v>6.8928571428571432</v>
      </c>
      <c r="P10" s="41" t="s">
        <v>103</v>
      </c>
      <c r="Q10">
        <v>100</v>
      </c>
      <c r="R10">
        <f>R9</f>
        <v>3.5</v>
      </c>
      <c r="S10">
        <f t="shared" si="7"/>
        <v>3.5</v>
      </c>
      <c r="T10">
        <f t="shared" si="16"/>
        <v>96.5</v>
      </c>
      <c r="U10" s="82">
        <f t="shared" si="17"/>
        <v>5.5142857142857142</v>
      </c>
      <c r="W10" s="41" t="s">
        <v>103</v>
      </c>
      <c r="X10">
        <v>100</v>
      </c>
      <c r="Y10">
        <f>Y9</f>
        <v>3.5</v>
      </c>
      <c r="Z10">
        <f t="shared" si="10"/>
        <v>3.5</v>
      </c>
      <c r="AA10">
        <f t="shared" si="18"/>
        <v>96.5</v>
      </c>
      <c r="AB10" s="82">
        <f t="shared" si="19"/>
        <v>4.5952380952380949</v>
      </c>
    </row>
    <row r="11" spans="2:35">
      <c r="B11" s="41" t="s">
        <v>104</v>
      </c>
      <c r="C11">
        <v>100</v>
      </c>
      <c r="D11">
        <f>2*D7+SUM(D6:D7)</f>
        <v>3.5</v>
      </c>
      <c r="E11">
        <f t="shared" si="1"/>
        <v>3.5</v>
      </c>
      <c r="F11">
        <f t="shared" si="2"/>
        <v>96.5</v>
      </c>
      <c r="G11" s="82">
        <f t="shared" si="3"/>
        <v>9.1904761904761898</v>
      </c>
      <c r="I11" s="41" t="s">
        <v>104</v>
      </c>
      <c r="J11">
        <v>100</v>
      </c>
      <c r="K11">
        <f>K10</f>
        <v>3.5</v>
      </c>
      <c r="L11">
        <f t="shared" si="4"/>
        <v>3.5</v>
      </c>
      <c r="M11">
        <f t="shared" si="5"/>
        <v>96.5</v>
      </c>
      <c r="N11" s="82">
        <f t="shared" si="6"/>
        <v>6.8928571428571432</v>
      </c>
      <c r="P11" s="41" t="s">
        <v>104</v>
      </c>
      <c r="Q11">
        <v>100</v>
      </c>
      <c r="R11">
        <f>R9</f>
        <v>3.5</v>
      </c>
      <c r="S11">
        <f t="shared" si="7"/>
        <v>3.5</v>
      </c>
      <c r="T11">
        <f t="shared" si="16"/>
        <v>96.5</v>
      </c>
      <c r="U11" s="82">
        <f t="shared" si="17"/>
        <v>5.5142857142857142</v>
      </c>
      <c r="W11" s="41" t="s">
        <v>104</v>
      </c>
      <c r="X11">
        <v>100</v>
      </c>
      <c r="Y11">
        <f>Y9</f>
        <v>3.5</v>
      </c>
      <c r="Z11">
        <f t="shared" si="10"/>
        <v>3.5</v>
      </c>
      <c r="AA11">
        <f t="shared" si="18"/>
        <v>96.5</v>
      </c>
      <c r="AB11" s="82">
        <f t="shared" si="19"/>
        <v>4.5952380952380949</v>
      </c>
    </row>
    <row r="13" spans="2:35">
      <c r="D13" s="41" t="s">
        <v>112</v>
      </c>
      <c r="E13" s="41">
        <f>SUM(E6:E11)</f>
        <v>10.5</v>
      </c>
      <c r="F13" s="84" t="s">
        <v>111</v>
      </c>
      <c r="G13" s="88">
        <f>MIN(G6:G11)</f>
        <v>9.1904761904761898</v>
      </c>
      <c r="K13" s="41" t="s">
        <v>112</v>
      </c>
      <c r="L13" s="41">
        <f>SUM(L6:L11)</f>
        <v>14</v>
      </c>
      <c r="M13" s="84" t="s">
        <v>111</v>
      </c>
      <c r="N13" s="88">
        <f>MIN(N6:N11)</f>
        <v>6.8928571428571432</v>
      </c>
      <c r="R13" s="41" t="s">
        <v>112</v>
      </c>
      <c r="S13" s="41">
        <f>SUM(S6:S11)</f>
        <v>17.5</v>
      </c>
      <c r="T13" s="84" t="s">
        <v>111</v>
      </c>
      <c r="U13" s="88">
        <f>MIN(U6:U11)</f>
        <v>5.5142857142857142</v>
      </c>
      <c r="X13" s="41"/>
      <c r="Y13" s="41" t="s">
        <v>112</v>
      </c>
      <c r="Z13" s="41">
        <f>SUM(Z6:Z11)</f>
        <v>21</v>
      </c>
      <c r="AA13" s="84" t="s">
        <v>111</v>
      </c>
      <c r="AB13" s="88">
        <f>MIN(AB6:AB11)</f>
        <v>4.5952380952380949</v>
      </c>
    </row>
    <row r="16" spans="2:35">
      <c r="B16" s="83" t="s">
        <v>113</v>
      </c>
      <c r="C16" s="83"/>
      <c r="D16" s="83"/>
      <c r="E16" s="83"/>
      <c r="F16" s="83"/>
      <c r="G16" s="83"/>
      <c r="I16" s="83" t="s">
        <v>114</v>
      </c>
      <c r="J16" s="83"/>
      <c r="K16" s="83"/>
      <c r="L16" s="83"/>
      <c r="M16" s="83"/>
      <c r="N16" s="83"/>
      <c r="P16" s="83" t="s">
        <v>115</v>
      </c>
      <c r="Q16" s="83"/>
      <c r="R16" s="83"/>
      <c r="S16" s="83"/>
      <c r="T16" s="83"/>
      <c r="U16" s="83"/>
      <c r="W16" s="83" t="s">
        <v>121</v>
      </c>
      <c r="X16" s="83"/>
      <c r="Y16" s="83"/>
      <c r="Z16" s="83"/>
      <c r="AA16" s="83"/>
      <c r="AB16" s="83"/>
    </row>
    <row r="18" spans="2:28">
      <c r="C18" s="41"/>
      <c r="D18" s="87" t="s">
        <v>105</v>
      </c>
      <c r="E18" s="87"/>
      <c r="F18" s="41"/>
      <c r="G18" s="41"/>
      <c r="J18" s="41"/>
      <c r="K18" s="87" t="s">
        <v>105</v>
      </c>
      <c r="L18" s="87"/>
      <c r="M18" s="41"/>
      <c r="N18" s="41"/>
      <c r="Q18" s="41"/>
      <c r="R18" s="87" t="s">
        <v>105</v>
      </c>
      <c r="S18" s="87"/>
      <c r="T18" s="41"/>
      <c r="U18" s="41"/>
      <c r="X18" s="41"/>
      <c r="Y18" s="87" t="s">
        <v>105</v>
      </c>
      <c r="Z18" s="87"/>
      <c r="AA18" s="41"/>
      <c r="AB18" s="41"/>
    </row>
    <row r="19" spans="2:28">
      <c r="B19" s="51" t="s">
        <v>98</v>
      </c>
      <c r="C19" s="51" t="s">
        <v>108</v>
      </c>
      <c r="D19" s="51" t="s">
        <v>109</v>
      </c>
      <c r="E19" s="51" t="s">
        <v>110</v>
      </c>
      <c r="F19" s="51" t="s">
        <v>107</v>
      </c>
      <c r="G19" s="51" t="s">
        <v>106</v>
      </c>
      <c r="I19" s="51" t="s">
        <v>98</v>
      </c>
      <c r="J19" s="51" t="s">
        <v>108</v>
      </c>
      <c r="K19" s="51" t="s">
        <v>109</v>
      </c>
      <c r="L19" s="51" t="s">
        <v>110</v>
      </c>
      <c r="M19" s="51" t="s">
        <v>107</v>
      </c>
      <c r="N19" s="51" t="s">
        <v>106</v>
      </c>
      <c r="P19" s="51" t="s">
        <v>98</v>
      </c>
      <c r="Q19" s="51" t="s">
        <v>108</v>
      </c>
      <c r="R19" s="51" t="s">
        <v>109</v>
      </c>
      <c r="S19" s="51" t="s">
        <v>110</v>
      </c>
      <c r="T19" s="51" t="s">
        <v>107</v>
      </c>
      <c r="U19" s="51" t="s">
        <v>106</v>
      </c>
      <c r="W19" s="51" t="s">
        <v>98</v>
      </c>
      <c r="X19" s="51" t="s">
        <v>108</v>
      </c>
      <c r="Y19" s="51" t="s">
        <v>109</v>
      </c>
      <c r="Z19" s="51" t="s">
        <v>110</v>
      </c>
      <c r="AA19" s="51" t="s">
        <v>107</v>
      </c>
      <c r="AB19" s="51" t="s">
        <v>106</v>
      </c>
    </row>
    <row r="20" spans="2:28">
      <c r="B20" s="41" t="s">
        <v>99</v>
      </c>
      <c r="C20">
        <v>100</v>
      </c>
      <c r="D20">
        <v>0.5</v>
      </c>
      <c r="E20">
        <v>0.5</v>
      </c>
      <c r="G20" s="82"/>
      <c r="I20" s="41" t="s">
        <v>99</v>
      </c>
      <c r="J20">
        <v>100</v>
      </c>
      <c r="K20">
        <v>0.5</v>
      </c>
      <c r="L20">
        <v>0.5</v>
      </c>
      <c r="N20" s="82"/>
      <c r="P20" s="41" t="s">
        <v>99</v>
      </c>
      <c r="Q20">
        <v>100</v>
      </c>
      <c r="R20">
        <v>0.5</v>
      </c>
      <c r="S20">
        <v>0.5</v>
      </c>
      <c r="U20" s="82"/>
      <c r="W20" s="41" t="s">
        <v>99</v>
      </c>
      <c r="X20">
        <v>100</v>
      </c>
      <c r="Y20">
        <v>0.5</v>
      </c>
      <c r="Z20">
        <v>0.5</v>
      </c>
      <c r="AB20" s="82"/>
    </row>
    <row r="21" spans="2:28">
      <c r="B21" s="41" t="s">
        <v>100</v>
      </c>
      <c r="C21">
        <v>50</v>
      </c>
      <c r="D21">
        <v>1</v>
      </c>
      <c r="E21">
        <f t="shared" ref="E21:E25" si="20">3.5</f>
        <v>3.5</v>
      </c>
      <c r="F21">
        <f t="shared" ref="F21" si="21">C21-E21</f>
        <v>46.5</v>
      </c>
      <c r="G21" s="82">
        <f>F21/SUM(E$20:E$25)</f>
        <v>6.2</v>
      </c>
      <c r="I21" s="41" t="s">
        <v>100</v>
      </c>
      <c r="J21">
        <v>40</v>
      </c>
      <c r="K21">
        <v>1</v>
      </c>
      <c r="L21">
        <f t="shared" ref="L21:L25" si="22">3.5</f>
        <v>3.5</v>
      </c>
      <c r="M21">
        <f t="shared" ref="M21" si="23">J21-L21</f>
        <v>36.5</v>
      </c>
      <c r="N21" s="82">
        <f>M21/SUM(L$20:L$25)</f>
        <v>4.8666666666666663</v>
      </c>
      <c r="P21" s="41" t="s">
        <v>100</v>
      </c>
      <c r="Q21">
        <v>30</v>
      </c>
      <c r="R21">
        <v>1</v>
      </c>
      <c r="S21">
        <f t="shared" ref="S21:S25" si="24">3.5</f>
        <v>3.5</v>
      </c>
      <c r="T21">
        <f t="shared" ref="T21" si="25">Q21-S21</f>
        <v>26.5</v>
      </c>
      <c r="U21" s="82">
        <f>T21/SUM(S$20:S$25)</f>
        <v>3.5333333333333332</v>
      </c>
      <c r="W21" s="41" t="s">
        <v>100</v>
      </c>
      <c r="X21">
        <v>20</v>
      </c>
      <c r="Y21">
        <v>1</v>
      </c>
      <c r="Z21">
        <f t="shared" ref="Z21:Z25" si="26">3.5</f>
        <v>3.5</v>
      </c>
      <c r="AA21">
        <f t="shared" ref="AA21" si="27">X21-Z21</f>
        <v>16.5</v>
      </c>
      <c r="AB21" s="82">
        <f>AA21/SUM(Z$20:Z$25)</f>
        <v>2.2000000000000002</v>
      </c>
    </row>
    <row r="22" spans="2:28">
      <c r="B22" s="41" t="s">
        <v>101</v>
      </c>
      <c r="C22">
        <v>100</v>
      </c>
      <c r="G22" s="82"/>
      <c r="I22" s="41" t="s">
        <v>101</v>
      </c>
      <c r="J22">
        <v>100</v>
      </c>
      <c r="N22" s="82"/>
      <c r="P22" s="41" t="s">
        <v>101</v>
      </c>
      <c r="Q22">
        <v>100</v>
      </c>
      <c r="U22" s="82"/>
      <c r="W22" s="41" t="s">
        <v>101</v>
      </c>
      <c r="X22">
        <v>100</v>
      </c>
      <c r="AB22" s="82"/>
    </row>
    <row r="23" spans="2:28">
      <c r="B23" s="41" t="s">
        <v>102</v>
      </c>
      <c r="C23">
        <v>100</v>
      </c>
      <c r="G23" s="82"/>
      <c r="I23" s="41" t="s">
        <v>102</v>
      </c>
      <c r="J23">
        <v>100</v>
      </c>
      <c r="N23" s="82"/>
      <c r="P23" s="41" t="s">
        <v>102</v>
      </c>
      <c r="Q23">
        <v>100</v>
      </c>
      <c r="U23" s="82"/>
      <c r="W23" s="41" t="s">
        <v>102</v>
      </c>
      <c r="X23">
        <v>100</v>
      </c>
      <c r="AB23" s="82"/>
    </row>
    <row r="24" spans="2:28">
      <c r="B24" s="41" t="s">
        <v>103</v>
      </c>
      <c r="C24">
        <v>100</v>
      </c>
      <c r="G24" s="82"/>
      <c r="I24" s="41" t="s">
        <v>103</v>
      </c>
      <c r="J24">
        <v>100</v>
      </c>
      <c r="N24" s="82"/>
      <c r="P24" s="41" t="s">
        <v>103</v>
      </c>
      <c r="Q24">
        <v>100</v>
      </c>
      <c r="U24" s="82"/>
      <c r="W24" s="41" t="s">
        <v>103</v>
      </c>
      <c r="X24">
        <v>100</v>
      </c>
      <c r="AB24" s="82"/>
    </row>
    <row r="25" spans="2:28">
      <c r="B25" s="41" t="s">
        <v>104</v>
      </c>
      <c r="C25">
        <v>100</v>
      </c>
      <c r="D25">
        <f>2*D21+SUM(D20:D21)</f>
        <v>3.5</v>
      </c>
      <c r="E25">
        <f t="shared" si="20"/>
        <v>3.5</v>
      </c>
      <c r="F25">
        <f t="shared" ref="F25" si="28">C25-E25</f>
        <v>96.5</v>
      </c>
      <c r="G25" s="82">
        <f t="shared" ref="G25" si="29">F25/SUM(E$6:E$11)</f>
        <v>9.1904761904761898</v>
      </c>
      <c r="I25" s="41" t="s">
        <v>104</v>
      </c>
      <c r="J25">
        <v>100</v>
      </c>
      <c r="K25">
        <f>2*K21+SUM(K20:K21)</f>
        <v>3.5</v>
      </c>
      <c r="L25">
        <f t="shared" si="22"/>
        <v>3.5</v>
      </c>
      <c r="M25">
        <f t="shared" ref="M25" si="30">J25-L25</f>
        <v>96.5</v>
      </c>
      <c r="N25" s="82">
        <f t="shared" ref="N25" si="31">M25/SUM(L$6:L$11)</f>
        <v>6.8928571428571432</v>
      </c>
      <c r="P25" s="41" t="s">
        <v>104</v>
      </c>
      <c r="Q25">
        <v>100</v>
      </c>
      <c r="R25">
        <f>2*R21+SUM(R20:R21)</f>
        <v>3.5</v>
      </c>
      <c r="S25">
        <f t="shared" si="24"/>
        <v>3.5</v>
      </c>
      <c r="T25">
        <f t="shared" ref="T25" si="32">Q25-S25</f>
        <v>96.5</v>
      </c>
      <c r="U25" s="82">
        <f t="shared" ref="U25" si="33">T25/SUM(S$6:S$11)</f>
        <v>5.5142857142857142</v>
      </c>
      <c r="W25" s="41" t="s">
        <v>104</v>
      </c>
      <c r="X25">
        <v>100</v>
      </c>
      <c r="Y25">
        <f>2*Y21+SUM(Y20:Y21)</f>
        <v>3.5</v>
      </c>
      <c r="Z25">
        <f t="shared" si="26"/>
        <v>3.5</v>
      </c>
      <c r="AA25">
        <f t="shared" ref="AA25" si="34">X25-Z25</f>
        <v>96.5</v>
      </c>
      <c r="AB25" s="82">
        <f t="shared" ref="AB25" si="35">AA25/SUM(Z$6:Z$11)</f>
        <v>4.5952380952380949</v>
      </c>
    </row>
    <row r="27" spans="2:28">
      <c r="D27" s="41" t="s">
        <v>112</v>
      </c>
      <c r="E27" s="41">
        <f>SUM(E20:E25)</f>
        <v>7.5</v>
      </c>
      <c r="F27" s="84" t="s">
        <v>111</v>
      </c>
      <c r="G27" s="88">
        <f>MIN(G20:G25)</f>
        <v>6.2</v>
      </c>
      <c r="K27" s="41" t="s">
        <v>112</v>
      </c>
      <c r="L27" s="41">
        <f>SUM(L20:L25)</f>
        <v>7.5</v>
      </c>
      <c r="M27" s="84" t="s">
        <v>111</v>
      </c>
      <c r="N27" s="88">
        <f>MIN(N20:N25)</f>
        <v>4.8666666666666663</v>
      </c>
      <c r="R27" s="41" t="s">
        <v>112</v>
      </c>
      <c r="S27" s="41">
        <f>SUM(S20:S25)</f>
        <v>7.5</v>
      </c>
      <c r="T27" s="84" t="s">
        <v>111</v>
      </c>
      <c r="U27" s="88">
        <f>MIN(U20:U25)</f>
        <v>3.5333333333333332</v>
      </c>
      <c r="Y27" s="41" t="s">
        <v>112</v>
      </c>
      <c r="Z27" s="41">
        <f>SUM(Z20:Z25)</f>
        <v>7.5</v>
      </c>
      <c r="AA27" s="84" t="s">
        <v>111</v>
      </c>
      <c r="AB27" s="88">
        <f>MIN(AB20:AB25)</f>
        <v>2.2000000000000002</v>
      </c>
    </row>
    <row r="30" spans="2:28">
      <c r="B30" s="83" t="s">
        <v>116</v>
      </c>
      <c r="C30" s="83"/>
      <c r="D30" s="83"/>
      <c r="E30" s="83"/>
      <c r="F30" s="83"/>
      <c r="G30" s="83"/>
      <c r="I30" s="83" t="s">
        <v>122</v>
      </c>
      <c r="J30" s="83"/>
      <c r="K30" s="83"/>
      <c r="L30" s="83"/>
      <c r="M30" s="83"/>
      <c r="N30" s="83"/>
    </row>
    <row r="32" spans="2:28">
      <c r="C32" s="41"/>
      <c r="D32" s="87" t="s">
        <v>105</v>
      </c>
      <c r="E32" s="87"/>
      <c r="F32" s="41"/>
      <c r="G32" s="41"/>
      <c r="J32" s="41"/>
      <c r="K32" s="87" t="s">
        <v>105</v>
      </c>
      <c r="L32" s="87"/>
      <c r="M32" s="41"/>
      <c r="N32" s="41"/>
    </row>
    <row r="33" spans="2:14">
      <c r="B33" s="51" t="s">
        <v>98</v>
      </c>
      <c r="C33" s="51" t="s">
        <v>108</v>
      </c>
      <c r="D33" s="51" t="s">
        <v>109</v>
      </c>
      <c r="E33" s="51" t="s">
        <v>110</v>
      </c>
      <c r="F33" s="51" t="s">
        <v>107</v>
      </c>
      <c r="G33" s="51" t="s">
        <v>106</v>
      </c>
      <c r="I33" s="51" t="s">
        <v>98</v>
      </c>
      <c r="J33" s="51" t="s">
        <v>108</v>
      </c>
      <c r="K33" s="51" t="s">
        <v>109</v>
      </c>
      <c r="L33" s="51" t="s">
        <v>110</v>
      </c>
      <c r="M33" s="51" t="s">
        <v>107</v>
      </c>
      <c r="N33" s="51" t="s">
        <v>106</v>
      </c>
    </row>
    <row r="34" spans="2:14">
      <c r="B34" s="41" t="s">
        <v>99</v>
      </c>
      <c r="C34">
        <v>100</v>
      </c>
      <c r="D34">
        <v>0.5</v>
      </c>
      <c r="E34">
        <v>0.5</v>
      </c>
      <c r="G34" s="82"/>
      <c r="I34" s="41" t="s">
        <v>99</v>
      </c>
      <c r="J34">
        <v>100</v>
      </c>
      <c r="K34">
        <v>0.5</v>
      </c>
      <c r="N34" s="82"/>
    </row>
    <row r="35" spans="2:14">
      <c r="B35" s="41" t="s">
        <v>100</v>
      </c>
      <c r="C35">
        <v>100</v>
      </c>
      <c r="D35">
        <v>1</v>
      </c>
      <c r="E35">
        <v>1</v>
      </c>
      <c r="G35" s="82"/>
      <c r="I35" s="41" t="s">
        <v>100</v>
      </c>
      <c r="J35">
        <v>100</v>
      </c>
      <c r="K35">
        <v>1</v>
      </c>
      <c r="L35" s="82">
        <f>(K39-K35)+SUM(K34:K39)</f>
        <v>21</v>
      </c>
      <c r="N35" s="82"/>
    </row>
    <row r="36" spans="2:14">
      <c r="B36" s="41" t="s">
        <v>101</v>
      </c>
      <c r="C36">
        <v>100</v>
      </c>
      <c r="G36" s="82"/>
      <c r="I36" s="41" t="s">
        <v>101</v>
      </c>
      <c r="J36">
        <v>100</v>
      </c>
      <c r="L36" s="82"/>
      <c r="N36" s="82"/>
    </row>
    <row r="37" spans="2:14">
      <c r="B37" s="41" t="s">
        <v>102</v>
      </c>
      <c r="C37">
        <v>100</v>
      </c>
      <c r="G37" s="82"/>
      <c r="I37" s="41" t="s">
        <v>102</v>
      </c>
      <c r="J37">
        <v>100</v>
      </c>
      <c r="L37" s="82"/>
      <c r="N37" s="82"/>
    </row>
    <row r="38" spans="2:14">
      <c r="B38" s="41" t="s">
        <v>103</v>
      </c>
      <c r="C38">
        <v>100</v>
      </c>
      <c r="D38">
        <f>2*D35+SUM(D34:D35)</f>
        <v>3.5</v>
      </c>
      <c r="E38">
        <f>8.5</f>
        <v>8.5</v>
      </c>
      <c r="F38">
        <f t="shared" ref="F38" si="36">C38-E38</f>
        <v>91.5</v>
      </c>
      <c r="G38" s="82">
        <f t="shared" ref="G38:G39" si="37">F38/SUM(E$34:E$39)</f>
        <v>4.9459459459459456</v>
      </c>
      <c r="I38" s="41" t="s">
        <v>103</v>
      </c>
      <c r="J38">
        <v>100</v>
      </c>
      <c r="K38">
        <f>2*K35+SUM(K34:K35)</f>
        <v>3.5</v>
      </c>
      <c r="L38" s="82">
        <f>21</f>
        <v>21</v>
      </c>
      <c r="M38">
        <f t="shared" ref="M38:M39" si="38">J38-L38</f>
        <v>79</v>
      </c>
      <c r="N38" s="82">
        <f t="shared" ref="N38:N39" si="39">M38/SUM(L$34:L$39)</f>
        <v>1.253968253968254</v>
      </c>
    </row>
    <row r="39" spans="2:14">
      <c r="B39" s="41" t="s">
        <v>104</v>
      </c>
      <c r="C39">
        <v>100</v>
      </c>
      <c r="D39">
        <f>2*D38+SUM(D34:D37)</f>
        <v>8.5</v>
      </c>
      <c r="E39">
        <f>8.5</f>
        <v>8.5</v>
      </c>
      <c r="F39">
        <f t="shared" ref="F39" si="40">C39-E39</f>
        <v>91.5</v>
      </c>
      <c r="G39" s="82">
        <f t="shared" si="37"/>
        <v>4.9459459459459456</v>
      </c>
      <c r="I39" s="41" t="s">
        <v>104</v>
      </c>
      <c r="J39">
        <v>100</v>
      </c>
      <c r="K39">
        <f>2*K38+SUM(K34:K37)</f>
        <v>8.5</v>
      </c>
      <c r="L39" s="82">
        <f>21</f>
        <v>21</v>
      </c>
      <c r="M39">
        <f t="shared" si="38"/>
        <v>79</v>
      </c>
      <c r="N39" s="82">
        <f t="shared" si="39"/>
        <v>1.253968253968254</v>
      </c>
    </row>
    <row r="41" spans="2:14">
      <c r="D41" s="41" t="s">
        <v>112</v>
      </c>
      <c r="E41" s="41">
        <f>SUM(E34:E39)</f>
        <v>18.5</v>
      </c>
      <c r="F41" s="84" t="s">
        <v>111</v>
      </c>
      <c r="G41" s="88">
        <f>MIN(G34:G39)</f>
        <v>4.9459459459459456</v>
      </c>
      <c r="K41" s="41" t="s">
        <v>112</v>
      </c>
      <c r="L41" s="41">
        <f>SUM(L34:L39)</f>
        <v>63</v>
      </c>
      <c r="M41" s="84" t="s">
        <v>111</v>
      </c>
      <c r="N41" s="88">
        <f>MIN(N34:N39)</f>
        <v>1.253968253968254</v>
      </c>
    </row>
  </sheetData>
  <mergeCells count="20">
    <mergeCell ref="B30:G30"/>
    <mergeCell ref="D32:E32"/>
    <mergeCell ref="I30:N30"/>
    <mergeCell ref="K32:L32"/>
    <mergeCell ref="W2:AB2"/>
    <mergeCell ref="Y4:Z4"/>
    <mergeCell ref="B16:G16"/>
    <mergeCell ref="D18:E18"/>
    <mergeCell ref="I16:N16"/>
    <mergeCell ref="K18:L18"/>
    <mergeCell ref="P16:U16"/>
    <mergeCell ref="R18:S18"/>
    <mergeCell ref="W16:AB16"/>
    <mergeCell ref="Y18:Z18"/>
    <mergeCell ref="B2:G2"/>
    <mergeCell ref="D4:E4"/>
    <mergeCell ref="I2:N2"/>
    <mergeCell ref="K4:L4"/>
    <mergeCell ref="P2:U2"/>
    <mergeCell ref="R4:S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3" sqref="B3"/>
    </sheetView>
  </sheetViews>
  <sheetFormatPr baseColWidth="10" defaultRowHeight="15" x14ac:dyDescent="0"/>
  <sheetData>
    <row r="2" spans="2:4">
      <c r="B2" s="90">
        <v>0.5</v>
      </c>
      <c r="C2">
        <v>6</v>
      </c>
      <c r="D2">
        <f>B2*C2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D25" sqref="D25"/>
    </sheetView>
  </sheetViews>
  <sheetFormatPr baseColWidth="10" defaultRowHeight="15" x14ac:dyDescent="0"/>
  <cols>
    <col min="2" max="2" width="15.1640625" bestFit="1" customWidth="1"/>
    <col min="3" max="5" width="7.5" bestFit="1" customWidth="1"/>
    <col min="6" max="8" width="10.33203125" bestFit="1" customWidth="1"/>
    <col min="10" max="10" width="10.1640625" style="41" bestFit="1" customWidth="1"/>
    <col min="11" max="13" width="7.5" bestFit="1" customWidth="1"/>
    <col min="14" max="14" width="2.33203125" customWidth="1"/>
    <col min="15" max="15" width="10.1640625" style="41" bestFit="1" customWidth="1"/>
    <col min="16" max="18" width="10.33203125" bestFit="1" customWidth="1"/>
  </cols>
  <sheetData>
    <row r="2" spans="2:18">
      <c r="B2" s="89" t="s">
        <v>146</v>
      </c>
    </row>
    <row r="4" spans="2:18" s="41" customFormat="1" ht="16">
      <c r="B4" s="93"/>
      <c r="C4" s="100" t="s">
        <v>165</v>
      </c>
      <c r="D4" s="100"/>
      <c r="E4" s="100"/>
      <c r="F4" s="100"/>
      <c r="G4" s="100"/>
      <c r="H4" s="100"/>
      <c r="J4" s="100" t="s">
        <v>161</v>
      </c>
      <c r="K4" s="100"/>
      <c r="L4" s="100"/>
      <c r="M4" s="100"/>
      <c r="O4" s="100" t="s">
        <v>162</v>
      </c>
      <c r="P4" s="100"/>
      <c r="Q4" s="100"/>
      <c r="R4" s="100"/>
    </row>
    <row r="5" spans="2:18" s="41" customFormat="1">
      <c r="B5" s="102" t="s">
        <v>166</v>
      </c>
      <c r="C5" s="101" t="s">
        <v>152</v>
      </c>
      <c r="D5" s="101" t="s">
        <v>153</v>
      </c>
      <c r="E5" s="101" t="s">
        <v>154</v>
      </c>
      <c r="F5" s="101" t="s">
        <v>160</v>
      </c>
      <c r="G5" s="101" t="s">
        <v>155</v>
      </c>
      <c r="H5" s="101" t="s">
        <v>156</v>
      </c>
      <c r="J5" s="102" t="s">
        <v>166</v>
      </c>
      <c r="K5" s="101" t="s">
        <v>152</v>
      </c>
      <c r="L5" s="101" t="s">
        <v>153</v>
      </c>
      <c r="M5" s="101" t="s">
        <v>154</v>
      </c>
      <c r="N5" s="92"/>
      <c r="O5" s="102" t="s">
        <v>166</v>
      </c>
      <c r="P5" s="101" t="s">
        <v>160</v>
      </c>
      <c r="Q5" s="101" t="s">
        <v>155</v>
      </c>
      <c r="R5" s="101" t="s">
        <v>156</v>
      </c>
    </row>
    <row r="6" spans="2:18">
      <c r="B6" s="103" t="s">
        <v>145</v>
      </c>
      <c r="C6" s="94">
        <v>0.43889699999999998</v>
      </c>
      <c r="D6" s="95">
        <v>0.50706300000000004</v>
      </c>
      <c r="E6" s="96">
        <v>0.53897600000000001</v>
      </c>
      <c r="F6" s="94">
        <v>0.25898900000000002</v>
      </c>
      <c r="G6" s="95">
        <v>0.32285900000000001</v>
      </c>
      <c r="H6" s="96">
        <v>0.361122</v>
      </c>
      <c r="J6" s="41" t="s">
        <v>145</v>
      </c>
      <c r="K6" s="91">
        <f>C6-$C$6</f>
        <v>0</v>
      </c>
      <c r="L6" s="91">
        <f>D6-$C$6</f>
        <v>6.816600000000006E-2</v>
      </c>
      <c r="M6" s="91">
        <f>E6-$C$6</f>
        <v>0.10007900000000003</v>
      </c>
      <c r="N6" s="91"/>
      <c r="O6" s="41" t="s">
        <v>145</v>
      </c>
      <c r="P6" s="91">
        <f>F6-$F$6</f>
        <v>0</v>
      </c>
      <c r="Q6" s="91">
        <f t="shared" ref="Q6:R6" si="0">G6-$F$6</f>
        <v>6.3869999999999982E-2</v>
      </c>
      <c r="R6" s="91">
        <f t="shared" si="0"/>
        <v>0.10213299999999997</v>
      </c>
    </row>
    <row r="7" spans="2:18">
      <c r="B7" s="104" t="s">
        <v>157</v>
      </c>
      <c r="C7" s="94">
        <v>0.44843300000000003</v>
      </c>
      <c r="D7" s="95">
        <v>0.52564299999999997</v>
      </c>
      <c r="E7" s="96">
        <v>0.555898</v>
      </c>
      <c r="F7" s="94">
        <v>0.25911000000000001</v>
      </c>
      <c r="G7" s="95">
        <v>0.33429999999999999</v>
      </c>
      <c r="H7" s="96">
        <v>0.37831900000000002</v>
      </c>
      <c r="J7" s="41" t="s">
        <v>157</v>
      </c>
      <c r="K7" s="91">
        <f t="shared" ref="K7:K9" si="1">C7-$C$6</f>
        <v>9.5360000000000444E-3</v>
      </c>
      <c r="L7" s="91">
        <f>D7-$C$6</f>
        <v>8.674599999999999E-2</v>
      </c>
      <c r="M7" s="91">
        <f>E7-$C$6</f>
        <v>0.11700100000000002</v>
      </c>
      <c r="N7" s="91"/>
      <c r="O7" s="41" t="s">
        <v>157</v>
      </c>
      <c r="P7" s="91">
        <f t="shared" ref="P7:P9" si="2">F7-$F$6</f>
        <v>1.2099999999998223E-4</v>
      </c>
      <c r="Q7" s="91">
        <f t="shared" ref="Q7:Q9" si="3">G7-$F$6</f>
        <v>7.5310999999999961E-2</v>
      </c>
      <c r="R7" s="91">
        <f t="shared" ref="R7:R9" si="4">H7-$F$6</f>
        <v>0.11932999999999999</v>
      </c>
    </row>
    <row r="8" spans="2:18">
      <c r="B8" s="104" t="s">
        <v>158</v>
      </c>
      <c r="C8" s="94">
        <v>0.44913999999999998</v>
      </c>
      <c r="D8" s="95">
        <v>0.52464299999999997</v>
      </c>
      <c r="E8" s="96">
        <v>0.55532800000000004</v>
      </c>
      <c r="F8" s="94">
        <v>0.25990000000000002</v>
      </c>
      <c r="G8" s="95">
        <v>0.33482200000000001</v>
      </c>
      <c r="H8" s="96">
        <v>0.378635</v>
      </c>
      <c r="J8" s="41" t="s">
        <v>158</v>
      </c>
      <c r="K8" s="91">
        <f t="shared" si="1"/>
        <v>1.0243000000000002E-2</v>
      </c>
      <c r="L8" s="91">
        <f>D8-$C$6</f>
        <v>8.5745999999999989E-2</v>
      </c>
      <c r="M8" s="91">
        <f>E8-$C$6</f>
        <v>0.11643100000000006</v>
      </c>
      <c r="N8" s="91"/>
      <c r="O8" s="41" t="s">
        <v>158</v>
      </c>
      <c r="P8" s="91">
        <f t="shared" si="2"/>
        <v>9.1099999999999515E-4</v>
      </c>
      <c r="Q8" s="91">
        <f t="shared" si="3"/>
        <v>7.5832999999999984E-2</v>
      </c>
      <c r="R8" s="91">
        <f t="shared" si="4"/>
        <v>0.11964599999999997</v>
      </c>
    </row>
    <row r="9" spans="2:18">
      <c r="B9" s="105" t="s">
        <v>159</v>
      </c>
      <c r="C9" s="97">
        <v>0.448992</v>
      </c>
      <c r="D9" s="98">
        <v>0.527111</v>
      </c>
      <c r="E9" s="99">
        <v>0.55767599999999995</v>
      </c>
      <c r="F9" s="97">
        <v>0.26091300000000001</v>
      </c>
      <c r="G9" s="98">
        <v>0.33515099999999998</v>
      </c>
      <c r="H9" s="99">
        <v>0.38070999999999999</v>
      </c>
      <c r="J9" s="41" t="s">
        <v>159</v>
      </c>
      <c r="K9" s="91">
        <f t="shared" si="1"/>
        <v>1.0095000000000021E-2</v>
      </c>
      <c r="L9" s="91">
        <f>D9-$C$6</f>
        <v>8.8214000000000015E-2</v>
      </c>
      <c r="M9" s="91">
        <f>E9-$C$6</f>
        <v>0.11877899999999997</v>
      </c>
      <c r="N9" s="91"/>
      <c r="O9" s="41" t="s">
        <v>159</v>
      </c>
      <c r="P9" s="91">
        <f t="shared" si="2"/>
        <v>1.9239999999999813E-3</v>
      </c>
      <c r="Q9" s="91">
        <f t="shared" si="3"/>
        <v>7.6161999999999952E-2</v>
      </c>
      <c r="R9" s="91">
        <f t="shared" si="4"/>
        <v>0.12172099999999997</v>
      </c>
    </row>
    <row r="11" spans="2:18" ht="16">
      <c r="J11" s="100" t="s">
        <v>164</v>
      </c>
      <c r="K11" s="100"/>
      <c r="L11" s="100"/>
      <c r="M11" s="100"/>
      <c r="N11" s="41"/>
      <c r="O11" s="100" t="s">
        <v>163</v>
      </c>
      <c r="P11" s="100"/>
      <c r="Q11" s="100"/>
      <c r="R11" s="100"/>
    </row>
    <row r="12" spans="2:18" s="41" customFormat="1">
      <c r="J12" s="102" t="s">
        <v>166</v>
      </c>
      <c r="K12" s="101" t="s">
        <v>152</v>
      </c>
      <c r="L12" s="101" t="s">
        <v>153</v>
      </c>
      <c r="M12" s="101" t="s">
        <v>154</v>
      </c>
      <c r="N12" s="92"/>
      <c r="O12" s="102" t="s">
        <v>166</v>
      </c>
      <c r="P12" s="101" t="s">
        <v>160</v>
      </c>
      <c r="Q12" s="101" t="s">
        <v>155</v>
      </c>
      <c r="R12" s="101" t="s">
        <v>156</v>
      </c>
    </row>
    <row r="13" spans="2:18">
      <c r="J13" s="41" t="s">
        <v>145</v>
      </c>
      <c r="K13" s="91">
        <f>C6-$C$6</f>
        <v>0</v>
      </c>
      <c r="L13" s="91">
        <f>D6-$D$6</f>
        <v>0</v>
      </c>
      <c r="M13" s="91">
        <f>E6-$E$6</f>
        <v>0</v>
      </c>
      <c r="N13" s="91"/>
      <c r="O13" s="41" t="s">
        <v>145</v>
      </c>
      <c r="P13" s="91">
        <f>F6-$F$6</f>
        <v>0</v>
      </c>
      <c r="Q13" s="91">
        <f>G6-$G$6</f>
        <v>0</v>
      </c>
      <c r="R13" s="91">
        <f>H6-$H$6</f>
        <v>0</v>
      </c>
    </row>
    <row r="14" spans="2:18">
      <c r="J14" s="41" t="s">
        <v>157</v>
      </c>
      <c r="K14" s="91">
        <f t="shared" ref="K14:K16" si="5">C7-$C$6</f>
        <v>9.5360000000000444E-3</v>
      </c>
      <c r="L14" s="91">
        <f t="shared" ref="L14:L16" si="6">D7-$D$6</f>
        <v>1.857999999999993E-2</v>
      </c>
      <c r="M14" s="91">
        <f t="shared" ref="M14:M16" si="7">E7-$E$6</f>
        <v>1.6921999999999993E-2</v>
      </c>
      <c r="N14" s="91"/>
      <c r="O14" s="41" t="s">
        <v>157</v>
      </c>
      <c r="P14" s="91">
        <f t="shared" ref="P14:P16" si="8">F7-$F$6</f>
        <v>1.2099999999998223E-4</v>
      </c>
      <c r="Q14" s="91">
        <f t="shared" ref="Q14:Q16" si="9">G7-$G$6</f>
        <v>1.1440999999999979E-2</v>
      </c>
      <c r="R14" s="91">
        <f t="shared" ref="R14:R16" si="10">H7-$H$6</f>
        <v>1.7197000000000018E-2</v>
      </c>
    </row>
    <row r="15" spans="2:18">
      <c r="J15" s="41" t="s">
        <v>158</v>
      </c>
      <c r="K15" s="91">
        <f t="shared" si="5"/>
        <v>1.0243000000000002E-2</v>
      </c>
      <c r="L15" s="91">
        <f t="shared" si="6"/>
        <v>1.7579999999999929E-2</v>
      </c>
      <c r="M15" s="91">
        <f t="shared" si="7"/>
        <v>1.6352000000000033E-2</v>
      </c>
      <c r="N15" s="91"/>
      <c r="O15" s="41" t="s">
        <v>158</v>
      </c>
      <c r="P15" s="91">
        <f t="shared" si="8"/>
        <v>9.1099999999999515E-4</v>
      </c>
      <c r="Q15" s="91">
        <f t="shared" si="9"/>
        <v>1.1963000000000001E-2</v>
      </c>
      <c r="R15" s="91">
        <f t="shared" si="10"/>
        <v>1.7513000000000001E-2</v>
      </c>
    </row>
    <row r="16" spans="2:18">
      <c r="J16" s="41" t="s">
        <v>159</v>
      </c>
      <c r="K16" s="91">
        <f t="shared" si="5"/>
        <v>1.0095000000000021E-2</v>
      </c>
      <c r="L16" s="91">
        <f t="shared" si="6"/>
        <v>2.0047999999999955E-2</v>
      </c>
      <c r="M16" s="91">
        <f t="shared" si="7"/>
        <v>1.8699999999999939E-2</v>
      </c>
      <c r="N16" s="91"/>
      <c r="O16" s="41" t="s">
        <v>159</v>
      </c>
      <c r="P16" s="91">
        <f t="shared" si="8"/>
        <v>1.9239999999999813E-3</v>
      </c>
      <c r="Q16" s="91">
        <f t="shared" si="9"/>
        <v>1.229199999999997E-2</v>
      </c>
      <c r="R16" s="91">
        <f t="shared" si="10"/>
        <v>1.9587999999999994E-2</v>
      </c>
    </row>
    <row r="19" spans="2:8">
      <c r="B19" s="93"/>
      <c r="C19" s="83" t="s">
        <v>165</v>
      </c>
      <c r="D19" s="83"/>
      <c r="E19" s="83"/>
      <c r="F19" s="83"/>
      <c r="G19" s="83"/>
      <c r="H19" s="83"/>
    </row>
    <row r="20" spans="2:8">
      <c r="B20" s="41" t="s">
        <v>166</v>
      </c>
      <c r="C20" s="92" t="s">
        <v>152</v>
      </c>
      <c r="D20" s="92" t="s">
        <v>153</v>
      </c>
      <c r="E20" s="92" t="s">
        <v>154</v>
      </c>
      <c r="F20" s="92" t="s">
        <v>160</v>
      </c>
      <c r="G20" s="92" t="s">
        <v>155</v>
      </c>
      <c r="H20" s="92" t="s">
        <v>156</v>
      </c>
    </row>
    <row r="21" spans="2:8">
      <c r="B21" s="41" t="s">
        <v>145</v>
      </c>
      <c r="C21" s="91">
        <v>0.43889699999999998</v>
      </c>
      <c r="D21" s="91">
        <v>0.50706300000000004</v>
      </c>
      <c r="E21" s="91">
        <v>0.53897600000000001</v>
      </c>
      <c r="F21" s="91">
        <v>0.25898900000000002</v>
      </c>
      <c r="G21" s="91">
        <v>0.32285900000000001</v>
      </c>
      <c r="H21" s="91">
        <v>0.361122</v>
      </c>
    </row>
    <row r="22" spans="2:8">
      <c r="B22" s="41" t="s">
        <v>147</v>
      </c>
      <c r="C22" s="91">
        <v>0.43764199999999998</v>
      </c>
      <c r="D22" s="91">
        <v>0.50279799999999997</v>
      </c>
      <c r="E22" s="91">
        <v>0.53458799999999995</v>
      </c>
    </row>
    <row r="23" spans="2:8">
      <c r="B23" s="41" t="s">
        <v>148</v>
      </c>
      <c r="C23" s="91">
        <v>0.43820100000000001</v>
      </c>
      <c r="D23" s="91">
        <v>0.50433300000000003</v>
      </c>
      <c r="E23" s="91">
        <v>0.53419700000000003</v>
      </c>
    </row>
    <row r="24" spans="2:8">
      <c r="B24" s="41" t="s">
        <v>149</v>
      </c>
      <c r="C24" s="91">
        <v>0.42717300000000002</v>
      </c>
      <c r="D24" s="91">
        <v>0.49092599999999997</v>
      </c>
      <c r="E24" s="91">
        <v>0.52999799999999997</v>
      </c>
    </row>
    <row r="25" spans="2:8">
      <c r="B25" s="41" t="s">
        <v>150</v>
      </c>
      <c r="C25" s="91">
        <v>0.42891699999999999</v>
      </c>
      <c r="D25" s="91">
        <v>0.48901800000000001</v>
      </c>
      <c r="E25" s="91">
        <v>0.52860799999999997</v>
      </c>
    </row>
    <row r="26" spans="2:8">
      <c r="B26" s="41" t="s">
        <v>151</v>
      </c>
      <c r="C26" s="91">
        <v>0.42938300000000001</v>
      </c>
      <c r="D26" s="91">
        <v>0.48646200000000001</v>
      </c>
      <c r="E26" s="91">
        <v>0.52602800000000005</v>
      </c>
    </row>
  </sheetData>
  <mergeCells count="6">
    <mergeCell ref="J4:M4"/>
    <mergeCell ref="O4:R4"/>
    <mergeCell ref="J11:M11"/>
    <mergeCell ref="O11:R11"/>
    <mergeCell ref="C4:H4"/>
    <mergeCell ref="C19:H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2"/>
  <sheetViews>
    <sheetView topLeftCell="A2" workbookViewId="0">
      <selection activeCell="F62" sqref="F62"/>
    </sheetView>
  </sheetViews>
  <sheetFormatPr baseColWidth="10" defaultRowHeight="15" x14ac:dyDescent="0"/>
  <cols>
    <col min="1" max="1" width="2.33203125" customWidth="1"/>
    <col min="2" max="2" width="14.83203125" bestFit="1" customWidth="1"/>
    <col min="3" max="3" width="11.5" bestFit="1" customWidth="1"/>
    <col min="4" max="4" width="2.33203125" customWidth="1"/>
    <col min="5" max="5" width="21.5" bestFit="1" customWidth="1"/>
    <col min="6" max="6" width="8.1640625" bestFit="1" customWidth="1"/>
    <col min="7" max="7" width="13.1640625" bestFit="1" customWidth="1"/>
    <col min="8" max="8" width="9.5" bestFit="1" customWidth="1"/>
    <col min="9" max="9" width="8.1640625" bestFit="1" customWidth="1"/>
    <col min="10" max="10" width="9.5" bestFit="1" customWidth="1"/>
    <col min="11" max="11" width="2.33203125" customWidth="1"/>
    <col min="12" max="12" width="13.83203125" bestFit="1" customWidth="1"/>
    <col min="13" max="13" width="11.1640625" bestFit="1" customWidth="1"/>
    <col min="14" max="14" width="10.83203125" bestFit="1" customWidth="1"/>
    <col min="15" max="15" width="17.6640625" bestFit="1" customWidth="1"/>
    <col min="16" max="16" width="8" bestFit="1" customWidth="1"/>
    <col min="17" max="17" width="13.5" bestFit="1" customWidth="1"/>
    <col min="18" max="18" width="8" bestFit="1" customWidth="1"/>
    <col min="19" max="19" width="9" bestFit="1" customWidth="1"/>
    <col min="20" max="20" width="8.1640625" bestFit="1" customWidth="1"/>
    <col min="21" max="21" width="10.33203125" bestFit="1" customWidth="1"/>
    <col min="22" max="22" width="9.33203125" bestFit="1" customWidth="1"/>
    <col min="23" max="23" width="13.5" bestFit="1" customWidth="1"/>
    <col min="24" max="24" width="2.33203125" customWidth="1"/>
    <col min="25" max="25" width="10.33203125" bestFit="1" customWidth="1"/>
    <col min="26" max="26" width="6.5" bestFit="1" customWidth="1"/>
    <col min="27" max="28" width="7.1640625" bestFit="1" customWidth="1"/>
    <col min="29" max="29" width="8" bestFit="1" customWidth="1"/>
    <col min="30" max="30" width="13.1640625" bestFit="1" customWidth="1"/>
    <col min="31" max="31" width="6.5" bestFit="1" customWidth="1"/>
    <col min="32" max="32" width="7.1640625" bestFit="1" customWidth="1"/>
    <col min="33" max="33" width="8" bestFit="1" customWidth="1"/>
    <col min="34" max="35" width="9" bestFit="1" customWidth="1"/>
    <col min="36" max="36" width="9" customWidth="1"/>
    <col min="37" max="37" width="13.5" bestFit="1" customWidth="1"/>
  </cols>
  <sheetData>
    <row r="2" spans="2:37">
      <c r="L2" s="4"/>
      <c r="M2" s="4"/>
      <c r="N2" s="4"/>
      <c r="O2" s="76" t="s">
        <v>15</v>
      </c>
      <c r="P2" s="76"/>
      <c r="Q2" s="76" t="s">
        <v>16</v>
      </c>
      <c r="R2" s="76"/>
      <c r="S2" s="4"/>
      <c r="T2" s="76" t="s">
        <v>65</v>
      </c>
      <c r="U2" s="76"/>
      <c r="V2" s="76" t="s">
        <v>63</v>
      </c>
      <c r="W2" s="76"/>
      <c r="Z2" s="77" t="s">
        <v>95</v>
      </c>
      <c r="AA2" s="78"/>
      <c r="AB2" s="78"/>
      <c r="AC2" s="79"/>
      <c r="AE2" s="77" t="s">
        <v>96</v>
      </c>
      <c r="AF2" s="78"/>
      <c r="AG2" s="78"/>
      <c r="AH2" s="79"/>
    </row>
    <row r="3" spans="2:37">
      <c r="B3" s="51" t="s">
        <v>0</v>
      </c>
      <c r="C3" s="39">
        <f>COMBIN(52,4)</f>
        <v>270725.00000000006</v>
      </c>
      <c r="E3" s="49" t="s">
        <v>2</v>
      </c>
      <c r="F3" s="49" t="s">
        <v>3</v>
      </c>
      <c r="G3" s="49" t="s">
        <v>4</v>
      </c>
      <c r="H3" s="49" t="s">
        <v>5</v>
      </c>
      <c r="I3" s="49" t="s">
        <v>6</v>
      </c>
      <c r="J3" s="49" t="s">
        <v>7</v>
      </c>
      <c r="L3" s="49" t="s">
        <v>2</v>
      </c>
      <c r="M3" s="49" t="s">
        <v>14</v>
      </c>
      <c r="N3" s="49" t="s">
        <v>25</v>
      </c>
      <c r="O3" s="49" t="s">
        <v>19</v>
      </c>
      <c r="P3" s="49" t="s">
        <v>20</v>
      </c>
      <c r="Q3" s="49" t="s">
        <v>19</v>
      </c>
      <c r="R3" s="49" t="s">
        <v>20</v>
      </c>
      <c r="S3" s="49" t="s">
        <v>5</v>
      </c>
      <c r="T3" s="49" t="s">
        <v>6</v>
      </c>
      <c r="U3" s="49" t="s">
        <v>7</v>
      </c>
      <c r="V3" s="49" t="s">
        <v>6</v>
      </c>
      <c r="W3" s="49" t="s">
        <v>64</v>
      </c>
      <c r="Y3" s="49" t="s">
        <v>90</v>
      </c>
      <c r="Z3" s="49" t="s">
        <v>91</v>
      </c>
      <c r="AA3" s="49" t="s">
        <v>92</v>
      </c>
      <c r="AB3" s="49" t="s">
        <v>93</v>
      </c>
      <c r="AC3" s="49" t="s">
        <v>94</v>
      </c>
      <c r="AD3" s="49" t="s">
        <v>4</v>
      </c>
      <c r="AE3" s="49" t="s">
        <v>91</v>
      </c>
      <c r="AF3" s="49" t="s">
        <v>92</v>
      </c>
      <c r="AG3" s="49" t="s">
        <v>93</v>
      </c>
      <c r="AH3" s="49" t="s">
        <v>94</v>
      </c>
      <c r="AI3" s="49" t="s">
        <v>5</v>
      </c>
      <c r="AJ3" s="49" t="s">
        <v>6</v>
      </c>
      <c r="AK3" s="49" t="s">
        <v>64</v>
      </c>
    </row>
    <row r="4" spans="2:37">
      <c r="B4" s="51" t="s">
        <v>1</v>
      </c>
      <c r="C4" s="39">
        <v>16</v>
      </c>
      <c r="E4" s="41" t="s">
        <v>87</v>
      </c>
      <c r="F4" s="1">
        <v>1</v>
      </c>
      <c r="G4" s="1">
        <f>SUM(P4)</f>
        <v>13</v>
      </c>
      <c r="H4" s="1">
        <f>SUM(S4)</f>
        <v>13</v>
      </c>
      <c r="I4" s="2">
        <f>H4/$H$9</f>
        <v>4.8019207683073229E-5</v>
      </c>
      <c r="J4" s="44" t="str">
        <f>ROUND((1-I4)/I4,1)&amp;" : 1"</f>
        <v>20824 : 1</v>
      </c>
      <c r="L4" s="6" t="s">
        <v>17</v>
      </c>
      <c r="M4" s="52" t="s">
        <v>18</v>
      </c>
      <c r="N4" s="53" t="s">
        <v>68</v>
      </c>
      <c r="O4" s="25" t="s">
        <v>26</v>
      </c>
      <c r="P4" s="26">
        <f>COMBIN(13,1)</f>
        <v>13</v>
      </c>
      <c r="Q4" s="25" t="s">
        <v>21</v>
      </c>
      <c r="R4" s="26">
        <f>COMBIN(4,4)</f>
        <v>1</v>
      </c>
      <c r="S4" s="7">
        <f>P4*R4</f>
        <v>13</v>
      </c>
      <c r="T4" s="34">
        <f>(S4/P4)/$S$21</f>
        <v>3.6937852063902484E-6</v>
      </c>
      <c r="U4" s="9" t="str">
        <f>ROUND((1-T4)/T4,1)&amp;" : 1"</f>
        <v>270724 : 1</v>
      </c>
      <c r="V4" s="8">
        <f>S4/$S$21</f>
        <v>4.8019207683073229E-5</v>
      </c>
      <c r="W4" s="9" t="str">
        <f>ROUND((1-V4)/V4,1)&amp;" : 1"</f>
        <v>20824 : 1</v>
      </c>
      <c r="Y4" s="60">
        <v>0</v>
      </c>
      <c r="Z4" s="65">
        <v>13</v>
      </c>
      <c r="AA4" s="11">
        <v>224</v>
      </c>
      <c r="AB4" s="11">
        <v>72</v>
      </c>
      <c r="AC4" s="11"/>
      <c r="AD4" s="68">
        <f>SUM(Z4:AC4)</f>
        <v>309</v>
      </c>
      <c r="AE4" s="65">
        <v>13</v>
      </c>
      <c r="AF4" s="11">
        <v>2176</v>
      </c>
      <c r="AG4" s="11">
        <v>1152</v>
      </c>
      <c r="AH4" s="28"/>
      <c r="AI4" s="11">
        <f>SUM(AE4:AH4)</f>
        <v>3341</v>
      </c>
      <c r="AJ4" s="61">
        <f t="shared" ref="AJ4:AJ21" si="0">AI4/$AI$26</f>
        <v>1.234093637454982E-2</v>
      </c>
      <c r="AK4" s="13" t="str">
        <f>ROUND((1-AJ4)/AJ4,1)&amp;" : 1"</f>
        <v>80 : 1</v>
      </c>
    </row>
    <row r="5" spans="2:37">
      <c r="B5" s="51" t="s">
        <v>61</v>
      </c>
      <c r="C5" s="39">
        <f>P21</f>
        <v>16432</v>
      </c>
      <c r="E5" s="41" t="s">
        <v>83</v>
      </c>
      <c r="F5" s="1">
        <v>2</v>
      </c>
      <c r="G5" s="1">
        <f>SUM(P5:P6)</f>
        <v>312</v>
      </c>
      <c r="H5" s="1">
        <f>SUM(S5:S6)</f>
        <v>2496</v>
      </c>
      <c r="I5" s="2">
        <f t="shared" ref="I5:I8" si="1">H5/$H$9</f>
        <v>9.2196878751500608E-3</v>
      </c>
      <c r="J5" s="44" t="str">
        <f t="shared" ref="J5:J8" si="2">ROUND((1-I5)/I5,1)&amp;" : 1"</f>
        <v>107.5 : 1</v>
      </c>
      <c r="L5" s="80" t="s">
        <v>22</v>
      </c>
      <c r="M5" s="54" t="s">
        <v>23</v>
      </c>
      <c r="N5" s="55" t="s">
        <v>69</v>
      </c>
      <c r="O5" s="27" t="s">
        <v>27</v>
      </c>
      <c r="P5" s="28">
        <f>COMBIN(13,1)*COMBIN(12,1)</f>
        <v>156</v>
      </c>
      <c r="Q5" s="27" t="s">
        <v>28</v>
      </c>
      <c r="R5" s="28">
        <f>COMBIN(4,3)*COMBIN(3,1)</f>
        <v>12</v>
      </c>
      <c r="S5" s="11">
        <f t="shared" ref="S5:S19" si="3">P5*R5</f>
        <v>1872</v>
      </c>
      <c r="T5" s="35">
        <f>(S5/P5)/$S$21</f>
        <v>4.4325422476682978E-5</v>
      </c>
      <c r="U5" s="13" t="str">
        <f>ROUND((1-T5)/T5,1)&amp;" : 1"</f>
        <v>22559.4 : 1</v>
      </c>
      <c r="V5" s="12">
        <f t="shared" ref="V5:V19" si="4">S5/$S$21</f>
        <v>6.9147659063625447E-3</v>
      </c>
      <c r="W5" s="13" t="str">
        <f t="shared" ref="W5:W19" si="5">ROUND((1-V5)/V5,1)&amp;" : 1"</f>
        <v>143.6 : 1</v>
      </c>
      <c r="Y5" s="62">
        <v>1</v>
      </c>
      <c r="Z5" s="66"/>
      <c r="AA5" s="20">
        <v>112</v>
      </c>
      <c r="AB5" s="20">
        <v>468</v>
      </c>
      <c r="AC5" s="20"/>
      <c r="AD5" s="69">
        <f t="shared" ref="AD5:AD24" si="6">SUM(Z5:AC5)</f>
        <v>580</v>
      </c>
      <c r="AE5" s="66"/>
      <c r="AF5" s="20">
        <v>1088</v>
      </c>
      <c r="AG5" s="20">
        <v>7488</v>
      </c>
      <c r="AH5" s="32"/>
      <c r="AI5" s="20">
        <f t="shared" ref="AI5:AI24" si="7">SUM(AE5:AH5)</f>
        <v>8576</v>
      </c>
      <c r="AJ5" s="63">
        <f t="shared" si="0"/>
        <v>3.1677901930002771E-2</v>
      </c>
      <c r="AK5" s="22" t="str">
        <f t="shared" ref="AK5:AK24" si="8">ROUND((1-AJ5)/AJ5,1)&amp;" : 1"</f>
        <v>30.6 : 1</v>
      </c>
    </row>
    <row r="6" spans="2:37">
      <c r="E6" s="41" t="s">
        <v>84</v>
      </c>
      <c r="F6" s="1">
        <v>3</v>
      </c>
      <c r="G6" s="1">
        <f>SUM(P7:P9)</f>
        <v>234</v>
      </c>
      <c r="H6" s="1">
        <f>SUM(S7:S9)</f>
        <v>2808</v>
      </c>
      <c r="I6" s="2">
        <f t="shared" si="1"/>
        <v>1.0372148859543818E-2</v>
      </c>
      <c r="J6" s="44" t="str">
        <f t="shared" si="2"/>
        <v>95.4 : 1</v>
      </c>
      <c r="L6" s="80"/>
      <c r="M6" s="56" t="s">
        <v>24</v>
      </c>
      <c r="N6" s="57" t="s">
        <v>70</v>
      </c>
      <c r="O6" s="29" t="s">
        <v>27</v>
      </c>
      <c r="P6" s="30">
        <f>COMBIN(13,1)*COMBIN(12,1)</f>
        <v>156</v>
      </c>
      <c r="Q6" s="29" t="s">
        <v>29</v>
      </c>
      <c r="R6" s="30">
        <f>COMBIN(4,3)</f>
        <v>4</v>
      </c>
      <c r="S6" s="16">
        <f t="shared" si="3"/>
        <v>624</v>
      </c>
      <c r="T6" s="36">
        <f t="shared" ref="T6:T19" si="9">(S6/P6)/$S$21</f>
        <v>1.4775140825560994E-5</v>
      </c>
      <c r="U6" s="18" t="str">
        <f t="shared" ref="U6:U19" si="10">ROUND((1-T6)/T6,1)&amp;" : 1"</f>
        <v>67680.3 : 1</v>
      </c>
      <c r="V6" s="17">
        <f t="shared" si="4"/>
        <v>2.3049219687875152E-3</v>
      </c>
      <c r="W6" s="18" t="str">
        <f t="shared" si="5"/>
        <v>432.9 : 1</v>
      </c>
      <c r="Y6" s="62">
        <v>2</v>
      </c>
      <c r="Z6" s="66"/>
      <c r="AA6" s="20">
        <v>91</v>
      </c>
      <c r="AB6" s="20">
        <v>1314</v>
      </c>
      <c r="AC6" s="20">
        <v>240</v>
      </c>
      <c r="AD6" s="69">
        <f t="shared" si="6"/>
        <v>1645</v>
      </c>
      <c r="AE6" s="66"/>
      <c r="AF6" s="20">
        <v>884</v>
      </c>
      <c r="AG6" s="20">
        <v>21024</v>
      </c>
      <c r="AH6" s="32">
        <v>4096</v>
      </c>
      <c r="AI6" s="20">
        <f t="shared" si="7"/>
        <v>26004</v>
      </c>
      <c r="AJ6" s="63">
        <f t="shared" si="0"/>
        <v>9.6053190506972017E-2</v>
      </c>
      <c r="AK6" s="22" t="str">
        <f t="shared" si="8"/>
        <v>9.4 : 1</v>
      </c>
    </row>
    <row r="7" spans="2:37">
      <c r="E7" s="41" t="s">
        <v>85</v>
      </c>
      <c r="F7" s="1">
        <v>5</v>
      </c>
      <c r="G7" s="1">
        <f>SUM(P10:P14)</f>
        <v>5148</v>
      </c>
      <c r="H7" s="1">
        <f>SUM(S10:S14)</f>
        <v>82368</v>
      </c>
      <c r="I7" s="2">
        <f t="shared" si="1"/>
        <v>0.30424969987995198</v>
      </c>
      <c r="J7" s="44" t="str">
        <f t="shared" si="2"/>
        <v>2.3 : 1</v>
      </c>
      <c r="L7" s="80" t="s">
        <v>30</v>
      </c>
      <c r="M7" s="54" t="s">
        <v>33</v>
      </c>
      <c r="N7" s="55" t="s">
        <v>71</v>
      </c>
      <c r="O7" s="27" t="s">
        <v>46</v>
      </c>
      <c r="P7" s="28">
        <f>COMBIN(13,2)</f>
        <v>78</v>
      </c>
      <c r="Q7" s="27" t="s">
        <v>53</v>
      </c>
      <c r="R7" s="28">
        <f>COMBIN(4,2)</f>
        <v>6</v>
      </c>
      <c r="S7" s="11">
        <f t="shared" si="3"/>
        <v>468</v>
      </c>
      <c r="T7" s="35">
        <f t="shared" si="9"/>
        <v>2.2162711238341489E-5</v>
      </c>
      <c r="U7" s="13" t="str">
        <f t="shared" si="10"/>
        <v>45119.8 : 1</v>
      </c>
      <c r="V7" s="12">
        <f t="shared" si="4"/>
        <v>1.7286914765906362E-3</v>
      </c>
      <c r="W7" s="13" t="str">
        <f t="shared" si="5"/>
        <v>577.5 : 1</v>
      </c>
      <c r="Y7" s="62">
        <v>3</v>
      </c>
      <c r="Z7" s="66"/>
      <c r="AA7" s="20">
        <v>70</v>
      </c>
      <c r="AB7" s="20">
        <v>972</v>
      </c>
      <c r="AC7" s="20">
        <v>480</v>
      </c>
      <c r="AD7" s="69">
        <f t="shared" si="6"/>
        <v>1522</v>
      </c>
      <c r="AE7" s="66"/>
      <c r="AF7" s="20">
        <v>680</v>
      </c>
      <c r="AG7" s="20">
        <v>15552</v>
      </c>
      <c r="AH7" s="32">
        <v>8192</v>
      </c>
      <c r="AI7" s="20">
        <f t="shared" si="7"/>
        <v>24424</v>
      </c>
      <c r="AJ7" s="63">
        <f t="shared" si="0"/>
        <v>9.0217009880875429E-2</v>
      </c>
      <c r="AK7" s="22" t="str">
        <f t="shared" si="8"/>
        <v>10.1 : 1</v>
      </c>
    </row>
    <row r="8" spans="2:37">
      <c r="E8" s="43" t="s">
        <v>86</v>
      </c>
      <c r="F8" s="16">
        <v>5</v>
      </c>
      <c r="G8" s="16">
        <f>SUM(P15:P19)</f>
        <v>10725</v>
      </c>
      <c r="H8" s="16">
        <f>SUM(S15:S19)</f>
        <v>183040</v>
      </c>
      <c r="I8" s="48">
        <f t="shared" si="1"/>
        <v>0.67611044417767108</v>
      </c>
      <c r="J8" s="45" t="str">
        <f t="shared" si="2"/>
        <v>0.5 : 1</v>
      </c>
      <c r="L8" s="80"/>
      <c r="M8" s="58" t="s">
        <v>34</v>
      </c>
      <c r="N8" s="59" t="s">
        <v>72</v>
      </c>
      <c r="O8" s="31" t="s">
        <v>46</v>
      </c>
      <c r="P8" s="32">
        <f t="shared" ref="P8:P9" si="11">COMBIN(13,2)</f>
        <v>78</v>
      </c>
      <c r="Q8" s="31" t="s">
        <v>54</v>
      </c>
      <c r="R8" s="32">
        <f>COMBIN(4,2)*COMBIN(2,1)^2</f>
        <v>24</v>
      </c>
      <c r="S8" s="20">
        <f t="shared" si="3"/>
        <v>1872</v>
      </c>
      <c r="T8" s="37">
        <f t="shared" si="9"/>
        <v>8.8650844953365955E-5</v>
      </c>
      <c r="U8" s="22" t="str">
        <f t="shared" si="10"/>
        <v>11279.2 : 1</v>
      </c>
      <c r="V8" s="21">
        <f t="shared" si="4"/>
        <v>6.9147659063625447E-3</v>
      </c>
      <c r="W8" s="22" t="str">
        <f t="shared" si="5"/>
        <v>143.6 : 1</v>
      </c>
      <c r="Y8" s="62">
        <v>4</v>
      </c>
      <c r="Z8" s="66"/>
      <c r="AA8" s="20">
        <v>49</v>
      </c>
      <c r="AB8" s="20">
        <v>1278</v>
      </c>
      <c r="AC8" s="20">
        <v>1290</v>
      </c>
      <c r="AD8" s="69">
        <f t="shared" si="6"/>
        <v>2617</v>
      </c>
      <c r="AE8" s="66"/>
      <c r="AF8" s="20">
        <v>476</v>
      </c>
      <c r="AG8" s="20">
        <v>20448</v>
      </c>
      <c r="AH8" s="32">
        <v>22016</v>
      </c>
      <c r="AI8" s="20">
        <f t="shared" si="7"/>
        <v>42940</v>
      </c>
      <c r="AJ8" s="63">
        <f t="shared" si="0"/>
        <v>0.15861113676239727</v>
      </c>
      <c r="AK8" s="22" t="str">
        <f t="shared" si="8"/>
        <v>5.3 : 1</v>
      </c>
    </row>
    <row r="9" spans="2:37">
      <c r="F9" s="1">
        <f>SUM(F4:F8)</f>
        <v>16</v>
      </c>
      <c r="G9" s="1">
        <f>SUM(G4:G8)</f>
        <v>16432</v>
      </c>
      <c r="H9" s="1">
        <f>SUM(H4:H8)</f>
        <v>270725</v>
      </c>
      <c r="I9" s="1"/>
      <c r="J9" s="1"/>
      <c r="L9" s="80"/>
      <c r="M9" s="56" t="s">
        <v>35</v>
      </c>
      <c r="N9" s="57" t="s">
        <v>73</v>
      </c>
      <c r="O9" s="29" t="s">
        <v>46</v>
      </c>
      <c r="P9" s="30">
        <f t="shared" si="11"/>
        <v>78</v>
      </c>
      <c r="Q9" s="14" t="s">
        <v>53</v>
      </c>
      <c r="R9" s="30">
        <f>COMBIN(4,2)</f>
        <v>6</v>
      </c>
      <c r="S9" s="16">
        <f t="shared" si="3"/>
        <v>468</v>
      </c>
      <c r="T9" s="36">
        <f t="shared" si="9"/>
        <v>2.2162711238341489E-5</v>
      </c>
      <c r="U9" s="18" t="str">
        <f t="shared" si="10"/>
        <v>45119.8 : 1</v>
      </c>
      <c r="V9" s="17">
        <f t="shared" si="4"/>
        <v>1.7286914765906362E-3</v>
      </c>
      <c r="W9" s="18" t="str">
        <f t="shared" si="5"/>
        <v>577.5 : 1</v>
      </c>
      <c r="Y9" s="62">
        <v>5</v>
      </c>
      <c r="Z9" s="66"/>
      <c r="AA9" s="20"/>
      <c r="AB9" s="20">
        <v>108</v>
      </c>
      <c r="AC9" s="20">
        <v>1980</v>
      </c>
      <c r="AD9" s="69">
        <f t="shared" si="6"/>
        <v>2088</v>
      </c>
      <c r="AE9" s="66"/>
      <c r="AF9" s="20"/>
      <c r="AG9" s="20">
        <v>1728</v>
      </c>
      <c r="AH9" s="32">
        <v>33792</v>
      </c>
      <c r="AI9" s="20">
        <f t="shared" si="7"/>
        <v>35520</v>
      </c>
      <c r="AJ9" s="63">
        <f t="shared" si="0"/>
        <v>0.13120325053098161</v>
      </c>
      <c r="AK9" s="22" t="str">
        <f t="shared" si="8"/>
        <v>6.6 : 1</v>
      </c>
    </row>
    <row r="10" spans="2:37">
      <c r="L10" s="80" t="s">
        <v>31</v>
      </c>
      <c r="M10" s="54" t="s">
        <v>36</v>
      </c>
      <c r="N10" s="55" t="s">
        <v>74</v>
      </c>
      <c r="O10" s="27" t="s">
        <v>47</v>
      </c>
      <c r="P10" s="28">
        <f>COMBIN(13,1)*COMBIN(12,2)</f>
        <v>858</v>
      </c>
      <c r="Q10" s="10" t="s">
        <v>55</v>
      </c>
      <c r="R10" s="28">
        <f>COMBIN(4,2)*COMBIN(2,1)</f>
        <v>12</v>
      </c>
      <c r="S10" s="11">
        <f t="shared" si="3"/>
        <v>10296</v>
      </c>
      <c r="T10" s="35">
        <f t="shared" si="9"/>
        <v>4.4325422476682978E-5</v>
      </c>
      <c r="U10" s="13" t="str">
        <f t="shared" si="10"/>
        <v>22559.4 : 1</v>
      </c>
      <c r="V10" s="12">
        <f t="shared" si="4"/>
        <v>3.8031212484993998E-2</v>
      </c>
      <c r="W10" s="13" t="str">
        <f t="shared" si="5"/>
        <v>25.3 : 1</v>
      </c>
      <c r="Y10" s="62">
        <v>6</v>
      </c>
      <c r="Z10" s="66"/>
      <c r="AA10" s="20"/>
      <c r="AB10" s="20">
        <v>108</v>
      </c>
      <c r="AC10" s="20">
        <v>1380</v>
      </c>
      <c r="AD10" s="69">
        <f t="shared" si="6"/>
        <v>1488</v>
      </c>
      <c r="AE10" s="66"/>
      <c r="AF10" s="20"/>
      <c r="AG10" s="20">
        <v>1728</v>
      </c>
      <c r="AH10" s="32">
        <v>23552</v>
      </c>
      <c r="AI10" s="20">
        <f t="shared" si="7"/>
        <v>25280</v>
      </c>
      <c r="AJ10" s="63">
        <f t="shared" si="0"/>
        <v>9.3378890017545485E-2</v>
      </c>
      <c r="AK10" s="22" t="str">
        <f t="shared" si="8"/>
        <v>9.7 : 1</v>
      </c>
    </row>
    <row r="11" spans="2:37">
      <c r="E11" s="50" t="s">
        <v>8</v>
      </c>
      <c r="F11" s="50" t="s">
        <v>3</v>
      </c>
      <c r="G11" s="50" t="s">
        <v>4</v>
      </c>
      <c r="H11" s="50" t="s">
        <v>5</v>
      </c>
      <c r="I11" s="50" t="s">
        <v>6</v>
      </c>
      <c r="J11" s="50" t="s">
        <v>7</v>
      </c>
      <c r="L11" s="80"/>
      <c r="M11" s="58" t="s">
        <v>37</v>
      </c>
      <c r="N11" s="59" t="s">
        <v>75</v>
      </c>
      <c r="O11" s="31" t="s">
        <v>47</v>
      </c>
      <c r="P11" s="32">
        <f t="shared" ref="P11:P14" si="12">COMBIN(13,1)*COMBIN(12,2)</f>
        <v>858</v>
      </c>
      <c r="Q11" s="19" t="s">
        <v>55</v>
      </c>
      <c r="R11" s="32">
        <f>COMBIN(4,2)*COMBIN(2,1)</f>
        <v>12</v>
      </c>
      <c r="S11" s="20">
        <f t="shared" si="3"/>
        <v>10296</v>
      </c>
      <c r="T11" s="37">
        <f t="shared" si="9"/>
        <v>4.4325422476682978E-5</v>
      </c>
      <c r="U11" s="22" t="str">
        <f t="shared" si="10"/>
        <v>22559.4 : 1</v>
      </c>
      <c r="V11" s="21">
        <f t="shared" si="4"/>
        <v>3.8031212484993998E-2</v>
      </c>
      <c r="W11" s="22" t="str">
        <f t="shared" si="5"/>
        <v>25.3 : 1</v>
      </c>
      <c r="Y11" s="62">
        <v>7</v>
      </c>
      <c r="Z11" s="66"/>
      <c r="AA11" s="20"/>
      <c r="AB11" s="20">
        <v>396</v>
      </c>
      <c r="AC11" s="20">
        <v>1320</v>
      </c>
      <c r="AD11" s="69">
        <f t="shared" si="6"/>
        <v>1716</v>
      </c>
      <c r="AE11" s="66"/>
      <c r="AF11" s="20"/>
      <c r="AG11" s="20">
        <v>6336</v>
      </c>
      <c r="AH11" s="32">
        <v>22528</v>
      </c>
      <c r="AI11" s="20">
        <f t="shared" si="7"/>
        <v>28864</v>
      </c>
      <c r="AJ11" s="63">
        <f t="shared" si="0"/>
        <v>0.10661741619724813</v>
      </c>
      <c r="AK11" s="22" t="str">
        <f t="shared" si="8"/>
        <v>8.4 : 1</v>
      </c>
    </row>
    <row r="12" spans="2:37">
      <c r="E12" s="41" t="s">
        <v>9</v>
      </c>
      <c r="F12">
        <v>1</v>
      </c>
      <c r="G12" s="5">
        <f>SUM(P15)</f>
        <v>715</v>
      </c>
      <c r="H12" s="5">
        <f>SUM(S15)</f>
        <v>2860</v>
      </c>
      <c r="I12" s="2">
        <f>H12/$H$9</f>
        <v>1.0564225690276111E-2</v>
      </c>
      <c r="J12" s="44" t="str">
        <f>ROUND((1-I12)/I12,1)&amp;" : 1"</f>
        <v>93.7 : 1</v>
      </c>
      <c r="L12" s="80"/>
      <c r="M12" s="23" t="s">
        <v>38</v>
      </c>
      <c r="N12" s="24" t="s">
        <v>76</v>
      </c>
      <c r="O12" s="33" t="s">
        <v>48</v>
      </c>
      <c r="P12" s="32">
        <f>COMBIN(13,1)*COMBIN(12,2)*COMBIN(2,1)</f>
        <v>1716</v>
      </c>
      <c r="Q12" s="19" t="s">
        <v>54</v>
      </c>
      <c r="R12" s="32">
        <f>COMBIN(4,2)*COMBIN(2,1)^2</f>
        <v>24</v>
      </c>
      <c r="S12" s="20">
        <f t="shared" si="3"/>
        <v>41184</v>
      </c>
      <c r="T12" s="37">
        <f t="shared" si="9"/>
        <v>8.8650844953365955E-5</v>
      </c>
      <c r="U12" s="22" t="str">
        <f t="shared" si="10"/>
        <v>11279.2 : 1</v>
      </c>
      <c r="V12" s="21">
        <f t="shared" si="4"/>
        <v>0.15212484993997599</v>
      </c>
      <c r="W12" s="22" t="str">
        <f t="shared" si="5"/>
        <v>5.6 : 1</v>
      </c>
      <c r="Y12" s="62">
        <v>8</v>
      </c>
      <c r="Z12" s="66"/>
      <c r="AA12" s="20"/>
      <c r="AB12" s="20">
        <v>72</v>
      </c>
      <c r="AC12" s="20">
        <v>885</v>
      </c>
      <c r="AD12" s="69">
        <f t="shared" si="6"/>
        <v>957</v>
      </c>
      <c r="AE12" s="66"/>
      <c r="AF12" s="20"/>
      <c r="AG12" s="20">
        <v>1152</v>
      </c>
      <c r="AH12" s="32">
        <v>15104</v>
      </c>
      <c r="AI12" s="20">
        <f t="shared" si="7"/>
        <v>16256</v>
      </c>
      <c r="AJ12" s="63">
        <f t="shared" si="0"/>
        <v>6.0046172315079881E-2</v>
      </c>
      <c r="AK12" s="22" t="str">
        <f t="shared" si="8"/>
        <v>15.7 : 1</v>
      </c>
    </row>
    <row r="13" spans="2:37">
      <c r="E13" s="41" t="s">
        <v>10</v>
      </c>
      <c r="F13">
        <v>2</v>
      </c>
      <c r="G13" s="5">
        <f>SUM(P10,P16)</f>
        <v>3718</v>
      </c>
      <c r="H13" s="5">
        <f>SUM(S10,S16)</f>
        <v>44616</v>
      </c>
      <c r="I13" s="2">
        <f t="shared" ref="I13:I16" si="13">H13/$H$9</f>
        <v>0.16480192076830733</v>
      </c>
      <c r="J13" s="44" t="str">
        <f t="shared" ref="J13:J16" si="14">ROUND((1-I13)/I13,1)&amp;" : 1"</f>
        <v>5.1 : 1</v>
      </c>
      <c r="L13" s="80"/>
      <c r="M13" s="58" t="s">
        <v>39</v>
      </c>
      <c r="N13" s="59" t="s">
        <v>76</v>
      </c>
      <c r="O13" s="31" t="s">
        <v>47</v>
      </c>
      <c r="P13" s="32">
        <f t="shared" si="12"/>
        <v>858</v>
      </c>
      <c r="Q13" s="19" t="s">
        <v>55</v>
      </c>
      <c r="R13" s="32">
        <f>COMBIN(4,2)*COMBIN(2,1)</f>
        <v>12</v>
      </c>
      <c r="S13" s="20">
        <f t="shared" si="3"/>
        <v>10296</v>
      </c>
      <c r="T13" s="37">
        <f t="shared" si="9"/>
        <v>4.4325422476682978E-5</v>
      </c>
      <c r="U13" s="22" t="str">
        <f t="shared" si="10"/>
        <v>22559.4 : 1</v>
      </c>
      <c r="V13" s="21">
        <f t="shared" si="4"/>
        <v>3.8031212484993998E-2</v>
      </c>
      <c r="W13" s="22" t="str">
        <f t="shared" si="5"/>
        <v>25.3 : 1</v>
      </c>
      <c r="Y13" s="62">
        <v>9</v>
      </c>
      <c r="Z13" s="66"/>
      <c r="AA13" s="20"/>
      <c r="AB13" s="20">
        <v>216</v>
      </c>
      <c r="AC13" s="20">
        <v>870</v>
      </c>
      <c r="AD13" s="69">
        <f t="shared" si="6"/>
        <v>1086</v>
      </c>
      <c r="AE13" s="66"/>
      <c r="AF13" s="20"/>
      <c r="AG13" s="20">
        <v>3456</v>
      </c>
      <c r="AH13" s="32">
        <v>14848</v>
      </c>
      <c r="AI13" s="20">
        <f t="shared" si="7"/>
        <v>18304</v>
      </c>
      <c r="AJ13" s="63">
        <f t="shared" si="0"/>
        <v>6.7611044417767108E-2</v>
      </c>
      <c r="AK13" s="22" t="str">
        <f t="shared" si="8"/>
        <v>13.8 : 1</v>
      </c>
    </row>
    <row r="14" spans="2:37">
      <c r="E14" s="41" t="s">
        <v>11</v>
      </c>
      <c r="F14">
        <v>3</v>
      </c>
      <c r="G14" s="5">
        <f>SUM(P7,P11,P17)</f>
        <v>3081</v>
      </c>
      <c r="H14" s="5">
        <f>SUM(S7,S11,S17)</f>
        <v>36504</v>
      </c>
      <c r="I14" s="2">
        <f t="shared" si="13"/>
        <v>0.13483793517406964</v>
      </c>
      <c r="J14" s="44" t="str">
        <f t="shared" si="14"/>
        <v>6.4 : 1</v>
      </c>
      <c r="L14" s="80"/>
      <c r="M14" s="56" t="s">
        <v>40</v>
      </c>
      <c r="N14" s="57" t="s">
        <v>77</v>
      </c>
      <c r="O14" s="29" t="s">
        <v>47</v>
      </c>
      <c r="P14" s="30">
        <f t="shared" si="12"/>
        <v>858</v>
      </c>
      <c r="Q14" s="14" t="s">
        <v>56</v>
      </c>
      <c r="R14" s="30">
        <f>COMBIN(4,2)*(2*1)</f>
        <v>12</v>
      </c>
      <c r="S14" s="16">
        <f t="shared" si="3"/>
        <v>10296</v>
      </c>
      <c r="T14" s="36">
        <f t="shared" si="9"/>
        <v>4.4325422476682978E-5</v>
      </c>
      <c r="U14" s="18" t="str">
        <f t="shared" si="10"/>
        <v>22559.4 : 1</v>
      </c>
      <c r="V14" s="17">
        <f t="shared" si="4"/>
        <v>3.8031212484993998E-2</v>
      </c>
      <c r="W14" s="18" t="str">
        <f t="shared" si="5"/>
        <v>25.3 : 1</v>
      </c>
      <c r="Y14" s="62">
        <v>10</v>
      </c>
      <c r="Z14" s="66"/>
      <c r="AA14" s="20"/>
      <c r="AB14" s="20">
        <v>36</v>
      </c>
      <c r="AC14" s="20">
        <v>660</v>
      </c>
      <c r="AD14" s="69">
        <f t="shared" si="6"/>
        <v>696</v>
      </c>
      <c r="AE14" s="66"/>
      <c r="AF14" s="20"/>
      <c r="AG14" s="20">
        <v>576</v>
      </c>
      <c r="AH14" s="32">
        <v>11264</v>
      </c>
      <c r="AI14" s="20">
        <f t="shared" si="7"/>
        <v>11840</v>
      </c>
      <c r="AJ14" s="63">
        <f t="shared" si="0"/>
        <v>4.3734416843660542E-2</v>
      </c>
      <c r="AK14" s="22" t="str">
        <f t="shared" si="8"/>
        <v>21.9 : 1</v>
      </c>
    </row>
    <row r="15" spans="2:37">
      <c r="E15" s="75" t="s">
        <v>12</v>
      </c>
      <c r="F15">
        <v>5</v>
      </c>
      <c r="G15" s="5">
        <f>SUM(P5,P8,P13,P18,P12)</f>
        <v>7098</v>
      </c>
      <c r="H15" s="5">
        <f>SUM(S5,S8,S13,S18,S12)</f>
        <v>158184</v>
      </c>
      <c r="I15" s="2">
        <f t="shared" si="13"/>
        <v>0.58429771908763506</v>
      </c>
      <c r="J15" s="44" t="str">
        <f t="shared" si="14"/>
        <v>0.7 : 1</v>
      </c>
      <c r="L15" s="80" t="s">
        <v>32</v>
      </c>
      <c r="M15" s="54" t="s">
        <v>41</v>
      </c>
      <c r="N15" s="55" t="s">
        <v>78</v>
      </c>
      <c r="O15" s="27" t="s">
        <v>49</v>
      </c>
      <c r="P15" s="28">
        <f>COMBIN(13,4)</f>
        <v>715</v>
      </c>
      <c r="Q15" s="10" t="s">
        <v>57</v>
      </c>
      <c r="R15" s="28">
        <f>COMBIN(4,1)</f>
        <v>4</v>
      </c>
      <c r="S15" s="11">
        <f t="shared" si="3"/>
        <v>2860</v>
      </c>
      <c r="T15" s="35">
        <f t="shared" si="9"/>
        <v>1.4775140825560994E-5</v>
      </c>
      <c r="U15" s="13" t="str">
        <f t="shared" si="10"/>
        <v>67680.3 : 1</v>
      </c>
      <c r="V15" s="12">
        <f t="shared" si="4"/>
        <v>1.0564225690276111E-2</v>
      </c>
      <c r="W15" s="13" t="str">
        <f t="shared" si="5"/>
        <v>93.7 : 1</v>
      </c>
      <c r="Y15" s="62">
        <v>11</v>
      </c>
      <c r="Z15" s="66"/>
      <c r="AA15" s="20"/>
      <c r="AB15" s="20">
        <v>108</v>
      </c>
      <c r="AC15" s="20">
        <v>720</v>
      </c>
      <c r="AD15" s="69">
        <f t="shared" si="6"/>
        <v>828</v>
      </c>
      <c r="AE15" s="66"/>
      <c r="AF15" s="20"/>
      <c r="AG15" s="20">
        <v>1728</v>
      </c>
      <c r="AH15" s="32">
        <v>12288</v>
      </c>
      <c r="AI15" s="20">
        <f t="shared" si="7"/>
        <v>14016</v>
      </c>
      <c r="AJ15" s="63">
        <f t="shared" si="0"/>
        <v>5.1772093452765719E-2</v>
      </c>
      <c r="AK15" s="22" t="str">
        <f t="shared" si="8"/>
        <v>18.3 : 1</v>
      </c>
    </row>
    <row r="16" spans="2:37">
      <c r="E16" s="43" t="s">
        <v>13</v>
      </c>
      <c r="F16" s="15">
        <v>5</v>
      </c>
      <c r="G16" s="46">
        <f>SUM(P4,P9,P14,P19,P6)</f>
        <v>1820</v>
      </c>
      <c r="H16" s="46">
        <f>SUM(S4,S9,S14,S19,S6)</f>
        <v>28561</v>
      </c>
      <c r="I16" s="48">
        <f t="shared" si="13"/>
        <v>0.10549819927971188</v>
      </c>
      <c r="J16" s="45" t="str">
        <f t="shared" si="14"/>
        <v>8.5 : 1</v>
      </c>
      <c r="L16" s="80"/>
      <c r="M16" s="58" t="s">
        <v>42</v>
      </c>
      <c r="N16" s="59" t="s">
        <v>79</v>
      </c>
      <c r="O16" s="31" t="s">
        <v>50</v>
      </c>
      <c r="P16" s="32">
        <f>COMBIN(13,4)*COMBIN(4,3)</f>
        <v>2860</v>
      </c>
      <c r="Q16" s="31" t="s">
        <v>58</v>
      </c>
      <c r="R16" s="32">
        <f>COMBIN(4,1)*COMBIN(3,1)</f>
        <v>12</v>
      </c>
      <c r="S16" s="20">
        <f t="shared" si="3"/>
        <v>34320</v>
      </c>
      <c r="T16" s="37">
        <f t="shared" si="9"/>
        <v>4.4325422476682978E-5</v>
      </c>
      <c r="U16" s="22" t="str">
        <f t="shared" si="10"/>
        <v>22559.4 : 1</v>
      </c>
      <c r="V16" s="21">
        <f t="shared" si="4"/>
        <v>0.12677070828331333</v>
      </c>
      <c r="W16" s="22" t="str">
        <f t="shared" si="5"/>
        <v>6.9 : 1</v>
      </c>
      <c r="Y16" s="62">
        <v>12</v>
      </c>
      <c r="Z16" s="66"/>
      <c r="AA16" s="20"/>
      <c r="AB16" s="20"/>
      <c r="AC16" s="20">
        <v>375</v>
      </c>
      <c r="AD16" s="69">
        <f t="shared" si="6"/>
        <v>375</v>
      </c>
      <c r="AE16" s="66"/>
      <c r="AF16" s="20"/>
      <c r="AG16" s="20"/>
      <c r="AH16" s="32">
        <v>6400</v>
      </c>
      <c r="AI16" s="20">
        <f t="shared" si="7"/>
        <v>6400</v>
      </c>
      <c r="AJ16" s="63">
        <f t="shared" si="0"/>
        <v>2.3640225320897591E-2</v>
      </c>
      <c r="AK16" s="22" t="str">
        <f t="shared" si="8"/>
        <v>41.3 : 1</v>
      </c>
    </row>
    <row r="17" spans="4:37">
      <c r="F17" s="1">
        <f>SUM(F12:F16)</f>
        <v>16</v>
      </c>
      <c r="G17" s="1">
        <f>SUM(G12:G16)</f>
        <v>16432</v>
      </c>
      <c r="H17" s="1">
        <f>SUM(H12:H16)</f>
        <v>270725</v>
      </c>
      <c r="L17" s="80"/>
      <c r="M17" s="58" t="s">
        <v>43</v>
      </c>
      <c r="N17" s="59" t="s">
        <v>80</v>
      </c>
      <c r="O17" s="31" t="s">
        <v>51</v>
      </c>
      <c r="P17" s="32">
        <f>COMBIN(13,4)*COMBIN(4,2)/(2*1)</f>
        <v>2145</v>
      </c>
      <c r="Q17" s="31" t="s">
        <v>55</v>
      </c>
      <c r="R17" s="32">
        <f>COMBIN(4,2)*COMBIN(2,1)</f>
        <v>12</v>
      </c>
      <c r="S17" s="20">
        <f t="shared" si="3"/>
        <v>25740</v>
      </c>
      <c r="T17" s="37">
        <f t="shared" si="9"/>
        <v>4.4325422476682978E-5</v>
      </c>
      <c r="U17" s="22" t="str">
        <f t="shared" si="10"/>
        <v>22559.4 : 1</v>
      </c>
      <c r="V17" s="21">
        <f t="shared" si="4"/>
        <v>9.5078031212484995E-2</v>
      </c>
      <c r="W17" s="22" t="str">
        <f t="shared" si="5"/>
        <v>9.5 : 1</v>
      </c>
      <c r="Y17" s="62">
        <v>13</v>
      </c>
      <c r="Z17" s="66"/>
      <c r="AA17" s="20"/>
      <c r="AB17" s="20"/>
      <c r="AC17" s="20">
        <v>60</v>
      </c>
      <c r="AD17" s="69">
        <f t="shared" si="6"/>
        <v>60</v>
      </c>
      <c r="AE17" s="66"/>
      <c r="AF17" s="20"/>
      <c r="AG17" s="20"/>
      <c r="AH17" s="32">
        <v>1024</v>
      </c>
      <c r="AI17" s="20">
        <f t="shared" si="7"/>
        <v>1024</v>
      </c>
      <c r="AJ17" s="63">
        <f t="shared" si="0"/>
        <v>3.7824360513436144E-3</v>
      </c>
      <c r="AK17" s="22" t="str">
        <f t="shared" si="8"/>
        <v>263.4 : 1</v>
      </c>
    </row>
    <row r="18" spans="4:37">
      <c r="L18" s="80"/>
      <c r="M18" s="58" t="s">
        <v>44</v>
      </c>
      <c r="N18" s="59" t="s">
        <v>81</v>
      </c>
      <c r="O18" s="31" t="s">
        <v>52</v>
      </c>
      <c r="P18" s="32">
        <f>COMBIN(13,4)*COMBIN(4,2)</f>
        <v>4290</v>
      </c>
      <c r="Q18" s="31" t="s">
        <v>59</v>
      </c>
      <c r="R18" s="32">
        <f>COMBIN(4,1)*COMBIN(3,2)*(2*1)</f>
        <v>24</v>
      </c>
      <c r="S18" s="20">
        <f t="shared" si="3"/>
        <v>102960</v>
      </c>
      <c r="T18" s="37">
        <f t="shared" si="9"/>
        <v>8.8650844953365955E-5</v>
      </c>
      <c r="U18" s="22" t="str">
        <f t="shared" si="10"/>
        <v>11279.2 : 1</v>
      </c>
      <c r="V18" s="21">
        <f t="shared" si="4"/>
        <v>0.38031212484993998</v>
      </c>
      <c r="W18" s="22" t="str">
        <f t="shared" si="5"/>
        <v>1.6 : 1</v>
      </c>
      <c r="Y18" s="62">
        <v>14</v>
      </c>
      <c r="Z18" s="66"/>
      <c r="AA18" s="20"/>
      <c r="AB18" s="20"/>
      <c r="AC18" s="20">
        <v>30</v>
      </c>
      <c r="AD18" s="69">
        <f t="shared" si="6"/>
        <v>30</v>
      </c>
      <c r="AE18" s="66"/>
      <c r="AF18" s="20"/>
      <c r="AG18" s="20"/>
      <c r="AH18" s="32">
        <v>512</v>
      </c>
      <c r="AI18" s="20">
        <f t="shared" si="7"/>
        <v>512</v>
      </c>
      <c r="AJ18" s="63">
        <f t="shared" si="0"/>
        <v>1.8912180256718072E-3</v>
      </c>
      <c r="AK18" s="22" t="str">
        <f t="shared" si="8"/>
        <v>527.8 : 1</v>
      </c>
    </row>
    <row r="19" spans="4:37">
      <c r="E19" t="s">
        <v>89</v>
      </c>
      <c r="L19" s="80"/>
      <c r="M19" s="56" t="s">
        <v>45</v>
      </c>
      <c r="N19" s="57" t="s">
        <v>82</v>
      </c>
      <c r="O19" s="29" t="s">
        <v>49</v>
      </c>
      <c r="P19" s="30">
        <f>COMBIN(13,4)</f>
        <v>715</v>
      </c>
      <c r="Q19" s="29" t="s">
        <v>60</v>
      </c>
      <c r="R19" s="30">
        <f>4*3*2*1</f>
        <v>24</v>
      </c>
      <c r="S19" s="16">
        <f t="shared" si="3"/>
        <v>17160</v>
      </c>
      <c r="T19" s="36">
        <f t="shared" si="9"/>
        <v>8.8650844953365955E-5</v>
      </c>
      <c r="U19" s="18" t="str">
        <f t="shared" si="10"/>
        <v>11279.2 : 1</v>
      </c>
      <c r="V19" s="17">
        <f t="shared" si="4"/>
        <v>6.3385354141656663E-2</v>
      </c>
      <c r="W19" s="18" t="str">
        <f t="shared" si="5"/>
        <v>14.8 : 1</v>
      </c>
      <c r="Y19" s="62">
        <v>15</v>
      </c>
      <c r="Z19" s="66"/>
      <c r="AA19" s="20"/>
      <c r="AB19" s="20"/>
      <c r="AC19" s="20">
        <v>30</v>
      </c>
      <c r="AD19" s="69">
        <f t="shared" si="6"/>
        <v>30</v>
      </c>
      <c r="AE19" s="66"/>
      <c r="AF19" s="20"/>
      <c r="AG19" s="20"/>
      <c r="AH19" s="32">
        <v>512</v>
      </c>
      <c r="AI19" s="20">
        <f t="shared" si="7"/>
        <v>512</v>
      </c>
      <c r="AJ19" s="63">
        <f t="shared" si="0"/>
        <v>1.8912180256718072E-3</v>
      </c>
      <c r="AK19" s="22" t="str">
        <f t="shared" si="8"/>
        <v>527.8 : 1</v>
      </c>
    </row>
    <row r="20" spans="4:37">
      <c r="E20" s="49" t="s">
        <v>88</v>
      </c>
      <c r="F20" s="49" t="s">
        <v>3</v>
      </c>
      <c r="G20" s="49" t="s">
        <v>4</v>
      </c>
      <c r="H20" s="49" t="s">
        <v>5</v>
      </c>
      <c r="I20" s="49" t="s">
        <v>6</v>
      </c>
      <c r="J20" s="49" t="s">
        <v>7</v>
      </c>
      <c r="P20" s="1"/>
      <c r="R20" s="1"/>
      <c r="S20" s="1"/>
      <c r="Y20" s="62">
        <v>16</v>
      </c>
      <c r="Z20" s="66"/>
      <c r="AA20" s="20"/>
      <c r="AB20" s="20"/>
      <c r="AC20" s="20">
        <v>150</v>
      </c>
      <c r="AD20" s="69">
        <f t="shared" si="6"/>
        <v>150</v>
      </c>
      <c r="AE20" s="66"/>
      <c r="AF20" s="20"/>
      <c r="AG20" s="20"/>
      <c r="AH20" s="32">
        <v>2560</v>
      </c>
      <c r="AI20" s="20">
        <f t="shared" si="7"/>
        <v>2560</v>
      </c>
      <c r="AJ20" s="63">
        <f t="shared" si="0"/>
        <v>9.4560901283590355E-3</v>
      </c>
      <c r="AK20" s="22" t="str">
        <f t="shared" si="8"/>
        <v>104.8 : 1</v>
      </c>
    </row>
    <row r="21" spans="4:37">
      <c r="E21" s="41">
        <v>1</v>
      </c>
      <c r="F21" s="1">
        <v>1</v>
      </c>
      <c r="G21" s="1">
        <f>Z26</f>
        <v>13</v>
      </c>
      <c r="H21" s="1">
        <f>AE26</f>
        <v>13</v>
      </c>
      <c r="I21" s="2">
        <f>H21/$H$9</f>
        <v>4.8019207683073229E-5</v>
      </c>
      <c r="J21" s="44" t="str">
        <f>ROUND((1-I21)/I21,1)&amp;" : 1"</f>
        <v>20824 : 1</v>
      </c>
      <c r="L21" s="6" t="s">
        <v>62</v>
      </c>
      <c r="O21" s="73" t="s">
        <v>66</v>
      </c>
      <c r="P21" s="26">
        <f>SUM(P4:P19)</f>
        <v>16432</v>
      </c>
      <c r="Q21" s="73" t="s">
        <v>67</v>
      </c>
      <c r="R21" s="26">
        <f>SUM(R4:R19)</f>
        <v>201</v>
      </c>
      <c r="S21" s="39">
        <f>SUM(S4:S19)</f>
        <v>270725</v>
      </c>
      <c r="V21" s="40">
        <f>SUM(V4:V19)</f>
        <v>1</v>
      </c>
      <c r="Y21" s="62">
        <v>17</v>
      </c>
      <c r="Z21" s="66"/>
      <c r="AA21" s="20"/>
      <c r="AB21" s="20"/>
      <c r="AC21" s="20">
        <v>150</v>
      </c>
      <c r="AD21" s="69">
        <f t="shared" si="6"/>
        <v>150</v>
      </c>
      <c r="AE21" s="66"/>
      <c r="AF21" s="20"/>
      <c r="AG21" s="20"/>
      <c r="AH21" s="32">
        <v>2560</v>
      </c>
      <c r="AI21" s="20">
        <f t="shared" si="7"/>
        <v>2560</v>
      </c>
      <c r="AJ21" s="63">
        <f t="shared" si="0"/>
        <v>9.4560901283590355E-3</v>
      </c>
      <c r="AK21" s="22" t="str">
        <f t="shared" si="8"/>
        <v>104.8 : 1</v>
      </c>
    </row>
    <row r="22" spans="4:37">
      <c r="E22">
        <v>2</v>
      </c>
      <c r="F22" s="1">
        <v>5</v>
      </c>
      <c r="G22" s="1">
        <f>AA26</f>
        <v>546</v>
      </c>
      <c r="H22" s="1">
        <f>AF26</f>
        <v>5304</v>
      </c>
      <c r="I22" s="2">
        <f t="shared" ref="I22:I24" si="15">H22/$H$9</f>
        <v>1.9591836734693877E-2</v>
      </c>
      <c r="J22" s="44" t="str">
        <f t="shared" ref="J22:J24" si="16">ROUND((1-I22)/I22,1)&amp;" : 1"</f>
        <v>50 : 1</v>
      </c>
      <c r="Y22" s="62">
        <v>18</v>
      </c>
      <c r="Z22" s="66"/>
      <c r="AA22" s="20"/>
      <c r="AB22" s="20"/>
      <c r="AC22" s="20"/>
      <c r="AD22" s="69"/>
      <c r="AE22" s="66"/>
      <c r="AF22" s="20"/>
      <c r="AG22" s="20"/>
      <c r="AH22" s="32"/>
      <c r="AI22" s="20"/>
      <c r="AJ22" s="63"/>
      <c r="AK22" s="22"/>
    </row>
    <row r="23" spans="4:37">
      <c r="E23">
        <v>3</v>
      </c>
      <c r="F23" s="1">
        <v>12</v>
      </c>
      <c r="G23" s="1">
        <f>AB26</f>
        <v>5148</v>
      </c>
      <c r="H23" s="1">
        <f>AG26</f>
        <v>82368</v>
      </c>
      <c r="I23" s="2">
        <f t="shared" si="15"/>
        <v>0.30424969987995198</v>
      </c>
      <c r="J23" s="44" t="str">
        <f t="shared" si="16"/>
        <v>2.3 : 1</v>
      </c>
      <c r="Y23" s="62">
        <v>19</v>
      </c>
      <c r="Z23" s="66"/>
      <c r="AA23" s="20"/>
      <c r="AB23" s="20"/>
      <c r="AC23" s="20">
        <v>30</v>
      </c>
      <c r="AD23" s="69">
        <f t="shared" si="6"/>
        <v>30</v>
      </c>
      <c r="AE23" s="66"/>
      <c r="AF23" s="20"/>
      <c r="AG23" s="20"/>
      <c r="AH23" s="32">
        <v>512</v>
      </c>
      <c r="AI23" s="20">
        <f t="shared" si="7"/>
        <v>512</v>
      </c>
      <c r="AJ23" s="63">
        <f>AI23/$AI$26</f>
        <v>1.8912180256718072E-3</v>
      </c>
      <c r="AK23" s="22" t="str">
        <f t="shared" si="8"/>
        <v>527.8 : 1</v>
      </c>
    </row>
    <row r="24" spans="4:37">
      <c r="E24" s="15">
        <v>4</v>
      </c>
      <c r="F24" s="16">
        <v>18</v>
      </c>
      <c r="G24" s="16">
        <f>AC26</f>
        <v>10725</v>
      </c>
      <c r="H24" s="16">
        <f>AH26</f>
        <v>183040</v>
      </c>
      <c r="I24" s="48">
        <f t="shared" si="15"/>
        <v>0.67611044417767108</v>
      </c>
      <c r="J24" s="45" t="str">
        <f t="shared" si="16"/>
        <v>0.5 : 1</v>
      </c>
      <c r="Y24" s="64">
        <v>20</v>
      </c>
      <c r="Z24" s="67"/>
      <c r="AA24" s="16"/>
      <c r="AB24" s="16"/>
      <c r="AC24" s="16">
        <v>75</v>
      </c>
      <c r="AD24" s="70">
        <f t="shared" si="6"/>
        <v>75</v>
      </c>
      <c r="AE24" s="67"/>
      <c r="AF24" s="16"/>
      <c r="AG24" s="16"/>
      <c r="AH24" s="30">
        <v>1280</v>
      </c>
      <c r="AI24" s="16">
        <f t="shared" si="7"/>
        <v>1280</v>
      </c>
      <c r="AJ24" s="47">
        <f>AI24/$AI$26</f>
        <v>4.7280450641795178E-3</v>
      </c>
      <c r="AK24" s="18" t="str">
        <f t="shared" si="8"/>
        <v>210.5 : 1</v>
      </c>
    </row>
    <row r="25" spans="4:37">
      <c r="F25" s="5">
        <f>SUM(F21:F24)</f>
        <v>36</v>
      </c>
      <c r="G25" s="5">
        <f t="shared" ref="G25:I25" si="17">SUM(G21:G24)</f>
        <v>16432</v>
      </c>
      <c r="H25" s="5">
        <f t="shared" si="17"/>
        <v>270725</v>
      </c>
      <c r="I25" s="5">
        <f t="shared" si="17"/>
        <v>1</v>
      </c>
    </row>
    <row r="26" spans="4:37">
      <c r="F26" t="s">
        <v>97</v>
      </c>
      <c r="Y26" s="42" t="s">
        <v>62</v>
      </c>
      <c r="Z26" s="74">
        <f t="shared" ref="Z26:AJ26" si="18">SUM(Z4:Z24)</f>
        <v>13</v>
      </c>
      <c r="AA26" s="7">
        <f t="shared" si="18"/>
        <v>546</v>
      </c>
      <c r="AB26" s="7">
        <f t="shared" si="18"/>
        <v>5148</v>
      </c>
      <c r="AC26" s="26">
        <f t="shared" si="18"/>
        <v>10725</v>
      </c>
      <c r="AD26" s="39">
        <f t="shared" si="18"/>
        <v>16432</v>
      </c>
      <c r="AE26" s="74">
        <f t="shared" si="18"/>
        <v>13</v>
      </c>
      <c r="AF26" s="7">
        <f t="shared" si="18"/>
        <v>5304</v>
      </c>
      <c r="AG26" s="7">
        <f t="shared" si="18"/>
        <v>82368</v>
      </c>
      <c r="AH26" s="26">
        <f t="shared" si="18"/>
        <v>183040</v>
      </c>
      <c r="AI26" s="1">
        <f t="shared" si="18"/>
        <v>270725</v>
      </c>
      <c r="AJ26" s="3">
        <f t="shared" si="18"/>
        <v>1</v>
      </c>
    </row>
    <row r="28" spans="4:37">
      <c r="D28" s="38"/>
      <c r="E28" s="38"/>
      <c r="F28" s="38"/>
      <c r="G28" s="38"/>
      <c r="H28" s="38"/>
      <c r="I28" s="38"/>
      <c r="J28" s="38"/>
    </row>
    <row r="29" spans="4:37">
      <c r="D29" s="38"/>
      <c r="E29" s="71"/>
      <c r="F29" s="71"/>
      <c r="G29" s="71"/>
      <c r="H29" s="38"/>
      <c r="I29" s="38"/>
      <c r="J29" s="38"/>
    </row>
    <row r="30" spans="4:37">
      <c r="D30" s="38"/>
      <c r="E30" s="38"/>
      <c r="F30" s="38"/>
      <c r="G30" s="38"/>
      <c r="H30" s="72"/>
      <c r="I30" s="38"/>
      <c r="J30" s="38"/>
    </row>
    <row r="31" spans="4:37">
      <c r="D31" s="38"/>
      <c r="E31" s="38"/>
      <c r="F31" s="38"/>
      <c r="G31" s="38"/>
      <c r="H31" s="38"/>
      <c r="I31" s="38"/>
      <c r="J31" s="38"/>
    </row>
    <row r="32" spans="4:37">
      <c r="D32" s="38"/>
      <c r="E32" s="38"/>
      <c r="F32" s="38"/>
      <c r="G32" s="38"/>
      <c r="H32" s="38"/>
      <c r="I32" s="38"/>
      <c r="J32" s="38"/>
    </row>
  </sheetData>
  <mergeCells count="10">
    <mergeCell ref="L7:L9"/>
    <mergeCell ref="L15:L19"/>
    <mergeCell ref="L10:L14"/>
    <mergeCell ref="O2:P2"/>
    <mergeCell ref="Q2:R2"/>
    <mergeCell ref="V2:W2"/>
    <mergeCell ref="T2:U2"/>
    <mergeCell ref="Z2:AC2"/>
    <mergeCell ref="AE2:AH2"/>
    <mergeCell ref="L5:L6"/>
  </mergeCells>
  <conditionalFormatting sqref="V4:V1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{D7C7EFED-F12D-4742-A32E-6A685A7D237D}</x14:id>
        </ext>
      </extLst>
    </cfRule>
  </conditionalFormatting>
  <conditionalFormatting sqref="I4:I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{8EFE1A67-6A6C-F545-B4BE-B4C218342616}</x14:id>
        </ext>
      </extLst>
    </cfRule>
  </conditionalFormatting>
  <conditionalFormatting sqref="I12:I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{AD0F9EE2-2C48-1448-B9AB-8BD392A397ED}</x14:id>
        </ext>
      </extLst>
    </cfRule>
  </conditionalFormatting>
  <conditionalFormatting sqref="I21:I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{3738233A-D1B2-D04D-B69A-62A9A705BC94}</x14:id>
        </ext>
      </extLst>
    </cfRule>
  </conditionalFormatting>
  <conditionalFormatting sqref="AJ4:AJ2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{3A0A7CD9-602A-414D-9501-8B3C0BC0146D}</x14:id>
        </ext>
      </extLst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7EFED-F12D-4742-A32E-6A685A7D2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8EFE1A67-6A6C-F545-B4BE-B4C218342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I4:I8</xm:sqref>
        </x14:conditionalFormatting>
        <x14:conditionalFormatting xmlns:xm="http://schemas.microsoft.com/office/excel/2006/main">
          <x14:cfRule type="dataBar" id="{AD0F9EE2-2C48-1448-B9AB-8BD392A39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I12:I16</xm:sqref>
        </x14:conditionalFormatting>
        <x14:conditionalFormatting xmlns:xm="http://schemas.microsoft.com/office/excel/2006/main">
          <x14:cfRule type="dataBar" id="{3738233A-D1B2-D04D-B69A-62A9A705B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I21:I24</xm:sqref>
        </x14:conditionalFormatting>
        <x14:conditionalFormatting xmlns:xm="http://schemas.microsoft.com/office/excel/2006/main">
          <x14:cfRule type="dataBar" id="{3A0A7CD9-602A-414D-9501-8B3C0BC014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abSelected="1" workbookViewId="0">
      <selection activeCell="H30" sqref="H30"/>
    </sheetView>
  </sheetViews>
  <sheetFormatPr baseColWidth="10" defaultRowHeight="15" x14ac:dyDescent="0"/>
  <cols>
    <col min="2" max="2" width="16.5" style="111" bestFit="1" customWidth="1"/>
    <col min="3" max="3" width="8.5" style="107" bestFit="1" customWidth="1"/>
    <col min="4" max="4" width="14.33203125" style="107" bestFit="1" customWidth="1"/>
    <col min="5" max="5" width="14" style="107" bestFit="1" customWidth="1"/>
  </cols>
  <sheetData>
    <row r="2" spans="2:7" ht="16">
      <c r="B2" s="106" t="s">
        <v>171</v>
      </c>
      <c r="C2" s="106" t="s">
        <v>172</v>
      </c>
      <c r="D2" s="106" t="s">
        <v>205</v>
      </c>
      <c r="E2" s="106" t="s">
        <v>204</v>
      </c>
    </row>
    <row r="3" spans="2:7">
      <c r="B3" s="111" t="s">
        <v>157</v>
      </c>
      <c r="C3" s="110">
        <v>0.57987500000000003</v>
      </c>
      <c r="D3" s="108">
        <f>C3-$C$3</f>
        <v>0</v>
      </c>
      <c r="E3" s="107">
        <f>0</f>
        <v>0</v>
      </c>
    </row>
    <row r="4" spans="2:7">
      <c r="B4" s="111" t="s">
        <v>167</v>
      </c>
      <c r="C4" s="110">
        <v>0.55761700000000003</v>
      </c>
      <c r="D4" s="108">
        <f t="shared" ref="D4:D11" si="0">C4-$C$3</f>
        <v>-2.2258E-2</v>
      </c>
      <c r="E4" s="108">
        <f>C4-C3</f>
        <v>-2.2258E-2</v>
      </c>
    </row>
    <row r="5" spans="2:7">
      <c r="B5" s="111" t="s">
        <v>168</v>
      </c>
      <c r="C5" s="110">
        <v>0.54413299999999998</v>
      </c>
      <c r="D5" s="108">
        <f t="shared" si="0"/>
        <v>-3.5742000000000052E-2</v>
      </c>
      <c r="E5" s="108">
        <f t="shared" ref="E5:E11" si="1">C5-C4</f>
        <v>-1.3484000000000052E-2</v>
      </c>
    </row>
    <row r="6" spans="2:7">
      <c r="B6" s="111" t="s">
        <v>169</v>
      </c>
      <c r="C6" s="110">
        <v>0.52712800000000004</v>
      </c>
      <c r="D6" s="108">
        <f t="shared" si="0"/>
        <v>-5.2746999999999988E-2</v>
      </c>
      <c r="E6" s="108">
        <f t="shared" si="1"/>
        <v>-1.7004999999999937E-2</v>
      </c>
    </row>
    <row r="7" spans="2:7">
      <c r="B7" s="111" t="s">
        <v>170</v>
      </c>
      <c r="C7" s="110">
        <v>0.500166</v>
      </c>
      <c r="D7" s="108">
        <f t="shared" si="0"/>
        <v>-7.970900000000003E-2</v>
      </c>
      <c r="E7" s="108">
        <f t="shared" si="1"/>
        <v>-2.6962000000000041E-2</v>
      </c>
    </row>
    <row r="8" spans="2:7">
      <c r="B8" s="111">
        <v>9876</v>
      </c>
      <c r="C8" s="108">
        <v>0.47693000000000002</v>
      </c>
      <c r="D8" s="108">
        <f t="shared" si="0"/>
        <v>-0.10294500000000001</v>
      </c>
      <c r="E8" s="108">
        <f t="shared" si="1"/>
        <v>-2.3235999999999979E-2</v>
      </c>
    </row>
    <row r="9" spans="2:7">
      <c r="B9" s="111">
        <v>8765</v>
      </c>
      <c r="C9" s="108">
        <v>0.45681699999999997</v>
      </c>
      <c r="D9" s="108">
        <f t="shared" si="0"/>
        <v>-0.12305800000000006</v>
      </c>
      <c r="E9" s="108">
        <f t="shared" si="1"/>
        <v>-2.0113000000000048E-2</v>
      </c>
    </row>
    <row r="10" spans="2:7">
      <c r="B10" s="111">
        <v>7654</v>
      </c>
      <c r="C10" s="108">
        <v>0.43803199999999998</v>
      </c>
      <c r="D10" s="108">
        <f t="shared" si="0"/>
        <v>-0.14184300000000005</v>
      </c>
      <c r="E10" s="108">
        <f t="shared" si="1"/>
        <v>-1.8784999999999996E-2</v>
      </c>
    </row>
    <row r="11" spans="2:7">
      <c r="B11" s="112">
        <v>6543</v>
      </c>
      <c r="C11" s="109">
        <v>0.40857399999999999</v>
      </c>
      <c r="D11" s="109">
        <f t="shared" si="0"/>
        <v>-0.17130100000000004</v>
      </c>
      <c r="E11" s="109">
        <f t="shared" si="1"/>
        <v>-2.9457999999999984E-2</v>
      </c>
    </row>
    <row r="12" spans="2:7">
      <c r="C12" s="108"/>
      <c r="D12" s="108"/>
      <c r="E12" s="108">
        <f>AVERAGE(E4:E11)</f>
        <v>-2.1412625000000005E-2</v>
      </c>
    </row>
    <row r="13" spans="2:7">
      <c r="C13" s="108"/>
    </row>
    <row r="14" spans="2:7" ht="16">
      <c r="B14" s="106" t="s">
        <v>189</v>
      </c>
      <c r="C14" s="106" t="s">
        <v>172</v>
      </c>
      <c r="D14" s="106" t="s">
        <v>205</v>
      </c>
      <c r="E14" s="106" t="s">
        <v>204</v>
      </c>
      <c r="G14" t="s">
        <v>201</v>
      </c>
    </row>
    <row r="15" spans="2:7">
      <c r="B15" s="111" t="s">
        <v>143</v>
      </c>
      <c r="C15" s="110">
        <v>0.57540800000000003</v>
      </c>
      <c r="D15" s="108">
        <f>C15-$C$3</f>
        <v>-4.4669999999999987E-3</v>
      </c>
      <c r="E15" s="107">
        <f>0</f>
        <v>0</v>
      </c>
    </row>
    <row r="16" spans="2:7">
      <c r="B16" s="111" t="s">
        <v>173</v>
      </c>
      <c r="C16" s="110">
        <v>0.55113800000000002</v>
      </c>
      <c r="D16" s="108">
        <f t="shared" ref="D16:D23" si="2">C16-$C$3</f>
        <v>-2.8737000000000013E-2</v>
      </c>
      <c r="E16" s="108">
        <f>C16-C15</f>
        <v>-2.4270000000000014E-2</v>
      </c>
    </row>
    <row r="17" spans="2:5">
      <c r="B17" s="111" t="s">
        <v>174</v>
      </c>
      <c r="C17" s="110">
        <v>0.53922700000000001</v>
      </c>
      <c r="D17" s="108">
        <f t="shared" si="2"/>
        <v>-4.0648000000000017E-2</v>
      </c>
      <c r="E17" s="108">
        <f t="shared" ref="E17:E23" si="3">C17-C16</f>
        <v>-1.1911000000000005E-2</v>
      </c>
    </row>
    <row r="18" spans="2:5">
      <c r="B18" s="111" t="s">
        <v>175</v>
      </c>
      <c r="C18" s="110">
        <v>0.52011600000000002</v>
      </c>
      <c r="D18" s="108">
        <f t="shared" si="2"/>
        <v>-5.9759000000000007E-2</v>
      </c>
      <c r="E18" s="108">
        <f t="shared" si="3"/>
        <v>-1.9110999999999989E-2</v>
      </c>
    </row>
    <row r="19" spans="2:5">
      <c r="B19" s="111" t="s">
        <v>176</v>
      </c>
      <c r="C19" s="108">
        <v>0.49347099999999999</v>
      </c>
      <c r="D19" s="108">
        <f t="shared" si="2"/>
        <v>-8.6404000000000036E-2</v>
      </c>
      <c r="E19" s="108">
        <f t="shared" si="3"/>
        <v>-2.664500000000003E-2</v>
      </c>
    </row>
    <row r="20" spans="2:5">
      <c r="B20" s="111">
        <v>9875</v>
      </c>
      <c r="C20" s="108">
        <v>0.470192</v>
      </c>
      <c r="D20" s="108">
        <f t="shared" si="2"/>
        <v>-0.10968300000000003</v>
      </c>
      <c r="E20" s="108">
        <f t="shared" si="3"/>
        <v>-2.3278999999999994E-2</v>
      </c>
    </row>
    <row r="21" spans="2:5">
      <c r="B21" s="111">
        <v>8764</v>
      </c>
      <c r="C21" s="108">
        <v>0.45172499999999999</v>
      </c>
      <c r="D21" s="108">
        <f t="shared" si="2"/>
        <v>-0.12815000000000004</v>
      </c>
      <c r="E21" s="108">
        <f t="shared" si="3"/>
        <v>-1.8467000000000011E-2</v>
      </c>
    </row>
    <row r="22" spans="2:5">
      <c r="B22" s="111">
        <v>7653</v>
      </c>
      <c r="C22" s="108">
        <v>0.43302800000000002</v>
      </c>
      <c r="D22" s="108">
        <f t="shared" si="2"/>
        <v>-0.14684700000000001</v>
      </c>
      <c r="E22" s="108">
        <f t="shared" si="3"/>
        <v>-1.8696999999999964E-2</v>
      </c>
    </row>
    <row r="23" spans="2:5">
      <c r="B23" s="112">
        <v>6542</v>
      </c>
      <c r="C23" s="109">
        <v>0.404615</v>
      </c>
      <c r="D23" s="109">
        <f t="shared" si="2"/>
        <v>-0.17526000000000003</v>
      </c>
      <c r="E23" s="109">
        <f t="shared" si="3"/>
        <v>-2.8413000000000022E-2</v>
      </c>
    </row>
    <row r="24" spans="2:5">
      <c r="C24" s="108"/>
      <c r="D24" s="108"/>
      <c r="E24" s="108">
        <f>AVERAGE(E16:E23)</f>
        <v>-2.1349125000000004E-2</v>
      </c>
    </row>
    <row r="25" spans="2:5">
      <c r="C25" s="108"/>
    </row>
    <row r="26" spans="2:5" ht="16">
      <c r="B26" s="106" t="s">
        <v>188</v>
      </c>
      <c r="C26" s="106" t="s">
        <v>172</v>
      </c>
      <c r="D26" s="106" t="s">
        <v>205</v>
      </c>
      <c r="E26" s="106" t="s">
        <v>204</v>
      </c>
    </row>
    <row r="27" spans="2:5">
      <c r="B27" s="111" t="s">
        <v>144</v>
      </c>
      <c r="C27" s="110">
        <v>0.58362800000000004</v>
      </c>
      <c r="D27" s="108">
        <f>C27-$C$3</f>
        <v>3.7530000000000063E-3</v>
      </c>
      <c r="E27" s="107">
        <f>0</f>
        <v>0</v>
      </c>
    </row>
    <row r="28" spans="2:5">
      <c r="B28" s="111" t="s">
        <v>177</v>
      </c>
      <c r="C28" s="110">
        <v>0.56176099999999995</v>
      </c>
      <c r="D28" s="108">
        <f t="shared" ref="D28:D35" si="4">C28-$C$3</f>
        <v>-1.8114000000000074E-2</v>
      </c>
      <c r="E28" s="108">
        <f>C28-C27</f>
        <v>-2.1867000000000081E-2</v>
      </c>
    </row>
    <row r="29" spans="2:5">
      <c r="B29" s="111" t="s">
        <v>178</v>
      </c>
      <c r="C29" s="110">
        <v>0.53873199999999999</v>
      </c>
      <c r="D29" s="108">
        <f t="shared" si="4"/>
        <v>-4.1143000000000041E-2</v>
      </c>
      <c r="E29" s="108">
        <f t="shared" ref="E29:E35" si="5">C29-C28</f>
        <v>-2.3028999999999966E-2</v>
      </c>
    </row>
    <row r="30" spans="2:5">
      <c r="B30" s="111" t="s">
        <v>179</v>
      </c>
      <c r="C30" s="110">
        <v>0.52575000000000005</v>
      </c>
      <c r="D30" s="108">
        <f t="shared" si="4"/>
        <v>-5.4124999999999979E-2</v>
      </c>
      <c r="E30" s="108">
        <f t="shared" si="5"/>
        <v>-1.2981999999999938E-2</v>
      </c>
    </row>
    <row r="31" spans="2:5">
      <c r="B31" s="111" t="s">
        <v>180</v>
      </c>
      <c r="C31" s="108">
        <v>0.498942</v>
      </c>
      <c r="D31" s="108">
        <f t="shared" si="4"/>
        <v>-8.0933000000000033E-2</v>
      </c>
      <c r="E31" s="108">
        <f t="shared" si="5"/>
        <v>-2.6808000000000054E-2</v>
      </c>
    </row>
    <row r="32" spans="2:5">
      <c r="B32" s="111">
        <v>9865</v>
      </c>
      <c r="C32" s="108">
        <v>0.47220100000000004</v>
      </c>
      <c r="D32" s="108">
        <f t="shared" si="4"/>
        <v>-0.10767399999999999</v>
      </c>
      <c r="E32" s="108">
        <f t="shared" si="5"/>
        <v>-2.6740999999999959E-2</v>
      </c>
    </row>
    <row r="33" spans="2:7">
      <c r="B33" s="111">
        <v>8754</v>
      </c>
      <c r="C33" s="108">
        <v>0.45387700000000003</v>
      </c>
      <c r="D33" s="108">
        <f t="shared" si="4"/>
        <v>-0.125998</v>
      </c>
      <c r="E33" s="108">
        <f t="shared" si="5"/>
        <v>-1.8324000000000007E-2</v>
      </c>
    </row>
    <row r="34" spans="2:7">
      <c r="B34" s="111">
        <v>7643</v>
      </c>
      <c r="C34" s="108">
        <v>0.42283399999999999</v>
      </c>
      <c r="D34" s="108">
        <f t="shared" si="4"/>
        <v>-0.15704100000000004</v>
      </c>
      <c r="E34" s="108">
        <f t="shared" si="5"/>
        <v>-3.1043000000000043E-2</v>
      </c>
    </row>
    <row r="35" spans="2:7">
      <c r="B35" s="112">
        <v>6532</v>
      </c>
      <c r="C35" s="109">
        <v>0.39329500000000001</v>
      </c>
      <c r="D35" s="109">
        <f t="shared" si="4"/>
        <v>-0.18658000000000002</v>
      </c>
      <c r="E35" s="109">
        <f t="shared" si="5"/>
        <v>-2.9538999999999982E-2</v>
      </c>
    </row>
    <row r="36" spans="2:7">
      <c r="C36" s="108"/>
      <c r="D36" s="108"/>
      <c r="E36" s="108">
        <f>AVERAGE(E28:E35)</f>
        <v>-2.3791625000000004E-2</v>
      </c>
    </row>
    <row r="38" spans="2:7" ht="16">
      <c r="B38" s="106" t="s">
        <v>187</v>
      </c>
      <c r="C38" s="106" t="s">
        <v>172</v>
      </c>
      <c r="D38" s="106" t="s">
        <v>205</v>
      </c>
      <c r="E38" s="106" t="s">
        <v>204</v>
      </c>
      <c r="G38" t="s">
        <v>202</v>
      </c>
    </row>
    <row r="39" spans="2:7">
      <c r="B39" s="111" t="s">
        <v>184</v>
      </c>
      <c r="C39" s="110">
        <v>0.56343600000000005</v>
      </c>
      <c r="D39" s="108">
        <f>C39-$C$3</f>
        <v>-1.6438999999999981E-2</v>
      </c>
      <c r="E39" s="107">
        <f>0</f>
        <v>0</v>
      </c>
    </row>
    <row r="40" spans="2:7">
      <c r="B40" s="111" t="s">
        <v>185</v>
      </c>
      <c r="C40" s="110">
        <v>0.54194799999999999</v>
      </c>
      <c r="D40" s="108">
        <f t="shared" ref="D40:D46" si="6">C40-$C$3</f>
        <v>-3.7927000000000044E-2</v>
      </c>
      <c r="E40" s="108">
        <f>C40-C39</f>
        <v>-2.1488000000000063E-2</v>
      </c>
    </row>
    <row r="41" spans="2:7">
      <c r="B41" s="111" t="s">
        <v>181</v>
      </c>
      <c r="C41" s="110">
        <v>0.526752</v>
      </c>
      <c r="D41" s="108">
        <f t="shared" si="6"/>
        <v>-5.3123000000000031E-2</v>
      </c>
      <c r="E41" s="108">
        <f t="shared" ref="E41:E46" si="7">C41-C40</f>
        <v>-1.5195999999999987E-2</v>
      </c>
    </row>
    <row r="42" spans="2:7">
      <c r="B42" s="111" t="s">
        <v>182</v>
      </c>
      <c r="C42" s="110">
        <v>0.508884</v>
      </c>
      <c r="D42" s="108">
        <f t="shared" si="6"/>
        <v>-7.0991000000000026E-2</v>
      </c>
      <c r="E42" s="108">
        <f t="shared" si="7"/>
        <v>-1.7867999999999995E-2</v>
      </c>
    </row>
    <row r="43" spans="2:7">
      <c r="B43" s="111" t="s">
        <v>183</v>
      </c>
      <c r="C43" s="108">
        <v>0.48044599999999998</v>
      </c>
      <c r="D43" s="108">
        <f t="shared" si="6"/>
        <v>-9.9429000000000045E-2</v>
      </c>
      <c r="E43" s="108">
        <f t="shared" si="7"/>
        <v>-2.8438000000000019E-2</v>
      </c>
    </row>
    <row r="44" spans="2:7">
      <c r="B44" s="111">
        <v>9874</v>
      </c>
      <c r="C44" s="108">
        <v>0.456785</v>
      </c>
      <c r="D44" s="108">
        <f t="shared" si="6"/>
        <v>-0.12309000000000003</v>
      </c>
      <c r="E44" s="108">
        <f t="shared" si="7"/>
        <v>-2.3660999999999988E-2</v>
      </c>
    </row>
    <row r="45" spans="2:7">
      <c r="B45" s="111">
        <v>8763</v>
      </c>
      <c r="C45" s="108">
        <v>0.43697000000000003</v>
      </c>
      <c r="D45" s="108">
        <f t="shared" si="6"/>
        <v>-0.142905</v>
      </c>
      <c r="E45" s="108">
        <f t="shared" si="7"/>
        <v>-1.9814999999999972E-2</v>
      </c>
    </row>
    <row r="46" spans="2:7">
      <c r="B46" s="112">
        <v>7652</v>
      </c>
      <c r="C46" s="109">
        <v>0.41737299999999999</v>
      </c>
      <c r="D46" s="109">
        <f t="shared" si="6"/>
        <v>-0.16250200000000004</v>
      </c>
      <c r="E46" s="109">
        <f t="shared" si="7"/>
        <v>-1.9597000000000031E-2</v>
      </c>
    </row>
    <row r="47" spans="2:7">
      <c r="C47" s="108"/>
      <c r="D47" s="108"/>
      <c r="E47" s="108">
        <f>AVERAGE(E39:E46)</f>
        <v>-1.8257875000000007E-2</v>
      </c>
    </row>
    <row r="48" spans="2:7">
      <c r="D48" s="108"/>
      <c r="E48" s="108"/>
    </row>
    <row r="49" spans="2:7" ht="16">
      <c r="B49" s="106" t="s">
        <v>186</v>
      </c>
      <c r="C49" s="106" t="s">
        <v>172</v>
      </c>
      <c r="D49" s="106" t="s">
        <v>205</v>
      </c>
      <c r="E49" s="106" t="s">
        <v>204</v>
      </c>
      <c r="G49" t="s">
        <v>202</v>
      </c>
    </row>
    <row r="50" spans="2:7">
      <c r="B50" s="111" t="s">
        <v>190</v>
      </c>
      <c r="C50" s="110">
        <v>0.57018899999999995</v>
      </c>
      <c r="D50" s="108">
        <f>C50-$C$3</f>
        <v>-9.6860000000000834E-3</v>
      </c>
      <c r="E50" s="107">
        <f>0</f>
        <v>0</v>
      </c>
    </row>
    <row r="51" spans="2:7">
      <c r="B51" s="111" t="s">
        <v>191</v>
      </c>
      <c r="C51" s="110">
        <v>0.54912499999999997</v>
      </c>
      <c r="D51" s="108">
        <f t="shared" ref="D51:D57" si="8">C51-$C$3</f>
        <v>-3.0750000000000055E-2</v>
      </c>
      <c r="E51" s="108">
        <f>C51-C50</f>
        <v>-2.1063999999999972E-2</v>
      </c>
    </row>
    <row r="52" spans="2:7">
      <c r="B52" s="111" t="s">
        <v>192</v>
      </c>
      <c r="C52" s="110">
        <v>0.52607700000000002</v>
      </c>
      <c r="D52" s="108">
        <f t="shared" si="8"/>
        <v>-5.3798000000000012E-2</v>
      </c>
      <c r="E52" s="108">
        <f t="shared" ref="E52:E57" si="9">C52-C51</f>
        <v>-2.3047999999999957E-2</v>
      </c>
    </row>
    <row r="53" spans="2:7">
      <c r="B53" s="111" t="s">
        <v>193</v>
      </c>
      <c r="C53" s="110">
        <v>0.51313799999999998</v>
      </c>
      <c r="D53" s="108">
        <f t="shared" si="8"/>
        <v>-6.6737000000000046E-2</v>
      </c>
      <c r="E53" s="108">
        <f t="shared" si="9"/>
        <v>-1.2939000000000034E-2</v>
      </c>
    </row>
    <row r="54" spans="2:7">
      <c r="B54" s="111" t="s">
        <v>194</v>
      </c>
      <c r="C54" s="108">
        <v>0.48481800000000003</v>
      </c>
      <c r="D54" s="108">
        <f t="shared" si="8"/>
        <v>-9.5057000000000003E-2</v>
      </c>
      <c r="E54" s="108">
        <f t="shared" si="9"/>
        <v>-2.8319999999999956E-2</v>
      </c>
    </row>
    <row r="55" spans="2:7">
      <c r="B55" s="111">
        <v>9864</v>
      </c>
      <c r="C55" s="108">
        <v>0.45988099999999998</v>
      </c>
      <c r="D55" s="108">
        <f t="shared" si="8"/>
        <v>-0.11999400000000005</v>
      </c>
      <c r="E55" s="108">
        <f t="shared" si="9"/>
        <v>-2.4937000000000042E-2</v>
      </c>
    </row>
    <row r="56" spans="2:7">
      <c r="B56" s="111">
        <v>8753</v>
      </c>
      <c r="C56" s="108">
        <v>0.439668</v>
      </c>
      <c r="D56" s="108">
        <f t="shared" si="8"/>
        <v>-0.14020700000000003</v>
      </c>
      <c r="E56" s="108">
        <f t="shared" si="9"/>
        <v>-2.0212999999999981E-2</v>
      </c>
    </row>
    <row r="57" spans="2:7">
      <c r="B57" s="112">
        <v>7642</v>
      </c>
      <c r="C57" s="109">
        <v>0.406997</v>
      </c>
      <c r="D57" s="109">
        <f t="shared" si="8"/>
        <v>-0.17287800000000003</v>
      </c>
      <c r="E57" s="109">
        <f t="shared" si="9"/>
        <v>-3.2671000000000006E-2</v>
      </c>
    </row>
    <row r="58" spans="2:7">
      <c r="C58" s="108"/>
      <c r="D58" s="108"/>
      <c r="E58" s="108">
        <f>AVERAGE(E50:E57)</f>
        <v>-2.0398999999999994E-2</v>
      </c>
    </row>
    <row r="60" spans="2:7" ht="16">
      <c r="B60" s="106" t="s">
        <v>195</v>
      </c>
      <c r="C60" s="106" t="s">
        <v>172</v>
      </c>
      <c r="D60" s="106" t="s">
        <v>205</v>
      </c>
      <c r="E60" s="106" t="s">
        <v>204</v>
      </c>
      <c r="G60" t="s">
        <v>203</v>
      </c>
    </row>
    <row r="61" spans="2:7">
      <c r="B61" s="111" t="s">
        <v>196</v>
      </c>
      <c r="C61" s="110">
        <v>0.57767400000000002</v>
      </c>
      <c r="D61" s="108">
        <f>C61-$C$3</f>
        <v>-2.2010000000000085E-3</v>
      </c>
      <c r="E61" s="107">
        <f>0</f>
        <v>0</v>
      </c>
    </row>
    <row r="62" spans="2:7">
      <c r="B62" s="111" t="s">
        <v>197</v>
      </c>
      <c r="C62" s="110">
        <v>0.54982200000000003</v>
      </c>
      <c r="D62" s="108">
        <f t="shared" ref="D62:D68" si="10">C62-$C$3</f>
        <v>-3.0052999999999996E-2</v>
      </c>
      <c r="E62" s="108">
        <f>C62-C61</f>
        <v>-2.7851999999999988E-2</v>
      </c>
    </row>
    <row r="63" spans="2:7">
      <c r="B63" s="111" t="s">
        <v>198</v>
      </c>
      <c r="C63" s="110">
        <v>0.52907499999999996</v>
      </c>
      <c r="D63" s="108">
        <f t="shared" si="10"/>
        <v>-5.0800000000000067E-2</v>
      </c>
      <c r="E63" s="108">
        <f t="shared" ref="E63:E68" si="11">C63-C62</f>
        <v>-2.0747000000000071E-2</v>
      </c>
    </row>
    <row r="64" spans="2:7">
      <c r="B64" s="111" t="s">
        <v>199</v>
      </c>
      <c r="C64" s="110">
        <v>0.51307800000000003</v>
      </c>
      <c r="D64" s="108">
        <f t="shared" si="10"/>
        <v>-6.6796999999999995E-2</v>
      </c>
      <c r="E64" s="108">
        <f t="shared" si="11"/>
        <v>-1.5996999999999928E-2</v>
      </c>
    </row>
    <row r="65" spans="2:5">
      <c r="B65" s="111" t="s">
        <v>200</v>
      </c>
      <c r="C65" s="108">
        <v>0.48386699999999999</v>
      </c>
      <c r="D65" s="108">
        <f t="shared" si="10"/>
        <v>-9.6008000000000038E-2</v>
      </c>
      <c r="E65" s="108">
        <f t="shared" si="11"/>
        <v>-2.9211000000000042E-2</v>
      </c>
    </row>
    <row r="66" spans="2:5">
      <c r="B66" s="111">
        <v>9854</v>
      </c>
      <c r="C66" s="108">
        <v>0.45999899999999999</v>
      </c>
      <c r="D66" s="108">
        <f t="shared" si="10"/>
        <v>-0.11987600000000004</v>
      </c>
      <c r="E66" s="108">
        <f t="shared" si="11"/>
        <v>-2.3868E-2</v>
      </c>
    </row>
    <row r="67" spans="2:5">
      <c r="B67" s="111">
        <v>8743</v>
      </c>
      <c r="C67" s="108">
        <v>0.42352800000000002</v>
      </c>
      <c r="D67" s="108">
        <f t="shared" si="10"/>
        <v>-0.15634700000000001</v>
      </c>
      <c r="E67" s="108">
        <f t="shared" si="11"/>
        <v>-3.6470999999999976E-2</v>
      </c>
    </row>
    <row r="68" spans="2:5">
      <c r="B68" s="112">
        <v>7632</v>
      </c>
      <c r="C68" s="109">
        <v>0.39071300000000003</v>
      </c>
      <c r="D68" s="109">
        <f t="shared" si="10"/>
        <v>-0.189162</v>
      </c>
      <c r="E68" s="109">
        <f t="shared" si="11"/>
        <v>-3.2814999999999983E-2</v>
      </c>
    </row>
    <row r="69" spans="2:5">
      <c r="E69" s="108">
        <f>AVERAGE(E61:E68)</f>
        <v>-2.3370124999999999E-2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 Scenarios</vt:lpstr>
      <vt:lpstr>Players to Flop</vt:lpstr>
      <vt:lpstr>Equity Deltas</vt:lpstr>
      <vt:lpstr>Combinatorics</vt:lpstr>
      <vt:lpstr>Starting Hands</vt:lpstr>
    </vt:vector>
  </TitlesOfParts>
  <Company>ACS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Stephens</dc:creator>
  <cp:lastModifiedBy>Alex Stephens</cp:lastModifiedBy>
  <dcterms:created xsi:type="dcterms:W3CDTF">2014-07-21T22:31:44Z</dcterms:created>
  <dcterms:modified xsi:type="dcterms:W3CDTF">2014-08-30T04:25:42Z</dcterms:modified>
</cp:coreProperties>
</file>