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 - Work\Moreira's Magic\Developer Specs\2024\"/>
    </mc:Choice>
  </mc:AlternateContent>
  <xr:revisionPtr revIDLastSave="0" documentId="13_ncr:1_{5D5B1011-FB22-4FD9-BE16-4EB33038FF39}" xr6:coauthVersionLast="47" xr6:coauthVersionMax="47" xr10:uidLastSave="{00000000-0000-0000-0000-000000000000}"/>
  <bookViews>
    <workbookView xWindow="-120" yWindow="-120" windowWidth="29040" windowHeight="15720" activeTab="2" xr2:uid="{C743CA4F-A05A-46AD-AF28-87A92C31C096}"/>
  </bookViews>
  <sheets>
    <sheet name="Pre-R00 AF" sheetId="33" r:id="rId1"/>
    <sheet name="R00 AF" sheetId="42" r:id="rId2"/>
    <sheet name="R01 AF" sheetId="43" r:id="rId3"/>
    <sheet name="MagicNumber" sheetId="40" r:id="rId4"/>
    <sheet name="MN 2015-2022" sheetId="41" r:id="rId5"/>
    <sheet name="Pricing Formula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43" l="1"/>
  <c r="G44" i="43"/>
  <c r="H45" i="43" s="1"/>
  <c r="F44" i="43"/>
  <c r="F43" i="43"/>
  <c r="F42" i="43"/>
  <c r="G42" i="43" s="1"/>
  <c r="K41" i="43"/>
  <c r="J41" i="43"/>
  <c r="K42" i="43" s="1"/>
  <c r="I41" i="43"/>
  <c r="J42" i="43" s="1"/>
  <c r="K43" i="43" s="1"/>
  <c r="H41" i="43"/>
  <c r="W46" i="43" s="1"/>
  <c r="F41" i="43"/>
  <c r="G41" i="43" s="1"/>
  <c r="C41" i="43"/>
  <c r="D41" i="43" s="1"/>
  <c r="G37" i="43"/>
  <c r="D37" i="43"/>
  <c r="E6" i="43" s="1"/>
  <c r="V36" i="43"/>
  <c r="K36" i="43"/>
  <c r="J36" i="43"/>
  <c r="I36" i="43"/>
  <c r="H36" i="43"/>
  <c r="G36" i="43"/>
  <c r="D36" i="43"/>
  <c r="V35" i="43"/>
  <c r="D35" i="43"/>
  <c r="J29" i="43"/>
  <c r="K29" i="43" s="1"/>
  <c r="N28" i="43"/>
  <c r="M28" i="43"/>
  <c r="L28" i="43"/>
  <c r="K28" i="43"/>
  <c r="J28" i="43"/>
  <c r="H15" i="43"/>
  <c r="G15" i="43"/>
  <c r="I8" i="43"/>
  <c r="I14" i="43" s="1"/>
  <c r="H8" i="43"/>
  <c r="H14" i="43" s="1"/>
  <c r="G8" i="43"/>
  <c r="G14" i="43" s="1"/>
  <c r="F8" i="43"/>
  <c r="F14" i="43" s="1"/>
  <c r="E8" i="43"/>
  <c r="E14" i="43" s="1"/>
  <c r="AC44" i="42"/>
  <c r="V46" i="42"/>
  <c r="W46" i="42"/>
  <c r="V47" i="42"/>
  <c r="W47" i="42"/>
  <c r="AC35" i="42"/>
  <c r="AF44" i="42" s="1"/>
  <c r="AC36" i="42"/>
  <c r="AG44" i="42" s="1"/>
  <c r="AC42" i="42"/>
  <c r="AC37" i="42"/>
  <c r="V35" i="42"/>
  <c r="V36" i="42"/>
  <c r="L42" i="33"/>
  <c r="L43" i="33"/>
  <c r="L44" i="33"/>
  <c r="L45" i="33"/>
  <c r="L41" i="33"/>
  <c r="G6" i="40"/>
  <c r="H6" i="40" s="1"/>
  <c r="D6" i="40"/>
  <c r="D7" i="40"/>
  <c r="E6" i="40"/>
  <c r="G45" i="42"/>
  <c r="F45" i="42"/>
  <c r="F44" i="42"/>
  <c r="G44" i="42" s="1"/>
  <c r="F43" i="42"/>
  <c r="F42" i="42"/>
  <c r="F15" i="42" s="1"/>
  <c r="K41" i="42"/>
  <c r="J41" i="42"/>
  <c r="K42" i="42" s="1"/>
  <c r="I41" i="42"/>
  <c r="J42" i="42" s="1"/>
  <c r="K43" i="42" s="1"/>
  <c r="H41" i="42"/>
  <c r="I42" i="42" s="1"/>
  <c r="J43" i="42" s="1"/>
  <c r="K44" i="42" s="1"/>
  <c r="F41" i="42"/>
  <c r="G41" i="42" s="1"/>
  <c r="AC41" i="42" s="1"/>
  <c r="C41" i="42"/>
  <c r="D41" i="42" s="1"/>
  <c r="D37" i="42"/>
  <c r="E41" i="42" s="1"/>
  <c r="K36" i="42"/>
  <c r="J36" i="42"/>
  <c r="I36" i="42"/>
  <c r="H36" i="42"/>
  <c r="G36" i="42"/>
  <c r="D36" i="42"/>
  <c r="D35" i="42"/>
  <c r="K29" i="42"/>
  <c r="L29" i="42" s="1"/>
  <c r="J29" i="42"/>
  <c r="G37" i="42" s="1"/>
  <c r="N28" i="42"/>
  <c r="M28" i="42"/>
  <c r="L28" i="42"/>
  <c r="K28" i="42"/>
  <c r="J28" i="42"/>
  <c r="I15" i="42"/>
  <c r="G15" i="42"/>
  <c r="I8" i="42"/>
  <c r="I14" i="42" s="1"/>
  <c r="H8" i="42"/>
  <c r="H14" i="42" s="1"/>
  <c r="G8" i="42"/>
  <c r="G14" i="42" s="1"/>
  <c r="F8" i="42"/>
  <c r="F14" i="42" s="1"/>
  <c r="E8" i="42"/>
  <c r="E14" i="42" s="1"/>
  <c r="H5" i="40"/>
  <c r="F15" i="43" l="1"/>
  <c r="C42" i="43"/>
  <c r="H42" i="43"/>
  <c r="I43" i="43" s="1"/>
  <c r="J44" i="43" s="1"/>
  <c r="K45" i="43" s="1"/>
  <c r="V46" i="43"/>
  <c r="W47" i="43"/>
  <c r="AC36" i="43"/>
  <c r="AG44" i="43" s="1"/>
  <c r="H37" i="43"/>
  <c r="L29" i="43"/>
  <c r="V47" i="43"/>
  <c r="H43" i="43"/>
  <c r="I44" i="43" s="1"/>
  <c r="J45" i="43" s="1"/>
  <c r="AC35" i="43"/>
  <c r="AF44" i="43" s="1"/>
  <c r="I42" i="43"/>
  <c r="J43" i="43" s="1"/>
  <c r="K44" i="43" s="1"/>
  <c r="G43" i="43"/>
  <c r="E15" i="43"/>
  <c r="E41" i="43"/>
  <c r="G45" i="43"/>
  <c r="I15" i="43"/>
  <c r="L41" i="43"/>
  <c r="M41" i="43" s="1"/>
  <c r="AE44" i="42"/>
  <c r="AC45" i="42"/>
  <c r="L41" i="42"/>
  <c r="N41" i="42" s="1"/>
  <c r="C42" i="42"/>
  <c r="C43" i="42" s="1"/>
  <c r="P41" i="42"/>
  <c r="E19" i="42" s="1"/>
  <c r="H42" i="42"/>
  <c r="I43" i="42" s="1"/>
  <c r="J44" i="42" s="1"/>
  <c r="K45" i="42" s="1"/>
  <c r="D43" i="42"/>
  <c r="C44" i="42"/>
  <c r="H45" i="42"/>
  <c r="M29" i="42"/>
  <c r="I37" i="42"/>
  <c r="E15" i="42"/>
  <c r="D42" i="42"/>
  <c r="E6" i="42"/>
  <c r="H37" i="42"/>
  <c r="G42" i="42"/>
  <c r="G43" i="42"/>
  <c r="H15" i="42"/>
  <c r="D16" i="40"/>
  <c r="E16" i="40"/>
  <c r="G16" i="40"/>
  <c r="H16" i="40"/>
  <c r="D17" i="40"/>
  <c r="E17" i="40"/>
  <c r="G17" i="40"/>
  <c r="H17" i="40" s="1"/>
  <c r="D18" i="40"/>
  <c r="E18" i="40"/>
  <c r="G18" i="40"/>
  <c r="H18" i="40"/>
  <c r="D19" i="40"/>
  <c r="E19" i="40"/>
  <c r="G19" i="40"/>
  <c r="H19" i="40" s="1"/>
  <c r="D20" i="40"/>
  <c r="E20" i="40"/>
  <c r="G20" i="40"/>
  <c r="H20" i="40" s="1"/>
  <c r="D21" i="40"/>
  <c r="E21" i="40"/>
  <c r="G21" i="40"/>
  <c r="H21" i="40" s="1"/>
  <c r="D22" i="40"/>
  <c r="E22" i="40"/>
  <c r="G22" i="40"/>
  <c r="H22" i="40"/>
  <c r="D23" i="40"/>
  <c r="E23" i="40"/>
  <c r="G23" i="40"/>
  <c r="H23" i="40"/>
  <c r="D24" i="40"/>
  <c r="E24" i="40"/>
  <c r="G24" i="40"/>
  <c r="H24" i="40" s="1"/>
  <c r="D25" i="40"/>
  <c r="E25" i="40"/>
  <c r="G25" i="40"/>
  <c r="H25" i="40" s="1"/>
  <c r="D26" i="40"/>
  <c r="E26" i="40"/>
  <c r="G26" i="40"/>
  <c r="H26" i="40"/>
  <c r="D27" i="40"/>
  <c r="E27" i="40"/>
  <c r="G27" i="40"/>
  <c r="H27" i="40"/>
  <c r="D28" i="40"/>
  <c r="E28" i="40"/>
  <c r="G28" i="40"/>
  <c r="H28" i="40"/>
  <c r="D29" i="40"/>
  <c r="E29" i="40"/>
  <c r="G29" i="40"/>
  <c r="H29" i="40"/>
  <c r="D30" i="40"/>
  <c r="E30" i="40"/>
  <c r="G30" i="40"/>
  <c r="H30" i="40" s="1"/>
  <c r="L31" i="41"/>
  <c r="L30" i="41"/>
  <c r="D42" i="43" l="1"/>
  <c r="C43" i="43"/>
  <c r="L42" i="43"/>
  <c r="M42" i="43" s="1"/>
  <c r="L43" i="43"/>
  <c r="M43" i="43" s="1"/>
  <c r="H44" i="43"/>
  <c r="M29" i="43"/>
  <c r="I37" i="43"/>
  <c r="N41" i="43"/>
  <c r="P41" i="43"/>
  <c r="E19" i="43" s="1"/>
  <c r="AC41" i="43"/>
  <c r="AC42" i="43" s="1"/>
  <c r="L42" i="42"/>
  <c r="M41" i="42"/>
  <c r="M42" i="42"/>
  <c r="H43" i="42"/>
  <c r="J37" i="42"/>
  <c r="N29" i="42"/>
  <c r="K37" i="42" s="1"/>
  <c r="H44" i="42"/>
  <c r="E18" i="42"/>
  <c r="E16" i="42" s="1"/>
  <c r="E17" i="42" s="1"/>
  <c r="E42" i="42"/>
  <c r="N42" i="42" s="1"/>
  <c r="D44" i="42"/>
  <c r="C45" i="42"/>
  <c r="D45" i="42" s="1"/>
  <c r="O41" i="42"/>
  <c r="E20" i="42" s="1"/>
  <c r="AH6" i="41"/>
  <c r="AH7" i="41"/>
  <c r="AH8" i="41"/>
  <c r="AH9" i="41"/>
  <c r="AH10" i="41"/>
  <c r="AH11" i="41"/>
  <c r="AH12" i="41"/>
  <c r="AH13" i="41"/>
  <c r="AH14" i="41"/>
  <c r="AH15" i="41"/>
  <c r="AH16" i="41"/>
  <c r="AH17" i="41"/>
  <c r="AH18" i="41"/>
  <c r="AH19" i="41"/>
  <c r="AH20" i="41"/>
  <c r="AH21" i="41"/>
  <c r="AH22" i="41"/>
  <c r="AH23" i="41"/>
  <c r="AH24" i="41"/>
  <c r="AH25" i="41"/>
  <c r="AH26" i="41"/>
  <c r="AH27" i="41"/>
  <c r="AH5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6" i="41"/>
  <c r="L32" i="41"/>
  <c r="D15" i="40"/>
  <c r="E15" i="40"/>
  <c r="G15" i="40"/>
  <c r="H15" i="40" s="1"/>
  <c r="G14" i="40"/>
  <c r="H14" i="40" s="1"/>
  <c r="E14" i="40"/>
  <c r="D14" i="40"/>
  <c r="D43" i="43" l="1"/>
  <c r="C44" i="43"/>
  <c r="E42" i="43"/>
  <c r="E18" i="43"/>
  <c r="E16" i="43" s="1"/>
  <c r="E17" i="43" s="1"/>
  <c r="O41" i="43"/>
  <c r="E20" i="43" s="1"/>
  <c r="N29" i="43"/>
  <c r="K37" i="43" s="1"/>
  <c r="J37" i="43"/>
  <c r="I45" i="43"/>
  <c r="L45" i="43" s="1"/>
  <c r="M45" i="43" s="1"/>
  <c r="L44" i="43"/>
  <c r="M44" i="43" s="1"/>
  <c r="I44" i="42"/>
  <c r="L43" i="42"/>
  <c r="M43" i="42" s="1"/>
  <c r="P42" i="42"/>
  <c r="F19" i="42" s="1"/>
  <c r="I45" i="42"/>
  <c r="G13" i="40"/>
  <c r="H13" i="40" s="1"/>
  <c r="E13" i="40"/>
  <c r="D13" i="40"/>
  <c r="D44" i="43" l="1"/>
  <c r="C45" i="43"/>
  <c r="D45" i="43" s="1"/>
  <c r="P42" i="43"/>
  <c r="F19" i="43" s="1"/>
  <c r="N42" i="43"/>
  <c r="AC37" i="43"/>
  <c r="J45" i="42"/>
  <c r="L45" i="42" s="1"/>
  <c r="L44" i="42"/>
  <c r="M44" i="42" s="1"/>
  <c r="E43" i="42"/>
  <c r="F18" i="42"/>
  <c r="F16" i="42" s="1"/>
  <c r="F17" i="42" s="1"/>
  <c r="O42" i="42"/>
  <c r="F20" i="42" s="1"/>
  <c r="G12" i="40"/>
  <c r="H12" i="40" s="1"/>
  <c r="E12" i="40"/>
  <c r="D12" i="40"/>
  <c r="AE44" i="43" l="1"/>
  <c r="AC45" i="43"/>
  <c r="AC44" i="43"/>
  <c r="E43" i="43"/>
  <c r="F18" i="43"/>
  <c r="F16" i="43" s="1"/>
  <c r="F17" i="43" s="1"/>
  <c r="O42" i="43"/>
  <c r="F20" i="43" s="1"/>
  <c r="M45" i="42"/>
  <c r="P43" i="42"/>
  <c r="G19" i="42" s="1"/>
  <c r="N43" i="42"/>
  <c r="G11" i="40"/>
  <c r="H11" i="40" s="1"/>
  <c r="E11" i="40"/>
  <c r="D11" i="40"/>
  <c r="G10" i="40"/>
  <c r="H10" i="40" s="1"/>
  <c r="E10" i="40"/>
  <c r="D10" i="40"/>
  <c r="P43" i="43" l="1"/>
  <c r="G19" i="43" s="1"/>
  <c r="N43" i="43"/>
  <c r="E44" i="42"/>
  <c r="G18" i="42"/>
  <c r="G16" i="42" s="1"/>
  <c r="G17" i="42" s="1"/>
  <c r="O43" i="42"/>
  <c r="G20" i="42" s="1"/>
  <c r="G9" i="40"/>
  <c r="H9" i="40" s="1"/>
  <c r="E9" i="40"/>
  <c r="D9" i="40"/>
  <c r="AG6" i="41"/>
  <c r="AG7" i="41"/>
  <c r="AG8" i="41"/>
  <c r="AG9" i="41"/>
  <c r="AG10" i="41"/>
  <c r="AG11" i="41"/>
  <c r="AG12" i="41"/>
  <c r="AG13" i="41"/>
  <c r="AG14" i="41"/>
  <c r="AG15" i="41"/>
  <c r="AG16" i="41"/>
  <c r="AG17" i="41"/>
  <c r="AG18" i="41"/>
  <c r="AG19" i="41"/>
  <c r="AG20" i="41"/>
  <c r="AG21" i="41"/>
  <c r="AG22" i="41"/>
  <c r="AG23" i="41"/>
  <c r="AG24" i="41"/>
  <c r="AG25" i="41"/>
  <c r="AG26" i="41"/>
  <c r="AG27" i="41"/>
  <c r="AG28" i="41"/>
  <c r="AF10" i="41"/>
  <c r="AF11" i="41"/>
  <c r="AF23" i="41"/>
  <c r="AG5" i="41"/>
  <c r="AF5" i="41"/>
  <c r="AE28" i="41"/>
  <c r="AD28" i="41"/>
  <c r="AC28" i="41"/>
  <c r="AB28" i="41"/>
  <c r="AA28" i="41"/>
  <c r="AI28" i="41" s="1"/>
  <c r="AE27" i="41"/>
  <c r="AD27" i="41"/>
  <c r="AC27" i="41"/>
  <c r="AB27" i="41"/>
  <c r="AA27" i="41"/>
  <c r="AE26" i="41"/>
  <c r="AD26" i="41"/>
  <c r="AC26" i="41"/>
  <c r="AB26" i="41"/>
  <c r="AA26" i="41"/>
  <c r="AI26" i="41" s="1"/>
  <c r="AE25" i="41"/>
  <c r="AD25" i="41"/>
  <c r="AC25" i="41"/>
  <c r="AB25" i="41"/>
  <c r="AA25" i="41"/>
  <c r="AE24" i="41"/>
  <c r="AD24" i="41"/>
  <c r="AC24" i="41"/>
  <c r="AB24" i="41"/>
  <c r="AA24" i="41"/>
  <c r="AI24" i="41" s="1"/>
  <c r="AE23" i="41"/>
  <c r="AD23" i="41"/>
  <c r="AC23" i="41"/>
  <c r="AB23" i="41"/>
  <c r="AA23" i="41"/>
  <c r="AE22" i="41"/>
  <c r="AD22" i="41"/>
  <c r="AC22" i="41"/>
  <c r="AB22" i="41"/>
  <c r="AA22" i="41"/>
  <c r="AE21" i="41"/>
  <c r="AD21" i="41"/>
  <c r="AC21" i="41"/>
  <c r="AB21" i="41"/>
  <c r="AA21" i="41"/>
  <c r="AE20" i="41"/>
  <c r="AD20" i="41"/>
  <c r="AC20" i="41"/>
  <c r="AB20" i="41"/>
  <c r="AA20" i="41"/>
  <c r="AE19" i="41"/>
  <c r="AD19" i="41"/>
  <c r="AC19" i="41"/>
  <c r="AB19" i="41"/>
  <c r="AA19" i="41"/>
  <c r="AE18" i="41"/>
  <c r="AD18" i="41"/>
  <c r="AC18" i="41"/>
  <c r="AB18" i="41"/>
  <c r="AA18" i="41"/>
  <c r="AE17" i="41"/>
  <c r="AD17" i="41"/>
  <c r="AC17" i="41"/>
  <c r="AB17" i="41"/>
  <c r="AA17" i="41"/>
  <c r="AE16" i="41"/>
  <c r="AD16" i="41"/>
  <c r="AC16" i="41"/>
  <c r="AB16" i="41"/>
  <c r="AA16" i="41"/>
  <c r="AE15" i="41"/>
  <c r="AD15" i="41"/>
  <c r="AC15" i="41"/>
  <c r="AB15" i="41"/>
  <c r="AA15" i="41"/>
  <c r="AE14" i="41"/>
  <c r="AD14" i="41"/>
  <c r="AC14" i="41"/>
  <c r="AB14" i="41"/>
  <c r="AA14" i="41"/>
  <c r="AE13" i="41"/>
  <c r="AD13" i="41"/>
  <c r="AC13" i="41"/>
  <c r="AB13" i="41"/>
  <c r="AA13" i="41"/>
  <c r="AE12" i="41"/>
  <c r="AD12" i="41"/>
  <c r="AC12" i="41"/>
  <c r="AB12" i="41"/>
  <c r="AA12" i="41"/>
  <c r="AI12" i="41" s="1"/>
  <c r="AE11" i="41"/>
  <c r="AD11" i="41"/>
  <c r="AC11" i="41"/>
  <c r="AB11" i="41"/>
  <c r="AA11" i="41"/>
  <c r="AE10" i="41"/>
  <c r="AD10" i="41"/>
  <c r="AC10" i="41"/>
  <c r="AB10" i="41"/>
  <c r="AA10" i="41"/>
  <c r="AE9" i="41"/>
  <c r="AD9" i="41"/>
  <c r="AC9" i="41"/>
  <c r="AB9" i="41"/>
  <c r="AA9" i="41"/>
  <c r="AE8" i="41"/>
  <c r="AD8" i="41"/>
  <c r="AC8" i="41"/>
  <c r="AB8" i="41"/>
  <c r="AA8" i="41"/>
  <c r="AE7" i="41"/>
  <c r="AD7" i="41"/>
  <c r="AC7" i="41"/>
  <c r="AB7" i="41"/>
  <c r="AA7" i="41"/>
  <c r="AE6" i="41"/>
  <c r="AD6" i="41"/>
  <c r="AC6" i="41"/>
  <c r="AB6" i="41"/>
  <c r="AA6" i="41"/>
  <c r="AE5" i="41"/>
  <c r="AD5" i="41"/>
  <c r="AC5" i="41"/>
  <c r="AB5" i="41"/>
  <c r="AA5" i="41"/>
  <c r="K32" i="41"/>
  <c r="I32" i="41"/>
  <c r="H32" i="41"/>
  <c r="G32" i="41"/>
  <c r="F32" i="41"/>
  <c r="E32" i="41"/>
  <c r="K31" i="41"/>
  <c r="J31" i="41"/>
  <c r="I31" i="41"/>
  <c r="H31" i="41"/>
  <c r="G31" i="41"/>
  <c r="F31" i="41"/>
  <c r="E31" i="41"/>
  <c r="M31" i="41" s="1"/>
  <c r="K30" i="41"/>
  <c r="I30" i="41"/>
  <c r="H30" i="41"/>
  <c r="G30" i="41"/>
  <c r="F30" i="41"/>
  <c r="E30" i="41"/>
  <c r="U28" i="41"/>
  <c r="S28" i="41"/>
  <c r="R28" i="41"/>
  <c r="Q28" i="41"/>
  <c r="P28" i="41"/>
  <c r="O28" i="41"/>
  <c r="W28" i="41" s="1"/>
  <c r="U27" i="41"/>
  <c r="S27" i="41"/>
  <c r="R27" i="41"/>
  <c r="Q27" i="41"/>
  <c r="P27" i="41"/>
  <c r="O27" i="41"/>
  <c r="U26" i="41"/>
  <c r="S26" i="41"/>
  <c r="R26" i="41"/>
  <c r="Q26" i="41"/>
  <c r="P26" i="41"/>
  <c r="O26" i="41"/>
  <c r="W26" i="41" s="1"/>
  <c r="U25" i="41"/>
  <c r="S25" i="41"/>
  <c r="R25" i="41"/>
  <c r="Q25" i="41"/>
  <c r="P25" i="41"/>
  <c r="O25" i="41"/>
  <c r="W25" i="41" s="1"/>
  <c r="U24" i="41"/>
  <c r="S24" i="41"/>
  <c r="R24" i="41"/>
  <c r="Q24" i="41"/>
  <c r="P24" i="41"/>
  <c r="O24" i="41"/>
  <c r="U23" i="41"/>
  <c r="T23" i="41"/>
  <c r="S23" i="41"/>
  <c r="R23" i="41"/>
  <c r="Q23" i="41"/>
  <c r="P23" i="41"/>
  <c r="O23" i="41"/>
  <c r="W23" i="41" s="1"/>
  <c r="U22" i="41"/>
  <c r="T22" i="41"/>
  <c r="S22" i="41"/>
  <c r="R22" i="41"/>
  <c r="Q22" i="41"/>
  <c r="P22" i="41"/>
  <c r="O22" i="41"/>
  <c r="W22" i="41" s="1"/>
  <c r="U21" i="41"/>
  <c r="T21" i="41"/>
  <c r="S21" i="41"/>
  <c r="R21" i="41"/>
  <c r="Q21" i="41"/>
  <c r="P21" i="41"/>
  <c r="O21" i="41"/>
  <c r="U20" i="41"/>
  <c r="T20" i="41"/>
  <c r="S20" i="41"/>
  <c r="R20" i="41"/>
  <c r="Q20" i="41"/>
  <c r="P20" i="41"/>
  <c r="O20" i="41"/>
  <c r="W20" i="41" s="1"/>
  <c r="U19" i="41"/>
  <c r="T19" i="41"/>
  <c r="S19" i="41"/>
  <c r="R19" i="41"/>
  <c r="Q19" i="41"/>
  <c r="P19" i="41"/>
  <c r="O19" i="41"/>
  <c r="W19" i="41" s="1"/>
  <c r="U18" i="41"/>
  <c r="T18" i="41"/>
  <c r="S18" i="41"/>
  <c r="R18" i="41"/>
  <c r="Q18" i="41"/>
  <c r="P18" i="41"/>
  <c r="O18" i="41"/>
  <c r="U17" i="41"/>
  <c r="T17" i="41"/>
  <c r="S17" i="41"/>
  <c r="R17" i="41"/>
  <c r="Q17" i="41"/>
  <c r="P17" i="41"/>
  <c r="O17" i="41"/>
  <c r="W17" i="41" s="1"/>
  <c r="U16" i="41"/>
  <c r="T16" i="41"/>
  <c r="S16" i="41"/>
  <c r="R16" i="41"/>
  <c r="Q16" i="41"/>
  <c r="P16" i="41"/>
  <c r="O16" i="41"/>
  <c r="W16" i="41" s="1"/>
  <c r="U15" i="41"/>
  <c r="T15" i="41"/>
  <c r="S15" i="41"/>
  <c r="R15" i="41"/>
  <c r="Q15" i="41"/>
  <c r="P15" i="41"/>
  <c r="O15" i="41"/>
  <c r="W15" i="41" s="1"/>
  <c r="U14" i="41"/>
  <c r="T14" i="41"/>
  <c r="S14" i="41"/>
  <c r="R14" i="41"/>
  <c r="Q14" i="41"/>
  <c r="P14" i="41"/>
  <c r="O14" i="41"/>
  <c r="W14" i="41" s="1"/>
  <c r="U13" i="41"/>
  <c r="T13" i="41"/>
  <c r="S13" i="41"/>
  <c r="R13" i="41"/>
  <c r="Q13" i="41"/>
  <c r="P13" i="41"/>
  <c r="O13" i="41"/>
  <c r="U12" i="41"/>
  <c r="T12" i="41"/>
  <c r="S12" i="41"/>
  <c r="R12" i="41"/>
  <c r="Q12" i="41"/>
  <c r="P12" i="41"/>
  <c r="O12" i="41"/>
  <c r="W12" i="41" s="1"/>
  <c r="U11" i="41"/>
  <c r="T11" i="41"/>
  <c r="S11" i="41"/>
  <c r="R11" i="41"/>
  <c r="Q11" i="41"/>
  <c r="P11" i="41"/>
  <c r="O11" i="41"/>
  <c r="W11" i="41" s="1"/>
  <c r="U10" i="41"/>
  <c r="T10" i="41"/>
  <c r="S10" i="41"/>
  <c r="R10" i="41"/>
  <c r="Q10" i="41"/>
  <c r="P10" i="41"/>
  <c r="O10" i="41"/>
  <c r="U9" i="41"/>
  <c r="T9" i="41"/>
  <c r="S9" i="41"/>
  <c r="R9" i="41"/>
  <c r="Q9" i="41"/>
  <c r="P9" i="41"/>
  <c r="O9" i="41"/>
  <c r="W9" i="41" s="1"/>
  <c r="U8" i="41"/>
  <c r="T8" i="41"/>
  <c r="S8" i="41"/>
  <c r="R8" i="41"/>
  <c r="Q8" i="41"/>
  <c r="P8" i="41"/>
  <c r="O8" i="41"/>
  <c r="W8" i="41" s="1"/>
  <c r="U7" i="41"/>
  <c r="T7" i="41"/>
  <c r="S7" i="41"/>
  <c r="R7" i="41"/>
  <c r="Q7" i="41"/>
  <c r="P7" i="41"/>
  <c r="O7" i="41"/>
  <c r="U6" i="41"/>
  <c r="S6" i="41"/>
  <c r="R6" i="41"/>
  <c r="Q6" i="41"/>
  <c r="P6" i="41"/>
  <c r="O6" i="41"/>
  <c r="J5" i="41"/>
  <c r="AF12" i="41" s="1"/>
  <c r="E8" i="40"/>
  <c r="E7" i="40"/>
  <c r="G8" i="40"/>
  <c r="H8" i="40" s="1"/>
  <c r="G7" i="40"/>
  <c r="H7" i="40" s="1"/>
  <c r="D8" i="40"/>
  <c r="D37" i="33"/>
  <c r="D36" i="33"/>
  <c r="I41" i="33"/>
  <c r="J41" i="33"/>
  <c r="K41" i="33"/>
  <c r="H41" i="33"/>
  <c r="F45" i="33"/>
  <c r="G45" i="33" s="1"/>
  <c r="F44" i="33"/>
  <c r="F43" i="33"/>
  <c r="F42" i="33"/>
  <c r="F41" i="33"/>
  <c r="G41" i="33" s="1"/>
  <c r="H42" i="33" s="1"/>
  <c r="I43" i="33" s="1"/>
  <c r="J44" i="33" s="1"/>
  <c r="K45" i="33" s="1"/>
  <c r="G44" i="33"/>
  <c r="H45" i="33" s="1"/>
  <c r="G43" i="33"/>
  <c r="H44" i="33" s="1"/>
  <c r="I45" i="33" s="1"/>
  <c r="G42" i="33"/>
  <c r="C41" i="33"/>
  <c r="C42" i="33" s="1"/>
  <c r="N28" i="33"/>
  <c r="K36" i="33" s="1"/>
  <c r="M28" i="33"/>
  <c r="J36" i="33" s="1"/>
  <c r="L28" i="33"/>
  <c r="I36" i="33" s="1"/>
  <c r="K28" i="33"/>
  <c r="H36" i="33" s="1"/>
  <c r="J28" i="33"/>
  <c r="J29" i="33" s="1"/>
  <c r="H15" i="33"/>
  <c r="G15" i="33"/>
  <c r="F15" i="33"/>
  <c r="I8" i="33"/>
  <c r="I14" i="33" s="1"/>
  <c r="H8" i="33"/>
  <c r="H14" i="33" s="1"/>
  <c r="G8" i="33"/>
  <c r="G14" i="33" s="1"/>
  <c r="F8" i="33"/>
  <c r="F14" i="33" s="1"/>
  <c r="E8" i="33"/>
  <c r="E14" i="33" s="1"/>
  <c r="E44" i="43" l="1"/>
  <c r="G18" i="43"/>
  <c r="G16" i="43" s="1"/>
  <c r="G17" i="43" s="1"/>
  <c r="O43" i="43"/>
  <c r="G20" i="43" s="1"/>
  <c r="P44" i="42"/>
  <c r="H19" i="42" s="1"/>
  <c r="N44" i="42"/>
  <c r="I15" i="33"/>
  <c r="AI5" i="41"/>
  <c r="AI25" i="41"/>
  <c r="AI10" i="41"/>
  <c r="AI22" i="41"/>
  <c r="AI7" i="41"/>
  <c r="AI11" i="41"/>
  <c r="AI19" i="41"/>
  <c r="AI23" i="41"/>
  <c r="AI27" i="41"/>
  <c r="W27" i="41"/>
  <c r="W24" i="41"/>
  <c r="W18" i="41"/>
  <c r="W10" i="41"/>
  <c r="W21" i="41"/>
  <c r="W7" i="41"/>
  <c r="W13" i="41"/>
  <c r="AF6" i="41"/>
  <c r="AI6" i="41" s="1"/>
  <c r="AF7" i="41"/>
  <c r="AF8" i="41"/>
  <c r="AI8" i="41" s="1"/>
  <c r="AF9" i="41"/>
  <c r="AI9" i="41" s="1"/>
  <c r="AF18" i="41"/>
  <c r="AI18" i="41" s="1"/>
  <c r="AF17" i="41"/>
  <c r="AI17" i="41" s="1"/>
  <c r="AF19" i="41"/>
  <c r="AF16" i="41"/>
  <c r="AI16" i="41" s="1"/>
  <c r="AF21" i="41"/>
  <c r="AI21" i="41" s="1"/>
  <c r="AF20" i="41"/>
  <c r="AI20" i="41" s="1"/>
  <c r="AF14" i="41"/>
  <c r="AI14" i="41" s="1"/>
  <c r="AF15" i="41"/>
  <c r="AI15" i="41" s="1"/>
  <c r="AF13" i="41"/>
  <c r="AI13" i="41" s="1"/>
  <c r="AF22" i="41"/>
  <c r="J30" i="41"/>
  <c r="M30" i="41" s="1"/>
  <c r="J32" i="41"/>
  <c r="M32" i="41" s="1"/>
  <c r="T6" i="41"/>
  <c r="W6" i="41" s="1"/>
  <c r="E15" i="33"/>
  <c r="D41" i="33"/>
  <c r="E6" i="33"/>
  <c r="K29" i="33"/>
  <c r="G37" i="33"/>
  <c r="C43" i="33"/>
  <c r="D42" i="33"/>
  <c r="D35" i="33"/>
  <c r="G36" i="33"/>
  <c r="J42" i="33"/>
  <c r="K43" i="33" s="1"/>
  <c r="K42" i="33"/>
  <c r="H43" i="33"/>
  <c r="P44" i="43" l="1"/>
  <c r="H19" i="43" s="1"/>
  <c r="N44" i="43"/>
  <c r="E45" i="42"/>
  <c r="H18" i="42"/>
  <c r="H16" i="42" s="1"/>
  <c r="H17" i="42" s="1"/>
  <c r="O44" i="42"/>
  <c r="H20" i="42" s="1"/>
  <c r="E41" i="33"/>
  <c r="I42" i="33"/>
  <c r="C44" i="33"/>
  <c r="D43" i="33"/>
  <c r="L29" i="33"/>
  <c r="H37" i="33"/>
  <c r="I44" i="33"/>
  <c r="E45" i="43" l="1"/>
  <c r="H18" i="43"/>
  <c r="H16" i="43" s="1"/>
  <c r="H17" i="43" s="1"/>
  <c r="O44" i="43"/>
  <c r="H20" i="43" s="1"/>
  <c r="P45" i="42"/>
  <c r="I19" i="42" s="1"/>
  <c r="N45" i="42"/>
  <c r="N41" i="33"/>
  <c r="E42" i="33" s="1"/>
  <c r="P41" i="33"/>
  <c r="E19" i="33" s="1"/>
  <c r="D44" i="33"/>
  <c r="C45" i="33"/>
  <c r="D45" i="33" s="1"/>
  <c r="J45" i="33"/>
  <c r="J43" i="33"/>
  <c r="M42" i="33"/>
  <c r="M41" i="33"/>
  <c r="M29" i="33"/>
  <c r="I37" i="33"/>
  <c r="P45" i="43" l="1"/>
  <c r="I19" i="43" s="1"/>
  <c r="N45" i="43"/>
  <c r="I18" i="42"/>
  <c r="I16" i="42" s="1"/>
  <c r="I17" i="42" s="1"/>
  <c r="O45" i="42"/>
  <c r="I20" i="42" s="1"/>
  <c r="E18" i="33"/>
  <c r="E16" i="33" s="1"/>
  <c r="E17" i="33" s="1"/>
  <c r="O41" i="33"/>
  <c r="E20" i="33" s="1"/>
  <c r="K44" i="33"/>
  <c r="M43" i="33"/>
  <c r="N29" i="33"/>
  <c r="K37" i="33" s="1"/>
  <c r="M45" i="33" s="1"/>
  <c r="J37" i="33"/>
  <c r="N42" i="33"/>
  <c r="P42" i="33"/>
  <c r="F19" i="33" s="1"/>
  <c r="I18" i="43" l="1"/>
  <c r="I16" i="43" s="1"/>
  <c r="I17" i="43" s="1"/>
  <c r="O45" i="43"/>
  <c r="I20" i="43" s="1"/>
  <c r="E43" i="33"/>
  <c r="F18" i="33"/>
  <c r="F16" i="33" s="1"/>
  <c r="F17" i="33" s="1"/>
  <c r="O42" i="33"/>
  <c r="F20" i="33" s="1"/>
  <c r="M44" i="33"/>
  <c r="P43" i="33" l="1"/>
  <c r="G19" i="33" s="1"/>
  <c r="N43" i="33"/>
  <c r="E44" i="33" l="1"/>
  <c r="G18" i="33"/>
  <c r="G16" i="33" s="1"/>
  <c r="G17" i="33" s="1"/>
  <c r="O43" i="33"/>
  <c r="G20" i="33" s="1"/>
  <c r="N44" i="33" l="1"/>
  <c r="P44" i="33"/>
  <c r="H19" i="33" s="1"/>
  <c r="E45" i="33" l="1"/>
  <c r="H18" i="33"/>
  <c r="H16" i="33" s="1"/>
  <c r="H17" i="33" s="1"/>
  <c r="O44" i="33"/>
  <c r="H20" i="33" s="1"/>
  <c r="P45" i="33" l="1"/>
  <c r="I19" i="33" s="1"/>
  <c r="N45" i="33"/>
  <c r="I18" i="33" l="1"/>
  <c r="I16" i="33" s="1"/>
  <c r="I17" i="33" s="1"/>
  <c r="O45" i="33"/>
  <c r="I20" i="33" s="1"/>
</calcChain>
</file>

<file path=xl/sharedStrings.xml><?xml version="1.0" encoding="utf-8"?>
<sst xmlns="http://schemas.openxmlformats.org/spreadsheetml/2006/main" count="340" uniqueCount="99">
  <si>
    <t>wt</t>
  </si>
  <si>
    <t>Round</t>
  </si>
  <si>
    <t>pt</t>
  </si>
  <si>
    <t>game</t>
  </si>
  <si>
    <t>Player</t>
  </si>
  <si>
    <t>Price</t>
  </si>
  <si>
    <t>Score</t>
  </si>
  <si>
    <t>L01</t>
  </si>
  <si>
    <t>L02</t>
  </si>
  <si>
    <t>L03</t>
  </si>
  <si>
    <t>L04</t>
  </si>
  <si>
    <t>L05</t>
  </si>
  <si>
    <t>MN</t>
  </si>
  <si>
    <t>Team</t>
  </si>
  <si>
    <t>Current Price</t>
  </si>
  <si>
    <t>Pre-Round</t>
  </si>
  <si>
    <t>MN Decay</t>
  </si>
  <si>
    <t>CALCULATIONS FOR DEVELOPER</t>
  </si>
  <si>
    <t>User Inputs</t>
  </si>
  <si>
    <t>Database Lookups</t>
  </si>
  <si>
    <t>Last Round</t>
  </si>
  <si>
    <t>Weekly System Inputs</t>
  </si>
  <si>
    <t>WEIGHTS (CONSTANT)</t>
  </si>
  <si>
    <t>Developer Calculations</t>
  </si>
  <si>
    <t>wt pt</t>
  </si>
  <si>
    <t>wt px</t>
  </si>
  <si>
    <t>Post Round</t>
  </si>
  <si>
    <t>DATABASE LOOKUPS</t>
  </si>
  <si>
    <t>Breakeven</t>
  </si>
  <si>
    <t>scores &amp; prices for last 4 rounds played</t>
  </si>
  <si>
    <t>Priced at</t>
  </si>
  <si>
    <t>Wt Avg</t>
  </si>
  <si>
    <t>USER SCREEN</t>
  </si>
  <si>
    <t>PRICE PROJECTOR</t>
  </si>
  <si>
    <t>Scores</t>
  </si>
  <si>
    <t>Price Change</t>
  </si>
  <si>
    <t>Total Change</t>
  </si>
  <si>
    <t>Projected Scores</t>
  </si>
  <si>
    <t>Initial MN</t>
  </si>
  <si>
    <t>Rounds</t>
  </si>
  <si>
    <t>Played</t>
  </si>
  <si>
    <t>cum pt</t>
  </si>
  <si>
    <t>WEEKLY SYSTEM INPUTS (ADMINSTRATOR)</t>
  </si>
  <si>
    <t>Source :</t>
  </si>
  <si>
    <t>https://denisewong1.medium.com/how-afl-fantasy-pricing-works-part-2-bca9b6685d69</t>
  </si>
  <si>
    <t>Expected BE</t>
  </si>
  <si>
    <t>Top priced rookie</t>
  </si>
  <si>
    <t>Basement rookie</t>
  </si>
  <si>
    <t>Default rookie</t>
  </si>
  <si>
    <t>Init MN</t>
  </si>
  <si>
    <t>Decay</t>
  </si>
  <si>
    <t>Act Decay</t>
  </si>
  <si>
    <t>Next MN</t>
  </si>
  <si>
    <t>Fwd Est</t>
  </si>
  <si>
    <t>CALIBRATION PARAMETERS</t>
  </si>
  <si>
    <t>Cum Decay</t>
  </si>
  <si>
    <t>MN Table</t>
  </si>
  <si>
    <t>Decay Table</t>
  </si>
  <si>
    <t>Ave</t>
  </si>
  <si>
    <t>Average</t>
  </si>
  <si>
    <t>Average decay per round</t>
  </si>
  <si>
    <t>Average decay excluding R0</t>
  </si>
  <si>
    <t>Total change by Round 5</t>
  </si>
  <si>
    <t>Normalised to 8386</t>
  </si>
  <si>
    <t>Avg</t>
  </si>
  <si>
    <t>WC</t>
  </si>
  <si>
    <t>Brodie Grundy</t>
  </si>
  <si>
    <t>ME</t>
  </si>
  <si>
    <t>Nick Coffield</t>
  </si>
  <si>
    <t>NM</t>
  </si>
  <si>
    <t>Played 1</t>
  </si>
  <si>
    <t>Played 6</t>
  </si>
  <si>
    <t>Missed Season</t>
  </si>
  <si>
    <t>Played 17</t>
  </si>
  <si>
    <t>Est</t>
  </si>
  <si>
    <t>Marcus Bontempelli</t>
  </si>
  <si>
    <t>WB</t>
  </si>
  <si>
    <t>All 23</t>
  </si>
  <si>
    <t>Jhye Clark</t>
  </si>
  <si>
    <t>GE</t>
  </si>
  <si>
    <t>Harley Reid</t>
  </si>
  <si>
    <t>Shaun Mannagh</t>
  </si>
  <si>
    <t>Blake Howes</t>
  </si>
  <si>
    <t>Zac Fisher</t>
  </si>
  <si>
    <t>Played 12</t>
  </si>
  <si>
    <t>Matt Roberts</t>
  </si>
  <si>
    <t>SY</t>
  </si>
  <si>
    <t>R00</t>
  </si>
  <si>
    <t>Proj Price</t>
  </si>
  <si>
    <t>Proj BE</t>
  </si>
  <si>
    <t>BE to Revert</t>
  </si>
  <si>
    <t>nPlayed</t>
  </si>
  <si>
    <t>val</t>
  </si>
  <si>
    <t>wtpx</t>
  </si>
  <si>
    <t>EstPx * (1 - 0.150) + (75*0.083 + 77* 0.067)*magic number</t>
  </si>
  <si>
    <t>EstPx * (1 - 0.083) + (77*0.083)*magic number</t>
  </si>
  <si>
    <t>EstPx * (1 - 0.15 + (2-nPlayed)*val) + (77*0.083 + 75*0)*magic number</t>
  </si>
  <si>
    <t>SK</t>
  </si>
  <si>
    <t>Max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</si>
</sst>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4" borderId="0" xfId="0" applyFont="1" applyFill="1"/>
    <xf numFmtId="3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2" fillId="2" borderId="0" xfId="0" applyFont="1" applyFill="1"/>
    <xf numFmtId="0" fontId="1" fillId="5" borderId="0" xfId="0" applyFont="1" applyFill="1"/>
    <xf numFmtId="10" fontId="1" fillId="5" borderId="0" xfId="0" applyNumberFormat="1" applyFont="1" applyFill="1"/>
    <xf numFmtId="0" fontId="2" fillId="0" borderId="3" xfId="0" applyFont="1" applyBorder="1"/>
    <xf numFmtId="0" fontId="2" fillId="0" borderId="1" xfId="0" applyFont="1" applyBorder="1"/>
    <xf numFmtId="0" fontId="2" fillId="4" borderId="0" xfId="0" applyFont="1" applyFill="1"/>
    <xf numFmtId="0" fontId="3" fillId="3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3" fontId="1" fillId="3" borderId="0" xfId="0" applyNumberFormat="1" applyFont="1" applyFill="1"/>
    <xf numFmtId="164" fontId="1" fillId="5" borderId="0" xfId="0" applyNumberFormat="1" applyFont="1" applyFill="1"/>
    <xf numFmtId="0" fontId="1" fillId="0" borderId="3" xfId="0" applyFont="1" applyBorder="1" applyAlignment="1">
      <alignment horizontal="right"/>
    </xf>
    <xf numFmtId="165" fontId="1" fillId="0" borderId="0" xfId="0" applyNumberFormat="1" applyFont="1"/>
    <xf numFmtId="1" fontId="1" fillId="0" borderId="0" xfId="0" applyNumberFormat="1" applyFont="1"/>
    <xf numFmtId="3" fontId="3" fillId="3" borderId="0" xfId="0" applyNumberFormat="1" applyFont="1" applyFill="1"/>
    <xf numFmtId="0" fontId="5" fillId="0" borderId="0" xfId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1" fillId="5" borderId="0" xfId="0" applyNumberFormat="1" applyFont="1" applyFill="1"/>
    <xf numFmtId="0" fontId="2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0" fontId="1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10" fontId="1" fillId="0" borderId="0" xfId="2" applyNumberFormat="1" applyFont="1"/>
    <xf numFmtId="10" fontId="1" fillId="0" borderId="0" xfId="0" applyNumberFormat="1" applyFont="1"/>
    <xf numFmtId="0" fontId="1" fillId="6" borderId="0" xfId="0" applyFont="1" applyFill="1"/>
    <xf numFmtId="10" fontId="1" fillId="4" borderId="0" xfId="0" applyNumberFormat="1" applyFont="1" applyFill="1"/>
    <xf numFmtId="1" fontId="1" fillId="6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Normalised to 2023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'MN 2015-2022'!$AA$4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2015-2022'!$AA$5:$AA$28</c:f>
              <c:numCache>
                <c:formatCode>General</c:formatCode>
                <c:ptCount val="24"/>
                <c:pt idx="0">
                  <c:v>8850</c:v>
                </c:pt>
                <c:pt idx="1">
                  <c:v>8834.4520390070247</c:v>
                </c:pt>
                <c:pt idx="2">
                  <c:v>8559.1243701990716</c:v>
                </c:pt>
                <c:pt idx="3">
                  <c:v>8389.0704474085142</c:v>
                </c:pt>
                <c:pt idx="4">
                  <c:v>8367.2026625437666</c:v>
                </c:pt>
                <c:pt idx="5">
                  <c:v>8327.867592760671</c:v>
                </c:pt>
                <c:pt idx="6">
                  <c:v>8327.6164182799475</c:v>
                </c:pt>
                <c:pt idx="7">
                  <c:v>8308.5460474522988</c:v>
                </c:pt>
                <c:pt idx="8">
                  <c:v>8330.3102824743564</c:v>
                </c:pt>
                <c:pt idx="9">
                  <c:v>8271.6916867848468</c:v>
                </c:pt>
                <c:pt idx="10">
                  <c:v>8303.9656481198945</c:v>
                </c:pt>
                <c:pt idx="11">
                  <c:v>8222.1964350931539</c:v>
                </c:pt>
                <c:pt idx="12">
                  <c:v>8334.9154135711378</c:v>
                </c:pt>
                <c:pt idx="13">
                  <c:v>8319.2536369579266</c:v>
                </c:pt>
                <c:pt idx="14">
                  <c:v>8282.899883829894</c:v>
                </c:pt>
                <c:pt idx="15">
                  <c:v>8279.5484402216935</c:v>
                </c:pt>
                <c:pt idx="16">
                  <c:v>8188.0976589646179</c:v>
                </c:pt>
                <c:pt idx="17">
                  <c:v>8151.8928000021288</c:v>
                </c:pt>
                <c:pt idx="18">
                  <c:v>8184.5214283481091</c:v>
                </c:pt>
                <c:pt idx="19">
                  <c:v>8179.9679271004716</c:v>
                </c:pt>
                <c:pt idx="20">
                  <c:v>8176.8200732605346</c:v>
                </c:pt>
                <c:pt idx="21">
                  <c:v>8086.4345752828449</c:v>
                </c:pt>
                <c:pt idx="22">
                  <c:v>7960.6328655127381</c:v>
                </c:pt>
                <c:pt idx="23">
                  <c:v>7817.4035206247536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7-4210-95F2-E8B2F643EAFB}"/>
            </c:ext>
          </c:extLst>
        </c:ser>
        <c:ser>
          <c:idx val="1"/>
          <c:order val="1"/>
          <c:tx>
            <c:strRef>
              <c:f>'MN 2015-2022'!$AB$4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2015-2022'!$AB$5:$AB$28</c:f>
              <c:numCache>
                <c:formatCode>General</c:formatCode>
                <c:ptCount val="24"/>
                <c:pt idx="0">
                  <c:v>8850</c:v>
                </c:pt>
                <c:pt idx="1">
                  <c:v>8599.5689834544792</c:v>
                </c:pt>
                <c:pt idx="2">
                  <c:v>8702.6446781556897</c:v>
                </c:pt>
                <c:pt idx="3">
                  <c:v>8655.7122110045566</c:v>
                </c:pt>
                <c:pt idx="4">
                  <c:v>8619.2390360118934</c:v>
                </c:pt>
                <c:pt idx="5">
                  <c:v>8566.5477998495226</c:v>
                </c:pt>
                <c:pt idx="6">
                  <c:v>8475.0022507517697</c:v>
                </c:pt>
                <c:pt idx="7">
                  <c:v>8480.5090083076047</c:v>
                </c:pt>
                <c:pt idx="8">
                  <c:v>8454.4755911354696</c:v>
                </c:pt>
                <c:pt idx="9">
                  <c:v>8393.0530284275355</c:v>
                </c:pt>
                <c:pt idx="10">
                  <c:v>8323.7056416060368</c:v>
                </c:pt>
                <c:pt idx="11">
                  <c:v>8234.5676519361623</c:v>
                </c:pt>
                <c:pt idx="12">
                  <c:v>8149.9233283733583</c:v>
                </c:pt>
                <c:pt idx="13">
                  <c:v>8179.7356318812426</c:v>
                </c:pt>
                <c:pt idx="14">
                  <c:v>8199.8529213238762</c:v>
                </c:pt>
                <c:pt idx="15">
                  <c:v>8241.3627712455673</c:v>
                </c:pt>
                <c:pt idx="16">
                  <c:v>8193.6343318478648</c:v>
                </c:pt>
                <c:pt idx="17">
                  <c:v>8169.3174236800232</c:v>
                </c:pt>
                <c:pt idx="18">
                  <c:v>8099.4124039742446</c:v>
                </c:pt>
                <c:pt idx="19">
                  <c:v>8013.5507991845398</c:v>
                </c:pt>
                <c:pt idx="20">
                  <c:v>7997.2428840066559</c:v>
                </c:pt>
                <c:pt idx="21">
                  <c:v>7970.2242626163543</c:v>
                </c:pt>
                <c:pt idx="22">
                  <c:v>7988.3985195464766</c:v>
                </c:pt>
                <c:pt idx="23">
                  <c:v>7959.1071904313294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7-4210-95F2-E8B2F643EAFB}"/>
            </c:ext>
          </c:extLst>
        </c:ser>
        <c:ser>
          <c:idx val="2"/>
          <c:order val="2"/>
          <c:tx>
            <c:strRef>
              <c:f>'MN 2015-2022'!$AC$4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2015-2022'!$AC$5:$AC$28</c:f>
              <c:numCache>
                <c:formatCode>General</c:formatCode>
                <c:ptCount val="24"/>
                <c:pt idx="0">
                  <c:v>8850</c:v>
                </c:pt>
                <c:pt idx="1">
                  <c:v>8447.5125324499804</c:v>
                </c:pt>
                <c:pt idx="2">
                  <c:v>8416.2796701432435</c:v>
                </c:pt>
                <c:pt idx="3">
                  <c:v>8273.3009595055282</c:v>
                </c:pt>
                <c:pt idx="4">
                  <c:v>8219.8685965838085</c:v>
                </c:pt>
                <c:pt idx="5">
                  <c:v>8182.2560181330109</c:v>
                </c:pt>
                <c:pt idx="6">
                  <c:v>8095.3463603754535</c:v>
                </c:pt>
                <c:pt idx="7">
                  <c:v>8122.6206087992132</c:v>
                </c:pt>
                <c:pt idx="8">
                  <c:v>8092.6261189854458</c:v>
                </c:pt>
                <c:pt idx="9">
                  <c:v>8039.6374152369244</c:v>
                </c:pt>
                <c:pt idx="10">
                  <c:v>8024.3605023997452</c:v>
                </c:pt>
                <c:pt idx="11">
                  <c:v>8029.2951421396783</c:v>
                </c:pt>
                <c:pt idx="12">
                  <c:v>8098.9925977151761</c:v>
                </c:pt>
                <c:pt idx="13">
                  <c:v>8178.1262567872327</c:v>
                </c:pt>
                <c:pt idx="14">
                  <c:v>8176.1364401731162</c:v>
                </c:pt>
                <c:pt idx="15">
                  <c:v>8065.1344932960455</c:v>
                </c:pt>
                <c:pt idx="16">
                  <c:v>8106.6283062590501</c:v>
                </c:pt>
                <c:pt idx="17">
                  <c:v>8107.9278124858492</c:v>
                </c:pt>
                <c:pt idx="18">
                  <c:v>8158.1655098899391</c:v>
                </c:pt>
                <c:pt idx="19">
                  <c:v>8125.060959648993</c:v>
                </c:pt>
                <c:pt idx="20">
                  <c:v>8116.6466367776093</c:v>
                </c:pt>
                <c:pt idx="21">
                  <c:v>8187.4308773419025</c:v>
                </c:pt>
                <c:pt idx="22">
                  <c:v>8067.057646618734</c:v>
                </c:pt>
                <c:pt idx="23">
                  <c:v>8050.8356882909684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7-4210-95F2-E8B2F643EAFB}"/>
            </c:ext>
          </c:extLst>
        </c:ser>
        <c:ser>
          <c:idx val="3"/>
          <c:order val="3"/>
          <c:tx>
            <c:strRef>
              <c:f>'MN 2015-2022'!$AD$4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2015-2022'!$AD$5:$AD$28</c:f>
              <c:numCache>
                <c:formatCode>General</c:formatCode>
                <c:ptCount val="24"/>
                <c:pt idx="0">
                  <c:v>8850</c:v>
                </c:pt>
                <c:pt idx="1">
                  <c:v>8715.0440223813639</c:v>
                </c:pt>
                <c:pt idx="2">
                  <c:v>8624.2540965989519</c:v>
                </c:pt>
                <c:pt idx="3">
                  <c:v>8631.3490977258662</c:v>
                </c:pt>
                <c:pt idx="4">
                  <c:v>8690.8636072950321</c:v>
                </c:pt>
                <c:pt idx="5">
                  <c:v>8526.1111127735039</c:v>
                </c:pt>
                <c:pt idx="6">
                  <c:v>8443.1797356540228</c:v>
                </c:pt>
                <c:pt idx="7">
                  <c:v>8389.5180965858872</c:v>
                </c:pt>
                <c:pt idx="8">
                  <c:v>8295.2039871127563</c:v>
                </c:pt>
                <c:pt idx="9">
                  <c:v>8304.3081722232982</c:v>
                </c:pt>
                <c:pt idx="10">
                  <c:v>8275.3637899363257</c:v>
                </c:pt>
                <c:pt idx="11">
                  <c:v>8227.2087350027068</c:v>
                </c:pt>
                <c:pt idx="12">
                  <c:v>8164.4025888838614</c:v>
                </c:pt>
                <c:pt idx="13">
                  <c:v>8407.349214152533</c:v>
                </c:pt>
                <c:pt idx="14">
                  <c:v>8422.8434938265673</c:v>
                </c:pt>
                <c:pt idx="15">
                  <c:v>8284.3812030157678</c:v>
                </c:pt>
                <c:pt idx="16">
                  <c:v>8278.3281321721461</c:v>
                </c:pt>
                <c:pt idx="17">
                  <c:v>8284.1789645877016</c:v>
                </c:pt>
                <c:pt idx="18">
                  <c:v>8235.4988017367741</c:v>
                </c:pt>
                <c:pt idx="19">
                  <c:v>8243.8900230370236</c:v>
                </c:pt>
                <c:pt idx="20">
                  <c:v>8157.5915903383757</c:v>
                </c:pt>
                <c:pt idx="21">
                  <c:v>8168.9523188356679</c:v>
                </c:pt>
                <c:pt idx="22">
                  <c:v>8178.1360901287771</c:v>
                </c:pt>
                <c:pt idx="23">
                  <c:v>8109.0428550276119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7-4210-95F2-E8B2F643EAFB}"/>
            </c:ext>
          </c:extLst>
        </c:ser>
        <c:ser>
          <c:idx val="4"/>
          <c:order val="4"/>
          <c:tx>
            <c:strRef>
              <c:f>'MN 2015-2022'!$AE$4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2015-2022'!$AE$5:$AE$28</c:f>
              <c:numCache>
                <c:formatCode>General</c:formatCode>
                <c:ptCount val="24"/>
                <c:pt idx="0">
                  <c:v>8850</c:v>
                </c:pt>
                <c:pt idx="1">
                  <c:v>8737.2201161397879</c:v>
                </c:pt>
                <c:pt idx="2">
                  <c:v>8611.2573602579305</c:v>
                </c:pt>
                <c:pt idx="3">
                  <c:v>8560.0483898430684</c:v>
                </c:pt>
                <c:pt idx="4">
                  <c:v>8465.3115247542246</c:v>
                </c:pt>
                <c:pt idx="5">
                  <c:v>8332.8014762457806</c:v>
                </c:pt>
                <c:pt idx="6">
                  <c:v>8280.4353983542333</c:v>
                </c:pt>
                <c:pt idx="7">
                  <c:v>8272.2403064013288</c:v>
                </c:pt>
                <c:pt idx="8">
                  <c:v>8214.8306175641592</c:v>
                </c:pt>
                <c:pt idx="9">
                  <c:v>8232.2779298582027</c:v>
                </c:pt>
                <c:pt idx="10">
                  <c:v>8289.1743181899947</c:v>
                </c:pt>
                <c:pt idx="11">
                  <c:v>8319.2733239352219</c:v>
                </c:pt>
                <c:pt idx="12">
                  <c:v>8338.9620527541047</c:v>
                </c:pt>
                <c:pt idx="13">
                  <c:v>8191.3834245003891</c:v>
                </c:pt>
                <c:pt idx="14">
                  <c:v>8230.7880191153799</c:v>
                </c:pt>
                <c:pt idx="15">
                  <c:v>8249.931209144399</c:v>
                </c:pt>
                <c:pt idx="16">
                  <c:v>8309.1712637484088</c:v>
                </c:pt>
                <c:pt idx="17">
                  <c:v>8326.0097409650371</c:v>
                </c:pt>
                <c:pt idx="18">
                  <c:v>8211.817135363066</c:v>
                </c:pt>
                <c:pt idx="19">
                  <c:v>8203.9937119868064</c:v>
                </c:pt>
                <c:pt idx="20">
                  <c:v>8181.102824095884</c:v>
                </c:pt>
                <c:pt idx="21">
                  <c:v>8176.0646309687363</c:v>
                </c:pt>
                <c:pt idx="22">
                  <c:v>8150.8283431240061</c:v>
                </c:pt>
                <c:pt idx="23">
                  <c:v>8216.9426208340064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7-4210-95F2-E8B2F643EAFB}"/>
            </c:ext>
          </c:extLst>
        </c:ser>
        <c:ser>
          <c:idx val="5"/>
          <c:order val="5"/>
          <c:tx>
            <c:strRef>
              <c:f>'MN 2015-2022'!$AF$4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2015-2022'!$AF$5:$AF$28</c:f>
              <c:numCache>
                <c:formatCode>General</c:formatCode>
                <c:ptCount val="24"/>
                <c:pt idx="0">
                  <c:v>8850</c:v>
                </c:pt>
                <c:pt idx="1">
                  <c:v>8707.1592260875987</c:v>
                </c:pt>
                <c:pt idx="2">
                  <c:v>8656.365327211628</c:v>
                </c:pt>
                <c:pt idx="3">
                  <c:v>8743.1401827421141</c:v>
                </c:pt>
                <c:pt idx="4">
                  <c:v>8655.7234150282347</c:v>
                </c:pt>
                <c:pt idx="5">
                  <c:v>8571.8471977255849</c:v>
                </c:pt>
                <c:pt idx="6">
                  <c:v>8461.7481368412537</c:v>
                </c:pt>
                <c:pt idx="7">
                  <c:v>8420.2431319972347</c:v>
                </c:pt>
                <c:pt idx="8">
                  <c:v>8495.265194663958</c:v>
                </c:pt>
                <c:pt idx="9">
                  <c:v>8462.1270591785324</c:v>
                </c:pt>
                <c:pt idx="10">
                  <c:v>8331.7717001963392</c:v>
                </c:pt>
                <c:pt idx="11">
                  <c:v>8329.1592584973059</c:v>
                </c:pt>
                <c:pt idx="12">
                  <c:v>8192.454988677202</c:v>
                </c:pt>
                <c:pt idx="13">
                  <c:v>8115.4706875260617</c:v>
                </c:pt>
                <c:pt idx="14">
                  <c:v>8207.9457211299032</c:v>
                </c:pt>
                <c:pt idx="15">
                  <c:v>8342.0055809476962</c:v>
                </c:pt>
                <c:pt idx="16">
                  <c:v>8334.9668641525495</c:v>
                </c:pt>
                <c:pt idx="17">
                  <c:v>8250.528399723451</c:v>
                </c:pt>
                <c:pt idx="18">
                  <c:v>8252.4411210574926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57-4210-95F2-E8B2F643EAFB}"/>
            </c:ext>
          </c:extLst>
        </c:ser>
        <c:ser>
          <c:idx val="6"/>
          <c:order val="6"/>
          <c:tx>
            <c:strRef>
              <c:f>'MN 2015-2022'!$AG$4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2015-2022'!$AG$5:$AG$28</c:f>
              <c:numCache>
                <c:formatCode>General</c:formatCode>
                <c:ptCount val="24"/>
                <c:pt idx="0">
                  <c:v>8850</c:v>
                </c:pt>
                <c:pt idx="1">
                  <c:v>8789.2013989600273</c:v>
                </c:pt>
                <c:pt idx="2">
                  <c:v>8633.5841713469254</c:v>
                </c:pt>
                <c:pt idx="3">
                  <c:v>8455.2275486717317</c:v>
                </c:pt>
                <c:pt idx="4">
                  <c:v>8495.826854806417</c:v>
                </c:pt>
                <c:pt idx="5">
                  <c:v>8417.4455813429322</c:v>
                </c:pt>
                <c:pt idx="6">
                  <c:v>8369.7342035759375</c:v>
                </c:pt>
                <c:pt idx="7">
                  <c:v>8258.3161857543037</c:v>
                </c:pt>
                <c:pt idx="8">
                  <c:v>8229.3834775259584</c:v>
                </c:pt>
                <c:pt idx="9">
                  <c:v>8252.3442946974919</c:v>
                </c:pt>
                <c:pt idx="10">
                  <c:v>8240.8904759519482</c:v>
                </c:pt>
                <c:pt idx="11">
                  <c:v>8237.9920372388606</c:v>
                </c:pt>
                <c:pt idx="12">
                  <c:v>8302.5326884465194</c:v>
                </c:pt>
                <c:pt idx="13">
                  <c:v>8311.7741918492829</c:v>
                </c:pt>
                <c:pt idx="14">
                  <c:v>8553.4299282625325</c:v>
                </c:pt>
                <c:pt idx="15">
                  <c:v>8490.8925307441405</c:v>
                </c:pt>
                <c:pt idx="16">
                  <c:v>8558.0932131705194</c:v>
                </c:pt>
                <c:pt idx="17">
                  <c:v>8523.1838501664806</c:v>
                </c:pt>
                <c:pt idx="18">
                  <c:v>8444.8747721794243</c:v>
                </c:pt>
                <c:pt idx="19">
                  <c:v>8477.8139876497335</c:v>
                </c:pt>
                <c:pt idx="20">
                  <c:v>8347.019820524747</c:v>
                </c:pt>
                <c:pt idx="21">
                  <c:v>8310.1015530654749</c:v>
                </c:pt>
                <c:pt idx="22">
                  <c:v>8295.4861074092678</c:v>
                </c:pt>
                <c:pt idx="23">
                  <c:v>8248.8187026108353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57-4210-95F2-E8B2F643EAFB}"/>
            </c:ext>
          </c:extLst>
        </c:ser>
        <c:ser>
          <c:idx val="7"/>
          <c:order val="7"/>
          <c:tx>
            <c:strRef>
              <c:f>'MN 2015-2022'!$AH$4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2015-2022'!$AH$5:$AH$28</c:f>
              <c:numCache>
                <c:formatCode>General</c:formatCode>
                <c:ptCount val="24"/>
                <c:pt idx="0">
                  <c:v>8850</c:v>
                </c:pt>
                <c:pt idx="1">
                  <c:v>9004.2747620553182</c:v>
                </c:pt>
                <c:pt idx="2">
                  <c:v>8786.6777225371152</c:v>
                </c:pt>
                <c:pt idx="3">
                  <c:v>8707.1919840518203</c:v>
                </c:pt>
                <c:pt idx="4">
                  <c:v>8705.0919227190298</c:v>
                </c:pt>
                <c:pt idx="5">
                  <c:v>8682.6735648520353</c:v>
                </c:pt>
                <c:pt idx="6">
                  <c:v>8606.5067076915639</c:v>
                </c:pt>
                <c:pt idx="7">
                  <c:v>8662.8362400460501</c:v>
                </c:pt>
                <c:pt idx="8">
                  <c:v>8549.0575126391177</c:v>
                </c:pt>
                <c:pt idx="9">
                  <c:v>8509.2433420900052</c:v>
                </c:pt>
                <c:pt idx="10">
                  <c:v>8568.584381807339</c:v>
                </c:pt>
                <c:pt idx="11">
                  <c:v>8544.3309626430801</c:v>
                </c:pt>
                <c:pt idx="12">
                  <c:v>8578.313099505036</c:v>
                </c:pt>
                <c:pt idx="13">
                  <c:v>8692.4282362901467</c:v>
                </c:pt>
                <c:pt idx="14">
                  <c:v>8595.4032921008475</c:v>
                </c:pt>
                <c:pt idx="15">
                  <c:v>8590.2428398810771</c:v>
                </c:pt>
                <c:pt idx="16">
                  <c:v>8524.887664836011</c:v>
                </c:pt>
                <c:pt idx="17">
                  <c:v>8495.2229793763508</c:v>
                </c:pt>
                <c:pt idx="18">
                  <c:v>8370.2966322582506</c:v>
                </c:pt>
                <c:pt idx="19">
                  <c:v>8400.2453311597201</c:v>
                </c:pt>
                <c:pt idx="20">
                  <c:v>8371.63639897756</c:v>
                </c:pt>
                <c:pt idx="21">
                  <c:v>8374.6399251935418</c:v>
                </c:pt>
                <c:pt idx="22">
                  <c:v>8424.4134056701605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57-4210-95F2-E8B2F643EAFB}"/>
            </c:ext>
          </c:extLst>
        </c:ser>
        <c:ser>
          <c:idx val="9"/>
          <c:order val="8"/>
          <c:tx>
            <c:strRef>
              <c:f>'MN 2015-2022'!$AJ$4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'MN 2015-2022'!$AJ$5:$AJ$28</c:f>
              <c:numCache>
                <c:formatCode>#,##0</c:formatCode>
                <c:ptCount val="24"/>
                <c:pt idx="0">
                  <c:v>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57-4210-95F2-E8B2F643EAFB}"/>
            </c:ext>
          </c:extLst>
        </c:ser>
        <c:ser>
          <c:idx val="8"/>
          <c:order val="9"/>
          <c:tx>
            <c:strRef>
              <c:f>'MN 2015-2022'!$AI$4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'MN 2015-2022'!$AI$5:$AI$28</c:f>
              <c:numCache>
                <c:formatCode>0</c:formatCode>
                <c:ptCount val="24"/>
                <c:pt idx="0">
                  <c:v>8850</c:v>
                </c:pt>
                <c:pt idx="1">
                  <c:v>8729.3041350669464</c:v>
                </c:pt>
                <c:pt idx="2">
                  <c:v>8623.7734245563206</c:v>
                </c:pt>
                <c:pt idx="3">
                  <c:v>8551.8801026191504</c:v>
                </c:pt>
                <c:pt idx="4">
                  <c:v>8527.3909524678002</c:v>
                </c:pt>
                <c:pt idx="5">
                  <c:v>8450.943792960381</c:v>
                </c:pt>
                <c:pt idx="6">
                  <c:v>8382.446151440523</c:v>
                </c:pt>
                <c:pt idx="7">
                  <c:v>8364.3537031679898</c:v>
                </c:pt>
                <c:pt idx="8">
                  <c:v>8332.6440977626535</c:v>
                </c:pt>
                <c:pt idx="9">
                  <c:v>8308.0853660621033</c:v>
                </c:pt>
                <c:pt idx="10">
                  <c:v>8294.7270572759535</c:v>
                </c:pt>
                <c:pt idx="11">
                  <c:v>8268.002943310772</c:v>
                </c:pt>
                <c:pt idx="12">
                  <c:v>8270.0620947407988</c:v>
                </c:pt>
                <c:pt idx="13">
                  <c:v>8299.4401599931025</c:v>
                </c:pt>
                <c:pt idx="14">
                  <c:v>8333.6624624702636</c:v>
                </c:pt>
                <c:pt idx="15">
                  <c:v>8317.9373835620481</c:v>
                </c:pt>
                <c:pt idx="16">
                  <c:v>8311.7259293938969</c:v>
                </c:pt>
                <c:pt idx="17">
                  <c:v>8288.5327463733774</c:v>
                </c:pt>
                <c:pt idx="18">
                  <c:v>8244.6284756009118</c:v>
                </c:pt>
                <c:pt idx="19">
                  <c:v>8234.9318199667559</c:v>
                </c:pt>
                <c:pt idx="20">
                  <c:v>8192.5800325687651</c:v>
                </c:pt>
                <c:pt idx="21">
                  <c:v>8181.9783061863609</c:v>
                </c:pt>
                <c:pt idx="22">
                  <c:v>8152.136139715737</c:v>
                </c:pt>
                <c:pt idx="23">
                  <c:v>8067.0250963032513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57-4210-95F2-E8B2F643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89487"/>
        <c:axId val="185882831"/>
      </c:lineChart>
      <c:catAx>
        <c:axId val="18588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2831"/>
        <c:crosses val="autoZero"/>
        <c:auto val="1"/>
        <c:lblAlgn val="ctr"/>
        <c:lblOffset val="100"/>
        <c:noMultiLvlLbl val="0"/>
      </c:catAx>
      <c:valAx>
        <c:axId val="1858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575734</xdr:colOff>
      <xdr:row>1</xdr:row>
      <xdr:rowOff>127002</xdr:rowOff>
    </xdr:from>
    <xdr:to>
      <xdr:col>17</xdr:col>
      <xdr:colOff>55457</xdr:colOff>
      <xdr:row>21</xdr:row>
      <xdr:rowOff>93442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5F7F47-D38C-4F18-ADA4-772E30088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639" y="302262"/>
          <a:ext cx="4849918" cy="3391630"/>
        </a:xfrm>
        <a:prstGeom prst="rect">
          <a:avLst/>
        </a:prstGeom>
      </xdr:spPr>
    </xdr:pic>
    <xdr:clientData/>
  </xdr:twoCellAnchor>
  <xdr:twoCellAnchor>
    <xdr:from>
      <xdr:col>5</xdr:col>
      <xdr:colOff>212722</xdr:colOff>
      <xdr:row>2</xdr:row>
      <xdr:rowOff>56727</xdr:rowOff>
    </xdr:from>
    <xdr:to>
      <xdr:col>9</xdr:col>
      <xdr:colOff>338666</xdr:colOff>
      <xdr:row>6</xdr:row>
      <xdr:rowOff>137583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E156F50-9C8D-4404-A53B-3DFB8FB55A26}"/>
            </a:ext>
          </a:extLst>
        </xdr:cNvPr>
        <xdr:cNvSpPr/>
      </xdr:nvSpPr>
      <xdr:spPr>
        <a:xfrm flipH="1">
          <a:off x="2571112" y="403437"/>
          <a:ext cx="3099649" cy="75903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/>
            <a:t>STEP 1 : CHANGE THIS CELL</a:t>
          </a:r>
        </a:p>
      </xdr:txBody>
    </xdr:sp>
    <xdr:clientData/>
  </xdr:twoCellAnchor>
  <xdr:twoCellAnchor>
    <xdr:from>
      <xdr:col>14</xdr:col>
      <xdr:colOff>240454</xdr:colOff>
      <xdr:row>32</xdr:row>
      <xdr:rowOff>21166</xdr:rowOff>
    </xdr:from>
    <xdr:to>
      <xdr:col>15</xdr:col>
      <xdr:colOff>29845</xdr:colOff>
      <xdr:row>38</xdr:row>
      <xdr:rowOff>114510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26EEFE8A-6538-4F32-A28D-6187DEB19AC5}"/>
            </a:ext>
          </a:extLst>
        </xdr:cNvPr>
        <xdr:cNvSpPr/>
      </xdr:nvSpPr>
      <xdr:spPr>
        <a:xfrm>
          <a:off x="8721514" y="5503756"/>
          <a:ext cx="526626" cy="1125854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2750</xdr:colOff>
      <xdr:row>32</xdr:row>
      <xdr:rowOff>20321</xdr:rowOff>
    </xdr:from>
    <xdr:to>
      <xdr:col>16</xdr:col>
      <xdr:colOff>732155</xdr:colOff>
      <xdr:row>37</xdr:row>
      <xdr:rowOff>21167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A384188-734C-41E4-8F37-6AACD3882840}"/>
            </a:ext>
          </a:extLst>
        </xdr:cNvPr>
        <xdr:cNvSpPr txBox="1"/>
      </xdr:nvSpPr>
      <xdr:spPr>
        <a:xfrm>
          <a:off x="9222950" y="5502911"/>
          <a:ext cx="1474260" cy="8580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2 : MATCH THIS VALUE WITH EXPECTED</a:t>
          </a:r>
          <a:r>
            <a:rPr lang="en-AU" sz="1400" baseline="0"/>
            <a:t> BE</a:t>
          </a:r>
          <a:endParaRPr lang="en-AU" sz="1400"/>
        </a:p>
      </xdr:txBody>
    </xdr:sp>
    <xdr:clientData/>
  </xdr:twoCellAnchor>
  <xdr:twoCellAnchor>
    <xdr:from>
      <xdr:col>14</xdr:col>
      <xdr:colOff>64982</xdr:colOff>
      <xdr:row>38</xdr:row>
      <xdr:rowOff>143932</xdr:rowOff>
    </xdr:from>
    <xdr:to>
      <xdr:col>15</xdr:col>
      <xdr:colOff>263313</xdr:colOff>
      <xdr:row>41</xdr:row>
      <xdr:rowOff>18626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C2D6AC-62EA-4A6B-844A-20B2F89F607A}"/>
            </a:ext>
          </a:extLst>
        </xdr:cNvPr>
        <xdr:cNvSpPr/>
      </xdr:nvSpPr>
      <xdr:spPr>
        <a:xfrm>
          <a:off x="8542232" y="6659032"/>
          <a:ext cx="941281" cy="389044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28</xdr:col>
      <xdr:colOff>82550</xdr:colOff>
      <xdr:row>16</xdr:row>
      <xdr:rowOff>163618</xdr:rowOff>
    </xdr:from>
    <xdr:to>
      <xdr:col>29</xdr:col>
      <xdr:colOff>82550</xdr:colOff>
      <xdr:row>24</xdr:row>
      <xdr:rowOff>20108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72173344-2250-46AF-B6DF-502F12A9E900}"/>
            </a:ext>
          </a:extLst>
        </xdr:cNvPr>
        <xdr:cNvSpPr/>
      </xdr:nvSpPr>
      <xdr:spPr>
        <a:xfrm flipV="1">
          <a:off x="16379825" y="2906818"/>
          <a:ext cx="628650" cy="1228090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103928</xdr:colOff>
      <xdr:row>16</xdr:row>
      <xdr:rowOff>160653</xdr:rowOff>
    </xdr:from>
    <xdr:to>
      <xdr:col>31</xdr:col>
      <xdr:colOff>323428</xdr:colOff>
      <xdr:row>24</xdr:row>
      <xdr:rowOff>130968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024A60-840A-4894-8AE3-3910714D341A}"/>
            </a:ext>
          </a:extLst>
        </xdr:cNvPr>
        <xdr:cNvSpPr txBox="1"/>
      </xdr:nvSpPr>
      <xdr:spPr>
        <a:xfrm>
          <a:off x="17010803" y="2827653"/>
          <a:ext cx="1481563" cy="13038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3 : CHECK VALUES</a:t>
          </a:r>
          <a:r>
            <a:rPr lang="en-AU" sz="1400" baseline="0"/>
            <a:t> MATCH IF ALL PROJECTIONS = 100</a:t>
          </a:r>
          <a:endParaRPr lang="en-AU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575734</xdr:colOff>
      <xdr:row>1</xdr:row>
      <xdr:rowOff>127002</xdr:rowOff>
    </xdr:from>
    <xdr:to>
      <xdr:col>17</xdr:col>
      <xdr:colOff>55457</xdr:colOff>
      <xdr:row>21</xdr:row>
      <xdr:rowOff>93442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083FD-E87A-49B3-82C3-715A7D65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2284" y="285752"/>
          <a:ext cx="4921673" cy="3141440"/>
        </a:xfrm>
        <a:prstGeom prst="rect">
          <a:avLst/>
        </a:prstGeom>
      </xdr:spPr>
    </xdr:pic>
    <xdr:clientData/>
  </xdr:twoCellAnchor>
  <xdr:twoCellAnchor>
    <xdr:from>
      <xdr:col>5</xdr:col>
      <xdr:colOff>212722</xdr:colOff>
      <xdr:row>2</xdr:row>
      <xdr:rowOff>56727</xdr:rowOff>
    </xdr:from>
    <xdr:to>
      <xdr:col>9</xdr:col>
      <xdr:colOff>338666</xdr:colOff>
      <xdr:row>6</xdr:row>
      <xdr:rowOff>137583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AFA1234B-D7A0-40CC-BED7-329C721410EC}"/>
            </a:ext>
          </a:extLst>
        </xdr:cNvPr>
        <xdr:cNvSpPr/>
      </xdr:nvSpPr>
      <xdr:spPr>
        <a:xfrm flipH="1">
          <a:off x="2606672" y="374227"/>
          <a:ext cx="3148544" cy="71585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/>
            <a:t>STEP 1 : CHANGE THIS CELL</a:t>
          </a:r>
        </a:p>
      </xdr:txBody>
    </xdr:sp>
    <xdr:clientData/>
  </xdr:twoCellAnchor>
  <xdr:twoCellAnchor>
    <xdr:from>
      <xdr:col>14</xdr:col>
      <xdr:colOff>240454</xdr:colOff>
      <xdr:row>32</xdr:row>
      <xdr:rowOff>21166</xdr:rowOff>
    </xdr:from>
    <xdr:to>
      <xdr:col>15</xdr:col>
      <xdr:colOff>29845</xdr:colOff>
      <xdr:row>38</xdr:row>
      <xdr:rowOff>114510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FFF890DB-B260-4B95-B6A7-7847F054775E}"/>
            </a:ext>
          </a:extLst>
        </xdr:cNvPr>
        <xdr:cNvSpPr/>
      </xdr:nvSpPr>
      <xdr:spPr>
        <a:xfrm>
          <a:off x="8832004" y="5101166"/>
          <a:ext cx="545041" cy="1045844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2750</xdr:colOff>
      <xdr:row>32</xdr:row>
      <xdr:rowOff>20321</xdr:rowOff>
    </xdr:from>
    <xdr:to>
      <xdr:col>16</xdr:col>
      <xdr:colOff>732155</xdr:colOff>
      <xdr:row>37</xdr:row>
      <xdr:rowOff>21167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B436AB-C2BB-4FC8-99AE-CB45F765AD24}"/>
            </a:ext>
          </a:extLst>
        </xdr:cNvPr>
        <xdr:cNvSpPr txBox="1"/>
      </xdr:nvSpPr>
      <xdr:spPr>
        <a:xfrm>
          <a:off x="9349950" y="5100321"/>
          <a:ext cx="1485055" cy="7945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2 : MATCH THIS VALUE WITH EXPECTED</a:t>
          </a:r>
          <a:r>
            <a:rPr lang="en-AU" sz="1400" baseline="0"/>
            <a:t> BE</a:t>
          </a:r>
          <a:endParaRPr lang="en-AU" sz="1400"/>
        </a:p>
      </xdr:txBody>
    </xdr:sp>
    <xdr:clientData/>
  </xdr:twoCellAnchor>
  <xdr:twoCellAnchor>
    <xdr:from>
      <xdr:col>14</xdr:col>
      <xdr:colOff>64982</xdr:colOff>
      <xdr:row>38</xdr:row>
      <xdr:rowOff>143932</xdr:rowOff>
    </xdr:from>
    <xdr:to>
      <xdr:col>15</xdr:col>
      <xdr:colOff>263313</xdr:colOff>
      <xdr:row>41</xdr:row>
      <xdr:rowOff>18626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8F51608-7770-42F7-A4A6-455836F06BE0}"/>
            </a:ext>
          </a:extLst>
        </xdr:cNvPr>
        <xdr:cNvSpPr/>
      </xdr:nvSpPr>
      <xdr:spPr>
        <a:xfrm>
          <a:off x="8656532" y="6176432"/>
          <a:ext cx="953981" cy="350944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28</xdr:col>
      <xdr:colOff>82550</xdr:colOff>
      <xdr:row>16</xdr:row>
      <xdr:rowOff>163618</xdr:rowOff>
    </xdr:from>
    <xdr:to>
      <xdr:col>29</xdr:col>
      <xdr:colOff>82550</xdr:colOff>
      <xdr:row>24</xdr:row>
      <xdr:rowOff>20108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26FA29FE-7446-41B6-B899-2D0CB10E6E37}"/>
            </a:ext>
          </a:extLst>
        </xdr:cNvPr>
        <xdr:cNvSpPr/>
      </xdr:nvSpPr>
      <xdr:spPr>
        <a:xfrm flipV="1">
          <a:off x="16605250" y="2697268"/>
          <a:ext cx="635000" cy="1132840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103928</xdr:colOff>
      <xdr:row>16</xdr:row>
      <xdr:rowOff>160653</xdr:rowOff>
    </xdr:from>
    <xdr:to>
      <xdr:col>31</xdr:col>
      <xdr:colOff>323428</xdr:colOff>
      <xdr:row>24</xdr:row>
      <xdr:rowOff>130968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C5F30F2-6E0B-425C-8450-A7CB1BC187A3}"/>
            </a:ext>
          </a:extLst>
        </xdr:cNvPr>
        <xdr:cNvSpPr txBox="1"/>
      </xdr:nvSpPr>
      <xdr:spPr>
        <a:xfrm>
          <a:off x="17261628" y="2700653"/>
          <a:ext cx="1489500" cy="1240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3 : CHECK VALUES</a:t>
          </a:r>
          <a:r>
            <a:rPr lang="en-AU" sz="1400" baseline="0"/>
            <a:t> MATCH IF ALL PROJECTIONS = 100</a:t>
          </a:r>
          <a:endParaRPr lang="en-AU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575734</xdr:colOff>
      <xdr:row>1</xdr:row>
      <xdr:rowOff>127002</xdr:rowOff>
    </xdr:from>
    <xdr:to>
      <xdr:col>17</xdr:col>
      <xdr:colOff>55457</xdr:colOff>
      <xdr:row>21</xdr:row>
      <xdr:rowOff>93442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E35E6-4AC1-40F4-A755-484EFAB35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7334" y="288927"/>
          <a:ext cx="4699423" cy="3204940"/>
        </a:xfrm>
        <a:prstGeom prst="rect">
          <a:avLst/>
        </a:prstGeom>
      </xdr:spPr>
    </xdr:pic>
    <xdr:clientData/>
  </xdr:twoCellAnchor>
  <xdr:twoCellAnchor>
    <xdr:from>
      <xdr:col>5</xdr:col>
      <xdr:colOff>212722</xdr:colOff>
      <xdr:row>2</xdr:row>
      <xdr:rowOff>56727</xdr:rowOff>
    </xdr:from>
    <xdr:to>
      <xdr:col>9</xdr:col>
      <xdr:colOff>338666</xdr:colOff>
      <xdr:row>6</xdr:row>
      <xdr:rowOff>137583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DBA89D14-6FF9-4379-9F76-8EBEA539258A}"/>
            </a:ext>
          </a:extLst>
        </xdr:cNvPr>
        <xdr:cNvSpPr/>
      </xdr:nvSpPr>
      <xdr:spPr>
        <a:xfrm flipH="1">
          <a:off x="2498722" y="380577"/>
          <a:ext cx="3021544" cy="728556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400" b="1"/>
            <a:t>STEP 1 : CHANGE THIS CELL</a:t>
          </a:r>
        </a:p>
      </xdr:txBody>
    </xdr:sp>
    <xdr:clientData/>
  </xdr:twoCellAnchor>
  <xdr:twoCellAnchor>
    <xdr:from>
      <xdr:col>14</xdr:col>
      <xdr:colOff>240454</xdr:colOff>
      <xdr:row>32</xdr:row>
      <xdr:rowOff>21166</xdr:rowOff>
    </xdr:from>
    <xdr:to>
      <xdr:col>15</xdr:col>
      <xdr:colOff>29845</xdr:colOff>
      <xdr:row>38</xdr:row>
      <xdr:rowOff>114510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94A229DC-08CE-45B5-A9EF-E420D6770A65}"/>
            </a:ext>
          </a:extLst>
        </xdr:cNvPr>
        <xdr:cNvSpPr/>
      </xdr:nvSpPr>
      <xdr:spPr>
        <a:xfrm>
          <a:off x="8470054" y="5202766"/>
          <a:ext cx="513291" cy="1064894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2750</xdr:colOff>
      <xdr:row>32</xdr:row>
      <xdr:rowOff>20321</xdr:rowOff>
    </xdr:from>
    <xdr:to>
      <xdr:col>16</xdr:col>
      <xdr:colOff>732155</xdr:colOff>
      <xdr:row>37</xdr:row>
      <xdr:rowOff>21167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E716A0-D68F-465A-936F-FF4E953126D3}"/>
            </a:ext>
          </a:extLst>
        </xdr:cNvPr>
        <xdr:cNvSpPr txBox="1"/>
      </xdr:nvSpPr>
      <xdr:spPr>
        <a:xfrm>
          <a:off x="8956250" y="5201921"/>
          <a:ext cx="1443780" cy="810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2 : MATCH THIS VALUE WITH EXPECTED</a:t>
          </a:r>
          <a:r>
            <a:rPr lang="en-AU" sz="1400" baseline="0"/>
            <a:t> BE</a:t>
          </a:r>
          <a:endParaRPr lang="en-AU" sz="1400"/>
        </a:p>
      </xdr:txBody>
    </xdr:sp>
    <xdr:clientData/>
  </xdr:twoCellAnchor>
  <xdr:twoCellAnchor>
    <xdr:from>
      <xdr:col>14</xdr:col>
      <xdr:colOff>64982</xdr:colOff>
      <xdr:row>38</xdr:row>
      <xdr:rowOff>143932</xdr:rowOff>
    </xdr:from>
    <xdr:to>
      <xdr:col>15</xdr:col>
      <xdr:colOff>263313</xdr:colOff>
      <xdr:row>41</xdr:row>
      <xdr:rowOff>18626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43367C-3582-4834-85BE-AD429F5E4F0F}"/>
            </a:ext>
          </a:extLst>
        </xdr:cNvPr>
        <xdr:cNvSpPr/>
      </xdr:nvSpPr>
      <xdr:spPr>
        <a:xfrm>
          <a:off x="8294582" y="6297082"/>
          <a:ext cx="922231" cy="360469"/>
        </a:xfrm>
        <a:prstGeom prst="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28</xdr:col>
      <xdr:colOff>82550</xdr:colOff>
      <xdr:row>16</xdr:row>
      <xdr:rowOff>163618</xdr:rowOff>
    </xdr:from>
    <xdr:to>
      <xdr:col>29</xdr:col>
      <xdr:colOff>82550</xdr:colOff>
      <xdr:row>24</xdr:row>
      <xdr:rowOff>20108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9282BD93-4B0B-4F56-9DE7-7377836FAD57}"/>
            </a:ext>
          </a:extLst>
        </xdr:cNvPr>
        <xdr:cNvSpPr/>
      </xdr:nvSpPr>
      <xdr:spPr>
        <a:xfrm flipV="1">
          <a:off x="15903575" y="2754418"/>
          <a:ext cx="657225" cy="1151890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29</xdr:col>
      <xdr:colOff>103928</xdr:colOff>
      <xdr:row>16</xdr:row>
      <xdr:rowOff>160653</xdr:rowOff>
    </xdr:from>
    <xdr:to>
      <xdr:col>31</xdr:col>
      <xdr:colOff>323428</xdr:colOff>
      <xdr:row>24</xdr:row>
      <xdr:rowOff>130968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1F7A543-BB66-4EB3-ABE2-0BB87CF5E6FF}"/>
            </a:ext>
          </a:extLst>
        </xdr:cNvPr>
        <xdr:cNvSpPr txBox="1"/>
      </xdr:nvSpPr>
      <xdr:spPr>
        <a:xfrm>
          <a:off x="16582178" y="2751453"/>
          <a:ext cx="1438700" cy="1265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/>
            <a:t>STEP 3 : CHECK VALUES</a:t>
          </a:r>
          <a:r>
            <a:rPr lang="en-AU" sz="1400" baseline="0"/>
            <a:t> MATCH IF ALL PROJECTIONS = 100</a:t>
          </a:r>
          <a:endParaRPr lang="en-AU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59530</xdr:colOff>
      <xdr:row>28</xdr:row>
      <xdr:rowOff>53180</xdr:rowOff>
    </xdr:from>
    <xdr:to>
      <xdr:col>25</xdr:col>
      <xdr:colOff>468311</xdr:colOff>
      <xdr:row>52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7087FB-30F6-6AD6-A1BC-BEB4EDC54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243840</xdr:colOff>
      <xdr:row>16</xdr:row>
      <xdr:rowOff>132203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33248A-337B-4228-9355-EDB4BA43A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5113020" cy="2535677"/>
        </a:xfrm>
        <a:prstGeom prst="rect">
          <a:avLst/>
        </a:prstGeom>
      </xdr:spPr>
    </xdr:pic>
    <xdr:clientData/>
  </xdr:twoCellAnchor>
  <xdr:twoCellAnchor editAs="oneCell">
    <xdr:from>
      <xdr:col>12</xdr:col>
      <xdr:colOff>93133</xdr:colOff>
      <xdr:row>1</xdr:row>
      <xdr:rowOff>152400</xdr:rowOff>
    </xdr:from>
    <xdr:to>
      <xdr:col>19</xdr:col>
      <xdr:colOff>447900</xdr:colOff>
      <xdr:row>23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DEDB8A-E2A1-4FB4-B2AE-953A115D1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8333" y="321733"/>
          <a:ext cx="5096100" cy="363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1D3D-4CDA-4C6C-B1F2-6B970C54B102}">
  <dimension ref="B2:AE46"/>
  <sheetViews>
    <sheetView showGridLines="0" showRowColHeaders="0" zoomScale="80" zoomScaleNormal="80" workbookViewId="0">
      <selection activeCell="V29" sqref="V29"/>
    </sheetView>
  </sheetViews>
  <sheetFormatPr defaultColWidth="9.140625" defaultRowHeight="12.75" x14ac:dyDescent="0.2"/>
  <cols>
    <col min="1" max="2" width="2.5703125" style="1" customWidth="1"/>
    <col min="3" max="3" width="9.140625" style="1"/>
    <col min="4" max="4" width="9.140625" style="1" customWidth="1"/>
    <col min="5" max="9" width="10.85546875" style="1" customWidth="1"/>
    <col min="10" max="14" width="9.140625" style="1"/>
    <col min="15" max="17" width="10.85546875" style="1" customWidth="1"/>
    <col min="18" max="20" width="2.5703125" style="1" customWidth="1"/>
    <col min="21" max="21" width="15.85546875" style="1" customWidth="1"/>
    <col min="22" max="27" width="9.140625" style="1"/>
    <col min="28" max="28" width="2.85546875" style="1" customWidth="1"/>
    <col min="29" max="16384" width="9.140625" style="1"/>
  </cols>
  <sheetData>
    <row r="2" spans="2:3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T2" s="5"/>
      <c r="U2" s="6"/>
      <c r="V2" s="6"/>
      <c r="W2" s="6"/>
      <c r="X2" s="6"/>
      <c r="Y2" s="6"/>
      <c r="Z2" s="6"/>
      <c r="AA2" s="6"/>
      <c r="AB2" s="7"/>
    </row>
    <row r="3" spans="2:31" x14ac:dyDescent="0.2">
      <c r="B3" s="8"/>
      <c r="C3" s="13" t="s">
        <v>32</v>
      </c>
      <c r="R3" s="9"/>
      <c r="T3" s="8"/>
      <c r="U3" s="13" t="s">
        <v>27</v>
      </c>
      <c r="AB3" s="9"/>
    </row>
    <row r="4" spans="2:31" x14ac:dyDescent="0.2">
      <c r="B4" s="8"/>
      <c r="R4" s="9"/>
      <c r="T4" s="8"/>
      <c r="U4" s="1" t="s">
        <v>29</v>
      </c>
      <c r="AB4" s="9"/>
    </row>
    <row r="5" spans="2:31" x14ac:dyDescent="0.2">
      <c r="B5" s="8"/>
      <c r="C5" s="1" t="s">
        <v>4</v>
      </c>
      <c r="E5" s="15" t="s">
        <v>85</v>
      </c>
      <c r="R5" s="9"/>
      <c r="T5" s="8"/>
      <c r="AB5" s="9"/>
    </row>
    <row r="6" spans="2:31" x14ac:dyDescent="0.2">
      <c r="B6" s="8"/>
      <c r="C6" s="1" t="s">
        <v>5</v>
      </c>
      <c r="E6" s="10">
        <f>D37</f>
        <v>245000</v>
      </c>
      <c r="R6" s="9"/>
      <c r="T6" s="8"/>
      <c r="U6" s="3" t="s">
        <v>4</v>
      </c>
      <c r="V6" s="3" t="s">
        <v>13</v>
      </c>
      <c r="W6" s="4" t="s">
        <v>5</v>
      </c>
      <c r="X6" s="4" t="s">
        <v>7</v>
      </c>
      <c r="Y6" s="4" t="s">
        <v>8</v>
      </c>
      <c r="Z6" s="4" t="s">
        <v>9</v>
      </c>
      <c r="AA6" s="4" t="s">
        <v>10</v>
      </c>
      <c r="AB6" s="9"/>
      <c r="AC6" s="1" t="s">
        <v>45</v>
      </c>
    </row>
    <row r="7" spans="2:31" x14ac:dyDescent="0.2">
      <c r="B7" s="8"/>
      <c r="R7" s="9"/>
      <c r="T7" s="8"/>
      <c r="U7" s="16" t="s">
        <v>75</v>
      </c>
      <c r="V7" s="16" t="s">
        <v>76</v>
      </c>
      <c r="W7" s="18">
        <v>1056000</v>
      </c>
      <c r="X7" s="18">
        <v>0</v>
      </c>
      <c r="Y7" s="18">
        <v>0</v>
      </c>
      <c r="Z7" s="18">
        <v>0</v>
      </c>
      <c r="AA7" s="18">
        <v>0</v>
      </c>
      <c r="AB7" s="9"/>
      <c r="AC7" s="32"/>
      <c r="AD7" s="32"/>
      <c r="AE7" s="1" t="s">
        <v>77</v>
      </c>
    </row>
    <row r="8" spans="2:31" x14ac:dyDescent="0.2">
      <c r="B8" s="8"/>
      <c r="E8" s="2" t="str">
        <f>"Round "&amp;$E$27+1</f>
        <v>Round 0</v>
      </c>
      <c r="F8" s="2" t="str">
        <f>"Round "&amp;$E$27+2</f>
        <v>Round 1</v>
      </c>
      <c r="G8" s="2" t="str">
        <f>"Round "&amp;$E$27+3</f>
        <v>Round 2</v>
      </c>
      <c r="H8" s="2" t="str">
        <f>"Round "&amp;$E$27+4</f>
        <v>Round 3</v>
      </c>
      <c r="I8" s="2" t="str">
        <f>"Round "&amp;$E$27+5</f>
        <v>Round 4</v>
      </c>
      <c r="R8" s="9"/>
      <c r="T8" s="8"/>
      <c r="U8" s="16" t="s">
        <v>78</v>
      </c>
      <c r="V8" s="16" t="s">
        <v>79</v>
      </c>
      <c r="W8" s="16">
        <v>237000</v>
      </c>
      <c r="X8" s="18">
        <v>0</v>
      </c>
      <c r="Y8" s="18">
        <v>0</v>
      </c>
      <c r="Z8" s="18">
        <v>0</v>
      </c>
      <c r="AA8" s="18">
        <v>0</v>
      </c>
      <c r="AB8" s="9"/>
      <c r="AC8" s="32"/>
      <c r="AD8" s="32"/>
      <c r="AE8" s="1" t="s">
        <v>70</v>
      </c>
    </row>
    <row r="9" spans="2:31" x14ac:dyDescent="0.2">
      <c r="B9" s="8"/>
      <c r="D9" s="2" t="s">
        <v>37</v>
      </c>
      <c r="E9" s="14">
        <v>100</v>
      </c>
      <c r="F9" s="14">
        <v>100</v>
      </c>
      <c r="G9" s="14">
        <v>100</v>
      </c>
      <c r="H9" s="14">
        <v>100</v>
      </c>
      <c r="I9" s="14">
        <v>100</v>
      </c>
      <c r="R9" s="9"/>
      <c r="T9" s="8"/>
      <c r="U9" s="16" t="s">
        <v>66</v>
      </c>
      <c r="V9" s="16" t="s">
        <v>67</v>
      </c>
      <c r="W9" s="16">
        <v>677000</v>
      </c>
      <c r="X9" s="18">
        <v>0</v>
      </c>
      <c r="Y9" s="18">
        <v>0</v>
      </c>
      <c r="Z9" s="18">
        <v>0</v>
      </c>
      <c r="AA9" s="18">
        <v>0</v>
      </c>
      <c r="AB9" s="9"/>
      <c r="AC9" s="32"/>
      <c r="AD9" s="32"/>
      <c r="AE9" s="1" t="s">
        <v>73</v>
      </c>
    </row>
    <row r="10" spans="2:31" x14ac:dyDescent="0.2">
      <c r="B10" s="8"/>
      <c r="D10" s="2"/>
      <c r="E10" s="2"/>
      <c r="F10" s="2"/>
      <c r="G10" s="2"/>
      <c r="H10" s="2"/>
      <c r="I10" s="2"/>
      <c r="R10" s="9"/>
      <c r="T10" s="8"/>
      <c r="U10" s="16" t="s">
        <v>68</v>
      </c>
      <c r="V10" s="16" t="s">
        <v>76</v>
      </c>
      <c r="W10" s="16">
        <v>358000</v>
      </c>
      <c r="X10" s="18">
        <v>0</v>
      </c>
      <c r="Y10" s="18">
        <v>0</v>
      </c>
      <c r="Z10" s="18">
        <v>0</v>
      </c>
      <c r="AA10" s="18">
        <v>0</v>
      </c>
      <c r="AB10" s="9"/>
      <c r="AC10" s="32"/>
      <c r="AD10" s="32"/>
      <c r="AE10" s="1" t="s">
        <v>72</v>
      </c>
    </row>
    <row r="11" spans="2:31" x14ac:dyDescent="0.2">
      <c r="B11" s="8"/>
      <c r="R11" s="9"/>
      <c r="T11" s="8"/>
      <c r="U11" s="16" t="s">
        <v>80</v>
      </c>
      <c r="V11" s="16" t="s">
        <v>65</v>
      </c>
      <c r="W11" s="16">
        <v>300000</v>
      </c>
      <c r="X11" s="18">
        <v>0</v>
      </c>
      <c r="Y11" s="18">
        <v>0</v>
      </c>
      <c r="Z11" s="18">
        <v>0</v>
      </c>
      <c r="AA11" s="18">
        <v>0</v>
      </c>
      <c r="AB11" s="9"/>
      <c r="AC11" s="32"/>
      <c r="AD11" s="32"/>
      <c r="AE11" s="1" t="s">
        <v>46</v>
      </c>
    </row>
    <row r="12" spans="2:31" x14ac:dyDescent="0.2">
      <c r="B12" s="8"/>
      <c r="C12" s="13" t="s">
        <v>33</v>
      </c>
      <c r="R12" s="9"/>
      <c r="T12" s="8"/>
      <c r="U12" s="16" t="s">
        <v>81</v>
      </c>
      <c r="V12" s="16" t="s">
        <v>79</v>
      </c>
      <c r="W12" s="16">
        <v>200000</v>
      </c>
      <c r="X12" s="18">
        <v>0</v>
      </c>
      <c r="Y12" s="18">
        <v>0</v>
      </c>
      <c r="Z12" s="18">
        <v>0</v>
      </c>
      <c r="AA12" s="18">
        <v>0</v>
      </c>
      <c r="AB12" s="9"/>
      <c r="AC12" s="32"/>
      <c r="AD12" s="32"/>
      <c r="AE12" s="1" t="s">
        <v>47</v>
      </c>
    </row>
    <row r="13" spans="2:31" x14ac:dyDescent="0.2">
      <c r="B13" s="8"/>
      <c r="E13" s="1">
        <v>1</v>
      </c>
      <c r="F13" s="1">
        <v>2</v>
      </c>
      <c r="G13" s="1">
        <v>3</v>
      </c>
      <c r="H13" s="1">
        <v>4</v>
      </c>
      <c r="I13" s="1">
        <v>5</v>
      </c>
      <c r="R13" s="9"/>
      <c r="T13" s="8"/>
      <c r="U13" s="16" t="s">
        <v>82</v>
      </c>
      <c r="V13" s="16" t="s">
        <v>67</v>
      </c>
      <c r="W13" s="16">
        <v>200000</v>
      </c>
      <c r="X13" s="18">
        <v>0</v>
      </c>
      <c r="Y13" s="18">
        <v>0</v>
      </c>
      <c r="Z13" s="18">
        <v>0</v>
      </c>
      <c r="AA13" s="18">
        <v>0</v>
      </c>
      <c r="AB13" s="9"/>
      <c r="AC13" s="32"/>
      <c r="AD13" s="32"/>
      <c r="AE13" s="1" t="s">
        <v>48</v>
      </c>
    </row>
    <row r="14" spans="2:31" x14ac:dyDescent="0.2">
      <c r="B14" s="8"/>
      <c r="D14" s="3"/>
      <c r="E14" s="4" t="str">
        <f>E8</f>
        <v>Round 0</v>
      </c>
      <c r="F14" s="4" t="str">
        <f t="shared" ref="F14:I14" si="0">F8</f>
        <v>Round 1</v>
      </c>
      <c r="G14" s="4" t="str">
        <f t="shared" si="0"/>
        <v>Round 2</v>
      </c>
      <c r="H14" s="4" t="str">
        <f t="shared" si="0"/>
        <v>Round 3</v>
      </c>
      <c r="I14" s="4" t="str">
        <f t="shared" si="0"/>
        <v>Round 4</v>
      </c>
      <c r="R14" s="9"/>
      <c r="T14" s="8"/>
      <c r="U14" s="16" t="s">
        <v>83</v>
      </c>
      <c r="V14" s="16" t="s">
        <v>69</v>
      </c>
      <c r="W14" s="16">
        <v>623000</v>
      </c>
      <c r="X14" s="18">
        <v>0</v>
      </c>
      <c r="Y14" s="18">
        <v>0</v>
      </c>
      <c r="Z14" s="18">
        <v>0</v>
      </c>
      <c r="AA14" s="18">
        <v>0</v>
      </c>
      <c r="AB14" s="9"/>
      <c r="AC14" s="32"/>
      <c r="AD14" s="32"/>
      <c r="AE14" s="1" t="s">
        <v>84</v>
      </c>
    </row>
    <row r="15" spans="2:31" x14ac:dyDescent="0.2">
      <c r="B15" s="8"/>
      <c r="D15" s="2" t="s">
        <v>34</v>
      </c>
      <c r="E15" s="1">
        <f ca="1">OFFSET($F$40,E$13,0)</f>
        <v>100</v>
      </c>
      <c r="F15" s="1">
        <f ca="1">OFFSET($F$40,F$13,0)</f>
        <v>100</v>
      </c>
      <c r="G15" s="1">
        <f ca="1">OFFSET($F$40,G$13,0)</f>
        <v>100</v>
      </c>
      <c r="H15" s="1">
        <f ca="1">OFFSET($F$40,H$13,0)</f>
        <v>100</v>
      </c>
      <c r="I15" s="1">
        <f ca="1">OFFSET($F$40,I$13,0)</f>
        <v>100</v>
      </c>
      <c r="R15" s="9"/>
      <c r="T15" s="8"/>
      <c r="U15" s="16" t="s">
        <v>85</v>
      </c>
      <c r="V15" s="16" t="s">
        <v>86</v>
      </c>
      <c r="W15" s="16">
        <v>245000</v>
      </c>
      <c r="X15" s="18">
        <v>0</v>
      </c>
      <c r="Y15" s="18">
        <v>0</v>
      </c>
      <c r="Z15" s="18">
        <v>0</v>
      </c>
      <c r="AA15" s="18">
        <v>0</v>
      </c>
      <c r="AB15" s="9"/>
      <c r="AC15" s="32"/>
      <c r="AD15" s="32"/>
      <c r="AE15" s="1" t="s">
        <v>71</v>
      </c>
    </row>
    <row r="16" spans="2:31" x14ac:dyDescent="0.2">
      <c r="B16" s="8"/>
      <c r="D16" s="2" t="s">
        <v>35</v>
      </c>
      <c r="E16" s="31">
        <f ca="1">E18-$E$6</f>
        <v>55000</v>
      </c>
      <c r="F16" s="31">
        <f ca="1">F18-E18</f>
        <v>88000</v>
      </c>
      <c r="G16" s="31">
        <f t="shared" ref="G16:I16" ca="1" si="1">G18-F18</f>
        <v>95000</v>
      </c>
      <c r="H16" s="31">
        <f t="shared" ca="1" si="1"/>
        <v>86000</v>
      </c>
      <c r="I16" s="31">
        <f t="shared" ca="1" si="1"/>
        <v>66000</v>
      </c>
      <c r="R16" s="9"/>
      <c r="T16" s="8"/>
      <c r="U16" s="16"/>
      <c r="V16" s="16"/>
      <c r="W16" s="16"/>
      <c r="X16" s="18"/>
      <c r="Y16" s="18"/>
      <c r="Z16" s="18"/>
      <c r="AA16" s="18"/>
      <c r="AB16" s="9"/>
      <c r="AC16" s="32"/>
      <c r="AD16" s="32"/>
    </row>
    <row r="17" spans="2:28" x14ac:dyDescent="0.2">
      <c r="B17" s="8"/>
      <c r="D17" s="2" t="s">
        <v>36</v>
      </c>
      <c r="E17" s="31">
        <f ca="1">E16</f>
        <v>55000</v>
      </c>
      <c r="F17" s="31">
        <f ca="1">E17+F16</f>
        <v>143000</v>
      </c>
      <c r="G17" s="31">
        <f t="shared" ref="G17:I17" ca="1" si="2">F17+G16</f>
        <v>238000</v>
      </c>
      <c r="H17" s="31">
        <f t="shared" ca="1" si="2"/>
        <v>324000</v>
      </c>
      <c r="I17" s="31">
        <f t="shared" ca="1" si="2"/>
        <v>390000</v>
      </c>
      <c r="R17" s="9"/>
      <c r="T17" s="11"/>
      <c r="U17" s="3"/>
      <c r="V17" s="3"/>
      <c r="W17" s="3"/>
      <c r="X17" s="3"/>
      <c r="Y17" s="3"/>
      <c r="Z17" s="3"/>
      <c r="AA17" s="3"/>
      <c r="AB17" s="12"/>
    </row>
    <row r="18" spans="2:28" x14ac:dyDescent="0.2">
      <c r="B18" s="8"/>
      <c r="D18" s="2" t="s">
        <v>5</v>
      </c>
      <c r="E18" s="31">
        <f ca="1">ROUND(OFFSET($N$40,E$13,0)/1000,0)*1000</f>
        <v>300000</v>
      </c>
      <c r="F18" s="31">
        <f ca="1">ROUND(OFFSET($N$40,F$13,0)/1000,0)*1000</f>
        <v>388000</v>
      </c>
      <c r="G18" s="31">
        <f ca="1">ROUND(OFFSET($N$40,G$13,0)/1000,0)*1000</f>
        <v>483000</v>
      </c>
      <c r="H18" s="31">
        <f ca="1">ROUND(OFFSET($N$40,H$13,0)/1000,0)*1000</f>
        <v>569000</v>
      </c>
      <c r="I18" s="31">
        <f ca="1">ROUND(OFFSET($N$40,I$13,0)/1000,0)*1000</f>
        <v>635000</v>
      </c>
      <c r="R18" s="9"/>
    </row>
    <row r="19" spans="2:28" x14ac:dyDescent="0.2">
      <c r="B19" s="8"/>
      <c r="D19" s="2" t="s">
        <v>30</v>
      </c>
      <c r="E19" s="1">
        <f ca="1">ROUND(OFFSET($P$40,E$13,0),0)</f>
        <v>27</v>
      </c>
      <c r="F19" s="1">
        <f ca="1">ROUND(OFFSET($P$40,F$13,0),0)</f>
        <v>34</v>
      </c>
      <c r="G19" s="1">
        <f ca="1">ROUND(OFFSET($P$40,G$13,0),0)</f>
        <v>45</v>
      </c>
      <c r="H19" s="1">
        <f ca="1">ROUND(OFFSET($P$40,H$13,0),0)</f>
        <v>57</v>
      </c>
      <c r="I19" s="1">
        <f ca="1">ROUND(OFFSET($P$40,I$13,0),0)</f>
        <v>68</v>
      </c>
      <c r="R19" s="9"/>
    </row>
    <row r="20" spans="2:28" x14ac:dyDescent="0.2">
      <c r="B20" s="8"/>
      <c r="D20" s="2" t="s">
        <v>28</v>
      </c>
      <c r="E20" s="1">
        <f ca="1">ROUND(OFFSET($O$40,E$13,0),0)</f>
        <v>27</v>
      </c>
      <c r="F20" s="1">
        <f ca="1">ROUND(OFFSET($O$40,F$13,0),0)</f>
        <v>-19</v>
      </c>
      <c r="G20" s="1">
        <f ca="1">ROUND(OFFSET($O$40,G$13,0),0)</f>
        <v>-33</v>
      </c>
      <c r="H20" s="1">
        <f ca="1">ROUND(OFFSET($O$40,H$13,0),0)</f>
        <v>-21</v>
      </c>
      <c r="I20" s="1">
        <f ca="1">ROUND(OFFSET($O$40,I$13,0),0)</f>
        <v>5</v>
      </c>
      <c r="R20" s="9"/>
      <c r="U20" s="19"/>
      <c r="V20" s="1" t="s">
        <v>18</v>
      </c>
      <c r="W20" s="2"/>
    </row>
    <row r="21" spans="2:28" x14ac:dyDescent="0.2">
      <c r="B21" s="8"/>
      <c r="R21" s="9"/>
      <c r="U21" s="24"/>
      <c r="V21" s="1" t="s">
        <v>19</v>
      </c>
    </row>
    <row r="22" spans="2:28" x14ac:dyDescent="0.2"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2"/>
      <c r="U22" s="20"/>
      <c r="V22" s="1" t="s">
        <v>21</v>
      </c>
    </row>
    <row r="23" spans="2:28" x14ac:dyDescent="0.2">
      <c r="C23" s="13"/>
      <c r="U23" s="26"/>
      <c r="V23" s="1" t="s">
        <v>23</v>
      </c>
    </row>
    <row r="24" spans="2:28" x14ac:dyDescent="0.2">
      <c r="B24" s="5"/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2:28" x14ac:dyDescent="0.2">
      <c r="B25" s="8"/>
      <c r="C25" s="13" t="s">
        <v>42</v>
      </c>
      <c r="I25" s="13" t="s">
        <v>22</v>
      </c>
      <c r="R25" s="9"/>
    </row>
    <row r="26" spans="2:28" x14ac:dyDescent="0.2">
      <c r="B26" s="8"/>
      <c r="C26" s="13"/>
      <c r="I26" s="3" t="s">
        <v>3</v>
      </c>
      <c r="J26" s="4" t="s">
        <v>7</v>
      </c>
      <c r="K26" s="4" t="s">
        <v>8</v>
      </c>
      <c r="L26" s="4" t="s">
        <v>9</v>
      </c>
      <c r="M26" s="4" t="s">
        <v>10</v>
      </c>
      <c r="N26" s="4" t="s">
        <v>11</v>
      </c>
      <c r="R26" s="9"/>
    </row>
    <row r="27" spans="2:28" x14ac:dyDescent="0.2">
      <c r="B27" s="8"/>
      <c r="C27" s="1" t="s">
        <v>20</v>
      </c>
      <c r="E27" s="20">
        <v>-1</v>
      </c>
      <c r="I27" s="1" t="s">
        <v>0</v>
      </c>
      <c r="J27" s="1">
        <v>5</v>
      </c>
      <c r="K27" s="1">
        <v>4</v>
      </c>
      <c r="L27" s="1">
        <v>3</v>
      </c>
      <c r="M27" s="1">
        <v>2</v>
      </c>
      <c r="N27" s="1">
        <v>1</v>
      </c>
      <c r="R27" s="9"/>
    </row>
    <row r="28" spans="2:28" x14ac:dyDescent="0.2">
      <c r="B28" s="8"/>
      <c r="C28" s="1" t="s">
        <v>38</v>
      </c>
      <c r="E28" s="38">
        <v>9027</v>
      </c>
      <c r="I28" s="20" t="s">
        <v>2</v>
      </c>
      <c r="J28" s="29">
        <f>0.25*J27/15</f>
        <v>8.3333333333333329E-2</v>
      </c>
      <c r="K28" s="29">
        <f>0.25*K27/15</f>
        <v>6.6666666666666666E-2</v>
      </c>
      <c r="L28" s="29">
        <f>0.25*L27/15</f>
        <v>0.05</v>
      </c>
      <c r="M28" s="29">
        <f>0.25*M27/15</f>
        <v>3.3333333333333333E-2</v>
      </c>
      <c r="N28" s="29">
        <f>0.25*N27/15</f>
        <v>1.6666666666666666E-2</v>
      </c>
      <c r="R28" s="9"/>
    </row>
    <row r="29" spans="2:28" x14ac:dyDescent="0.2">
      <c r="B29" s="8"/>
      <c r="C29" s="1" t="s">
        <v>16</v>
      </c>
      <c r="E29" s="21">
        <v>0.02</v>
      </c>
      <c r="I29" s="20" t="s">
        <v>41</v>
      </c>
      <c r="J29" s="29">
        <f>J28</f>
        <v>8.3333333333333329E-2</v>
      </c>
      <c r="K29" s="29">
        <f>J29+K28</f>
        <v>0.15</v>
      </c>
      <c r="L29" s="29">
        <f>K29+L28</f>
        <v>0.2</v>
      </c>
      <c r="M29" s="29">
        <f>L29+M28</f>
        <v>0.23333333333333334</v>
      </c>
      <c r="N29" s="29">
        <f>M29+N28</f>
        <v>0.25</v>
      </c>
      <c r="R29" s="9"/>
    </row>
    <row r="30" spans="2:28" x14ac:dyDescent="0.2">
      <c r="B30" s="11"/>
      <c r="C30" s="2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2"/>
    </row>
    <row r="31" spans="2:28" x14ac:dyDescent="0.2">
      <c r="C31" s="13"/>
    </row>
    <row r="32" spans="2:28" x14ac:dyDescent="0.2">
      <c r="B32" s="5"/>
      <c r="C32" s="22"/>
      <c r="D32" s="6"/>
      <c r="E32" s="30"/>
      <c r="F32" s="30"/>
      <c r="G32" s="30"/>
      <c r="H32" s="30"/>
      <c r="I32" s="30"/>
      <c r="J32" s="30"/>
      <c r="K32" s="6"/>
      <c r="L32" s="6"/>
      <c r="M32" s="6"/>
      <c r="N32" s="6"/>
      <c r="O32" s="6"/>
      <c r="P32" s="6"/>
      <c r="Q32" s="6"/>
      <c r="R32" s="7"/>
    </row>
    <row r="33" spans="2:18" x14ac:dyDescent="0.2">
      <c r="B33" s="8"/>
      <c r="C33" s="13" t="s">
        <v>17</v>
      </c>
      <c r="E33" s="2"/>
      <c r="F33" s="2"/>
      <c r="G33" s="2"/>
      <c r="H33" s="2"/>
      <c r="I33" s="2"/>
      <c r="J33" s="2"/>
      <c r="R33" s="9"/>
    </row>
    <row r="34" spans="2:18" x14ac:dyDescent="0.2">
      <c r="B34" s="8"/>
      <c r="R34" s="9"/>
    </row>
    <row r="35" spans="2:18" x14ac:dyDescent="0.2">
      <c r="B35" s="8"/>
      <c r="C35" s="2" t="s">
        <v>4</v>
      </c>
      <c r="D35" s="14" t="str">
        <f>E5</f>
        <v>Matt Roberts</v>
      </c>
      <c r="F35" s="3" t="s">
        <v>3</v>
      </c>
      <c r="G35" s="4" t="s">
        <v>7</v>
      </c>
      <c r="H35" s="4" t="s">
        <v>8</v>
      </c>
      <c r="I35" s="4" t="s">
        <v>9</v>
      </c>
      <c r="J35" s="4" t="s">
        <v>10</v>
      </c>
      <c r="K35" s="4" t="s">
        <v>11</v>
      </c>
      <c r="R35" s="9"/>
    </row>
    <row r="36" spans="2:18" x14ac:dyDescent="0.2">
      <c r="B36" s="8"/>
      <c r="C36" s="2" t="s">
        <v>13</v>
      </c>
      <c r="D36" s="18" t="str">
        <f>INDEX($V$7:$V$16,MATCH(E5,$U$7:$U$16,0),0)</f>
        <v>SY</v>
      </c>
      <c r="F36" s="1" t="s">
        <v>24</v>
      </c>
      <c r="G36" s="29">
        <f t="shared" ref="G36:K37" si="3">J28</f>
        <v>8.3333333333333329E-2</v>
      </c>
      <c r="H36" s="29">
        <f t="shared" si="3"/>
        <v>6.6666666666666666E-2</v>
      </c>
      <c r="I36" s="29">
        <f t="shared" si="3"/>
        <v>0.05</v>
      </c>
      <c r="J36" s="29">
        <f t="shared" si="3"/>
        <v>3.3333333333333333E-2</v>
      </c>
      <c r="K36" s="29">
        <f t="shared" si="3"/>
        <v>1.6666666666666666E-2</v>
      </c>
      <c r="R36" s="9"/>
    </row>
    <row r="37" spans="2:18" x14ac:dyDescent="0.2">
      <c r="B37" s="8"/>
      <c r="C37" s="2" t="s">
        <v>14</v>
      </c>
      <c r="D37" s="17">
        <f>INDEX($W$7:$W$16,MATCH(E5,$U$7:$U$16,0),0)</f>
        <v>245000</v>
      </c>
      <c r="F37" s="1" t="s">
        <v>25</v>
      </c>
      <c r="G37" s="29">
        <f t="shared" si="3"/>
        <v>8.3333333333333329E-2</v>
      </c>
      <c r="H37" s="29">
        <f t="shared" si="3"/>
        <v>0.15</v>
      </c>
      <c r="I37" s="29">
        <f t="shared" si="3"/>
        <v>0.2</v>
      </c>
      <c r="J37" s="29">
        <f t="shared" si="3"/>
        <v>0.23333333333333334</v>
      </c>
      <c r="K37" s="29">
        <f t="shared" si="3"/>
        <v>0.25</v>
      </c>
      <c r="R37" s="9"/>
    </row>
    <row r="38" spans="2:18" x14ac:dyDescent="0.2">
      <c r="B38" s="8"/>
      <c r="F38" s="2"/>
      <c r="G38" s="2"/>
      <c r="H38" s="2"/>
      <c r="I38" s="2"/>
      <c r="J38" s="2"/>
      <c r="K38" s="2"/>
      <c r="R38" s="9"/>
    </row>
    <row r="39" spans="2:18" x14ac:dyDescent="0.2">
      <c r="B39" s="8"/>
      <c r="E39" s="2" t="s">
        <v>15</v>
      </c>
      <c r="F39" s="2"/>
      <c r="G39" s="2"/>
      <c r="H39" s="2"/>
      <c r="I39" s="2"/>
      <c r="J39" s="2"/>
      <c r="K39" s="2"/>
      <c r="L39" s="2" t="s">
        <v>40</v>
      </c>
      <c r="M39" s="2" t="s">
        <v>31</v>
      </c>
      <c r="N39" s="2" t="s">
        <v>26</v>
      </c>
      <c r="R39" s="9"/>
    </row>
    <row r="40" spans="2:18" x14ac:dyDescent="0.2">
      <c r="B40" s="8"/>
      <c r="C40" s="4" t="s">
        <v>1</v>
      </c>
      <c r="D40" s="4" t="s">
        <v>12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39</v>
      </c>
      <c r="M40" s="4" t="s">
        <v>6</v>
      </c>
      <c r="N40" s="4" t="s">
        <v>5</v>
      </c>
      <c r="O40" s="4" t="s">
        <v>28</v>
      </c>
      <c r="P40" s="4" t="s">
        <v>30</v>
      </c>
      <c r="R40" s="9"/>
    </row>
    <row r="41" spans="2:18" x14ac:dyDescent="0.2">
      <c r="B41" s="8"/>
      <c r="C41" s="20">
        <f>E27+1</f>
        <v>0</v>
      </c>
      <c r="D41" s="27">
        <f>$E$28*(1-$E$29)^(C41)</f>
        <v>9027</v>
      </c>
      <c r="E41" s="17">
        <f>D37</f>
        <v>245000</v>
      </c>
      <c r="F41" s="33">
        <f>E9</f>
        <v>100</v>
      </c>
      <c r="G41" s="25">
        <f>F41</f>
        <v>100</v>
      </c>
      <c r="H41" s="16">
        <f>INDEX(X$7:X$16,MATCH($E5,$U$7:$U$16,0),0)</f>
        <v>0</v>
      </c>
      <c r="I41" s="16">
        <f t="shared" ref="I41:K41" si="4">INDEX(Y$7:Y$16,MATCH($E5,$U$7:$U$16,0),0)</f>
        <v>0</v>
      </c>
      <c r="J41" s="16">
        <f t="shared" si="4"/>
        <v>0</v>
      </c>
      <c r="K41" s="16">
        <f t="shared" si="4"/>
        <v>0</v>
      </c>
      <c r="L41" s="28">
        <f>COUNTIF(G41:K41,"&lt;&gt;0")</f>
        <v>1</v>
      </c>
      <c r="M41" s="28">
        <f>SUMPRODUCT(G41:K41,$G$36:$K$36)/INDEX($G$37:$K$37,0,L41)</f>
        <v>99.999999999999986</v>
      </c>
      <c r="N41" s="28">
        <f>IF(F41,E41*(1-INDEX($G$37:$K$37,0,L41))+SUMPRODUCT(G41:K41,$G$36:$K$36)*D41,E41)</f>
        <v>299808.33333333331</v>
      </c>
      <c r="O41" s="28">
        <f>IF(F41=0,O40,G41-(N41-E41)/(D41/12))</f>
        <v>27.140799822753991</v>
      </c>
      <c r="P41" s="27">
        <f>E41/D41</f>
        <v>27.140799822753959</v>
      </c>
      <c r="R41" s="9"/>
    </row>
    <row r="42" spans="2:18" x14ac:dyDescent="0.2">
      <c r="B42" s="8"/>
      <c r="C42" s="26">
        <f>C41+1</f>
        <v>1</v>
      </c>
      <c r="D42" s="27">
        <f t="shared" ref="D42:D45" si="5">$E$28*(1-$E$29)^(C42)</f>
        <v>8846.4599999999991</v>
      </c>
      <c r="E42" s="28">
        <f>N41</f>
        <v>299808.33333333331</v>
      </c>
      <c r="F42" s="33">
        <f>F9</f>
        <v>100</v>
      </c>
      <c r="G42" s="25">
        <f t="shared" ref="G42:G45" si="6">F42</f>
        <v>100</v>
      </c>
      <c r="H42" s="26">
        <f t="shared" ref="H42:K45" si="7">G41</f>
        <v>100</v>
      </c>
      <c r="I42" s="26">
        <f t="shared" si="7"/>
        <v>0</v>
      </c>
      <c r="J42" s="26">
        <f t="shared" si="7"/>
        <v>0</v>
      </c>
      <c r="K42" s="26">
        <f t="shared" si="7"/>
        <v>0</v>
      </c>
      <c r="L42" s="28">
        <f t="shared" ref="L42:L45" si="8">COUNTIF(G42:K42,"&lt;&gt;0")</f>
        <v>2</v>
      </c>
      <c r="M42" s="28">
        <f t="shared" ref="M42:M45" si="9">SUMPRODUCT(G42:K42,$G$36:$K$36)/INDEX($G$37:$K$37,0,L42)</f>
        <v>100</v>
      </c>
      <c r="N42" s="28">
        <f t="shared" ref="N42:N45" si="10">IF(F42,E42*(1-INDEX($G$37:$K$37,0,L42))+SUMPRODUCT(G42:K42,$G$36:$K$36)*D42,E42)</f>
        <v>387533.98333333328</v>
      </c>
      <c r="O42" s="28">
        <f>IF(F42=0,O41,G42-(N42-E42)/(D42/12))</f>
        <v>-18.997632951485642</v>
      </c>
      <c r="P42" s="27">
        <f>E42/D42</f>
        <v>33.89020391584129</v>
      </c>
      <c r="R42" s="9"/>
    </row>
    <row r="43" spans="2:18" x14ac:dyDescent="0.2">
      <c r="B43" s="8"/>
      <c r="C43" s="26">
        <f t="shared" ref="C43:C45" si="11">C42+1</f>
        <v>2</v>
      </c>
      <c r="D43" s="27">
        <f t="shared" si="5"/>
        <v>8669.5307999999986</v>
      </c>
      <c r="E43" s="28">
        <f>N42</f>
        <v>387533.98333333328</v>
      </c>
      <c r="F43" s="33">
        <f>G9</f>
        <v>100</v>
      </c>
      <c r="G43" s="25">
        <f t="shared" si="6"/>
        <v>100</v>
      </c>
      <c r="H43" s="26">
        <f t="shared" si="7"/>
        <v>100</v>
      </c>
      <c r="I43" s="26">
        <f t="shared" si="7"/>
        <v>100</v>
      </c>
      <c r="J43" s="26">
        <f t="shared" si="7"/>
        <v>0</v>
      </c>
      <c r="K43" s="26">
        <f t="shared" si="7"/>
        <v>0</v>
      </c>
      <c r="L43" s="28">
        <f t="shared" si="8"/>
        <v>3</v>
      </c>
      <c r="M43" s="28">
        <f t="shared" si="9"/>
        <v>100</v>
      </c>
      <c r="N43" s="28">
        <f t="shared" si="10"/>
        <v>483417.80266666663</v>
      </c>
      <c r="O43" s="28">
        <f>IF(F43=0,O42,G43-(N43-E43)/(D43/12))</f>
        <v>-32.718351032330418</v>
      </c>
      <c r="P43" s="27">
        <f>E43/D43</f>
        <v>44.70068706986234</v>
      </c>
      <c r="R43" s="9"/>
    </row>
    <row r="44" spans="2:18" x14ac:dyDescent="0.2">
      <c r="B44" s="8"/>
      <c r="C44" s="26">
        <f t="shared" si="11"/>
        <v>3</v>
      </c>
      <c r="D44" s="27">
        <f t="shared" si="5"/>
        <v>8496.1401839999999</v>
      </c>
      <c r="E44" s="28">
        <f>N43</f>
        <v>483417.80266666663</v>
      </c>
      <c r="F44" s="33">
        <f>H9</f>
        <v>100</v>
      </c>
      <c r="G44" s="25">
        <f t="shared" si="6"/>
        <v>100</v>
      </c>
      <c r="H44" s="26">
        <f t="shared" si="7"/>
        <v>100</v>
      </c>
      <c r="I44" s="26">
        <f t="shared" si="7"/>
        <v>100</v>
      </c>
      <c r="J44" s="26">
        <f t="shared" si="7"/>
        <v>100</v>
      </c>
      <c r="K44" s="26">
        <f t="shared" si="7"/>
        <v>0</v>
      </c>
      <c r="L44" s="28">
        <f t="shared" si="8"/>
        <v>4</v>
      </c>
      <c r="M44" s="28">
        <f t="shared" si="9"/>
        <v>100</v>
      </c>
      <c r="N44" s="28">
        <f t="shared" si="10"/>
        <v>568863.58633777779</v>
      </c>
      <c r="O44" s="28">
        <f>IF(F44=0,O43,G44-(N44-E44)/(D44/12))</f>
        <v>-20.684143840314718</v>
      </c>
      <c r="P44" s="27">
        <f>E44/D44</f>
        <v>56.898520057030481</v>
      </c>
      <c r="R44" s="9"/>
    </row>
    <row r="45" spans="2:18" x14ac:dyDescent="0.2">
      <c r="B45" s="8"/>
      <c r="C45" s="26">
        <f t="shared" si="11"/>
        <v>4</v>
      </c>
      <c r="D45" s="27">
        <f t="shared" si="5"/>
        <v>8326.2173803199985</v>
      </c>
      <c r="E45" s="28">
        <f>N44</f>
        <v>568863.58633777779</v>
      </c>
      <c r="F45" s="33">
        <f>I9</f>
        <v>100</v>
      </c>
      <c r="G45" s="25">
        <f t="shared" si="6"/>
        <v>100</v>
      </c>
      <c r="H45" s="26">
        <f t="shared" si="7"/>
        <v>100</v>
      </c>
      <c r="I45" s="26">
        <f t="shared" si="7"/>
        <v>100</v>
      </c>
      <c r="J45" s="26">
        <f t="shared" si="7"/>
        <v>100</v>
      </c>
      <c r="K45" s="26">
        <f t="shared" si="7"/>
        <v>100</v>
      </c>
      <c r="L45" s="28">
        <f t="shared" si="8"/>
        <v>5</v>
      </c>
      <c r="M45" s="28">
        <f t="shared" si="9"/>
        <v>100</v>
      </c>
      <c r="N45" s="28">
        <f t="shared" si="10"/>
        <v>634803.12426133337</v>
      </c>
      <c r="O45" s="28">
        <f>IF(F45=0,O44,G45-(N45-E45)/(D45/12))</f>
        <v>4.9659144195612726</v>
      </c>
      <c r="P45" s="27">
        <f>E45/D45</f>
        <v>68.321971473187133</v>
      </c>
      <c r="R45" s="9"/>
    </row>
    <row r="46" spans="2:18" x14ac:dyDescent="0.2"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2"/>
    </row>
  </sheetData>
  <conditionalFormatting sqref="L41:O45">
    <cfRule type="expression" dxfId="2" priority="1">
      <formula>$C41&gt;#REF!</formula>
    </cfRule>
  </conditionalFormatting>
  <dataValidations count="1">
    <dataValidation type="list" allowBlank="1" showInputMessage="1" showErrorMessage="1" sqref="E5" xr:uid="{3DD1FEE4-54D4-45AE-8C26-7B6FB9076AB9}">
      <formula1>$U$7:$U$16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7ED9-7B72-4FC0-B9F2-60A81BD16C4F}">
  <dimension ref="B2:AJ47"/>
  <sheetViews>
    <sheetView showGridLines="0" showRowColHeaders="0" topLeftCell="A4" zoomScale="80" zoomScaleNormal="80" workbookViewId="0">
      <selection activeCell="W15" sqref="W15"/>
    </sheetView>
  </sheetViews>
  <sheetFormatPr defaultColWidth="9.140625" defaultRowHeight="12.75" x14ac:dyDescent="0.2"/>
  <cols>
    <col min="1" max="2" width="2.5703125" style="1" customWidth="1"/>
    <col min="3" max="3" width="9.140625" style="1"/>
    <col min="4" max="4" width="9.140625" style="1" customWidth="1"/>
    <col min="5" max="9" width="10.85546875" style="1" customWidth="1"/>
    <col min="10" max="14" width="9.140625" style="1"/>
    <col min="15" max="17" width="10.85546875" style="1" customWidth="1"/>
    <col min="18" max="20" width="2.5703125" style="1" customWidth="1"/>
    <col min="21" max="21" width="15.85546875" style="1" customWidth="1"/>
    <col min="22" max="27" width="9.140625" style="1"/>
    <col min="28" max="28" width="2.85546875" style="1" customWidth="1"/>
    <col min="29" max="29" width="9.85546875" style="1" bestFit="1" customWidth="1"/>
    <col min="30" max="16384" width="9.140625" style="1"/>
  </cols>
  <sheetData>
    <row r="2" spans="2:36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T2" s="5"/>
      <c r="U2" s="6"/>
      <c r="V2" s="6"/>
      <c r="W2" s="6"/>
      <c r="X2" s="6"/>
      <c r="Y2" s="6"/>
      <c r="Z2" s="6"/>
      <c r="AA2" s="6"/>
      <c r="AB2" s="7"/>
    </row>
    <row r="3" spans="2:36" x14ac:dyDescent="0.2">
      <c r="B3" s="8"/>
      <c r="C3" s="13" t="s">
        <v>32</v>
      </c>
      <c r="R3" s="9"/>
      <c r="T3" s="8"/>
      <c r="U3" s="13" t="s">
        <v>27</v>
      </c>
      <c r="AB3" s="9"/>
    </row>
    <row r="4" spans="2:36" x14ac:dyDescent="0.2">
      <c r="B4" s="8"/>
      <c r="R4" s="9"/>
      <c r="T4" s="8"/>
      <c r="U4" s="1" t="s">
        <v>29</v>
      </c>
      <c r="AB4" s="9"/>
    </row>
    <row r="5" spans="2:36" x14ac:dyDescent="0.2">
      <c r="B5" s="8"/>
      <c r="C5" s="1" t="s">
        <v>4</v>
      </c>
      <c r="E5" s="15" t="s">
        <v>82</v>
      </c>
      <c r="R5" s="9"/>
      <c r="T5" s="8"/>
      <c r="AB5" s="9"/>
    </row>
    <row r="6" spans="2:36" x14ac:dyDescent="0.2">
      <c r="B6" s="8"/>
      <c r="C6" s="1" t="s">
        <v>5</v>
      </c>
      <c r="E6" s="10">
        <f>D37</f>
        <v>872000</v>
      </c>
      <c r="R6" s="9"/>
      <c r="T6" s="8"/>
      <c r="U6" s="3" t="s">
        <v>4</v>
      </c>
      <c r="V6" s="3" t="s">
        <v>13</v>
      </c>
      <c r="W6" s="4" t="s">
        <v>5</v>
      </c>
      <c r="X6" s="4" t="s">
        <v>7</v>
      </c>
      <c r="Y6" s="4" t="s">
        <v>8</v>
      </c>
      <c r="Z6" s="4" t="s">
        <v>9</v>
      </c>
      <c r="AA6" s="4" t="s">
        <v>10</v>
      </c>
      <c r="AB6" s="9"/>
      <c r="AC6" s="1" t="s">
        <v>45</v>
      </c>
      <c r="AG6" s="1" t="s">
        <v>87</v>
      </c>
      <c r="AH6" s="1" t="s">
        <v>88</v>
      </c>
      <c r="AI6" s="1" t="s">
        <v>89</v>
      </c>
      <c r="AJ6" s="1" t="s">
        <v>90</v>
      </c>
    </row>
    <row r="7" spans="2:36" x14ac:dyDescent="0.2">
      <c r="B7" s="8"/>
      <c r="R7" s="9"/>
      <c r="T7" s="8"/>
      <c r="U7" s="16" t="s">
        <v>75</v>
      </c>
      <c r="V7" s="16" t="s">
        <v>76</v>
      </c>
      <c r="W7" s="18">
        <v>1056000</v>
      </c>
      <c r="X7" s="18">
        <v>0</v>
      </c>
      <c r="Y7" s="18">
        <v>0</v>
      </c>
      <c r="Z7" s="18">
        <v>0</v>
      </c>
      <c r="AA7" s="18">
        <v>0</v>
      </c>
      <c r="AB7" s="9"/>
      <c r="AC7" s="32">
        <v>119</v>
      </c>
      <c r="AD7" s="32"/>
      <c r="AE7" s="1" t="s">
        <v>77</v>
      </c>
    </row>
    <row r="8" spans="2:36" x14ac:dyDescent="0.2">
      <c r="B8" s="8"/>
      <c r="E8" s="2" t="str">
        <f>"Round "&amp;$E$27+1</f>
        <v>Round 1</v>
      </c>
      <c r="F8" s="2" t="str">
        <f>"Round "&amp;$E$27+2</f>
        <v>Round 2</v>
      </c>
      <c r="G8" s="2" t="str">
        <f>"Round "&amp;$E$27+3</f>
        <v>Round 3</v>
      </c>
      <c r="H8" s="2" t="str">
        <f>"Round "&amp;$E$27+4</f>
        <v>Round 4</v>
      </c>
      <c r="I8" s="2" t="str">
        <f>"Round "&amp;$E$27+5</f>
        <v>Round 5</v>
      </c>
      <c r="R8" s="9"/>
      <c r="T8" s="8"/>
      <c r="U8" s="16" t="s">
        <v>78</v>
      </c>
      <c r="V8" s="16" t="s">
        <v>79</v>
      </c>
      <c r="W8" s="16">
        <v>237000</v>
      </c>
      <c r="X8" s="18">
        <v>0</v>
      </c>
      <c r="Y8" s="18">
        <v>0</v>
      </c>
      <c r="Z8" s="18">
        <v>0</v>
      </c>
      <c r="AA8" s="18">
        <v>0</v>
      </c>
      <c r="AB8" s="9"/>
      <c r="AC8" s="32">
        <v>27</v>
      </c>
      <c r="AD8" s="32"/>
      <c r="AE8" s="1" t="s">
        <v>70</v>
      </c>
    </row>
    <row r="9" spans="2:36" x14ac:dyDescent="0.2">
      <c r="B9" s="8"/>
      <c r="D9" s="2" t="s">
        <v>37</v>
      </c>
      <c r="E9" s="14">
        <v>77</v>
      </c>
      <c r="F9" s="14">
        <v>75</v>
      </c>
      <c r="G9" s="14">
        <v>100</v>
      </c>
      <c r="H9" s="14">
        <v>100</v>
      </c>
      <c r="I9" s="14">
        <v>100</v>
      </c>
      <c r="R9" s="9"/>
      <c r="T9" s="8"/>
      <c r="U9" s="16" t="s">
        <v>66</v>
      </c>
      <c r="V9" s="16" t="s">
        <v>67</v>
      </c>
      <c r="W9" s="16">
        <v>677000</v>
      </c>
      <c r="X9" s="18">
        <v>0</v>
      </c>
      <c r="Y9" s="18">
        <v>0</v>
      </c>
      <c r="Z9" s="18">
        <v>0</v>
      </c>
      <c r="AA9" s="18">
        <v>0</v>
      </c>
      <c r="AB9" s="9"/>
      <c r="AC9" s="48">
        <v>77</v>
      </c>
      <c r="AD9" s="32"/>
      <c r="AE9" s="1" t="s">
        <v>73</v>
      </c>
      <c r="AG9" s="46">
        <v>118</v>
      </c>
      <c r="AH9" s="46">
        <v>708000</v>
      </c>
      <c r="AI9" s="46">
        <v>53</v>
      </c>
      <c r="AJ9" s="46">
        <v>10</v>
      </c>
    </row>
    <row r="10" spans="2:36" x14ac:dyDescent="0.2">
      <c r="B10" s="8"/>
      <c r="D10" s="2"/>
      <c r="E10" s="2"/>
      <c r="F10" s="2"/>
      <c r="G10" s="2"/>
      <c r="H10" s="2"/>
      <c r="I10" s="2"/>
      <c r="R10" s="9"/>
      <c r="T10" s="8"/>
      <c r="U10" s="16" t="s">
        <v>68</v>
      </c>
      <c r="V10" s="16" t="s">
        <v>76</v>
      </c>
      <c r="W10" s="16">
        <v>358000</v>
      </c>
      <c r="X10" s="18">
        <v>0</v>
      </c>
      <c r="Y10" s="18">
        <v>0</v>
      </c>
      <c r="Z10" s="18">
        <v>0</v>
      </c>
      <c r="AA10" s="18">
        <v>0</v>
      </c>
      <c r="AB10" s="9"/>
      <c r="AC10" s="32">
        <v>40</v>
      </c>
      <c r="AD10" s="32"/>
      <c r="AE10" s="1" t="s">
        <v>72</v>
      </c>
    </row>
    <row r="11" spans="2:36" x14ac:dyDescent="0.2">
      <c r="B11" s="8"/>
      <c r="R11" s="9"/>
      <c r="T11" s="8"/>
      <c r="U11" s="16" t="s">
        <v>80</v>
      </c>
      <c r="V11" s="16" t="s">
        <v>65</v>
      </c>
      <c r="W11" s="16">
        <v>300000</v>
      </c>
      <c r="X11" s="18">
        <v>0</v>
      </c>
      <c r="Y11" s="18">
        <v>0</v>
      </c>
      <c r="Z11" s="18">
        <v>0</v>
      </c>
      <c r="AA11" s="18">
        <v>0</v>
      </c>
      <c r="AB11" s="9"/>
      <c r="AC11" s="32">
        <v>34</v>
      </c>
      <c r="AD11" s="32"/>
      <c r="AE11" s="1" t="s">
        <v>46</v>
      </c>
    </row>
    <row r="12" spans="2:36" x14ac:dyDescent="0.2">
      <c r="B12" s="8"/>
      <c r="C12" s="13" t="s">
        <v>33</v>
      </c>
      <c r="R12" s="9"/>
      <c r="T12" s="8"/>
      <c r="U12" s="16" t="s">
        <v>81</v>
      </c>
      <c r="V12" s="16" t="s">
        <v>79</v>
      </c>
      <c r="W12" s="16">
        <v>200000</v>
      </c>
      <c r="X12" s="18">
        <v>0</v>
      </c>
      <c r="Y12" s="18">
        <v>0</v>
      </c>
      <c r="Z12" s="18">
        <v>0</v>
      </c>
      <c r="AA12" s="18">
        <v>0</v>
      </c>
      <c r="AB12" s="9"/>
      <c r="AC12" s="32">
        <v>23</v>
      </c>
      <c r="AD12" s="32"/>
      <c r="AE12" s="1" t="s">
        <v>47</v>
      </c>
    </row>
    <row r="13" spans="2:36" x14ac:dyDescent="0.2">
      <c r="B13" s="8"/>
      <c r="E13" s="1">
        <v>1</v>
      </c>
      <c r="F13" s="1">
        <v>2</v>
      </c>
      <c r="G13" s="1">
        <v>3</v>
      </c>
      <c r="H13" s="1">
        <v>4</v>
      </c>
      <c r="I13" s="1">
        <v>5</v>
      </c>
      <c r="R13" s="9"/>
      <c r="T13" s="8"/>
      <c r="U13" s="16" t="s">
        <v>82</v>
      </c>
      <c r="V13" s="16" t="s">
        <v>67</v>
      </c>
      <c r="W13" s="16">
        <v>872000</v>
      </c>
      <c r="X13" s="18">
        <v>0</v>
      </c>
      <c r="Y13" s="18">
        <v>0</v>
      </c>
      <c r="Z13" s="18">
        <v>0</v>
      </c>
      <c r="AA13" s="18">
        <v>0</v>
      </c>
      <c r="AB13" s="9"/>
      <c r="AC13" s="48">
        <v>23</v>
      </c>
      <c r="AD13" s="32"/>
      <c r="AE13" s="1" t="s">
        <v>48</v>
      </c>
      <c r="AG13" s="46">
        <v>74</v>
      </c>
      <c r="AH13" s="46">
        <v>238000</v>
      </c>
      <c r="AI13" s="46">
        <v>-10</v>
      </c>
      <c r="AJ13" s="46">
        <v>-62</v>
      </c>
    </row>
    <row r="14" spans="2:36" x14ac:dyDescent="0.2">
      <c r="B14" s="8"/>
      <c r="D14" s="3"/>
      <c r="E14" s="4" t="str">
        <f>E8</f>
        <v>Round 1</v>
      </c>
      <c r="F14" s="4" t="str">
        <f t="shared" ref="F14:I14" si="0">F8</f>
        <v>Round 2</v>
      </c>
      <c r="G14" s="4" t="str">
        <f t="shared" si="0"/>
        <v>Round 3</v>
      </c>
      <c r="H14" s="4" t="str">
        <f t="shared" si="0"/>
        <v>Round 4</v>
      </c>
      <c r="I14" s="4" t="str">
        <f t="shared" si="0"/>
        <v>Round 5</v>
      </c>
      <c r="R14" s="9"/>
      <c r="T14" s="8"/>
      <c r="U14" s="16" t="s">
        <v>83</v>
      </c>
      <c r="V14" s="16" t="s">
        <v>69</v>
      </c>
      <c r="W14" s="16">
        <v>623000</v>
      </c>
      <c r="X14" s="18">
        <v>0</v>
      </c>
      <c r="Y14" s="18">
        <v>0</v>
      </c>
      <c r="Z14" s="18">
        <v>0</v>
      </c>
      <c r="AA14" s="18">
        <v>0</v>
      </c>
      <c r="AB14" s="9"/>
      <c r="AC14" s="32">
        <v>70</v>
      </c>
      <c r="AD14" s="32"/>
      <c r="AE14" s="1" t="s">
        <v>84</v>
      </c>
    </row>
    <row r="15" spans="2:36" x14ac:dyDescent="0.2">
      <c r="B15" s="8"/>
      <c r="D15" s="2" t="s">
        <v>34</v>
      </c>
      <c r="E15" s="1">
        <f ca="1">OFFSET($F$40,E$13,0)</f>
        <v>77</v>
      </c>
      <c r="F15" s="1">
        <f ca="1">OFFSET($F$40,F$13,0)</f>
        <v>75</v>
      </c>
      <c r="G15" s="1">
        <f ca="1">OFFSET($F$40,G$13,0)</f>
        <v>100</v>
      </c>
      <c r="H15" s="1">
        <f ca="1">OFFSET($F$40,H$13,0)</f>
        <v>100</v>
      </c>
      <c r="I15" s="1">
        <f ca="1">OFFSET($F$40,I$13,0)</f>
        <v>100</v>
      </c>
      <c r="R15" s="9"/>
      <c r="T15" s="8"/>
      <c r="U15" s="16" t="s">
        <v>85</v>
      </c>
      <c r="V15" s="16" t="s">
        <v>86</v>
      </c>
      <c r="W15" s="16">
        <v>245000</v>
      </c>
      <c r="X15" s="18">
        <v>0</v>
      </c>
      <c r="Y15" s="18">
        <v>0</v>
      </c>
      <c r="Z15" s="18">
        <v>0</v>
      </c>
      <c r="AA15" s="18">
        <v>0</v>
      </c>
      <c r="AB15" s="9"/>
      <c r="AC15" s="48">
        <v>28</v>
      </c>
      <c r="AD15" s="32"/>
      <c r="AE15" s="1" t="s">
        <v>71</v>
      </c>
      <c r="AG15" s="46">
        <v>91</v>
      </c>
      <c r="AH15" s="46">
        <v>292000</v>
      </c>
      <c r="AI15" s="46">
        <v>-12</v>
      </c>
      <c r="AJ15" s="46">
        <v>-77</v>
      </c>
    </row>
    <row r="16" spans="2:36" x14ac:dyDescent="0.2">
      <c r="B16" s="8"/>
      <c r="D16" s="2" t="s">
        <v>35</v>
      </c>
      <c r="E16" s="31">
        <f ca="1">E18-$E$6</f>
        <v>-16000</v>
      </c>
      <c r="F16" s="31">
        <f ca="1">F18-E18</f>
        <v>-30000</v>
      </c>
      <c r="G16" s="31">
        <f t="shared" ref="G16:I16" ca="1" si="1">G18-F18</f>
        <v>-19000</v>
      </c>
      <c r="H16" s="31">
        <f t="shared" ca="1" si="1"/>
        <v>-11000</v>
      </c>
      <c r="I16" s="31">
        <f t="shared" ca="1" si="1"/>
        <v>-5000</v>
      </c>
      <c r="R16" s="9"/>
      <c r="T16" s="8"/>
      <c r="U16" s="16"/>
      <c r="V16" s="16"/>
      <c r="W16" s="16"/>
      <c r="X16" s="18"/>
      <c r="Y16" s="18"/>
      <c r="Z16" s="18"/>
      <c r="AA16" s="18"/>
      <c r="AB16" s="9"/>
      <c r="AC16" s="32"/>
      <c r="AD16" s="32"/>
    </row>
    <row r="17" spans="2:28" x14ac:dyDescent="0.2">
      <c r="B17" s="8"/>
      <c r="D17" s="2" t="s">
        <v>36</v>
      </c>
      <c r="E17" s="31">
        <f ca="1">E16</f>
        <v>-16000</v>
      </c>
      <c r="F17" s="31">
        <f ca="1">E17+F16</f>
        <v>-46000</v>
      </c>
      <c r="G17" s="31">
        <f t="shared" ref="G17:I17" ca="1" si="2">F17+G16</f>
        <v>-65000</v>
      </c>
      <c r="H17" s="31">
        <f t="shared" ca="1" si="2"/>
        <v>-76000</v>
      </c>
      <c r="I17" s="31">
        <f t="shared" ca="1" si="2"/>
        <v>-81000</v>
      </c>
      <c r="R17" s="9"/>
      <c r="T17" s="11"/>
      <c r="U17" s="3"/>
      <c r="V17" s="3"/>
      <c r="W17" s="3"/>
      <c r="X17" s="3"/>
      <c r="Y17" s="3"/>
      <c r="Z17" s="3"/>
      <c r="AA17" s="3"/>
      <c r="AB17" s="12"/>
    </row>
    <row r="18" spans="2:28" x14ac:dyDescent="0.2">
      <c r="B18" s="8"/>
      <c r="D18" s="2" t="s">
        <v>5</v>
      </c>
      <c r="E18" s="31">
        <f ca="1">ROUND(OFFSET($N$40,E$13,0)/1000,0)*1000</f>
        <v>856000</v>
      </c>
      <c r="F18" s="31">
        <f ca="1">ROUND(OFFSET($N$40,F$13,0)/1000,0)*1000</f>
        <v>826000</v>
      </c>
      <c r="G18" s="31">
        <f ca="1">ROUND(OFFSET($N$40,G$13,0)/1000,0)*1000</f>
        <v>807000</v>
      </c>
      <c r="H18" s="31">
        <f ca="1">ROUND(OFFSET($N$40,H$13,0)/1000,0)*1000</f>
        <v>796000</v>
      </c>
      <c r="I18" s="31">
        <f ca="1">ROUND(OFFSET($N$40,I$13,0)/1000,0)*1000</f>
        <v>791000</v>
      </c>
      <c r="R18" s="9"/>
    </row>
    <row r="19" spans="2:28" x14ac:dyDescent="0.2">
      <c r="B19" s="8"/>
      <c r="D19" s="2" t="s">
        <v>30</v>
      </c>
      <c r="E19" s="1">
        <f ca="1">ROUND(OFFSET($P$40,E$13,0),0)</f>
        <v>99</v>
      </c>
      <c r="F19" s="1">
        <f ca="1">ROUND(OFFSET($P$40,F$13,0),0)</f>
        <v>99</v>
      </c>
      <c r="G19" s="1">
        <f ca="1">ROUND(OFFSET($P$40,G$13,0),0)</f>
        <v>97</v>
      </c>
      <c r="H19" s="1">
        <f ca="1">ROUND(OFFSET($P$40,H$13,0),0)</f>
        <v>97</v>
      </c>
      <c r="I19" s="1">
        <f ca="1">ROUND(OFFSET($P$40,I$13,0),0)</f>
        <v>98</v>
      </c>
      <c r="R19" s="9"/>
    </row>
    <row r="20" spans="2:28" x14ac:dyDescent="0.2">
      <c r="B20" s="8"/>
      <c r="D20" s="2" t="s">
        <v>28</v>
      </c>
      <c r="E20" s="1">
        <f ca="1">ROUND(OFFSET($O$40,E$13,0),0)</f>
        <v>99</v>
      </c>
      <c r="F20" s="1">
        <f ca="1">ROUND(OFFSET($O$40,F$13,0),0)</f>
        <v>116</v>
      </c>
      <c r="G20" s="1">
        <f ca="1">ROUND(OFFSET($O$40,G$13,0),0)</f>
        <v>127</v>
      </c>
      <c r="H20" s="1">
        <f ca="1">ROUND(OFFSET($O$40,H$13,0),0)</f>
        <v>116</v>
      </c>
      <c r="I20" s="1">
        <f ca="1">ROUND(OFFSET($O$40,I$13,0),0)</f>
        <v>107</v>
      </c>
      <c r="R20" s="9"/>
      <c r="U20" s="19"/>
      <c r="V20" s="1" t="s">
        <v>18</v>
      </c>
      <c r="W20" s="2"/>
    </row>
    <row r="21" spans="2:28" x14ac:dyDescent="0.2">
      <c r="B21" s="8"/>
      <c r="R21" s="9"/>
      <c r="U21" s="24"/>
      <c r="V21" s="1" t="s">
        <v>19</v>
      </c>
    </row>
    <row r="22" spans="2:28" x14ac:dyDescent="0.2"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2"/>
      <c r="U22" s="20"/>
      <c r="V22" s="1" t="s">
        <v>21</v>
      </c>
    </row>
    <row r="23" spans="2:28" x14ac:dyDescent="0.2">
      <c r="C23" s="13"/>
      <c r="U23" s="26"/>
      <c r="V23" s="1" t="s">
        <v>23</v>
      </c>
    </row>
    <row r="24" spans="2:28" x14ac:dyDescent="0.2">
      <c r="B24" s="5"/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2:28" x14ac:dyDescent="0.2">
      <c r="B25" s="8"/>
      <c r="C25" s="13" t="s">
        <v>42</v>
      </c>
      <c r="I25" s="13" t="s">
        <v>22</v>
      </c>
      <c r="R25" s="9"/>
    </row>
    <row r="26" spans="2:28" x14ac:dyDescent="0.2">
      <c r="B26" s="8"/>
      <c r="C26" s="13"/>
      <c r="I26" s="3" t="s">
        <v>3</v>
      </c>
      <c r="J26" s="4" t="s">
        <v>7</v>
      </c>
      <c r="K26" s="4" t="s">
        <v>8</v>
      </c>
      <c r="L26" s="4" t="s">
        <v>9</v>
      </c>
      <c r="M26" s="4" t="s">
        <v>10</v>
      </c>
      <c r="N26" s="4" t="s">
        <v>11</v>
      </c>
      <c r="R26" s="9"/>
    </row>
    <row r="27" spans="2:28" x14ac:dyDescent="0.2">
      <c r="B27" s="8"/>
      <c r="C27" s="1" t="s">
        <v>20</v>
      </c>
      <c r="E27" s="20">
        <v>0</v>
      </c>
      <c r="I27" s="1" t="s">
        <v>0</v>
      </c>
      <c r="J27" s="1">
        <v>5</v>
      </c>
      <c r="K27" s="1">
        <v>4</v>
      </c>
      <c r="L27" s="1">
        <v>3</v>
      </c>
      <c r="M27" s="1">
        <v>2</v>
      </c>
      <c r="N27" s="1">
        <v>1</v>
      </c>
      <c r="R27" s="9"/>
    </row>
    <row r="28" spans="2:28" x14ac:dyDescent="0.2">
      <c r="B28" s="8"/>
      <c r="C28" s="1" t="s">
        <v>38</v>
      </c>
      <c r="E28" s="38">
        <v>9027</v>
      </c>
      <c r="I28" s="20" t="s">
        <v>2</v>
      </c>
      <c r="J28" s="29">
        <f>0.25*J27/15</f>
        <v>8.3333333333333329E-2</v>
      </c>
      <c r="K28" s="29">
        <f>0.25*K27/15</f>
        <v>6.6666666666666666E-2</v>
      </c>
      <c r="L28" s="29">
        <f>0.25*L27/15</f>
        <v>0.05</v>
      </c>
      <c r="M28" s="29">
        <f>0.25*M27/15</f>
        <v>3.3333333333333333E-2</v>
      </c>
      <c r="N28" s="29">
        <f>0.25*N27/15</f>
        <v>1.6666666666666666E-2</v>
      </c>
      <c r="R28" s="9"/>
    </row>
    <row r="29" spans="2:28" x14ac:dyDescent="0.2">
      <c r="B29" s="8"/>
      <c r="C29" s="1" t="s">
        <v>16</v>
      </c>
      <c r="E29" s="21">
        <v>0.02</v>
      </c>
      <c r="I29" s="20" t="s">
        <v>41</v>
      </c>
      <c r="J29" s="29">
        <f>J28</f>
        <v>8.3333333333333329E-2</v>
      </c>
      <c r="K29" s="29">
        <f>J29+K28</f>
        <v>0.15</v>
      </c>
      <c r="L29" s="29">
        <f>K29+L28</f>
        <v>0.2</v>
      </c>
      <c r="M29" s="29">
        <f>L29+M28</f>
        <v>0.23333333333333334</v>
      </c>
      <c r="N29" s="29">
        <f>M29+N28</f>
        <v>0.25</v>
      </c>
      <c r="R29" s="9"/>
    </row>
    <row r="30" spans="2:28" x14ac:dyDescent="0.2">
      <c r="B30" s="11"/>
      <c r="C30" s="2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2"/>
    </row>
    <row r="31" spans="2:28" x14ac:dyDescent="0.2">
      <c r="C31" s="13"/>
    </row>
    <row r="32" spans="2:28" x14ac:dyDescent="0.2">
      <c r="B32" s="5"/>
      <c r="C32" s="22"/>
      <c r="D32" s="6"/>
      <c r="E32" s="30"/>
      <c r="F32" s="30"/>
      <c r="G32" s="30"/>
      <c r="H32" s="30"/>
      <c r="I32" s="30"/>
      <c r="J32" s="30"/>
      <c r="K32" s="6"/>
      <c r="L32" s="6"/>
      <c r="M32" s="6"/>
      <c r="N32" s="6"/>
      <c r="O32" s="6"/>
      <c r="P32" s="6"/>
      <c r="Q32" s="6"/>
      <c r="R32" s="7"/>
    </row>
    <row r="33" spans="2:33" x14ac:dyDescent="0.2">
      <c r="B33" s="8"/>
      <c r="C33" s="13" t="s">
        <v>17</v>
      </c>
      <c r="E33" s="2"/>
      <c r="F33" s="2"/>
      <c r="G33" s="2"/>
      <c r="H33" s="2"/>
      <c r="I33" s="2"/>
      <c r="J33" s="2"/>
      <c r="R33" s="9"/>
    </row>
    <row r="34" spans="2:33" x14ac:dyDescent="0.2">
      <c r="B34" s="8"/>
      <c r="R34" s="9"/>
    </row>
    <row r="35" spans="2:33" x14ac:dyDescent="0.2">
      <c r="B35" s="8"/>
      <c r="C35" s="2" t="s">
        <v>4</v>
      </c>
      <c r="D35" s="14" t="str">
        <f>E5</f>
        <v>Blake Howes</v>
      </c>
      <c r="F35" s="3" t="s">
        <v>3</v>
      </c>
      <c r="G35" s="4" t="s">
        <v>7</v>
      </c>
      <c r="H35" s="4" t="s">
        <v>8</v>
      </c>
      <c r="I35" s="4" t="s">
        <v>9</v>
      </c>
      <c r="J35" s="4" t="s">
        <v>10</v>
      </c>
      <c r="K35" s="4" t="s">
        <v>11</v>
      </c>
      <c r="R35" s="9"/>
      <c r="U35" s="1" t="s">
        <v>93</v>
      </c>
      <c r="V35" s="1">
        <f>3/20</f>
        <v>0.15</v>
      </c>
      <c r="AA35" s="1" t="s">
        <v>7</v>
      </c>
      <c r="AC35" s="1">
        <f>IF(V37=1,G41,G42)</f>
        <v>75</v>
      </c>
    </row>
    <row r="36" spans="2:33" x14ac:dyDescent="0.2">
      <c r="B36" s="8"/>
      <c r="C36" s="2" t="s">
        <v>13</v>
      </c>
      <c r="D36" s="18" t="str">
        <f>INDEX($V$7:$V$16,MATCH(E5,$U$7:$U$16,0),0)</f>
        <v>ME</v>
      </c>
      <c r="F36" s="1" t="s">
        <v>24</v>
      </c>
      <c r="G36" s="29">
        <f t="shared" ref="G36:K37" si="3">J28</f>
        <v>8.3333333333333329E-2</v>
      </c>
      <c r="H36" s="29">
        <f t="shared" si="3"/>
        <v>6.6666666666666666E-2</v>
      </c>
      <c r="I36" s="29">
        <f t="shared" si="3"/>
        <v>0.05</v>
      </c>
      <c r="J36" s="29">
        <f t="shared" si="3"/>
        <v>3.3333333333333333E-2</v>
      </c>
      <c r="K36" s="29">
        <f t="shared" si="3"/>
        <v>1.6666666666666666E-2</v>
      </c>
      <c r="R36" s="9"/>
      <c r="U36" s="1" t="s">
        <v>92</v>
      </c>
      <c r="V36" s="1">
        <f>1/15</f>
        <v>6.6666666666666666E-2</v>
      </c>
      <c r="AA36" s="1" t="s">
        <v>8</v>
      </c>
      <c r="AC36" s="1">
        <f>IF(V37=2,H42,H41)</f>
        <v>77</v>
      </c>
    </row>
    <row r="37" spans="2:33" x14ac:dyDescent="0.2">
      <c r="B37" s="8"/>
      <c r="C37" s="2" t="s">
        <v>14</v>
      </c>
      <c r="D37" s="17">
        <f>INDEX($W$7:$W$16,MATCH(E5,$U$7:$U$16,0),0)</f>
        <v>872000</v>
      </c>
      <c r="F37" s="1" t="s">
        <v>25</v>
      </c>
      <c r="G37" s="29">
        <f t="shared" si="3"/>
        <v>8.3333333333333329E-2</v>
      </c>
      <c r="H37" s="29">
        <f t="shared" si="3"/>
        <v>0.15</v>
      </c>
      <c r="I37" s="29">
        <f t="shared" si="3"/>
        <v>0.2</v>
      </c>
      <c r="J37" s="29">
        <f t="shared" si="3"/>
        <v>0.23333333333333334</v>
      </c>
      <c r="K37" s="29">
        <f t="shared" si="3"/>
        <v>0.25</v>
      </c>
      <c r="R37" s="9"/>
      <c r="U37" s="1" t="s">
        <v>91</v>
      </c>
      <c r="V37" s="1">
        <v>2</v>
      </c>
      <c r="AC37" s="1">
        <f>IF(V37=1,E41,E42)</f>
        <v>856098.11833333329</v>
      </c>
    </row>
    <row r="38" spans="2:33" x14ac:dyDescent="0.2">
      <c r="B38" s="8"/>
      <c r="F38" s="2"/>
      <c r="G38" s="2"/>
      <c r="H38" s="2"/>
      <c r="I38" s="2"/>
      <c r="J38" s="2"/>
      <c r="K38" s="2"/>
      <c r="R38" s="9"/>
    </row>
    <row r="39" spans="2:33" x14ac:dyDescent="0.2">
      <c r="B39" s="8"/>
      <c r="E39" s="2" t="s">
        <v>15</v>
      </c>
      <c r="F39" s="2"/>
      <c r="G39" s="2"/>
      <c r="H39" s="2"/>
      <c r="I39" s="2"/>
      <c r="J39" s="2"/>
      <c r="K39" s="2"/>
      <c r="L39" s="2" t="s">
        <v>40</v>
      </c>
      <c r="M39" s="2" t="s">
        <v>31</v>
      </c>
      <c r="N39" s="2" t="s">
        <v>26</v>
      </c>
      <c r="R39" s="9"/>
    </row>
    <row r="40" spans="2:33" x14ac:dyDescent="0.2">
      <c r="B40" s="8"/>
      <c r="C40" s="4" t="s">
        <v>1</v>
      </c>
      <c r="D40" s="4" t="s">
        <v>12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39</v>
      </c>
      <c r="M40" s="4" t="s">
        <v>6</v>
      </c>
      <c r="N40" s="4" t="s">
        <v>5</v>
      </c>
      <c r="O40" s="4" t="s">
        <v>28</v>
      </c>
      <c r="P40" s="4" t="s">
        <v>30</v>
      </c>
      <c r="R40" s="9"/>
    </row>
    <row r="41" spans="2:33" x14ac:dyDescent="0.2">
      <c r="B41" s="8"/>
      <c r="C41" s="20">
        <f>E27+1</f>
        <v>1</v>
      </c>
      <c r="D41" s="27">
        <f>$E$28*(1-$E$29)^(C41)</f>
        <v>8846.4599999999991</v>
      </c>
      <c r="E41" s="17">
        <f>D37</f>
        <v>872000</v>
      </c>
      <c r="F41" s="33">
        <f>E9</f>
        <v>77</v>
      </c>
      <c r="G41" s="25">
        <f>F41</f>
        <v>77</v>
      </c>
      <c r="H41" s="16">
        <f>INDEX(X$7:X$16,MATCH($E5,$U$7:$U$16,0),0)</f>
        <v>0</v>
      </c>
      <c r="I41" s="16">
        <f t="shared" ref="I41:K41" si="4">INDEX(Y$7:Y$16,MATCH($E5,$U$7:$U$16,0),0)</f>
        <v>0</v>
      </c>
      <c r="J41" s="16">
        <f t="shared" si="4"/>
        <v>0</v>
      </c>
      <c r="K41" s="16">
        <f t="shared" si="4"/>
        <v>0</v>
      </c>
      <c r="L41" s="28">
        <f>COUNTIF(G41:K41,"&lt;&gt;0")</f>
        <v>1</v>
      </c>
      <c r="M41" s="28">
        <f>SUMPRODUCT(G41:K41,$G$36:$K$36)/INDEX($G$37:$K$37,0,L41)</f>
        <v>77</v>
      </c>
      <c r="N41" s="28">
        <f>IF(F41,E41*(1-INDEX($G$37:$K$37,0,L41))+SUMPRODUCT(G41:K41,$G$36:$K$36)*D41,E41)</f>
        <v>856098.11833333329</v>
      </c>
      <c r="O41" s="28">
        <f>IF(F41=0,O40,G41-(N41-E41)/(D41/12))</f>
        <v>98.570501646986543</v>
      </c>
      <c r="P41" s="27">
        <f>E41/D41</f>
        <v>98.570501646986486</v>
      </c>
      <c r="R41" s="9"/>
      <c r="U41" s="1" t="s">
        <v>95</v>
      </c>
      <c r="AC41" s="1">
        <f>E41 * (1 - 0.083333) + (G41*0.083333)*8846</f>
        <v>856095.23028599995</v>
      </c>
      <c r="AD41" s="1">
        <v>1</v>
      </c>
    </row>
    <row r="42" spans="2:33" x14ac:dyDescent="0.2">
      <c r="B42" s="8"/>
      <c r="C42" s="26">
        <f>C41+1</f>
        <v>2</v>
      </c>
      <c r="D42" s="27">
        <f t="shared" ref="D42:D45" si="5">$E$28*(1-$E$29)^(C42)</f>
        <v>8669.5307999999986</v>
      </c>
      <c r="E42" s="28">
        <f>N41</f>
        <v>856098.11833333329</v>
      </c>
      <c r="F42" s="33">
        <f>F9</f>
        <v>75</v>
      </c>
      <c r="G42" s="25">
        <f t="shared" ref="G42:G45" si="6">F42</f>
        <v>75</v>
      </c>
      <c r="H42" s="26">
        <f t="shared" ref="H42:K45" si="7">G41</f>
        <v>77</v>
      </c>
      <c r="I42" s="26">
        <f t="shared" si="7"/>
        <v>0</v>
      </c>
      <c r="J42" s="26">
        <f t="shared" si="7"/>
        <v>0</v>
      </c>
      <c r="K42" s="26">
        <f t="shared" si="7"/>
        <v>0</v>
      </c>
      <c r="L42" s="28">
        <f t="shared" ref="L42:L45" si="8">COUNTIF(G42:K42,"&lt;&gt;0")</f>
        <v>2</v>
      </c>
      <c r="M42" s="28">
        <f t="shared" ref="M42:M45" si="9">SUMPRODUCT(G42:K42,$G$36:$K$36)/INDEX($G$37:$K$37,0,L42)</f>
        <v>75.888888888888886</v>
      </c>
      <c r="N42" s="28">
        <f>IF(F42,E42*(1-INDEX($G$37:$K$37,0,L42))+SUMPRODUCT(G42:K42,$G$36:$K$36)*D42,E42)</f>
        <v>826371.55952333321</v>
      </c>
      <c r="O42" s="28">
        <f>IF(F42=0,O41,G42-(N42-E42)/(D42/12))</f>
        <v>116.14625277298754</v>
      </c>
      <c r="P42" s="27">
        <f>E42/D42</f>
        <v>98.74791820721525</v>
      </c>
      <c r="R42" s="9"/>
      <c r="U42" s="1" t="s">
        <v>94</v>
      </c>
      <c r="AC42" s="1">
        <f>AC41 * (1 - 0.15) + (G42*0.083 + H42* 0.067)*9038</f>
        <v>830569.53774309997</v>
      </c>
      <c r="AD42" s="1">
        <v>2</v>
      </c>
    </row>
    <row r="43" spans="2:33" x14ac:dyDescent="0.2">
      <c r="B43" s="8"/>
      <c r="C43" s="26">
        <f t="shared" ref="C43:C45" si="10">C42+1</f>
        <v>3</v>
      </c>
      <c r="D43" s="27">
        <f t="shared" si="5"/>
        <v>8496.1401839999999</v>
      </c>
      <c r="E43" s="28">
        <f>N42</f>
        <v>826371.55952333321</v>
      </c>
      <c r="F43" s="33">
        <f>G9</f>
        <v>100</v>
      </c>
      <c r="G43" s="25">
        <f t="shared" si="6"/>
        <v>100</v>
      </c>
      <c r="H43" s="26">
        <f t="shared" si="7"/>
        <v>75</v>
      </c>
      <c r="I43" s="26">
        <f t="shared" si="7"/>
        <v>77</v>
      </c>
      <c r="J43" s="26">
        <f t="shared" si="7"/>
        <v>0</v>
      </c>
      <c r="K43" s="26">
        <f t="shared" si="7"/>
        <v>0</v>
      </c>
      <c r="L43" s="28">
        <f t="shared" si="8"/>
        <v>3</v>
      </c>
      <c r="M43" s="28">
        <f t="shared" si="9"/>
        <v>85.916666666666657</v>
      </c>
      <c r="N43" s="28">
        <f t="shared" ref="N43:N45" si="11">IF(F43,E43*(1-INDEX($G$37:$K$37,0,L43))+SUMPRODUCT(G43:K43,$G$36:$K$36)*D43,E43)</f>
        <v>807089.25644706655</v>
      </c>
      <c r="O43" s="28">
        <f>IF(F43=0,O42,G43-(N43-E43)/(D43/12))</f>
        <v>127.23444198236642</v>
      </c>
      <c r="P43" s="27">
        <f>E43/D43</f>
        <v>97.264350825986</v>
      </c>
      <c r="R43" s="9"/>
    </row>
    <row r="44" spans="2:33" x14ac:dyDescent="0.2">
      <c r="B44" s="8"/>
      <c r="C44" s="26">
        <f t="shared" si="10"/>
        <v>4</v>
      </c>
      <c r="D44" s="27">
        <f t="shared" si="5"/>
        <v>8326.2173803199985</v>
      </c>
      <c r="E44" s="28">
        <f>N43</f>
        <v>807089.25644706655</v>
      </c>
      <c r="F44" s="33">
        <f>H9</f>
        <v>100</v>
      </c>
      <c r="G44" s="25">
        <f t="shared" si="6"/>
        <v>100</v>
      </c>
      <c r="H44" s="26">
        <f t="shared" si="7"/>
        <v>100</v>
      </c>
      <c r="I44" s="26">
        <f t="shared" si="7"/>
        <v>75</v>
      </c>
      <c r="J44" s="26">
        <f t="shared" si="7"/>
        <v>77</v>
      </c>
      <c r="K44" s="26">
        <f t="shared" si="7"/>
        <v>0</v>
      </c>
      <c r="L44" s="28">
        <f t="shared" si="8"/>
        <v>4</v>
      </c>
      <c r="M44" s="28">
        <f t="shared" si="9"/>
        <v>91.357142857142861</v>
      </c>
      <c r="N44" s="28">
        <f t="shared" si="11"/>
        <v>796255.63043323893</v>
      </c>
      <c r="O44" s="28">
        <f>IF(F44=0,O43,G44-(N44-E44)/(D44/12))</f>
        <v>115.61375426892052</v>
      </c>
      <c r="P44" s="27">
        <f>E44/D44</f>
        <v>96.933483667471577</v>
      </c>
      <c r="R44" s="9"/>
      <c r="U44" s="1" t="s">
        <v>96</v>
      </c>
      <c r="AC44" s="1">
        <f>AC37 * (1 -V35 + (2-V37)*V36) + (AC36 * (V35-V36) + AC35*ABS((2-V37)*V35-V36))*9038</f>
        <v>830867.23391666659</v>
      </c>
      <c r="AE44" s="1">
        <f>AC37</f>
        <v>856098.11833333329</v>
      </c>
      <c r="AF44" s="1">
        <f>AC35 * (V35-V36)</f>
        <v>6.25</v>
      </c>
      <c r="AG44" s="1">
        <f>AC36*ABS((2-V37)*V35-V36)</f>
        <v>5.1333333333333329</v>
      </c>
    </row>
    <row r="45" spans="2:33" x14ac:dyDescent="0.2">
      <c r="B45" s="8"/>
      <c r="C45" s="26">
        <f t="shared" si="10"/>
        <v>5</v>
      </c>
      <c r="D45" s="27">
        <f t="shared" si="5"/>
        <v>8159.6930327135988</v>
      </c>
      <c r="E45" s="28">
        <f>N44</f>
        <v>796255.63043323893</v>
      </c>
      <c r="F45" s="33">
        <f>I9</f>
        <v>100</v>
      </c>
      <c r="G45" s="25">
        <f t="shared" si="6"/>
        <v>100</v>
      </c>
      <c r="H45" s="26">
        <f t="shared" si="7"/>
        <v>100</v>
      </c>
      <c r="I45" s="26">
        <f t="shared" si="7"/>
        <v>100</v>
      </c>
      <c r="J45" s="26">
        <f t="shared" si="7"/>
        <v>75</v>
      </c>
      <c r="K45" s="26">
        <f t="shared" si="7"/>
        <v>77</v>
      </c>
      <c r="L45" s="28">
        <f t="shared" si="8"/>
        <v>5</v>
      </c>
      <c r="M45" s="28">
        <f t="shared" si="9"/>
        <v>95.133333333333326</v>
      </c>
      <c r="N45" s="28">
        <f t="shared" si="11"/>
        <v>791256.42211963423</v>
      </c>
      <c r="O45" s="28">
        <f>IF(F45=0,O44,G45-(N45-E45)/(D45/12))</f>
        <v>107.35205350529048</v>
      </c>
      <c r="P45" s="27">
        <f>E45/D45</f>
        <v>97.584017835096802</v>
      </c>
      <c r="R45" s="9"/>
      <c r="U45" s="1" t="s">
        <v>94</v>
      </c>
      <c r="AC45" s="1">
        <f>AC37 * (1 -V35 + (2-V37)*V36) + (G42 * (V35-V36)*(V37-1) +H42*ABS((2-V37)*V35-V36))*9038</f>
        <v>830565.96724999987</v>
      </c>
    </row>
    <row r="46" spans="2:33" x14ac:dyDescent="0.2"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2"/>
      <c r="V46" s="1">
        <f>G41*(V35-V36)</f>
        <v>6.4166666666666661</v>
      </c>
      <c r="W46" s="1">
        <f>H41*(V35-V36)</f>
        <v>0</v>
      </c>
    </row>
    <row r="47" spans="2:33" x14ac:dyDescent="0.2">
      <c r="V47" s="1">
        <f>G42*(V35-V36)</f>
        <v>6.25</v>
      </c>
      <c r="W47" s="1">
        <f>H42*V36</f>
        <v>5.1333333333333329</v>
      </c>
      <c r="AC47" s="1">
        <v>833000</v>
      </c>
    </row>
  </sheetData>
  <conditionalFormatting sqref="L41:O45">
    <cfRule type="expression" dxfId="1" priority="1">
      <formula>$C41&gt;#REF!</formula>
    </cfRule>
  </conditionalFormatting>
  <dataValidations disablePrompts="1" count="1">
    <dataValidation type="list" allowBlank="1" showInputMessage="1" showErrorMessage="1" sqref="E5" xr:uid="{90617F11-A10B-4E8F-AC16-F3C0C4A3B63D}">
      <formula1>$U$7:$U$16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D001-C2A5-43AD-A849-9FE6B267D2A7}">
  <dimension ref="B2:AJ47"/>
  <sheetViews>
    <sheetView showGridLines="0" showRowColHeaders="0" tabSelected="1" zoomScale="80" zoomScaleNormal="80" workbookViewId="0">
      <selection activeCell="V12" sqref="V12"/>
    </sheetView>
  </sheetViews>
  <sheetFormatPr defaultColWidth="9.140625" defaultRowHeight="12.75" x14ac:dyDescent="0.2"/>
  <cols>
    <col min="1" max="2" width="2.5703125" style="1" customWidth="1"/>
    <col min="3" max="3" width="9.140625" style="1"/>
    <col min="4" max="4" width="9.140625" style="1" customWidth="1"/>
    <col min="5" max="9" width="10.85546875" style="1" customWidth="1"/>
    <col min="10" max="14" width="9.140625" style="1"/>
    <col min="15" max="17" width="10.85546875" style="1" customWidth="1"/>
    <col min="18" max="20" width="2.5703125" style="1" customWidth="1"/>
    <col min="21" max="21" width="15.85546875" style="1" customWidth="1"/>
    <col min="22" max="27" width="9.140625" style="1"/>
    <col min="28" max="28" width="2.85546875" style="1" customWidth="1"/>
    <col min="29" max="29" width="9.85546875" style="1" bestFit="1" customWidth="1"/>
    <col min="30" max="16384" width="9.140625" style="1"/>
  </cols>
  <sheetData>
    <row r="2" spans="2:36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T2" s="5"/>
      <c r="U2" s="6"/>
      <c r="V2" s="6"/>
      <c r="W2" s="6"/>
      <c r="X2" s="6"/>
      <c r="Y2" s="6"/>
      <c r="Z2" s="6"/>
      <c r="AA2" s="6"/>
      <c r="AB2" s="7"/>
    </row>
    <row r="3" spans="2:36" x14ac:dyDescent="0.2">
      <c r="B3" s="8"/>
      <c r="C3" s="13" t="s">
        <v>32</v>
      </c>
      <c r="R3" s="9"/>
      <c r="T3" s="8"/>
      <c r="U3" s="13" t="s">
        <v>27</v>
      </c>
      <c r="AB3" s="9"/>
    </row>
    <row r="4" spans="2:36" x14ac:dyDescent="0.2">
      <c r="B4" s="8"/>
      <c r="R4" s="9"/>
      <c r="T4" s="8"/>
      <c r="U4" s="1" t="s">
        <v>29</v>
      </c>
      <c r="AB4" s="9"/>
    </row>
    <row r="5" spans="2:36" x14ac:dyDescent="0.2">
      <c r="B5" s="8"/>
      <c r="C5" s="1" t="s">
        <v>4</v>
      </c>
      <c r="E5" s="15" t="s">
        <v>98</v>
      </c>
      <c r="R5" s="9"/>
      <c r="T5" s="8"/>
      <c r="AB5" s="9"/>
    </row>
    <row r="6" spans="2:36" x14ac:dyDescent="0.2">
      <c r="B6" s="8"/>
      <c r="C6" s="1" t="s">
        <v>5</v>
      </c>
      <c r="E6" s="10">
        <f>D37</f>
        <v>280000</v>
      </c>
      <c r="R6" s="9"/>
      <c r="T6" s="8"/>
      <c r="U6" s="3" t="s">
        <v>4</v>
      </c>
      <c r="V6" s="3" t="s">
        <v>13</v>
      </c>
      <c r="W6" s="4" t="s">
        <v>5</v>
      </c>
      <c r="X6" s="4" t="s">
        <v>7</v>
      </c>
      <c r="Y6" s="4" t="s">
        <v>8</v>
      </c>
      <c r="Z6" s="4" t="s">
        <v>9</v>
      </c>
      <c r="AA6" s="4" t="s">
        <v>10</v>
      </c>
      <c r="AB6" s="9"/>
      <c r="AC6" s="1" t="s">
        <v>45</v>
      </c>
      <c r="AG6" s="1" t="s">
        <v>87</v>
      </c>
      <c r="AH6" s="1" t="s">
        <v>88</v>
      </c>
      <c r="AI6" s="1" t="s">
        <v>89</v>
      </c>
      <c r="AJ6" s="1" t="s">
        <v>90</v>
      </c>
    </row>
    <row r="7" spans="2:36" x14ac:dyDescent="0.2">
      <c r="B7" s="8"/>
      <c r="R7" s="9"/>
      <c r="T7" s="8"/>
      <c r="U7" s="16" t="s">
        <v>75</v>
      </c>
      <c r="V7" s="16" t="s">
        <v>76</v>
      </c>
      <c r="W7" s="18">
        <v>1056000</v>
      </c>
      <c r="X7" s="18">
        <v>0</v>
      </c>
      <c r="Y7" s="18">
        <v>0</v>
      </c>
      <c r="Z7" s="18">
        <v>0</v>
      </c>
      <c r="AA7" s="18">
        <v>0</v>
      </c>
      <c r="AB7" s="9"/>
      <c r="AC7" s="32">
        <v>119</v>
      </c>
      <c r="AD7" s="32"/>
      <c r="AE7" s="1" t="s">
        <v>77</v>
      </c>
    </row>
    <row r="8" spans="2:36" x14ac:dyDescent="0.2">
      <c r="B8" s="8"/>
      <c r="E8" s="2" t="str">
        <f>"Round "&amp;$E$27+1</f>
        <v>Round 2</v>
      </c>
      <c r="F8" s="2" t="str">
        <f>"Round "&amp;$E$27+2</f>
        <v>Round 3</v>
      </c>
      <c r="G8" s="2" t="str">
        <f>"Round "&amp;$E$27+3</f>
        <v>Round 4</v>
      </c>
      <c r="H8" s="2" t="str">
        <f>"Round "&amp;$E$27+4</f>
        <v>Round 5</v>
      </c>
      <c r="I8" s="2" t="str">
        <f>"Round "&amp;$E$27+5</f>
        <v>Round 6</v>
      </c>
      <c r="R8" s="9"/>
      <c r="T8" s="8"/>
      <c r="U8" s="16" t="s">
        <v>78</v>
      </c>
      <c r="V8" s="16" t="s">
        <v>79</v>
      </c>
      <c r="W8" s="16">
        <v>237000</v>
      </c>
      <c r="X8" s="18">
        <v>0</v>
      </c>
      <c r="Y8" s="18">
        <v>0</v>
      </c>
      <c r="Z8" s="18">
        <v>0</v>
      </c>
      <c r="AA8" s="18">
        <v>0</v>
      </c>
      <c r="AB8" s="9"/>
      <c r="AC8" s="32">
        <v>27</v>
      </c>
      <c r="AD8" s="32"/>
      <c r="AE8" s="1" t="s">
        <v>70</v>
      </c>
    </row>
    <row r="9" spans="2:36" x14ac:dyDescent="0.2">
      <c r="B9" s="8"/>
      <c r="D9" s="2" t="s">
        <v>37</v>
      </c>
      <c r="E9" s="14">
        <v>55</v>
      </c>
      <c r="F9" s="14">
        <v>100</v>
      </c>
      <c r="G9" s="14">
        <v>100</v>
      </c>
      <c r="H9" s="14">
        <v>100</v>
      </c>
      <c r="I9" s="14">
        <v>100</v>
      </c>
      <c r="R9" s="9"/>
      <c r="T9" s="8"/>
      <c r="U9" s="16" t="s">
        <v>66</v>
      </c>
      <c r="V9" s="16" t="s">
        <v>67</v>
      </c>
      <c r="W9" s="16">
        <v>677000</v>
      </c>
      <c r="X9" s="18">
        <v>0</v>
      </c>
      <c r="Y9" s="18">
        <v>0</v>
      </c>
      <c r="Z9" s="18">
        <v>0</v>
      </c>
      <c r="AA9" s="18">
        <v>0</v>
      </c>
      <c r="AB9" s="9"/>
      <c r="AC9" s="48">
        <v>77</v>
      </c>
      <c r="AD9" s="32"/>
      <c r="AE9" s="1" t="s">
        <v>73</v>
      </c>
      <c r="AG9" s="46">
        <v>118</v>
      </c>
      <c r="AH9" s="46">
        <v>708000</v>
      </c>
      <c r="AI9" s="46">
        <v>53</v>
      </c>
      <c r="AJ9" s="46">
        <v>10</v>
      </c>
    </row>
    <row r="10" spans="2:36" x14ac:dyDescent="0.2">
      <c r="B10" s="8"/>
      <c r="D10" s="2"/>
      <c r="E10" s="2"/>
      <c r="F10" s="2"/>
      <c r="G10" s="2"/>
      <c r="H10" s="2"/>
      <c r="I10" s="2"/>
      <c r="R10" s="9"/>
      <c r="T10" s="8"/>
      <c r="U10" s="16" t="s">
        <v>68</v>
      </c>
      <c r="V10" s="16" t="s">
        <v>76</v>
      </c>
      <c r="W10" s="16">
        <v>358000</v>
      </c>
      <c r="X10" s="18">
        <v>0</v>
      </c>
      <c r="Y10" s="18">
        <v>0</v>
      </c>
      <c r="Z10" s="18">
        <v>0</v>
      </c>
      <c r="AA10" s="18">
        <v>0</v>
      </c>
      <c r="AB10" s="9"/>
      <c r="AC10" s="32">
        <v>40</v>
      </c>
      <c r="AD10" s="32"/>
      <c r="AE10" s="1" t="s">
        <v>72</v>
      </c>
    </row>
    <row r="11" spans="2:36" x14ac:dyDescent="0.2">
      <c r="B11" s="8"/>
      <c r="R11" s="9"/>
      <c r="T11" s="8"/>
      <c r="U11" s="16" t="s">
        <v>80</v>
      </c>
      <c r="V11" s="16" t="s">
        <v>65</v>
      </c>
      <c r="W11" s="16">
        <v>300000</v>
      </c>
      <c r="X11" s="18">
        <v>0</v>
      </c>
      <c r="Y11" s="18">
        <v>0</v>
      </c>
      <c r="Z11" s="18">
        <v>0</v>
      </c>
      <c r="AA11" s="18">
        <v>0</v>
      </c>
      <c r="AB11" s="9"/>
      <c r="AC11" s="32">
        <v>34</v>
      </c>
      <c r="AD11" s="32"/>
      <c r="AE11" s="1" t="s">
        <v>46</v>
      </c>
    </row>
    <row r="12" spans="2:36" x14ac:dyDescent="0.2">
      <c r="B12" s="8"/>
      <c r="C12" s="13" t="s">
        <v>33</v>
      </c>
      <c r="R12" s="9"/>
      <c r="T12" s="8"/>
      <c r="U12" s="16" t="s">
        <v>81</v>
      </c>
      <c r="V12" s="16" t="s">
        <v>79</v>
      </c>
      <c r="W12" s="16">
        <v>200000</v>
      </c>
      <c r="X12" s="18">
        <v>0</v>
      </c>
      <c r="Y12" s="18">
        <v>0</v>
      </c>
      <c r="Z12" s="18">
        <v>0</v>
      </c>
      <c r="AA12" s="18">
        <v>0</v>
      </c>
      <c r="AB12" s="9"/>
      <c r="AC12" s="32">
        <v>23</v>
      </c>
      <c r="AD12" s="32"/>
      <c r="AE12" s="1" t="s">
        <v>47</v>
      </c>
    </row>
    <row r="13" spans="2:36" x14ac:dyDescent="0.2">
      <c r="B13" s="8"/>
      <c r="E13" s="1">
        <v>1</v>
      </c>
      <c r="F13" s="1">
        <v>2</v>
      </c>
      <c r="G13" s="1">
        <v>3</v>
      </c>
      <c r="H13" s="1">
        <v>4</v>
      </c>
      <c r="I13" s="1">
        <v>5</v>
      </c>
      <c r="R13" s="9"/>
      <c r="T13" s="8"/>
      <c r="U13" s="16" t="s">
        <v>82</v>
      </c>
      <c r="V13" s="16" t="s">
        <v>67</v>
      </c>
      <c r="W13" s="16">
        <v>872000</v>
      </c>
      <c r="X13" s="18">
        <v>0</v>
      </c>
      <c r="Y13" s="18">
        <v>0</v>
      </c>
      <c r="Z13" s="18">
        <v>0</v>
      </c>
      <c r="AA13" s="18">
        <v>0</v>
      </c>
      <c r="AB13" s="9"/>
      <c r="AC13" s="48">
        <v>23</v>
      </c>
      <c r="AD13" s="32"/>
      <c r="AE13" s="1" t="s">
        <v>48</v>
      </c>
      <c r="AG13" s="46">
        <v>74</v>
      </c>
      <c r="AH13" s="46">
        <v>238000</v>
      </c>
      <c r="AI13" s="46">
        <v>-10</v>
      </c>
      <c r="AJ13" s="46">
        <v>-62</v>
      </c>
    </row>
    <row r="14" spans="2:36" x14ac:dyDescent="0.2">
      <c r="B14" s="8"/>
      <c r="D14" s="3"/>
      <c r="E14" s="4" t="str">
        <f>E8</f>
        <v>Round 2</v>
      </c>
      <c r="F14" s="4" t="str">
        <f t="shared" ref="F14:I14" si="0">F8</f>
        <v>Round 3</v>
      </c>
      <c r="G14" s="4" t="str">
        <f t="shared" si="0"/>
        <v>Round 4</v>
      </c>
      <c r="H14" s="4" t="str">
        <f t="shared" si="0"/>
        <v>Round 5</v>
      </c>
      <c r="I14" s="4" t="str">
        <f t="shared" si="0"/>
        <v>Round 6</v>
      </c>
      <c r="R14" s="9"/>
      <c r="T14" s="8"/>
      <c r="U14" s="16" t="s">
        <v>83</v>
      </c>
      <c r="V14" s="16" t="s">
        <v>69</v>
      </c>
      <c r="W14" s="16">
        <v>623000</v>
      </c>
      <c r="X14" s="18">
        <v>0</v>
      </c>
      <c r="Y14" s="18">
        <v>0</v>
      </c>
      <c r="Z14" s="18">
        <v>0</v>
      </c>
      <c r="AA14" s="18">
        <v>0</v>
      </c>
      <c r="AB14" s="9"/>
      <c r="AC14" s="32">
        <v>70</v>
      </c>
      <c r="AD14" s="32"/>
      <c r="AE14" s="1" t="s">
        <v>84</v>
      </c>
    </row>
    <row r="15" spans="2:36" x14ac:dyDescent="0.2">
      <c r="B15" s="8"/>
      <c r="D15" s="2" t="s">
        <v>34</v>
      </c>
      <c r="E15" s="1">
        <f ca="1">OFFSET($F$40,E$13,0)</f>
        <v>55</v>
      </c>
      <c r="F15" s="1">
        <f ca="1">OFFSET($F$40,F$13,0)</f>
        <v>100</v>
      </c>
      <c r="G15" s="1">
        <f ca="1">OFFSET($F$40,G$13,0)</f>
        <v>100</v>
      </c>
      <c r="H15" s="1">
        <f ca="1">OFFSET($F$40,H$13,0)</f>
        <v>100</v>
      </c>
      <c r="I15" s="1">
        <f ca="1">OFFSET($F$40,I$13,0)</f>
        <v>100</v>
      </c>
      <c r="R15" s="9"/>
      <c r="T15" s="8"/>
      <c r="U15" s="16" t="s">
        <v>98</v>
      </c>
      <c r="V15" s="16" t="s">
        <v>97</v>
      </c>
      <c r="W15" s="16">
        <v>280000</v>
      </c>
      <c r="X15" s="18">
        <v>82</v>
      </c>
      <c r="Y15" s="18">
        <v>0</v>
      </c>
      <c r="Z15" s="18">
        <v>0</v>
      </c>
      <c r="AA15" s="18">
        <v>0</v>
      </c>
      <c r="AB15" s="9"/>
      <c r="AC15" s="48">
        <v>28</v>
      </c>
      <c r="AD15" s="32"/>
      <c r="AE15" s="1" t="s">
        <v>71</v>
      </c>
      <c r="AG15" s="46">
        <v>91</v>
      </c>
      <c r="AH15" s="46">
        <v>292000</v>
      </c>
      <c r="AI15" s="46">
        <v>-12</v>
      </c>
      <c r="AJ15" s="46">
        <v>-77</v>
      </c>
    </row>
    <row r="16" spans="2:36" x14ac:dyDescent="0.2">
      <c r="B16" s="8"/>
      <c r="D16" s="2" t="s">
        <v>35</v>
      </c>
      <c r="E16" s="31">
        <f ca="1">E18-$E$6</f>
        <v>55000</v>
      </c>
      <c r="F16" s="31">
        <f ca="1">F18-E18</f>
        <v>84000</v>
      </c>
      <c r="G16" s="31">
        <f t="shared" ref="G16:I16" ca="1" si="1">G18-F18</f>
        <v>91000</v>
      </c>
      <c r="H16" s="31">
        <f t="shared" ca="1" si="1"/>
        <v>82000</v>
      </c>
      <c r="I16" s="31">
        <f t="shared" ca="1" si="1"/>
        <v>67000</v>
      </c>
      <c r="R16" s="9"/>
      <c r="T16" s="8"/>
      <c r="U16" s="16"/>
      <c r="V16" s="16"/>
      <c r="W16" s="16"/>
      <c r="X16" s="18"/>
      <c r="Y16" s="18"/>
      <c r="Z16" s="18"/>
      <c r="AA16" s="18"/>
      <c r="AB16" s="9"/>
      <c r="AC16" s="32"/>
      <c r="AD16" s="32"/>
    </row>
    <row r="17" spans="2:28" x14ac:dyDescent="0.2">
      <c r="B17" s="8"/>
      <c r="D17" s="2" t="s">
        <v>36</v>
      </c>
      <c r="E17" s="31">
        <f ca="1">E16</f>
        <v>55000</v>
      </c>
      <c r="F17" s="31">
        <f ca="1">E17+F16</f>
        <v>139000</v>
      </c>
      <c r="G17" s="31">
        <f t="shared" ref="G17:I17" ca="1" si="2">F17+G16</f>
        <v>230000</v>
      </c>
      <c r="H17" s="31">
        <f t="shared" ca="1" si="2"/>
        <v>312000</v>
      </c>
      <c r="I17" s="31">
        <f t="shared" ca="1" si="2"/>
        <v>379000</v>
      </c>
      <c r="R17" s="9"/>
      <c r="T17" s="11"/>
      <c r="U17" s="3"/>
      <c r="V17" s="3"/>
      <c r="W17" s="3"/>
      <c r="X17" s="3"/>
      <c r="Y17" s="3"/>
      <c r="Z17" s="3"/>
      <c r="AA17" s="3"/>
      <c r="AB17" s="12"/>
    </row>
    <row r="18" spans="2:28" x14ac:dyDescent="0.2">
      <c r="B18" s="8"/>
      <c r="D18" s="2" t="s">
        <v>5</v>
      </c>
      <c r="E18" s="31">
        <f ca="1">ROUND(OFFSET($N$40,E$13,0)/1000,0)*1000</f>
        <v>335000</v>
      </c>
      <c r="F18" s="31">
        <f ca="1">ROUND(OFFSET($N$40,F$13,0)/1000,0)*1000</f>
        <v>419000</v>
      </c>
      <c r="G18" s="31">
        <f ca="1">ROUND(OFFSET($N$40,G$13,0)/1000,0)*1000</f>
        <v>510000</v>
      </c>
      <c r="H18" s="31">
        <f ca="1">ROUND(OFFSET($N$40,H$13,0)/1000,0)*1000</f>
        <v>592000</v>
      </c>
      <c r="I18" s="31">
        <f ca="1">ROUND(OFFSET($N$40,I$13,0)/1000,0)*1000</f>
        <v>659000</v>
      </c>
      <c r="R18" s="9"/>
    </row>
    <row r="19" spans="2:28" x14ac:dyDescent="0.2">
      <c r="B19" s="8"/>
      <c r="D19" s="2" t="s">
        <v>30</v>
      </c>
      <c r="E19" s="1">
        <f ca="1">ROUND(OFFSET($P$40,E$13,0),0)</f>
        <v>29</v>
      </c>
      <c r="F19" s="1">
        <f ca="1">ROUND(OFFSET($P$40,F$13,0),0)</f>
        <v>36</v>
      </c>
      <c r="G19" s="1">
        <f ca="1">ROUND(OFFSET($P$40,G$13,0),0)</f>
        <v>45</v>
      </c>
      <c r="H19" s="1">
        <f ca="1">ROUND(OFFSET($P$40,H$13,0),0)</f>
        <v>56</v>
      </c>
      <c r="I19" s="1">
        <f ca="1">ROUND(OFFSET($P$40,I$13,0),0)</f>
        <v>67</v>
      </c>
      <c r="R19" s="9"/>
    </row>
    <row r="20" spans="2:28" x14ac:dyDescent="0.2">
      <c r="B20" s="8"/>
      <c r="D20" s="2" t="s">
        <v>28</v>
      </c>
      <c r="E20" s="1">
        <f ca="1">ROUND(OFFSET($O$40,E$13,0),0)</f>
        <v>-13</v>
      </c>
      <c r="F20" s="1">
        <f ca="1">ROUND(OFFSET($O$40,F$13,0),0)</f>
        <v>-8</v>
      </c>
      <c r="G20" s="1">
        <f ca="1">ROUND(OFFSET($O$40,G$13,0),0)</f>
        <v>-19</v>
      </c>
      <c r="H20" s="1">
        <f ca="1">ROUND(OFFSET($O$40,H$13,0),0)</f>
        <v>-9</v>
      </c>
      <c r="I20" s="1">
        <f ca="1">ROUND(OFFSET($O$40,I$13,0),0)</f>
        <v>10</v>
      </c>
      <c r="R20" s="9"/>
      <c r="U20" s="19"/>
      <c r="V20" s="1" t="s">
        <v>18</v>
      </c>
      <c r="W20" s="2"/>
    </row>
    <row r="21" spans="2:28" x14ac:dyDescent="0.2">
      <c r="B21" s="8"/>
      <c r="R21" s="9"/>
      <c r="U21" s="24"/>
      <c r="V21" s="1" t="s">
        <v>19</v>
      </c>
    </row>
    <row r="22" spans="2:28" x14ac:dyDescent="0.2"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2"/>
      <c r="U22" s="20"/>
      <c r="V22" s="1" t="s">
        <v>21</v>
      </c>
    </row>
    <row r="23" spans="2:28" x14ac:dyDescent="0.2">
      <c r="C23" s="13"/>
      <c r="U23" s="26"/>
      <c r="V23" s="1" t="s">
        <v>23</v>
      </c>
    </row>
    <row r="24" spans="2:28" x14ac:dyDescent="0.2">
      <c r="B24" s="5"/>
      <c r="C24" s="2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2:28" x14ac:dyDescent="0.2">
      <c r="B25" s="8"/>
      <c r="C25" s="13" t="s">
        <v>42</v>
      </c>
      <c r="I25" s="13" t="s">
        <v>22</v>
      </c>
      <c r="R25" s="9"/>
    </row>
    <row r="26" spans="2:28" x14ac:dyDescent="0.2">
      <c r="B26" s="8"/>
      <c r="C26" s="13"/>
      <c r="I26" s="3" t="s">
        <v>3</v>
      </c>
      <c r="J26" s="4" t="s">
        <v>7</v>
      </c>
      <c r="K26" s="4" t="s">
        <v>8</v>
      </c>
      <c r="L26" s="4" t="s">
        <v>9</v>
      </c>
      <c r="M26" s="4" t="s">
        <v>10</v>
      </c>
      <c r="N26" s="4" t="s">
        <v>11</v>
      </c>
      <c r="R26" s="9"/>
    </row>
    <row r="27" spans="2:28" x14ac:dyDescent="0.2">
      <c r="B27" s="8"/>
      <c r="C27" s="1" t="s">
        <v>20</v>
      </c>
      <c r="E27" s="20">
        <v>1</v>
      </c>
      <c r="I27" s="1" t="s">
        <v>0</v>
      </c>
      <c r="J27" s="1">
        <v>5</v>
      </c>
      <c r="K27" s="1">
        <v>4</v>
      </c>
      <c r="L27" s="1">
        <v>3</v>
      </c>
      <c r="M27" s="1">
        <v>2</v>
      </c>
      <c r="N27" s="1">
        <v>1</v>
      </c>
      <c r="R27" s="9"/>
    </row>
    <row r="28" spans="2:28" x14ac:dyDescent="0.2">
      <c r="B28" s="8"/>
      <c r="C28" s="1" t="s">
        <v>38</v>
      </c>
      <c r="E28" s="38">
        <v>10000</v>
      </c>
      <c r="I28" s="20" t="s">
        <v>2</v>
      </c>
      <c r="J28" s="29">
        <f>0.25*J27/15</f>
        <v>8.3333333333333329E-2</v>
      </c>
      <c r="K28" s="29">
        <f>0.25*K27/15</f>
        <v>6.6666666666666666E-2</v>
      </c>
      <c r="L28" s="29">
        <f>0.25*L27/15</f>
        <v>0.05</v>
      </c>
      <c r="M28" s="29">
        <f>0.25*M27/15</f>
        <v>3.3333333333333333E-2</v>
      </c>
      <c r="N28" s="29">
        <f>0.25*N27/15</f>
        <v>1.6666666666666666E-2</v>
      </c>
      <c r="R28" s="9"/>
    </row>
    <row r="29" spans="2:28" x14ac:dyDescent="0.2">
      <c r="B29" s="8"/>
      <c r="C29" s="1" t="s">
        <v>16</v>
      </c>
      <c r="E29" s="21">
        <v>0.02</v>
      </c>
      <c r="I29" s="20" t="s">
        <v>41</v>
      </c>
      <c r="J29" s="29">
        <f>J28</f>
        <v>8.3333333333333329E-2</v>
      </c>
      <c r="K29" s="29">
        <f>J29+K28</f>
        <v>0.15</v>
      </c>
      <c r="L29" s="29">
        <f>K29+L28</f>
        <v>0.2</v>
      </c>
      <c r="M29" s="29">
        <f>L29+M28</f>
        <v>0.23333333333333334</v>
      </c>
      <c r="N29" s="29">
        <f>M29+N28</f>
        <v>0.25</v>
      </c>
      <c r="R29" s="9"/>
    </row>
    <row r="30" spans="2:28" x14ac:dyDescent="0.2">
      <c r="B30" s="11"/>
      <c r="C30" s="2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2"/>
    </row>
    <row r="31" spans="2:28" x14ac:dyDescent="0.2">
      <c r="C31" s="13"/>
    </row>
    <row r="32" spans="2:28" x14ac:dyDescent="0.2">
      <c r="B32" s="5"/>
      <c r="C32" s="22"/>
      <c r="D32" s="6"/>
      <c r="E32" s="30"/>
      <c r="F32" s="30"/>
      <c r="G32" s="30"/>
      <c r="H32" s="30"/>
      <c r="I32" s="30"/>
      <c r="J32" s="30"/>
      <c r="K32" s="6"/>
      <c r="L32" s="6"/>
      <c r="M32" s="6"/>
      <c r="N32" s="6"/>
      <c r="O32" s="6"/>
      <c r="P32" s="6"/>
      <c r="Q32" s="6"/>
      <c r="R32" s="7"/>
    </row>
    <row r="33" spans="2:33" x14ac:dyDescent="0.2">
      <c r="B33" s="8"/>
      <c r="C33" s="13" t="s">
        <v>17</v>
      </c>
      <c r="E33" s="2"/>
      <c r="F33" s="2"/>
      <c r="G33" s="2"/>
      <c r="H33" s="2"/>
      <c r="I33" s="2"/>
      <c r="J33" s="2"/>
      <c r="R33" s="9"/>
    </row>
    <row r="34" spans="2:33" x14ac:dyDescent="0.2">
      <c r="B34" s="8"/>
      <c r="R34" s="9"/>
    </row>
    <row r="35" spans="2:33" x14ac:dyDescent="0.2">
      <c r="B35" s="8"/>
      <c r="C35" s="2" t="s">
        <v>4</v>
      </c>
      <c r="D35" s="14" t="str">
        <f>E5</f>
        <v>Max Hall</v>
      </c>
      <c r="F35" s="3" t="s">
        <v>3</v>
      </c>
      <c r="G35" s="4" t="s">
        <v>7</v>
      </c>
      <c r="H35" s="4" t="s">
        <v>8</v>
      </c>
      <c r="I35" s="4" t="s">
        <v>9</v>
      </c>
      <c r="J35" s="4" t="s">
        <v>10</v>
      </c>
      <c r="K35" s="4" t="s">
        <v>11</v>
      </c>
      <c r="R35" s="9"/>
      <c r="U35" s="1" t="s">
        <v>93</v>
      </c>
      <c r="V35" s="1">
        <f>3/20</f>
        <v>0.15</v>
      </c>
      <c r="AA35" s="1" t="s">
        <v>7</v>
      </c>
      <c r="AC35" s="1">
        <f>IF(V37=1,G41,G42)</f>
        <v>100</v>
      </c>
    </row>
    <row r="36" spans="2:33" x14ac:dyDescent="0.2">
      <c r="B36" s="8"/>
      <c r="C36" s="2" t="s">
        <v>13</v>
      </c>
      <c r="D36" s="18" t="str">
        <f>INDEX($V$7:$V$16,MATCH(E5,$U$7:$U$16,0),0)</f>
        <v>SK</v>
      </c>
      <c r="F36" s="1" t="s">
        <v>24</v>
      </c>
      <c r="G36" s="29">
        <f t="shared" ref="G36:K37" si="3">J28</f>
        <v>8.3333333333333329E-2</v>
      </c>
      <c r="H36" s="29">
        <f t="shared" si="3"/>
        <v>6.6666666666666666E-2</v>
      </c>
      <c r="I36" s="29">
        <f t="shared" si="3"/>
        <v>0.05</v>
      </c>
      <c r="J36" s="29">
        <f t="shared" si="3"/>
        <v>3.3333333333333333E-2</v>
      </c>
      <c r="K36" s="29">
        <f t="shared" si="3"/>
        <v>1.6666666666666666E-2</v>
      </c>
      <c r="R36" s="9"/>
      <c r="U36" s="1" t="s">
        <v>92</v>
      </c>
      <c r="V36" s="1">
        <f>1/15</f>
        <v>6.6666666666666666E-2</v>
      </c>
      <c r="AA36" s="1" t="s">
        <v>8</v>
      </c>
      <c r="AC36" s="1">
        <f>IF(V37=2,H42,H41)</f>
        <v>55</v>
      </c>
    </row>
    <row r="37" spans="2:33" x14ac:dyDescent="0.2">
      <c r="B37" s="8"/>
      <c r="C37" s="2" t="s">
        <v>14</v>
      </c>
      <c r="D37" s="17">
        <f>INDEX($W$7:$W$16,MATCH(E5,$U$7:$U$16,0),0)</f>
        <v>280000</v>
      </c>
      <c r="F37" s="1" t="s">
        <v>25</v>
      </c>
      <c r="G37" s="29">
        <f t="shared" si="3"/>
        <v>8.3333333333333329E-2</v>
      </c>
      <c r="H37" s="29">
        <f t="shared" si="3"/>
        <v>0.15</v>
      </c>
      <c r="I37" s="29">
        <f t="shared" si="3"/>
        <v>0.2</v>
      </c>
      <c r="J37" s="29">
        <f t="shared" si="3"/>
        <v>0.23333333333333334</v>
      </c>
      <c r="K37" s="29">
        <f t="shared" si="3"/>
        <v>0.25</v>
      </c>
      <c r="R37" s="9"/>
      <c r="U37" s="1" t="s">
        <v>91</v>
      </c>
      <c r="V37" s="1">
        <v>2</v>
      </c>
      <c r="AC37" s="1">
        <f>IF(V37=1,E41,E42)</f>
        <v>334520.2</v>
      </c>
    </row>
    <row r="38" spans="2:33" x14ac:dyDescent="0.2">
      <c r="B38" s="8"/>
      <c r="F38" s="2"/>
      <c r="G38" s="2"/>
      <c r="H38" s="2"/>
      <c r="I38" s="2"/>
      <c r="J38" s="2"/>
      <c r="K38" s="2"/>
      <c r="R38" s="9"/>
    </row>
    <row r="39" spans="2:33" x14ac:dyDescent="0.2">
      <c r="B39" s="8"/>
      <c r="E39" s="2" t="s">
        <v>15</v>
      </c>
      <c r="F39" s="2"/>
      <c r="G39" s="2"/>
      <c r="H39" s="2"/>
      <c r="I39" s="2"/>
      <c r="J39" s="2"/>
      <c r="K39" s="2"/>
      <c r="L39" s="2" t="s">
        <v>40</v>
      </c>
      <c r="M39" s="2" t="s">
        <v>31</v>
      </c>
      <c r="N39" s="2" t="s">
        <v>26</v>
      </c>
      <c r="R39" s="9"/>
    </row>
    <row r="40" spans="2:33" x14ac:dyDescent="0.2">
      <c r="B40" s="8"/>
      <c r="C40" s="4" t="s">
        <v>1</v>
      </c>
      <c r="D40" s="4" t="s">
        <v>12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4" t="s">
        <v>39</v>
      </c>
      <c r="M40" s="4" t="s">
        <v>6</v>
      </c>
      <c r="N40" s="4" t="s">
        <v>5</v>
      </c>
      <c r="O40" s="4" t="s">
        <v>28</v>
      </c>
      <c r="P40" s="4" t="s">
        <v>30</v>
      </c>
      <c r="R40" s="9"/>
    </row>
    <row r="41" spans="2:33" x14ac:dyDescent="0.2">
      <c r="B41" s="8"/>
      <c r="C41" s="20">
        <f>E27+1</f>
        <v>2</v>
      </c>
      <c r="D41" s="27">
        <f>$E$28*(1-$E$29)^(C41)</f>
        <v>9604</v>
      </c>
      <c r="E41" s="17">
        <f>D37</f>
        <v>280000</v>
      </c>
      <c r="F41" s="33">
        <f>E9</f>
        <v>55</v>
      </c>
      <c r="G41" s="25">
        <f>F41</f>
        <v>55</v>
      </c>
      <c r="H41" s="16">
        <f>INDEX(X$7:X$16,MATCH($E5,$U$7:$U$16,0),0)</f>
        <v>82</v>
      </c>
      <c r="I41" s="16">
        <f t="shared" ref="I41:K41" si="4">INDEX(Y$7:Y$16,MATCH($E5,$U$7:$U$16,0),0)</f>
        <v>0</v>
      </c>
      <c r="J41" s="16">
        <f t="shared" si="4"/>
        <v>0</v>
      </c>
      <c r="K41" s="16">
        <f t="shared" si="4"/>
        <v>0</v>
      </c>
      <c r="L41" s="28">
        <f>COUNTIF(G41:K41,"&lt;&gt;0")</f>
        <v>2</v>
      </c>
      <c r="M41" s="28">
        <f>SUMPRODUCT(G41:K41,$G$36:$K$36)/INDEX($G$37:$K$37,0,L41)</f>
        <v>67.000000000000014</v>
      </c>
      <c r="N41" s="28">
        <f>IF(F41,E41*(1-INDEX($G$37:$K$37,0,L41))+SUMPRODUCT(G41:K41,$G$36:$K$36)*D41,E41)</f>
        <v>334520.2</v>
      </c>
      <c r="O41" s="28">
        <f>IF(F41=0,O40,G41-(N41-E41)/(D41/12))</f>
        <v>-13.121865889212842</v>
      </c>
      <c r="P41" s="27">
        <f>E41/D41</f>
        <v>29.154518950437318</v>
      </c>
      <c r="R41" s="9"/>
      <c r="U41" s="1" t="s">
        <v>95</v>
      </c>
      <c r="AC41" s="1">
        <f>E41 * (1 - 0.083333) + (G41*0.083333)*8846</f>
        <v>297210.76449000003</v>
      </c>
      <c r="AD41" s="1">
        <v>1</v>
      </c>
    </row>
    <row r="42" spans="2:33" x14ac:dyDescent="0.2">
      <c r="B42" s="8"/>
      <c r="C42" s="26">
        <f>C41+1</f>
        <v>3</v>
      </c>
      <c r="D42" s="27">
        <f t="shared" ref="D42:D45" si="5">$E$28*(1-$E$29)^(C42)</f>
        <v>9411.92</v>
      </c>
      <c r="E42" s="28">
        <f>N41</f>
        <v>334520.2</v>
      </c>
      <c r="F42" s="33">
        <f>F9</f>
        <v>100</v>
      </c>
      <c r="G42" s="25">
        <f t="shared" ref="G42:G45" si="6">F42</f>
        <v>100</v>
      </c>
      <c r="H42" s="26">
        <f t="shared" ref="H42:K45" si="7">G41</f>
        <v>55</v>
      </c>
      <c r="I42" s="26">
        <f t="shared" si="7"/>
        <v>82</v>
      </c>
      <c r="J42" s="26">
        <f t="shared" si="7"/>
        <v>0</v>
      </c>
      <c r="K42" s="26">
        <f t="shared" si="7"/>
        <v>0</v>
      </c>
      <c r="L42" s="28">
        <f t="shared" ref="L42:L45" si="8">COUNTIF(G42:K42,"&lt;&gt;0")</f>
        <v>3</v>
      </c>
      <c r="M42" s="28">
        <f t="shared" ref="M42:M45" si="9">SUMPRODUCT(G42:K42,$G$36:$K$36)/INDEX($G$37:$K$37,0,L42)</f>
        <v>80.499999999999986</v>
      </c>
      <c r="N42" s="28">
        <f>IF(F42,E42*(1-INDEX($G$37:$K$37,0,L42))+SUMPRODUCT(G42:K42,$G$36:$K$36)*D42,E42)</f>
        <v>419148.07200000004</v>
      </c>
      <c r="O42" s="28">
        <f>IF(F42=0,O41,G42-(N42-E42)/(D42/12))</f>
        <v>-7.8987564705182649</v>
      </c>
      <c r="P42" s="27">
        <f>E42/D42</f>
        <v>35.542184803950732</v>
      </c>
      <c r="R42" s="9"/>
      <c r="U42" s="1" t="s">
        <v>94</v>
      </c>
      <c r="AC42" s="1">
        <f>AC41 * (1 - 0.15) + (G42*0.083 + H42* 0.067)*9038</f>
        <v>360949.57981650002</v>
      </c>
      <c r="AD42" s="1">
        <v>2</v>
      </c>
    </row>
    <row r="43" spans="2:33" x14ac:dyDescent="0.2">
      <c r="B43" s="8"/>
      <c r="C43" s="26">
        <f t="shared" ref="C43:C45" si="10">C42+1</f>
        <v>4</v>
      </c>
      <c r="D43" s="27">
        <f t="shared" si="5"/>
        <v>9223.6815999999981</v>
      </c>
      <c r="E43" s="28">
        <f>N42</f>
        <v>419148.07200000004</v>
      </c>
      <c r="F43" s="33">
        <f>G9</f>
        <v>100</v>
      </c>
      <c r="G43" s="25">
        <f t="shared" si="6"/>
        <v>100</v>
      </c>
      <c r="H43" s="26">
        <f t="shared" si="7"/>
        <v>100</v>
      </c>
      <c r="I43" s="26">
        <f t="shared" si="7"/>
        <v>55</v>
      </c>
      <c r="J43" s="26">
        <f t="shared" si="7"/>
        <v>82</v>
      </c>
      <c r="K43" s="26">
        <f t="shared" si="7"/>
        <v>0</v>
      </c>
      <c r="L43" s="28">
        <f t="shared" si="8"/>
        <v>4</v>
      </c>
      <c r="M43" s="28">
        <f t="shared" si="9"/>
        <v>87.785714285714292</v>
      </c>
      <c r="N43" s="28">
        <f t="shared" ref="N43:N45" si="11">IF(F43,E43*(1-INDEX($G$37:$K$37,0,L43))+SUMPRODUCT(G43:K43,$G$36:$K$36)*D43,E43)</f>
        <v>510278.5999733333</v>
      </c>
      <c r="O43" s="28">
        <f>IF(F43=0,O42,G43-(N43-E43)/(D43/12))</f>
        <v>-18.560720448112519</v>
      </c>
      <c r="P43" s="27">
        <f>E43/D43</f>
        <v>45.442599839959797</v>
      </c>
      <c r="R43" s="9"/>
    </row>
    <row r="44" spans="2:33" x14ac:dyDescent="0.2">
      <c r="B44" s="8"/>
      <c r="C44" s="26">
        <f t="shared" si="10"/>
        <v>5</v>
      </c>
      <c r="D44" s="27">
        <f t="shared" si="5"/>
        <v>9039.2079679999988</v>
      </c>
      <c r="E44" s="28">
        <f>N43</f>
        <v>510278.5999733333</v>
      </c>
      <c r="F44" s="33">
        <f>H9</f>
        <v>100</v>
      </c>
      <c r="G44" s="25">
        <f t="shared" si="6"/>
        <v>100</v>
      </c>
      <c r="H44" s="26">
        <f t="shared" si="7"/>
        <v>100</v>
      </c>
      <c r="I44" s="26">
        <f t="shared" si="7"/>
        <v>100</v>
      </c>
      <c r="J44" s="26">
        <f t="shared" si="7"/>
        <v>55</v>
      </c>
      <c r="K44" s="26">
        <f t="shared" si="7"/>
        <v>82</v>
      </c>
      <c r="L44" s="28">
        <f t="shared" si="8"/>
        <v>5</v>
      </c>
      <c r="M44" s="28">
        <f t="shared" si="9"/>
        <v>92.8</v>
      </c>
      <c r="N44" s="28">
        <f t="shared" si="11"/>
        <v>592418.57483759988</v>
      </c>
      <c r="O44" s="28">
        <f>IF(F44=0,O43,G44-(N44-E44)/(D44/12))</f>
        <v>-9.044918742951424</v>
      </c>
      <c r="P44" s="27">
        <f>E44/D44</f>
        <v>56.451693752349492</v>
      </c>
      <c r="R44" s="9"/>
      <c r="U44" s="1" t="s">
        <v>96</v>
      </c>
      <c r="AC44" s="1">
        <f>AC37 * (1 -V35 + (2-V37)*V36) + (AC36 * (V35-V36) + AC35*ABS((2-V37)*V35-V36))*9038</f>
        <v>386019.67</v>
      </c>
      <c r="AE44" s="1">
        <f>AC37</f>
        <v>334520.2</v>
      </c>
      <c r="AF44" s="1">
        <f>AC35 * (V35-V36)</f>
        <v>8.3333333333333321</v>
      </c>
      <c r="AG44" s="1">
        <f>AC36*ABS((2-V37)*V35-V36)</f>
        <v>3.6666666666666665</v>
      </c>
    </row>
    <row r="45" spans="2:33" x14ac:dyDescent="0.2">
      <c r="B45" s="8"/>
      <c r="C45" s="26">
        <f t="shared" si="10"/>
        <v>6</v>
      </c>
      <c r="D45" s="27">
        <f t="shared" si="5"/>
        <v>8858.4238086399982</v>
      </c>
      <c r="E45" s="28">
        <f>N44</f>
        <v>592418.57483759988</v>
      </c>
      <c r="F45" s="33">
        <f>I9</f>
        <v>100</v>
      </c>
      <c r="G45" s="25">
        <f t="shared" si="6"/>
        <v>100</v>
      </c>
      <c r="H45" s="26">
        <f t="shared" si="7"/>
        <v>100</v>
      </c>
      <c r="I45" s="26">
        <f t="shared" si="7"/>
        <v>100</v>
      </c>
      <c r="J45" s="26">
        <f t="shared" si="7"/>
        <v>100</v>
      </c>
      <c r="K45" s="26">
        <f t="shared" si="7"/>
        <v>55</v>
      </c>
      <c r="L45" s="28">
        <f t="shared" si="8"/>
        <v>5</v>
      </c>
      <c r="M45" s="28">
        <f t="shared" si="9"/>
        <v>97</v>
      </c>
      <c r="N45" s="28">
        <f t="shared" si="11"/>
        <v>659130.70848771988</v>
      </c>
      <c r="O45" s="28">
        <f>IF(F45=0,O44,G45-(N45-E45)/(D45/12))</f>
        <v>9.6288887171289161</v>
      </c>
      <c r="P45" s="27">
        <f>E45/D45</f>
        <v>66.876296239042972</v>
      </c>
      <c r="R45" s="9"/>
      <c r="U45" s="1" t="s">
        <v>94</v>
      </c>
      <c r="AC45" s="1">
        <f>AC37 * (1 -V35 + (2-V37)*V36) + (G42 * (V35-V36)*(V37-1) +H42*ABS((2-V37)*V35-V36))*9038</f>
        <v>392798.17</v>
      </c>
    </row>
    <row r="46" spans="2:33" x14ac:dyDescent="0.2"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2"/>
      <c r="V46" s="1">
        <f>G41*(V35-V36)</f>
        <v>4.583333333333333</v>
      </c>
      <c r="W46" s="1">
        <f>H41*(V35-V36)</f>
        <v>6.833333333333333</v>
      </c>
    </row>
    <row r="47" spans="2:33" x14ac:dyDescent="0.2">
      <c r="V47" s="1">
        <f>G42*(V35-V36)</f>
        <v>8.3333333333333321</v>
      </c>
      <c r="W47" s="1">
        <f>H42*V36</f>
        <v>3.6666666666666665</v>
      </c>
      <c r="AC47" s="1">
        <v>833000</v>
      </c>
    </row>
  </sheetData>
  <conditionalFormatting sqref="L41:O45">
    <cfRule type="expression" dxfId="0" priority="1">
      <formula>$C41&gt;#REF!</formula>
    </cfRule>
  </conditionalFormatting>
  <dataValidations count="1">
    <dataValidation type="list" allowBlank="1" showInputMessage="1" showErrorMessage="1" sqref="E5" xr:uid="{3EB62BCA-EFF8-4D8D-A1AE-81A018CF3B1A}">
      <formula1>$U$7:$U$16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4307-4B48-451C-A011-6939B36F74E8}">
  <dimension ref="B1:H30"/>
  <sheetViews>
    <sheetView zoomScale="80" zoomScaleNormal="80" workbookViewId="0">
      <selection activeCell="F7" sqref="F7"/>
    </sheetView>
  </sheetViews>
  <sheetFormatPr defaultColWidth="8.85546875" defaultRowHeight="12.75" x14ac:dyDescent="0.2"/>
  <cols>
    <col min="1" max="1" width="8.85546875" style="1"/>
    <col min="2" max="2" width="12.85546875" style="2" customWidth="1"/>
    <col min="3" max="3" width="12.85546875" style="40" customWidth="1"/>
    <col min="4" max="5" width="12.85546875" style="2" customWidth="1"/>
    <col min="6" max="6" width="12.85546875" style="1" customWidth="1"/>
    <col min="7" max="8" width="12.85546875" style="10" customWidth="1"/>
    <col min="9" max="16384" width="8.85546875" style="1"/>
  </cols>
  <sheetData>
    <row r="1" spans="2:8" x14ac:dyDescent="0.2">
      <c r="B1" s="39" t="s">
        <v>54</v>
      </c>
    </row>
    <row r="3" spans="2:8" x14ac:dyDescent="0.2">
      <c r="F3" s="2" t="s">
        <v>53</v>
      </c>
      <c r="G3" s="40" t="s">
        <v>53</v>
      </c>
      <c r="H3" s="40" t="s">
        <v>53</v>
      </c>
    </row>
    <row r="4" spans="2:8" x14ac:dyDescent="0.2">
      <c r="B4" s="2" t="s">
        <v>1</v>
      </c>
      <c r="C4" s="40" t="s">
        <v>12</v>
      </c>
      <c r="D4" s="2" t="s">
        <v>51</v>
      </c>
      <c r="E4" s="2" t="s">
        <v>55</v>
      </c>
      <c r="F4" s="2" t="s">
        <v>50</v>
      </c>
      <c r="G4" s="40" t="s">
        <v>52</v>
      </c>
      <c r="H4" s="40" t="s">
        <v>49</v>
      </c>
    </row>
    <row r="5" spans="2:8" x14ac:dyDescent="0.2">
      <c r="B5" s="2">
        <v>-1</v>
      </c>
      <c r="C5" s="43">
        <v>9030</v>
      </c>
      <c r="H5" s="10">
        <f>C5*1.02</f>
        <v>9210.6</v>
      </c>
    </row>
    <row r="6" spans="2:8" x14ac:dyDescent="0.2">
      <c r="B6" s="2">
        <v>0</v>
      </c>
      <c r="C6" s="43">
        <v>9345</v>
      </c>
      <c r="D6" s="41">
        <f>C6/C5-1</f>
        <v>3.488372093023262E-2</v>
      </c>
      <c r="E6" s="41">
        <f t="shared" ref="E6" si="0">C6/C$5-1</f>
        <v>3.488372093023262E-2</v>
      </c>
      <c r="F6" s="42">
        <v>0.02</v>
      </c>
      <c r="G6" s="10">
        <f t="shared" ref="G6:G12" si="1">C6*(1+F6)</f>
        <v>9531.9</v>
      </c>
      <c r="H6" s="10">
        <f t="shared" ref="H6:H12" si="2">G6/(1+F6)^(B6+1)</f>
        <v>9345</v>
      </c>
    </row>
    <row r="7" spans="2:8" x14ac:dyDescent="0.2">
      <c r="B7" s="2">
        <v>1</v>
      </c>
      <c r="C7" s="43"/>
      <c r="D7" s="41">
        <f>C7/C6-1</f>
        <v>-1</v>
      </c>
      <c r="E7" s="41">
        <f t="shared" ref="E7:E12" si="3">C7/C$5-1</f>
        <v>-1</v>
      </c>
      <c r="F7" s="42">
        <v>-1.4999999999999999E-2</v>
      </c>
      <c r="G7" s="10">
        <f t="shared" si="1"/>
        <v>0</v>
      </c>
      <c r="H7" s="10">
        <f t="shared" si="2"/>
        <v>0</v>
      </c>
    </row>
    <row r="8" spans="2:8" x14ac:dyDescent="0.2">
      <c r="B8" s="2">
        <v>2</v>
      </c>
      <c r="C8" s="43"/>
      <c r="D8" s="41" t="e">
        <f t="shared" ref="D8:D12" si="4">C8/C7-1</f>
        <v>#DIV/0!</v>
      </c>
      <c r="E8" s="41">
        <f t="shared" si="3"/>
        <v>-1</v>
      </c>
      <c r="F8" s="42"/>
      <c r="G8" s="10">
        <f t="shared" si="1"/>
        <v>0</v>
      </c>
      <c r="H8" s="10">
        <f t="shared" si="2"/>
        <v>0</v>
      </c>
    </row>
    <row r="9" spans="2:8" x14ac:dyDescent="0.2">
      <c r="B9" s="2">
        <v>3</v>
      </c>
      <c r="C9" s="43"/>
      <c r="D9" s="41" t="e">
        <f t="shared" si="4"/>
        <v>#DIV/0!</v>
      </c>
      <c r="E9" s="41">
        <f t="shared" si="3"/>
        <v>-1</v>
      </c>
      <c r="F9" s="42"/>
      <c r="G9" s="10">
        <f t="shared" si="1"/>
        <v>0</v>
      </c>
      <c r="H9" s="10">
        <f t="shared" si="2"/>
        <v>0</v>
      </c>
    </row>
    <row r="10" spans="2:8" x14ac:dyDescent="0.2">
      <c r="B10" s="2">
        <v>4</v>
      </c>
      <c r="C10" s="43"/>
      <c r="D10" s="41" t="e">
        <f t="shared" si="4"/>
        <v>#DIV/0!</v>
      </c>
      <c r="E10" s="41">
        <f t="shared" si="3"/>
        <v>-1</v>
      </c>
      <c r="F10" s="42"/>
      <c r="G10" s="10">
        <f t="shared" si="1"/>
        <v>0</v>
      </c>
      <c r="H10" s="10">
        <f t="shared" si="2"/>
        <v>0</v>
      </c>
    </row>
    <row r="11" spans="2:8" x14ac:dyDescent="0.2">
      <c r="B11" s="2">
        <v>5</v>
      </c>
      <c r="C11" s="43"/>
      <c r="D11" s="41" t="e">
        <f t="shared" si="4"/>
        <v>#DIV/0!</v>
      </c>
      <c r="E11" s="41">
        <f t="shared" si="3"/>
        <v>-1</v>
      </c>
      <c r="F11" s="42"/>
      <c r="G11" s="10">
        <f t="shared" si="1"/>
        <v>0</v>
      </c>
      <c r="H11" s="10">
        <f t="shared" si="2"/>
        <v>0</v>
      </c>
    </row>
    <row r="12" spans="2:8" x14ac:dyDescent="0.2">
      <c r="B12" s="2">
        <v>6</v>
      </c>
      <c r="C12" s="43"/>
      <c r="D12" s="41" t="e">
        <f t="shared" si="4"/>
        <v>#DIV/0!</v>
      </c>
      <c r="E12" s="41">
        <f t="shared" si="3"/>
        <v>-1</v>
      </c>
      <c r="F12" s="42"/>
      <c r="G12" s="10">
        <f t="shared" si="1"/>
        <v>0</v>
      </c>
      <c r="H12" s="10">
        <f t="shared" si="2"/>
        <v>0</v>
      </c>
    </row>
    <row r="13" spans="2:8" x14ac:dyDescent="0.2">
      <c r="B13" s="2">
        <v>7</v>
      </c>
      <c r="C13" s="43"/>
      <c r="D13" s="41" t="e">
        <f t="shared" ref="D13" si="5">C13/C12-1</f>
        <v>#DIV/0!</v>
      </c>
      <c r="E13" s="41">
        <f t="shared" ref="E13" si="6">C13/C$5-1</f>
        <v>-1</v>
      </c>
      <c r="F13" s="42"/>
      <c r="G13" s="10">
        <f t="shared" ref="G13" si="7">C13*(1+F13)</f>
        <v>0</v>
      </c>
      <c r="H13" s="10">
        <f t="shared" ref="H13" si="8">G13/(1+F13)^(B13+1)</f>
        <v>0</v>
      </c>
    </row>
    <row r="14" spans="2:8" x14ac:dyDescent="0.2">
      <c r="B14" s="2">
        <v>8</v>
      </c>
      <c r="C14" s="43"/>
      <c r="D14" s="41" t="e">
        <f t="shared" ref="D14" si="9">C14/C13-1</f>
        <v>#DIV/0!</v>
      </c>
      <c r="E14" s="41">
        <f t="shared" ref="E14" si="10">C14/C$5-1</f>
        <v>-1</v>
      </c>
      <c r="F14" s="42"/>
      <c r="G14" s="10">
        <f t="shared" ref="G14" si="11">C14*(1+F14)</f>
        <v>0</v>
      </c>
      <c r="H14" s="10">
        <f t="shared" ref="H14" si="12">G14/(1+F14)^(B14+1)</f>
        <v>0</v>
      </c>
    </row>
    <row r="15" spans="2:8" x14ac:dyDescent="0.2">
      <c r="B15" s="2">
        <v>9</v>
      </c>
      <c r="C15" s="43"/>
      <c r="D15" s="41" t="e">
        <f t="shared" ref="D15:D16" si="13">C15/C14-1</f>
        <v>#DIV/0!</v>
      </c>
      <c r="E15" s="41">
        <f t="shared" ref="E15:E16" si="14">C15/C$5-1</f>
        <v>-1</v>
      </c>
      <c r="F15" s="42"/>
      <c r="G15" s="10">
        <f t="shared" ref="G15:G16" si="15">C15*(1+F15)</f>
        <v>0</v>
      </c>
      <c r="H15" s="10">
        <f t="shared" ref="H15:H16" si="16">G15/(1+F15)^(B15+1)</f>
        <v>0</v>
      </c>
    </row>
    <row r="16" spans="2:8" x14ac:dyDescent="0.2">
      <c r="B16" s="2">
        <v>10</v>
      </c>
      <c r="C16" s="43"/>
      <c r="D16" s="41" t="e">
        <f t="shared" si="13"/>
        <v>#DIV/0!</v>
      </c>
      <c r="E16" s="41">
        <f t="shared" si="14"/>
        <v>-1</v>
      </c>
      <c r="F16" s="42"/>
      <c r="G16" s="10">
        <f t="shared" si="15"/>
        <v>0</v>
      </c>
      <c r="H16" s="10">
        <f t="shared" si="16"/>
        <v>0</v>
      </c>
    </row>
    <row r="17" spans="2:8" x14ac:dyDescent="0.2">
      <c r="B17" s="2">
        <v>11</v>
      </c>
      <c r="C17" s="43"/>
      <c r="D17" s="41" t="e">
        <f t="shared" ref="D17:D30" si="17">C17/C16-1</f>
        <v>#DIV/0!</v>
      </c>
      <c r="E17" s="41">
        <f t="shared" ref="E17:E30" si="18">C17/C$5-1</f>
        <v>-1</v>
      </c>
      <c r="F17" s="42"/>
      <c r="G17" s="10">
        <f t="shared" ref="G17:G30" si="19">C17*(1+F17)</f>
        <v>0</v>
      </c>
      <c r="H17" s="10">
        <f t="shared" ref="H17:H30" si="20">G17/(1+F17)^(B17+1)</f>
        <v>0</v>
      </c>
    </row>
    <row r="18" spans="2:8" x14ac:dyDescent="0.2">
      <c r="B18" s="2">
        <v>12</v>
      </c>
      <c r="C18" s="43"/>
      <c r="D18" s="41" t="e">
        <f t="shared" si="17"/>
        <v>#DIV/0!</v>
      </c>
      <c r="E18" s="41">
        <f t="shared" si="18"/>
        <v>-1</v>
      </c>
      <c r="F18" s="42"/>
      <c r="G18" s="10">
        <f t="shared" si="19"/>
        <v>0</v>
      </c>
      <c r="H18" s="10">
        <f t="shared" si="20"/>
        <v>0</v>
      </c>
    </row>
    <row r="19" spans="2:8" x14ac:dyDescent="0.2">
      <c r="B19" s="2">
        <v>13</v>
      </c>
      <c r="C19" s="43"/>
      <c r="D19" s="41" t="e">
        <f t="shared" si="17"/>
        <v>#DIV/0!</v>
      </c>
      <c r="E19" s="41">
        <f t="shared" si="18"/>
        <v>-1</v>
      </c>
      <c r="F19" s="42"/>
      <c r="G19" s="10">
        <f t="shared" si="19"/>
        <v>0</v>
      </c>
      <c r="H19" s="10">
        <f t="shared" si="20"/>
        <v>0</v>
      </c>
    </row>
    <row r="20" spans="2:8" x14ac:dyDescent="0.2">
      <c r="B20" s="2">
        <v>14</v>
      </c>
      <c r="C20" s="43"/>
      <c r="D20" s="41" t="e">
        <f t="shared" si="17"/>
        <v>#DIV/0!</v>
      </c>
      <c r="E20" s="41">
        <f t="shared" si="18"/>
        <v>-1</v>
      </c>
      <c r="F20" s="42"/>
      <c r="G20" s="10">
        <f t="shared" si="19"/>
        <v>0</v>
      </c>
      <c r="H20" s="10">
        <f t="shared" si="20"/>
        <v>0</v>
      </c>
    </row>
    <row r="21" spans="2:8" x14ac:dyDescent="0.2">
      <c r="B21" s="2">
        <v>15</v>
      </c>
      <c r="C21" s="43"/>
      <c r="D21" s="41" t="e">
        <f t="shared" si="17"/>
        <v>#DIV/0!</v>
      </c>
      <c r="E21" s="41">
        <f t="shared" si="18"/>
        <v>-1</v>
      </c>
      <c r="F21" s="42"/>
      <c r="G21" s="10">
        <f t="shared" si="19"/>
        <v>0</v>
      </c>
      <c r="H21" s="10">
        <f t="shared" si="20"/>
        <v>0</v>
      </c>
    </row>
    <row r="22" spans="2:8" x14ac:dyDescent="0.2">
      <c r="B22" s="2">
        <v>16</v>
      </c>
      <c r="C22" s="43"/>
      <c r="D22" s="41" t="e">
        <f t="shared" si="17"/>
        <v>#DIV/0!</v>
      </c>
      <c r="E22" s="41">
        <f t="shared" si="18"/>
        <v>-1</v>
      </c>
      <c r="F22" s="42"/>
      <c r="G22" s="10">
        <f t="shared" si="19"/>
        <v>0</v>
      </c>
      <c r="H22" s="10">
        <f t="shared" si="20"/>
        <v>0</v>
      </c>
    </row>
    <row r="23" spans="2:8" x14ac:dyDescent="0.2">
      <c r="B23" s="2">
        <v>17</v>
      </c>
      <c r="C23" s="43"/>
      <c r="D23" s="41" t="e">
        <f t="shared" si="17"/>
        <v>#DIV/0!</v>
      </c>
      <c r="E23" s="41">
        <f t="shared" si="18"/>
        <v>-1</v>
      </c>
      <c r="F23" s="42"/>
      <c r="G23" s="10">
        <f t="shared" si="19"/>
        <v>0</v>
      </c>
      <c r="H23" s="10">
        <f t="shared" si="20"/>
        <v>0</v>
      </c>
    </row>
    <row r="24" spans="2:8" x14ac:dyDescent="0.2">
      <c r="B24" s="2">
        <v>18</v>
      </c>
      <c r="C24" s="43"/>
      <c r="D24" s="41" t="e">
        <f t="shared" si="17"/>
        <v>#DIV/0!</v>
      </c>
      <c r="E24" s="41">
        <f t="shared" si="18"/>
        <v>-1</v>
      </c>
      <c r="F24" s="42"/>
      <c r="G24" s="10">
        <f t="shared" si="19"/>
        <v>0</v>
      </c>
      <c r="H24" s="10">
        <f t="shared" si="20"/>
        <v>0</v>
      </c>
    </row>
    <row r="25" spans="2:8" x14ac:dyDescent="0.2">
      <c r="B25" s="2">
        <v>19</v>
      </c>
      <c r="C25" s="43"/>
      <c r="D25" s="41" t="e">
        <f t="shared" si="17"/>
        <v>#DIV/0!</v>
      </c>
      <c r="E25" s="41">
        <f t="shared" si="18"/>
        <v>-1</v>
      </c>
      <c r="F25" s="42"/>
      <c r="G25" s="10">
        <f t="shared" si="19"/>
        <v>0</v>
      </c>
      <c r="H25" s="10">
        <f t="shared" si="20"/>
        <v>0</v>
      </c>
    </row>
    <row r="26" spans="2:8" x14ac:dyDescent="0.2">
      <c r="B26" s="2">
        <v>20</v>
      </c>
      <c r="C26" s="43"/>
      <c r="D26" s="41" t="e">
        <f t="shared" si="17"/>
        <v>#DIV/0!</v>
      </c>
      <c r="E26" s="41">
        <f t="shared" si="18"/>
        <v>-1</v>
      </c>
      <c r="F26" s="42"/>
      <c r="G26" s="10">
        <f t="shared" si="19"/>
        <v>0</v>
      </c>
      <c r="H26" s="10">
        <f t="shared" si="20"/>
        <v>0</v>
      </c>
    </row>
    <row r="27" spans="2:8" x14ac:dyDescent="0.2">
      <c r="B27" s="2">
        <v>21</v>
      </c>
      <c r="C27" s="43"/>
      <c r="D27" s="41" t="e">
        <f t="shared" si="17"/>
        <v>#DIV/0!</v>
      </c>
      <c r="E27" s="41">
        <f t="shared" si="18"/>
        <v>-1</v>
      </c>
      <c r="F27" s="42"/>
      <c r="G27" s="10">
        <f t="shared" si="19"/>
        <v>0</v>
      </c>
      <c r="H27" s="10">
        <f t="shared" si="20"/>
        <v>0</v>
      </c>
    </row>
    <row r="28" spans="2:8" x14ac:dyDescent="0.2">
      <c r="B28" s="2">
        <v>22</v>
      </c>
      <c r="C28" s="43"/>
      <c r="D28" s="41" t="e">
        <f t="shared" si="17"/>
        <v>#DIV/0!</v>
      </c>
      <c r="E28" s="41">
        <f t="shared" si="18"/>
        <v>-1</v>
      </c>
      <c r="F28" s="42"/>
      <c r="G28" s="10">
        <f t="shared" si="19"/>
        <v>0</v>
      </c>
      <c r="H28" s="10">
        <f t="shared" si="20"/>
        <v>0</v>
      </c>
    </row>
    <row r="29" spans="2:8" x14ac:dyDescent="0.2">
      <c r="B29" s="2">
        <v>23</v>
      </c>
      <c r="C29" s="43"/>
      <c r="D29" s="41" t="e">
        <f t="shared" si="17"/>
        <v>#DIV/0!</v>
      </c>
      <c r="E29" s="41">
        <f t="shared" si="18"/>
        <v>-1</v>
      </c>
      <c r="F29" s="42"/>
      <c r="G29" s="10">
        <f t="shared" si="19"/>
        <v>0</v>
      </c>
      <c r="H29" s="10">
        <f t="shared" si="20"/>
        <v>0</v>
      </c>
    </row>
    <row r="30" spans="2:8" x14ac:dyDescent="0.2">
      <c r="B30" s="2">
        <v>24</v>
      </c>
      <c r="C30" s="43"/>
      <c r="D30" s="41" t="e">
        <f t="shared" si="17"/>
        <v>#DIV/0!</v>
      </c>
      <c r="E30" s="41">
        <f t="shared" si="18"/>
        <v>-1</v>
      </c>
      <c r="F30" s="42"/>
      <c r="G30" s="10">
        <f t="shared" si="19"/>
        <v>0</v>
      </c>
      <c r="H30" s="10">
        <f t="shared" si="2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79A8-C289-4DC6-9395-1988F6414B7C}">
  <dimension ref="B2:AJ32"/>
  <sheetViews>
    <sheetView zoomScale="80" zoomScaleNormal="80" workbookViewId="0">
      <selection activeCell="T6" sqref="T6"/>
    </sheetView>
  </sheetViews>
  <sheetFormatPr defaultColWidth="8.7109375" defaultRowHeight="12.75" x14ac:dyDescent="0.2"/>
  <cols>
    <col min="1" max="34" width="8.7109375" style="1"/>
    <col min="35" max="36" width="8.85546875" style="2"/>
    <col min="37" max="16384" width="8.7109375" style="1"/>
  </cols>
  <sheetData>
    <row r="2" spans="4:36" x14ac:dyDescent="0.2">
      <c r="E2" s="1" t="s">
        <v>56</v>
      </c>
      <c r="O2" s="1" t="s">
        <v>57</v>
      </c>
      <c r="AA2" s="14">
        <v>8850</v>
      </c>
      <c r="AB2" s="1" t="s">
        <v>63</v>
      </c>
    </row>
    <row r="3" spans="4:36" x14ac:dyDescent="0.2">
      <c r="AJ3" s="2" t="s">
        <v>74</v>
      </c>
    </row>
    <row r="4" spans="4:36" x14ac:dyDescent="0.2"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>
        <v>2020</v>
      </c>
      <c r="K4" s="1">
        <v>2021</v>
      </c>
      <c r="L4" s="1">
        <v>2022</v>
      </c>
      <c r="O4" s="1">
        <v>2015</v>
      </c>
      <c r="P4" s="1">
        <v>2016</v>
      </c>
      <c r="Q4" s="1">
        <v>2017</v>
      </c>
      <c r="R4" s="1">
        <v>2018</v>
      </c>
      <c r="S4" s="1">
        <v>2019</v>
      </c>
      <c r="T4" s="1">
        <v>2020</v>
      </c>
      <c r="U4" s="1">
        <v>2021</v>
      </c>
      <c r="V4" s="1">
        <v>2022</v>
      </c>
      <c r="W4" s="20" t="s">
        <v>58</v>
      </c>
      <c r="AA4" s="1">
        <v>2015</v>
      </c>
      <c r="AB4" s="1">
        <v>2016</v>
      </c>
      <c r="AC4" s="1">
        <v>2017</v>
      </c>
      <c r="AD4" s="1">
        <v>2018</v>
      </c>
      <c r="AE4" s="1">
        <v>2019</v>
      </c>
      <c r="AF4" s="1">
        <v>2020</v>
      </c>
      <c r="AG4" s="1">
        <v>2021</v>
      </c>
      <c r="AH4" s="1">
        <v>2022</v>
      </c>
      <c r="AI4" s="2" t="s">
        <v>64</v>
      </c>
      <c r="AJ4" s="2">
        <v>2023</v>
      </c>
    </row>
    <row r="5" spans="4:36" x14ac:dyDescent="0.2">
      <c r="D5" s="1">
        <v>0</v>
      </c>
      <c r="E5" s="1">
        <v>5662.9383222245497</v>
      </c>
      <c r="F5" s="1">
        <v>5340.4689418622802</v>
      </c>
      <c r="G5" s="1">
        <v>6035.8127366344597</v>
      </c>
      <c r="H5" s="1">
        <v>7042.8397657735604</v>
      </c>
      <c r="I5" s="1">
        <v>7257.0448592747998</v>
      </c>
      <c r="J5" s="1">
        <f>7420.87089355644*1.25</f>
        <v>9276.0886169455498</v>
      </c>
      <c r="K5" s="1">
        <v>7635.74373325139</v>
      </c>
      <c r="L5" s="1">
        <v>8386.1836437906004</v>
      </c>
      <c r="N5" s="1">
        <v>0</v>
      </c>
      <c r="W5" s="20"/>
      <c r="Z5" s="1">
        <v>0</v>
      </c>
      <c r="AA5" s="1">
        <f>E5/E$5*$AA$2</f>
        <v>8850</v>
      </c>
      <c r="AB5" s="1">
        <f t="shared" ref="AB5:AB28" si="0">F5/F$5*$AA$2</f>
        <v>8850</v>
      </c>
      <c r="AC5" s="1">
        <f t="shared" ref="AC5:AC28" si="1">G5/G$5*$AA$2</f>
        <v>8850</v>
      </c>
      <c r="AD5" s="1">
        <f t="shared" ref="AD5:AD28" si="2">H5/H$5*$AA$2</f>
        <v>8850</v>
      </c>
      <c r="AE5" s="1">
        <f t="shared" ref="AE5:AE28" si="3">I5/I$5*$AA$2</f>
        <v>8850</v>
      </c>
      <c r="AF5" s="1">
        <f t="shared" ref="AF5:AF23" si="4">J5/J$5*$AA$2</f>
        <v>8850</v>
      </c>
      <c r="AG5" s="1">
        <f t="shared" ref="AG5:AH28" si="5">K5/K$5*$AA$2</f>
        <v>8850</v>
      </c>
      <c r="AH5" s="1">
        <f t="shared" si="5"/>
        <v>8850</v>
      </c>
      <c r="AI5" s="35">
        <f>AVERAGE(AA5:AH5)</f>
        <v>8850</v>
      </c>
      <c r="AJ5" s="43">
        <v>8850</v>
      </c>
    </row>
    <row r="6" spans="4:36" x14ac:dyDescent="0.2">
      <c r="D6" s="1">
        <v>1</v>
      </c>
      <c r="E6" s="1">
        <v>5652.9894923782704</v>
      </c>
      <c r="F6" s="1">
        <v>5189.3481434509404</v>
      </c>
      <c r="G6" s="1">
        <v>5761.31115663738</v>
      </c>
      <c r="H6" s="1">
        <v>6935.4416498638002</v>
      </c>
      <c r="I6" s="1">
        <v>7164.5647828457204</v>
      </c>
      <c r="J6" s="1">
        <v>9126.3706873495594</v>
      </c>
      <c r="K6" s="1">
        <v>7583.2869494229799</v>
      </c>
      <c r="L6" s="1">
        <v>8532.3730772593008</v>
      </c>
      <c r="N6" s="1">
        <v>1</v>
      </c>
      <c r="O6" s="44">
        <f t="shared" ref="O6:V6" si="6">(E5-E6)/E5</f>
        <v>1.7568317506186674E-3</v>
      </c>
      <c r="P6" s="44">
        <f t="shared" si="6"/>
        <v>2.8297290005143694E-2</v>
      </c>
      <c r="Q6" s="44">
        <f t="shared" si="6"/>
        <v>4.5478809892657554E-2</v>
      </c>
      <c r="R6" s="44">
        <f t="shared" si="6"/>
        <v>1.5249263007755511E-2</v>
      </c>
      <c r="S6" s="44">
        <f t="shared" si="6"/>
        <v>1.2743489701718751E-2</v>
      </c>
      <c r="T6" s="44">
        <f t="shared" si="6"/>
        <v>1.6140200442079203E-2</v>
      </c>
      <c r="U6" s="44">
        <f t="shared" si="6"/>
        <v>6.8698984225958873E-3</v>
      </c>
      <c r="V6" s="44">
        <f t="shared" si="6"/>
        <v>-1.7432176503425812E-2</v>
      </c>
      <c r="W6" s="47">
        <f>AVERAGE(O6:V6)</f>
        <v>1.3637950839892931E-2</v>
      </c>
      <c r="X6" s="44"/>
      <c r="Z6" s="1">
        <v>1</v>
      </c>
      <c r="AA6" s="1">
        <f t="shared" ref="AA6:AA28" si="7">E6/E$5*$AA$2</f>
        <v>8834.4520390070247</v>
      </c>
      <c r="AB6" s="1">
        <f t="shared" si="0"/>
        <v>8599.5689834544792</v>
      </c>
      <c r="AC6" s="1">
        <f t="shared" si="1"/>
        <v>8447.5125324499804</v>
      </c>
      <c r="AD6" s="1">
        <f t="shared" si="2"/>
        <v>8715.0440223813639</v>
      </c>
      <c r="AE6" s="1">
        <f t="shared" si="3"/>
        <v>8737.2201161397879</v>
      </c>
      <c r="AF6" s="1">
        <f t="shared" si="4"/>
        <v>8707.1592260875987</v>
      </c>
      <c r="AG6" s="1">
        <f t="shared" si="5"/>
        <v>8789.2013989600273</v>
      </c>
      <c r="AH6" s="1">
        <f t="shared" si="5"/>
        <v>9004.2747620553182</v>
      </c>
      <c r="AI6" s="35">
        <f t="shared" ref="AI6:AI28" si="8">AVERAGE(AA6:AH6)</f>
        <v>8729.3041350669464</v>
      </c>
      <c r="AJ6" s="43"/>
    </row>
    <row r="7" spans="4:36" x14ac:dyDescent="0.2">
      <c r="D7" s="1">
        <v>2</v>
      </c>
      <c r="E7" s="1">
        <v>5476.8128136368796</v>
      </c>
      <c r="F7" s="1">
        <v>5251.5484311585897</v>
      </c>
      <c r="G7" s="1">
        <v>5740.0099466811598</v>
      </c>
      <c r="H7" s="1">
        <v>6863.1909267415404</v>
      </c>
      <c r="I7" s="1">
        <v>7061.2746845369602</v>
      </c>
      <c r="J7" s="1">
        <v>9073.1312854090302</v>
      </c>
      <c r="K7" s="1">
        <v>7449.0210431481</v>
      </c>
      <c r="L7" s="1">
        <v>8326.18</v>
      </c>
      <c r="N7" s="1">
        <v>2</v>
      </c>
      <c r="O7" s="44">
        <f t="shared" ref="O7:O23" si="9">(E6-E7)/E6</f>
        <v>3.1165223105212508E-2</v>
      </c>
      <c r="P7" s="44">
        <f t="shared" ref="P7:P23" si="10">(F6-F7)/F6</f>
        <v>-1.1986146619618745E-2</v>
      </c>
      <c r="Q7" s="44">
        <f t="shared" ref="Q7:Q23" si="11">(G6-G7)/G6</f>
        <v>3.6972851104700197E-3</v>
      </c>
      <c r="R7" s="44">
        <f t="shared" ref="R7:R23" si="12">(H6-H7)/H6</f>
        <v>1.0417609543824613E-2</v>
      </c>
      <c r="S7" s="44">
        <f t="shared" ref="S7:S23" si="13">(I6-I7)/I6</f>
        <v>1.4416800104323158E-2</v>
      </c>
      <c r="T7" s="44">
        <f t="shared" ref="T7:T23" si="14">(J6-J7)/J6</f>
        <v>5.8335787318311043E-3</v>
      </c>
      <c r="U7" s="44">
        <f t="shared" ref="U7:U23" si="15">(K6-K7)/K6</f>
        <v>1.7705502530811695E-2</v>
      </c>
      <c r="V7" s="44">
        <f t="shared" ref="V7:V27" si="16">(L6-L7)/L6</f>
        <v>2.4165970638209848E-2</v>
      </c>
      <c r="W7" s="47">
        <f t="shared" ref="W7:W28" si="17">AVERAGE(O7:V7)</f>
        <v>1.1926977893133024E-2</v>
      </c>
      <c r="Z7" s="1">
        <v>2</v>
      </c>
      <c r="AA7" s="1">
        <f t="shared" si="7"/>
        <v>8559.1243701990716</v>
      </c>
      <c r="AB7" s="1">
        <f t="shared" si="0"/>
        <v>8702.6446781556897</v>
      </c>
      <c r="AC7" s="1">
        <f t="shared" si="1"/>
        <v>8416.2796701432435</v>
      </c>
      <c r="AD7" s="1">
        <f t="shared" si="2"/>
        <v>8624.2540965989519</v>
      </c>
      <c r="AE7" s="1">
        <f t="shared" si="3"/>
        <v>8611.2573602579305</v>
      </c>
      <c r="AF7" s="1">
        <f t="shared" si="4"/>
        <v>8656.365327211628</v>
      </c>
      <c r="AG7" s="1">
        <f t="shared" si="5"/>
        <v>8633.5841713469254</v>
      </c>
      <c r="AH7" s="1">
        <f t="shared" si="5"/>
        <v>8786.6777225371152</v>
      </c>
      <c r="AI7" s="35">
        <f t="shared" si="8"/>
        <v>8623.7734245563206</v>
      </c>
      <c r="AJ7" s="43"/>
    </row>
    <row r="8" spans="4:36" x14ac:dyDescent="0.2">
      <c r="D8" s="1">
        <v>3</v>
      </c>
      <c r="E8" s="1">
        <v>5367.9987033300704</v>
      </c>
      <c r="F8" s="1">
        <v>5223.2273709116298</v>
      </c>
      <c r="G8" s="1">
        <v>5642.4966446772396</v>
      </c>
      <c r="H8" s="1">
        <v>6868.8371364675104</v>
      </c>
      <c r="I8" s="1">
        <v>7019.2830692264597</v>
      </c>
      <c r="J8" s="1">
        <v>9164.0839689823006</v>
      </c>
      <c r="K8" s="1">
        <v>7295.1356799982696</v>
      </c>
      <c r="L8" s="1">
        <v>8250.86</v>
      </c>
      <c r="N8" s="1">
        <v>3</v>
      </c>
      <c r="O8" s="44">
        <f t="shared" si="9"/>
        <v>1.9868144851668053E-2</v>
      </c>
      <c r="P8" s="44">
        <f t="shared" si="10"/>
        <v>5.3928970889661407E-3</v>
      </c>
      <c r="Q8" s="44">
        <f t="shared" si="11"/>
        <v>1.6988350701430725E-2</v>
      </c>
      <c r="R8" s="44">
        <f t="shared" si="12"/>
        <v>-8.2267997295111062E-4</v>
      </c>
      <c r="S8" s="44">
        <f t="shared" si="13"/>
        <v>5.9467471790122083E-3</v>
      </c>
      <c r="T8" s="44">
        <f t="shared" si="14"/>
        <v>-1.0024398491790381E-2</v>
      </c>
      <c r="U8" s="44">
        <f t="shared" si="15"/>
        <v>2.0658468040089677E-2</v>
      </c>
      <c r="V8" s="44">
        <f t="shared" si="16"/>
        <v>9.0461652282318797E-3</v>
      </c>
      <c r="W8" s="47">
        <f t="shared" si="17"/>
        <v>8.381711828082148E-3</v>
      </c>
      <c r="Z8" s="1">
        <v>3</v>
      </c>
      <c r="AA8" s="1">
        <f t="shared" si="7"/>
        <v>8389.0704474085142</v>
      </c>
      <c r="AB8" s="1">
        <f t="shared" si="0"/>
        <v>8655.7122110045566</v>
      </c>
      <c r="AC8" s="1">
        <f t="shared" si="1"/>
        <v>8273.3009595055282</v>
      </c>
      <c r="AD8" s="1">
        <f t="shared" si="2"/>
        <v>8631.3490977258662</v>
      </c>
      <c r="AE8" s="1">
        <f t="shared" si="3"/>
        <v>8560.0483898430684</v>
      </c>
      <c r="AF8" s="1">
        <f t="shared" si="4"/>
        <v>8743.1401827421141</v>
      </c>
      <c r="AG8" s="1">
        <f t="shared" si="5"/>
        <v>8455.2275486717317</v>
      </c>
      <c r="AH8" s="1">
        <f t="shared" si="5"/>
        <v>8707.1919840518203</v>
      </c>
      <c r="AI8" s="35">
        <f t="shared" si="8"/>
        <v>8551.8801026191504</v>
      </c>
      <c r="AJ8" s="43"/>
    </row>
    <row r="9" spans="4:36" x14ac:dyDescent="0.2">
      <c r="D9" s="1">
        <v>4</v>
      </c>
      <c r="E9" s="1">
        <v>5354.0059443546197</v>
      </c>
      <c r="F9" s="1">
        <v>5201.2178954020901</v>
      </c>
      <c r="G9" s="1">
        <v>5606.0550925109801</v>
      </c>
      <c r="H9" s="1">
        <v>6916.1988488555598</v>
      </c>
      <c r="I9" s="1">
        <v>6941.5983596471597</v>
      </c>
      <c r="J9" s="1">
        <v>9072.4584679742893</v>
      </c>
      <c r="K9" s="1">
        <v>7330.1645949578497</v>
      </c>
      <c r="L9" s="1">
        <v>8248.8700000000008</v>
      </c>
      <c r="N9" s="1">
        <v>4</v>
      </c>
      <c r="O9" s="44">
        <f t="shared" si="9"/>
        <v>2.6066993955811088E-3</v>
      </c>
      <c r="P9" s="44">
        <f t="shared" si="10"/>
        <v>4.2137693702769636E-3</v>
      </c>
      <c r="Q9" s="44">
        <f t="shared" si="11"/>
        <v>6.458409186762399E-3</v>
      </c>
      <c r="R9" s="44">
        <f t="shared" si="12"/>
        <v>-6.8951572802039857E-3</v>
      </c>
      <c r="S9" s="44">
        <f t="shared" si="13"/>
        <v>1.1067328217589757E-2</v>
      </c>
      <c r="T9" s="44">
        <f t="shared" si="14"/>
        <v>9.998326217670675E-3</v>
      </c>
      <c r="U9" s="44">
        <f t="shared" si="15"/>
        <v>-4.8016810784783674E-3</v>
      </c>
      <c r="V9" s="44">
        <f t="shared" si="16"/>
        <v>2.4118697929667715E-4</v>
      </c>
      <c r="W9" s="47">
        <f t="shared" si="17"/>
        <v>2.8611101260619031E-3</v>
      </c>
      <c r="Z9" s="1">
        <v>4</v>
      </c>
      <c r="AA9" s="1">
        <f t="shared" si="7"/>
        <v>8367.2026625437666</v>
      </c>
      <c r="AB9" s="1">
        <f t="shared" si="0"/>
        <v>8619.2390360118934</v>
      </c>
      <c r="AC9" s="1">
        <f t="shared" si="1"/>
        <v>8219.8685965838085</v>
      </c>
      <c r="AD9" s="1">
        <f t="shared" si="2"/>
        <v>8690.8636072950321</v>
      </c>
      <c r="AE9" s="1">
        <f t="shared" si="3"/>
        <v>8465.3115247542246</v>
      </c>
      <c r="AF9" s="1">
        <f t="shared" si="4"/>
        <v>8655.7234150282347</v>
      </c>
      <c r="AG9" s="1">
        <f t="shared" si="5"/>
        <v>8495.826854806417</v>
      </c>
      <c r="AH9" s="1">
        <f t="shared" si="5"/>
        <v>8705.0919227190298</v>
      </c>
      <c r="AI9" s="35">
        <f t="shared" si="8"/>
        <v>8527.3909524678002</v>
      </c>
      <c r="AJ9" s="43"/>
    </row>
    <row r="10" spans="4:36" x14ac:dyDescent="0.2">
      <c r="D10" s="1">
        <v>5</v>
      </c>
      <c r="E10" s="1">
        <v>5328.8362184696398</v>
      </c>
      <c r="F10" s="1">
        <v>5169.4217473531098</v>
      </c>
      <c r="G10" s="1">
        <v>5580.4028348758402</v>
      </c>
      <c r="H10" s="1">
        <v>6785.0886319147003</v>
      </c>
      <c r="I10" s="1">
        <v>6832.9394481973904</v>
      </c>
      <c r="J10" s="1">
        <v>8984.5439793241694</v>
      </c>
      <c r="K10" s="1">
        <v>7262.5375534151299</v>
      </c>
      <c r="L10" s="1">
        <v>8227.6265575067991</v>
      </c>
      <c r="N10" s="1">
        <v>5</v>
      </c>
      <c r="O10" s="44">
        <f t="shared" si="9"/>
        <v>4.7011015950625592E-3</v>
      </c>
      <c r="P10" s="44">
        <f t="shared" si="10"/>
        <v>6.1132120761732143E-3</v>
      </c>
      <c r="Q10" s="44">
        <f t="shared" si="11"/>
        <v>4.5758126190033801E-3</v>
      </c>
      <c r="R10" s="44">
        <f t="shared" si="12"/>
        <v>1.8956976195465332E-2</v>
      </c>
      <c r="S10" s="44">
        <f t="shared" si="13"/>
        <v>1.5653298537325968E-2</v>
      </c>
      <c r="T10" s="44">
        <f t="shared" si="14"/>
        <v>9.6902607998104792E-3</v>
      </c>
      <c r="U10" s="44">
        <f t="shared" si="15"/>
        <v>9.2258557999144973E-3</v>
      </c>
      <c r="V10" s="44">
        <f t="shared" si="16"/>
        <v>2.5753154666277507E-3</v>
      </c>
      <c r="W10" s="47">
        <f t="shared" si="17"/>
        <v>8.9364791361728965E-3</v>
      </c>
      <c r="Z10" s="1">
        <v>5</v>
      </c>
      <c r="AA10" s="1">
        <f t="shared" si="7"/>
        <v>8327.867592760671</v>
      </c>
      <c r="AB10" s="1">
        <f t="shared" si="0"/>
        <v>8566.5477998495226</v>
      </c>
      <c r="AC10" s="1">
        <f t="shared" si="1"/>
        <v>8182.2560181330109</v>
      </c>
      <c r="AD10" s="1">
        <f t="shared" si="2"/>
        <v>8526.1111127735039</v>
      </c>
      <c r="AE10" s="1">
        <f t="shared" si="3"/>
        <v>8332.8014762457806</v>
      </c>
      <c r="AF10" s="1">
        <f t="shared" si="4"/>
        <v>8571.8471977255849</v>
      </c>
      <c r="AG10" s="1">
        <f t="shared" si="5"/>
        <v>8417.4455813429322</v>
      </c>
      <c r="AH10" s="1">
        <f t="shared" si="5"/>
        <v>8682.6735648520353</v>
      </c>
      <c r="AI10" s="35">
        <f t="shared" si="8"/>
        <v>8450.943792960381</v>
      </c>
      <c r="AJ10" s="43"/>
    </row>
    <row r="11" spans="4:36" x14ac:dyDescent="0.2">
      <c r="D11" s="1">
        <v>6</v>
      </c>
      <c r="E11" s="1">
        <v>5328.6754969337699</v>
      </c>
      <c r="F11" s="1">
        <v>5114.1792432037</v>
      </c>
      <c r="G11" s="1">
        <v>5521.1293411775796</v>
      </c>
      <c r="H11" s="1">
        <v>6719.0917504901299</v>
      </c>
      <c r="I11" s="1">
        <v>6789.9989988908101</v>
      </c>
      <c r="J11" s="1">
        <v>8869.1441323856907</v>
      </c>
      <c r="K11" s="1">
        <v>7221.3723721960196</v>
      </c>
      <c r="L11" s="1">
        <v>8155.4515008154904</v>
      </c>
      <c r="N11" s="1">
        <v>6</v>
      </c>
      <c r="O11" s="44">
        <f t="shared" si="9"/>
        <v>3.016071976707923E-5</v>
      </c>
      <c r="P11" s="44">
        <f t="shared" si="10"/>
        <v>1.0686399146615485E-2</v>
      </c>
      <c r="Q11" s="44">
        <f t="shared" si="11"/>
        <v>1.0621723099955991E-2</v>
      </c>
      <c r="R11" s="44">
        <f t="shared" si="12"/>
        <v>9.7267530322513313E-3</v>
      </c>
      <c r="S11" s="44">
        <f t="shared" si="13"/>
        <v>6.2843304308672849E-3</v>
      </c>
      <c r="T11" s="44">
        <f t="shared" si="14"/>
        <v>1.2844263126102397E-2</v>
      </c>
      <c r="U11" s="44">
        <f t="shared" si="15"/>
        <v>5.6681539911284627E-3</v>
      </c>
      <c r="V11" s="44">
        <f t="shared" si="16"/>
        <v>8.7722815549348219E-3</v>
      </c>
      <c r="W11" s="21">
        <f t="shared" si="17"/>
        <v>8.0792581377028584E-3</v>
      </c>
      <c r="Z11" s="1">
        <v>6</v>
      </c>
      <c r="AA11" s="1">
        <f t="shared" si="7"/>
        <v>8327.6164182799475</v>
      </c>
      <c r="AB11" s="1">
        <f t="shared" si="0"/>
        <v>8475.0022507517697</v>
      </c>
      <c r="AC11" s="1">
        <f t="shared" si="1"/>
        <v>8095.3463603754535</v>
      </c>
      <c r="AD11" s="1">
        <f t="shared" si="2"/>
        <v>8443.1797356540228</v>
      </c>
      <c r="AE11" s="1">
        <f t="shared" si="3"/>
        <v>8280.4353983542333</v>
      </c>
      <c r="AF11" s="1">
        <f t="shared" si="4"/>
        <v>8461.7481368412537</v>
      </c>
      <c r="AG11" s="1">
        <f t="shared" si="5"/>
        <v>8369.7342035759375</v>
      </c>
      <c r="AH11" s="1">
        <f t="shared" si="5"/>
        <v>8606.5067076915639</v>
      </c>
      <c r="AI11" s="35">
        <f t="shared" si="8"/>
        <v>8382.446151440523</v>
      </c>
      <c r="AJ11" s="43"/>
    </row>
    <row r="12" spans="4:36" x14ac:dyDescent="0.2">
      <c r="D12" s="1">
        <v>7</v>
      </c>
      <c r="E12" s="1">
        <v>5316.4727473542298</v>
      </c>
      <c r="F12" s="1">
        <v>5117.5022565028303</v>
      </c>
      <c r="G12" s="1">
        <v>5539.7307260383996</v>
      </c>
      <c r="H12" s="1">
        <v>6676.38775890531</v>
      </c>
      <c r="I12" s="1">
        <v>6783.2789819497802</v>
      </c>
      <c r="J12" s="1">
        <v>8825.6408439133902</v>
      </c>
      <c r="K12" s="1">
        <v>7125.2413630036099</v>
      </c>
      <c r="L12" s="1">
        <v>8208.8288796735196</v>
      </c>
      <c r="N12" s="1">
        <v>7</v>
      </c>
      <c r="O12" s="44">
        <f t="shared" si="9"/>
        <v>2.2900155182205752E-3</v>
      </c>
      <c r="P12" s="44">
        <f t="shared" si="10"/>
        <v>-6.4976473078182562E-4</v>
      </c>
      <c r="Q12" s="44">
        <f t="shared" si="11"/>
        <v>-3.3691268056496113E-3</v>
      </c>
      <c r="R12" s="44">
        <f t="shared" si="12"/>
        <v>6.3556196537582453E-3</v>
      </c>
      <c r="S12" s="44">
        <f t="shared" si="13"/>
        <v>9.8969336256567696E-4</v>
      </c>
      <c r="T12" s="44">
        <f t="shared" si="14"/>
        <v>4.9050153907690113E-3</v>
      </c>
      <c r="U12" s="44">
        <f t="shared" si="15"/>
        <v>1.3312013871841959E-2</v>
      </c>
      <c r="V12" s="44">
        <f t="shared" si="16"/>
        <v>-6.5449937201750123E-3</v>
      </c>
      <c r="W12" s="21">
        <f t="shared" si="17"/>
        <v>2.1610590675686272E-3</v>
      </c>
      <c r="Z12" s="1">
        <v>7</v>
      </c>
      <c r="AA12" s="1">
        <f t="shared" si="7"/>
        <v>8308.5460474522988</v>
      </c>
      <c r="AB12" s="1">
        <f t="shared" si="0"/>
        <v>8480.5090083076047</v>
      </c>
      <c r="AC12" s="1">
        <f t="shared" si="1"/>
        <v>8122.6206087992132</v>
      </c>
      <c r="AD12" s="1">
        <f t="shared" si="2"/>
        <v>8389.5180965858872</v>
      </c>
      <c r="AE12" s="1">
        <f t="shared" si="3"/>
        <v>8272.2403064013288</v>
      </c>
      <c r="AF12" s="1">
        <f t="shared" si="4"/>
        <v>8420.2431319972347</v>
      </c>
      <c r="AG12" s="1">
        <f t="shared" si="5"/>
        <v>8258.3161857543037</v>
      </c>
      <c r="AH12" s="1">
        <f t="shared" si="5"/>
        <v>8662.8362400460501</v>
      </c>
      <c r="AI12" s="35">
        <f t="shared" si="8"/>
        <v>8364.3537031679898</v>
      </c>
      <c r="AJ12" s="43"/>
    </row>
    <row r="13" spans="4:36" x14ac:dyDescent="0.2">
      <c r="D13" s="1">
        <v>8</v>
      </c>
      <c r="E13" s="1">
        <v>5330.3992468525703</v>
      </c>
      <c r="F13" s="1">
        <v>5101.7925778747704</v>
      </c>
      <c r="G13" s="1">
        <v>5519.2741018975203</v>
      </c>
      <c r="H13" s="1">
        <v>6601.3324865131199</v>
      </c>
      <c r="I13" s="1">
        <v>6736.20274610251</v>
      </c>
      <c r="J13" s="1">
        <v>8904.2748892831696</v>
      </c>
      <c r="K13" s="1">
        <v>7100.2783409086296</v>
      </c>
      <c r="L13" s="1">
        <v>8101.0131392451203</v>
      </c>
      <c r="N13" s="1">
        <v>8</v>
      </c>
      <c r="O13" s="44">
        <f t="shared" si="9"/>
        <v>-2.6194998376077609E-3</v>
      </c>
      <c r="P13" s="44">
        <f t="shared" si="10"/>
        <v>3.0697941770514254E-3</v>
      </c>
      <c r="Q13" s="44">
        <f t="shared" si="11"/>
        <v>3.6927109190934143E-3</v>
      </c>
      <c r="R13" s="44">
        <f t="shared" si="12"/>
        <v>1.1241898329239115E-2</v>
      </c>
      <c r="S13" s="44">
        <f t="shared" si="13"/>
        <v>6.9400412355941016E-3</v>
      </c>
      <c r="T13" s="44">
        <f t="shared" si="14"/>
        <v>-8.9097264165252585E-3</v>
      </c>
      <c r="U13" s="44">
        <f t="shared" si="15"/>
        <v>3.5034633668124928E-3</v>
      </c>
      <c r="V13" s="44">
        <f t="shared" si="16"/>
        <v>1.3134119617887238E-2</v>
      </c>
      <c r="W13" s="21">
        <f t="shared" si="17"/>
        <v>3.7566001739430957E-3</v>
      </c>
      <c r="Z13" s="1">
        <v>8</v>
      </c>
      <c r="AA13" s="1">
        <f t="shared" si="7"/>
        <v>8330.3102824743564</v>
      </c>
      <c r="AB13" s="1">
        <f t="shared" si="0"/>
        <v>8454.4755911354696</v>
      </c>
      <c r="AC13" s="1">
        <f t="shared" si="1"/>
        <v>8092.6261189854458</v>
      </c>
      <c r="AD13" s="1">
        <f t="shared" si="2"/>
        <v>8295.2039871127563</v>
      </c>
      <c r="AE13" s="1">
        <f t="shared" si="3"/>
        <v>8214.8306175641592</v>
      </c>
      <c r="AF13" s="1">
        <f t="shared" si="4"/>
        <v>8495.265194663958</v>
      </c>
      <c r="AG13" s="1">
        <f t="shared" si="5"/>
        <v>8229.3834775259584</v>
      </c>
      <c r="AH13" s="1">
        <f t="shared" si="5"/>
        <v>8549.0575126391177</v>
      </c>
      <c r="AI13" s="35">
        <f t="shared" si="8"/>
        <v>8332.6440977626535</v>
      </c>
      <c r="AJ13" s="43"/>
    </row>
    <row r="14" spans="4:36" x14ac:dyDescent="0.2">
      <c r="D14" s="1">
        <v>9</v>
      </c>
      <c r="E14" s="1">
        <v>5292.8903777084897</v>
      </c>
      <c r="F14" s="1">
        <v>5064.7275735277299</v>
      </c>
      <c r="G14" s="1">
        <v>5483.1351309389802</v>
      </c>
      <c r="H14" s="1">
        <v>6608.5776070703496</v>
      </c>
      <c r="I14" s="1">
        <v>6750.50963062134</v>
      </c>
      <c r="J14" s="1">
        <v>8869.5412981686895</v>
      </c>
      <c r="K14" s="1">
        <v>7120.08883987223</v>
      </c>
      <c r="L14" s="1">
        <v>8063.28557474229</v>
      </c>
      <c r="N14" s="1">
        <v>9</v>
      </c>
      <c r="O14" s="44">
        <f t="shared" si="9"/>
        <v>7.0367841895198277E-3</v>
      </c>
      <c r="P14" s="44">
        <f t="shared" si="10"/>
        <v>7.2650943332706946E-3</v>
      </c>
      <c r="Q14" s="44">
        <f t="shared" si="11"/>
        <v>6.5477760827489153E-3</v>
      </c>
      <c r="R14" s="44">
        <f t="shared" si="12"/>
        <v>-1.0975239577815366E-3</v>
      </c>
      <c r="S14" s="44">
        <f t="shared" si="13"/>
        <v>-2.1238797373056765E-3</v>
      </c>
      <c r="T14" s="44">
        <f t="shared" si="14"/>
        <v>3.9007770476947026E-3</v>
      </c>
      <c r="U14" s="44">
        <f t="shared" si="15"/>
        <v>-2.7901017414290828E-3</v>
      </c>
      <c r="V14" s="44">
        <f t="shared" si="16"/>
        <v>4.6571415024696406E-3</v>
      </c>
      <c r="W14" s="21">
        <f t="shared" si="17"/>
        <v>2.9245084648984359E-3</v>
      </c>
      <c r="Z14" s="1">
        <v>9</v>
      </c>
      <c r="AA14" s="1">
        <f t="shared" si="7"/>
        <v>8271.6916867848468</v>
      </c>
      <c r="AB14" s="1">
        <f t="shared" si="0"/>
        <v>8393.0530284275355</v>
      </c>
      <c r="AC14" s="1">
        <f t="shared" si="1"/>
        <v>8039.6374152369244</v>
      </c>
      <c r="AD14" s="1">
        <f t="shared" si="2"/>
        <v>8304.3081722232982</v>
      </c>
      <c r="AE14" s="1">
        <f t="shared" si="3"/>
        <v>8232.2779298582027</v>
      </c>
      <c r="AF14" s="1">
        <f t="shared" si="4"/>
        <v>8462.1270591785324</v>
      </c>
      <c r="AG14" s="1">
        <f t="shared" si="5"/>
        <v>8252.3442946974919</v>
      </c>
      <c r="AH14" s="1">
        <f t="shared" si="5"/>
        <v>8509.2433420900052</v>
      </c>
      <c r="AI14" s="35">
        <f t="shared" si="8"/>
        <v>8308.0853660621033</v>
      </c>
      <c r="AJ14" s="43"/>
    </row>
    <row r="15" spans="4:36" x14ac:dyDescent="0.2">
      <c r="D15" s="1">
        <v>10</v>
      </c>
      <c r="E15" s="1">
        <v>5313.5418412626404</v>
      </c>
      <c r="F15" s="1">
        <v>5022.8803909831504</v>
      </c>
      <c r="G15" s="1">
        <v>5472.7160817775002</v>
      </c>
      <c r="H15" s="1">
        <v>6585.5436357069102</v>
      </c>
      <c r="I15" s="1">
        <v>6797.1649574523599</v>
      </c>
      <c r="J15" s="1">
        <v>8732.9099013763098</v>
      </c>
      <c r="K15" s="1">
        <v>7110.20653199561</v>
      </c>
      <c r="L15" s="1">
        <v>8119.5166319946102</v>
      </c>
      <c r="N15" s="1">
        <v>10</v>
      </c>
      <c r="O15" s="44">
        <f t="shared" si="9"/>
        <v>-3.9017364956444823E-3</v>
      </c>
      <c r="P15" s="44">
        <f t="shared" si="10"/>
        <v>8.2624745234681409E-3</v>
      </c>
      <c r="Q15" s="44">
        <f t="shared" si="11"/>
        <v>1.9001992314013447E-3</v>
      </c>
      <c r="R15" s="44">
        <f t="shared" si="12"/>
        <v>3.4854658192703851E-3</v>
      </c>
      <c r="S15" s="44">
        <f t="shared" si="13"/>
        <v>-6.9113784564330148E-3</v>
      </c>
      <c r="T15" s="44">
        <f t="shared" si="14"/>
        <v>1.540456176923042E-2</v>
      </c>
      <c r="U15" s="44">
        <f t="shared" si="15"/>
        <v>1.3879472712867583E-3</v>
      </c>
      <c r="V15" s="44">
        <f t="shared" si="16"/>
        <v>-6.9737152096485643E-3</v>
      </c>
      <c r="W15" s="21">
        <f t="shared" si="17"/>
        <v>1.5817273066163731E-3</v>
      </c>
      <c r="Z15" s="1">
        <v>10</v>
      </c>
      <c r="AA15" s="1">
        <f t="shared" si="7"/>
        <v>8303.9656481198945</v>
      </c>
      <c r="AB15" s="1">
        <f t="shared" si="0"/>
        <v>8323.7056416060368</v>
      </c>
      <c r="AC15" s="1">
        <f t="shared" si="1"/>
        <v>8024.3605023997452</v>
      </c>
      <c r="AD15" s="1">
        <f t="shared" si="2"/>
        <v>8275.3637899363257</v>
      </c>
      <c r="AE15" s="1">
        <f t="shared" si="3"/>
        <v>8289.1743181899947</v>
      </c>
      <c r="AF15" s="1">
        <f t="shared" si="4"/>
        <v>8331.7717001963392</v>
      </c>
      <c r="AG15" s="1">
        <f t="shared" si="5"/>
        <v>8240.8904759519482</v>
      </c>
      <c r="AH15" s="1">
        <f t="shared" si="5"/>
        <v>8568.584381807339</v>
      </c>
      <c r="AI15" s="35">
        <f t="shared" si="8"/>
        <v>8294.7270572759535</v>
      </c>
      <c r="AJ15" s="43"/>
    </row>
    <row r="16" spans="4:36" x14ac:dyDescent="0.2">
      <c r="D16" s="1">
        <v>11</v>
      </c>
      <c r="E16" s="1">
        <v>5261.2193542539098</v>
      </c>
      <c r="F16" s="1">
        <v>4969.0907112800996</v>
      </c>
      <c r="G16" s="1">
        <v>5476.0815689405499</v>
      </c>
      <c r="H16" s="1">
        <v>6547.2217898527297</v>
      </c>
      <c r="I16" s="1">
        <v>6821.8462947306298</v>
      </c>
      <c r="J16" s="1">
        <v>8730.1716820874008</v>
      </c>
      <c r="K16" s="1">
        <v>7107.7057709515802</v>
      </c>
      <c r="L16" s="1">
        <v>8096.5343012487001</v>
      </c>
      <c r="N16" s="1">
        <v>11</v>
      </c>
      <c r="O16" s="44">
        <f t="shared" si="9"/>
        <v>9.8470076216238805E-3</v>
      </c>
      <c r="P16" s="44">
        <f t="shared" si="10"/>
        <v>1.070893103479262E-2</v>
      </c>
      <c r="Q16" s="44">
        <f t="shared" si="11"/>
        <v>-6.1495738363913182E-4</v>
      </c>
      <c r="R16" s="44">
        <f t="shared" si="12"/>
        <v>5.8190861641852845E-3</v>
      </c>
      <c r="S16" s="44">
        <f t="shared" si="13"/>
        <v>-3.6311223036023959E-3</v>
      </c>
      <c r="T16" s="44">
        <f t="shared" si="14"/>
        <v>3.135517622227475E-4</v>
      </c>
      <c r="U16" s="44">
        <f t="shared" si="15"/>
        <v>3.5171426213521006E-4</v>
      </c>
      <c r="V16" s="44">
        <f t="shared" si="16"/>
        <v>2.830504793271705E-3</v>
      </c>
      <c r="W16" s="21">
        <f t="shared" si="17"/>
        <v>3.2030894938737402E-3</v>
      </c>
      <c r="Z16" s="1">
        <v>11</v>
      </c>
      <c r="AA16" s="1">
        <f t="shared" si="7"/>
        <v>8222.1964350931539</v>
      </c>
      <c r="AB16" s="1">
        <f t="shared" si="0"/>
        <v>8234.5676519361623</v>
      </c>
      <c r="AC16" s="1">
        <f t="shared" si="1"/>
        <v>8029.2951421396783</v>
      </c>
      <c r="AD16" s="1">
        <f t="shared" si="2"/>
        <v>8227.2087350027068</v>
      </c>
      <c r="AE16" s="1">
        <f t="shared" si="3"/>
        <v>8319.2733239352219</v>
      </c>
      <c r="AF16" s="1">
        <f t="shared" si="4"/>
        <v>8329.1592584973059</v>
      </c>
      <c r="AG16" s="1">
        <f t="shared" si="5"/>
        <v>8237.9920372388606</v>
      </c>
      <c r="AH16" s="1">
        <f t="shared" si="5"/>
        <v>8544.3309626430801</v>
      </c>
      <c r="AI16" s="35">
        <f t="shared" si="8"/>
        <v>8268.002943310772</v>
      </c>
      <c r="AJ16" s="43"/>
    </row>
    <row r="17" spans="2:36" x14ac:dyDescent="0.2">
      <c r="D17" s="1">
        <v>12</v>
      </c>
      <c r="E17" s="1">
        <v>5333.34597830645</v>
      </c>
      <c r="F17" s="1">
        <v>4918.0127021171502</v>
      </c>
      <c r="G17" s="1">
        <v>5523.6161214912399</v>
      </c>
      <c r="H17" s="1">
        <v>6497.2405894661997</v>
      </c>
      <c r="I17" s="1">
        <v>6837.9911521612203</v>
      </c>
      <c r="J17" s="1">
        <v>8586.8857022946195</v>
      </c>
      <c r="K17" s="1">
        <v>7163.3911803299798</v>
      </c>
      <c r="L17" s="1">
        <v>8128.73548094732</v>
      </c>
      <c r="N17" s="1">
        <v>12</v>
      </c>
      <c r="O17" s="44">
        <f t="shared" si="9"/>
        <v>-1.370910794552271E-2</v>
      </c>
      <c r="P17" s="44">
        <f t="shared" si="10"/>
        <v>1.0279146051208055E-2</v>
      </c>
      <c r="Q17" s="44">
        <f t="shared" si="11"/>
        <v>-8.6803952702783557E-3</v>
      </c>
      <c r="R17" s="44">
        <f t="shared" si="12"/>
        <v>7.633955590750534E-3</v>
      </c>
      <c r="S17" s="44">
        <f t="shared" si="13"/>
        <v>-2.3666404567134849E-3</v>
      </c>
      <c r="T17" s="44">
        <f t="shared" si="14"/>
        <v>1.6412733335677235E-2</v>
      </c>
      <c r="U17" s="44">
        <f t="shared" si="15"/>
        <v>-7.8345124535092233E-3</v>
      </c>
      <c r="V17" s="44">
        <f t="shared" si="16"/>
        <v>-3.9771559658128763E-3</v>
      </c>
      <c r="W17" s="21">
        <f t="shared" si="17"/>
        <v>-2.8024713927510346E-4</v>
      </c>
      <c r="Z17" s="1">
        <v>12</v>
      </c>
      <c r="AA17" s="1">
        <f t="shared" si="7"/>
        <v>8334.9154135711378</v>
      </c>
      <c r="AB17" s="1">
        <f t="shared" si="0"/>
        <v>8149.9233283733583</v>
      </c>
      <c r="AC17" s="1">
        <f t="shared" si="1"/>
        <v>8098.9925977151761</v>
      </c>
      <c r="AD17" s="1">
        <f t="shared" si="2"/>
        <v>8164.4025888838614</v>
      </c>
      <c r="AE17" s="1">
        <f t="shared" si="3"/>
        <v>8338.9620527541047</v>
      </c>
      <c r="AF17" s="1">
        <f t="shared" si="4"/>
        <v>8192.454988677202</v>
      </c>
      <c r="AG17" s="1">
        <f t="shared" si="5"/>
        <v>8302.5326884465194</v>
      </c>
      <c r="AH17" s="1">
        <f t="shared" si="5"/>
        <v>8578.313099505036</v>
      </c>
      <c r="AI17" s="35">
        <f t="shared" si="8"/>
        <v>8270.0620947407988</v>
      </c>
      <c r="AJ17" s="43"/>
    </row>
    <row r="18" spans="2:36" x14ac:dyDescent="0.2">
      <c r="D18" s="1">
        <v>13</v>
      </c>
      <c r="E18" s="1">
        <v>5323.3243201169498</v>
      </c>
      <c r="F18" s="1">
        <v>4936.0027225656504</v>
      </c>
      <c r="G18" s="1">
        <v>5577.5862850306303</v>
      </c>
      <c r="H18" s="1">
        <v>6690.5777819410796</v>
      </c>
      <c r="I18" s="1">
        <v>6716.9759289400399</v>
      </c>
      <c r="J18" s="1">
        <v>8506.1949452786193</v>
      </c>
      <c r="K18" s="1">
        <v>7171.3647115947797</v>
      </c>
      <c r="L18" s="1">
        <v>8236.8700000000008</v>
      </c>
      <c r="N18" s="1">
        <v>13</v>
      </c>
      <c r="O18" s="44">
        <f t="shared" si="9"/>
        <v>1.8790564554153366E-3</v>
      </c>
      <c r="P18" s="44">
        <f t="shared" si="10"/>
        <v>-3.657985763386848E-3</v>
      </c>
      <c r="Q18" s="44">
        <f t="shared" si="11"/>
        <v>-9.7708027408718139E-3</v>
      </c>
      <c r="R18" s="44">
        <f t="shared" si="12"/>
        <v>-2.9756815960968453E-2</v>
      </c>
      <c r="S18" s="44">
        <f t="shared" si="13"/>
        <v>1.7697481691378351E-2</v>
      </c>
      <c r="T18" s="44">
        <f t="shared" si="14"/>
        <v>9.3969757853464442E-3</v>
      </c>
      <c r="U18" s="44">
        <f t="shared" si="15"/>
        <v>-1.1130944917114847E-3</v>
      </c>
      <c r="V18" s="44">
        <f t="shared" si="16"/>
        <v>-1.3302747925078118E-2</v>
      </c>
      <c r="W18" s="21">
        <f t="shared" si="17"/>
        <v>-3.5784916187345727E-3</v>
      </c>
      <c r="Z18" s="1">
        <v>13</v>
      </c>
      <c r="AA18" s="1">
        <f t="shared" si="7"/>
        <v>8319.2536369579266</v>
      </c>
      <c r="AB18" s="1">
        <f t="shared" si="0"/>
        <v>8179.7356318812426</v>
      </c>
      <c r="AC18" s="1">
        <f t="shared" si="1"/>
        <v>8178.1262567872327</v>
      </c>
      <c r="AD18" s="1">
        <f t="shared" si="2"/>
        <v>8407.349214152533</v>
      </c>
      <c r="AE18" s="1">
        <f t="shared" si="3"/>
        <v>8191.3834245003891</v>
      </c>
      <c r="AF18" s="1">
        <f t="shared" si="4"/>
        <v>8115.4706875260617</v>
      </c>
      <c r="AG18" s="1">
        <f t="shared" si="5"/>
        <v>8311.7741918492829</v>
      </c>
      <c r="AH18" s="1">
        <f t="shared" si="5"/>
        <v>8692.4282362901467</v>
      </c>
      <c r="AI18" s="35">
        <f t="shared" si="8"/>
        <v>8299.4401599931025</v>
      </c>
      <c r="AJ18" s="43"/>
    </row>
    <row r="19" spans="2:36" x14ac:dyDescent="0.2">
      <c r="D19" s="1">
        <v>14</v>
      </c>
      <c r="E19" s="1">
        <v>5300.0622792417598</v>
      </c>
      <c r="F19" s="1">
        <v>4948.1423564032602</v>
      </c>
      <c r="G19" s="1">
        <v>5576.2292047523197</v>
      </c>
      <c r="H19" s="1">
        <v>6702.90814680326</v>
      </c>
      <c r="I19" s="1">
        <v>6749.2878962600998</v>
      </c>
      <c r="J19" s="1">
        <v>8603.1222454553699</v>
      </c>
      <c r="K19" s="1">
        <v>7379.8642906819796</v>
      </c>
      <c r="L19" s="1">
        <v>8144.93</v>
      </c>
      <c r="N19" s="1">
        <v>14</v>
      </c>
      <c r="O19" s="44">
        <f t="shared" si="9"/>
        <v>4.3698334868086611E-3</v>
      </c>
      <c r="P19" s="44">
        <f t="shared" si="10"/>
        <v>-2.4594058228760173E-3</v>
      </c>
      <c r="Q19" s="44">
        <f t="shared" si="11"/>
        <v>2.4330959826704895E-4</v>
      </c>
      <c r="R19" s="44">
        <f t="shared" si="12"/>
        <v>-1.8429446998526828E-3</v>
      </c>
      <c r="S19" s="44">
        <f t="shared" si="13"/>
        <v>-4.8104932430744693E-3</v>
      </c>
      <c r="T19" s="44">
        <f t="shared" si="14"/>
        <v>-1.1394906982533979E-2</v>
      </c>
      <c r="U19" s="44">
        <f t="shared" si="15"/>
        <v>-2.9073905382345756E-2</v>
      </c>
      <c r="V19" s="44">
        <f t="shared" si="16"/>
        <v>1.1162006927388741E-2</v>
      </c>
      <c r="W19" s="21">
        <f t="shared" si="17"/>
        <v>-4.2258132647773061E-3</v>
      </c>
      <c r="Z19" s="1">
        <v>14</v>
      </c>
      <c r="AA19" s="1">
        <f t="shared" si="7"/>
        <v>8282.899883829894</v>
      </c>
      <c r="AB19" s="1">
        <f t="shared" si="0"/>
        <v>8199.8529213238762</v>
      </c>
      <c r="AC19" s="1">
        <f t="shared" si="1"/>
        <v>8176.1364401731162</v>
      </c>
      <c r="AD19" s="1">
        <f t="shared" si="2"/>
        <v>8422.8434938265673</v>
      </c>
      <c r="AE19" s="1">
        <f t="shared" si="3"/>
        <v>8230.7880191153799</v>
      </c>
      <c r="AF19" s="1">
        <f t="shared" si="4"/>
        <v>8207.9457211299032</v>
      </c>
      <c r="AG19" s="1">
        <f t="shared" si="5"/>
        <v>8553.4299282625325</v>
      </c>
      <c r="AH19" s="1">
        <f t="shared" si="5"/>
        <v>8595.4032921008475</v>
      </c>
      <c r="AI19" s="35">
        <f t="shared" si="8"/>
        <v>8333.6624624702636</v>
      </c>
      <c r="AJ19" s="43"/>
    </row>
    <row r="20" spans="2:36" x14ac:dyDescent="0.2">
      <c r="D20" s="1">
        <v>15</v>
      </c>
      <c r="E20" s="1">
        <v>5297.9177573837196</v>
      </c>
      <c r="F20" s="1">
        <v>4973.1911772267804</v>
      </c>
      <c r="G20" s="1">
        <v>5500.5244629724502</v>
      </c>
      <c r="H20" s="1">
        <v>6592.7197029860399</v>
      </c>
      <c r="I20" s="1">
        <v>6764.9854091177504</v>
      </c>
      <c r="J20" s="1">
        <v>8743.6364985226191</v>
      </c>
      <c r="K20" s="1">
        <v>7325.9072803774698</v>
      </c>
      <c r="L20" s="1">
        <v>8140.04</v>
      </c>
      <c r="N20" s="1">
        <v>15</v>
      </c>
      <c r="O20" s="44">
        <f t="shared" si="9"/>
        <v>4.0462201103550198E-4</v>
      </c>
      <c r="P20" s="44">
        <f t="shared" si="10"/>
        <v>-5.0622676186963637E-3</v>
      </c>
      <c r="Q20" s="44">
        <f t="shared" si="11"/>
        <v>1.3576332499989486E-2</v>
      </c>
      <c r="R20" s="44">
        <f t="shared" si="12"/>
        <v>1.6438901056666129E-2</v>
      </c>
      <c r="S20" s="44">
        <f t="shared" si="13"/>
        <v>-2.3258028252652815E-3</v>
      </c>
      <c r="T20" s="44">
        <f t="shared" si="14"/>
        <v>-1.6332936933620396E-2</v>
      </c>
      <c r="U20" s="44">
        <f t="shared" si="15"/>
        <v>7.3113824562651419E-3</v>
      </c>
      <c r="V20" s="44">
        <f t="shared" si="16"/>
        <v>6.0037348387282979E-4</v>
      </c>
      <c r="W20" s="21">
        <f t="shared" si="17"/>
        <v>1.8263255162808808E-3</v>
      </c>
      <c r="Z20" s="1">
        <v>15</v>
      </c>
      <c r="AA20" s="1">
        <f t="shared" si="7"/>
        <v>8279.5484402216935</v>
      </c>
      <c r="AB20" s="1">
        <f t="shared" si="0"/>
        <v>8241.3627712455673</v>
      </c>
      <c r="AC20" s="1">
        <f t="shared" si="1"/>
        <v>8065.1344932960455</v>
      </c>
      <c r="AD20" s="1">
        <f t="shared" si="2"/>
        <v>8284.3812030157678</v>
      </c>
      <c r="AE20" s="1">
        <f t="shared" si="3"/>
        <v>8249.931209144399</v>
      </c>
      <c r="AF20" s="1">
        <f t="shared" si="4"/>
        <v>8342.0055809476962</v>
      </c>
      <c r="AG20" s="1">
        <f t="shared" si="5"/>
        <v>8490.8925307441405</v>
      </c>
      <c r="AH20" s="1">
        <f t="shared" si="5"/>
        <v>8590.2428398810771</v>
      </c>
      <c r="AI20" s="35">
        <f t="shared" si="8"/>
        <v>8317.9373835620481</v>
      </c>
      <c r="AJ20" s="43"/>
    </row>
    <row r="21" spans="2:36" x14ac:dyDescent="0.2">
      <c r="D21" s="1">
        <v>16</v>
      </c>
      <c r="E21" s="1">
        <v>5239.4002281432604</v>
      </c>
      <c r="F21" s="1">
        <v>4944.3897932440696</v>
      </c>
      <c r="G21" s="1">
        <v>5528.8237719864201</v>
      </c>
      <c r="H21" s="1">
        <v>6587.9026625292599</v>
      </c>
      <c r="I21" s="1">
        <v>6813.5625541716699</v>
      </c>
      <c r="J21" s="1">
        <v>8736.2588984388494</v>
      </c>
      <c r="K21" s="1">
        <v>7383.8877537907401</v>
      </c>
      <c r="L21" s="1">
        <v>8078.11</v>
      </c>
      <c r="N21" s="1">
        <v>16</v>
      </c>
      <c r="O21" s="44">
        <f t="shared" si="9"/>
        <v>1.1045382718314798E-2</v>
      </c>
      <c r="P21" s="44">
        <f t="shared" si="10"/>
        <v>5.7913285366140814E-3</v>
      </c>
      <c r="Q21" s="44">
        <f t="shared" si="11"/>
        <v>-5.1448383157770847E-3</v>
      </c>
      <c r="R21" s="44">
        <f t="shared" si="12"/>
        <v>7.3066058831504637E-4</v>
      </c>
      <c r="S21" s="44">
        <f t="shared" si="13"/>
        <v>-7.1806725537719588E-3</v>
      </c>
      <c r="T21" s="44">
        <f t="shared" si="14"/>
        <v>8.4376793168566507E-4</v>
      </c>
      <c r="U21" s="44">
        <f t="shared" si="15"/>
        <v>-7.9144427023492038E-3</v>
      </c>
      <c r="V21" s="44">
        <f t="shared" si="16"/>
        <v>7.6080707220112301E-3</v>
      </c>
      <c r="W21" s="21">
        <f t="shared" si="17"/>
        <v>7.2240711563032205E-4</v>
      </c>
      <c r="Z21" s="1">
        <v>16</v>
      </c>
      <c r="AA21" s="1">
        <f t="shared" si="7"/>
        <v>8188.0976589646179</v>
      </c>
      <c r="AB21" s="1">
        <f t="shared" si="0"/>
        <v>8193.6343318478648</v>
      </c>
      <c r="AC21" s="1">
        <f t="shared" si="1"/>
        <v>8106.6283062590501</v>
      </c>
      <c r="AD21" s="1">
        <f t="shared" si="2"/>
        <v>8278.3281321721461</v>
      </c>
      <c r="AE21" s="1">
        <f t="shared" si="3"/>
        <v>8309.1712637484088</v>
      </c>
      <c r="AF21" s="1">
        <f t="shared" si="4"/>
        <v>8334.9668641525495</v>
      </c>
      <c r="AG21" s="1">
        <f t="shared" si="5"/>
        <v>8558.0932131705194</v>
      </c>
      <c r="AH21" s="1">
        <f t="shared" si="5"/>
        <v>8524.887664836011</v>
      </c>
      <c r="AI21" s="35">
        <f t="shared" si="8"/>
        <v>8311.7259293938969</v>
      </c>
      <c r="AJ21" s="43"/>
    </row>
    <row r="22" spans="2:36" x14ac:dyDescent="0.2">
      <c r="D22" s="1">
        <v>17</v>
      </c>
      <c r="E22" s="1">
        <v>5216.23346167214</v>
      </c>
      <c r="F22" s="1">
        <v>4929.71592964718</v>
      </c>
      <c r="G22" s="1">
        <v>5529.7100517869903</v>
      </c>
      <c r="H22" s="1">
        <v>6592.5587614218202</v>
      </c>
      <c r="I22" s="1">
        <v>6827.3701908409303</v>
      </c>
      <c r="J22" s="1">
        <v>8647.7550929334102</v>
      </c>
      <c r="K22" s="1">
        <v>7353.7680984472499</v>
      </c>
      <c r="L22" s="1">
        <v>8050</v>
      </c>
      <c r="N22" s="1">
        <v>17</v>
      </c>
      <c r="O22" s="44">
        <f t="shared" si="9"/>
        <v>4.4216447422132125E-3</v>
      </c>
      <c r="P22" s="44">
        <f t="shared" si="10"/>
        <v>2.9677804967843859E-3</v>
      </c>
      <c r="Q22" s="44">
        <f t="shared" si="11"/>
        <v>-1.6030169112296337E-4</v>
      </c>
      <c r="R22" s="44">
        <f t="shared" si="12"/>
        <v>-7.067649798536492E-4</v>
      </c>
      <c r="S22" s="44">
        <f t="shared" si="13"/>
        <v>-2.0264929777164017E-3</v>
      </c>
      <c r="T22" s="44">
        <f t="shared" si="14"/>
        <v>1.0130629887955206E-2</v>
      </c>
      <c r="U22" s="44">
        <f t="shared" si="15"/>
        <v>4.0791052556327619E-3</v>
      </c>
      <c r="V22" s="44">
        <f t="shared" si="16"/>
        <v>3.4797743531593001E-3</v>
      </c>
      <c r="W22" s="21">
        <f t="shared" si="17"/>
        <v>2.7731718858814815E-3</v>
      </c>
      <c r="Z22" s="1">
        <v>17</v>
      </c>
      <c r="AA22" s="1">
        <f t="shared" si="7"/>
        <v>8151.8928000021288</v>
      </c>
      <c r="AB22" s="1">
        <f t="shared" si="0"/>
        <v>8169.3174236800232</v>
      </c>
      <c r="AC22" s="1">
        <f t="shared" si="1"/>
        <v>8107.9278124858492</v>
      </c>
      <c r="AD22" s="1">
        <f t="shared" si="2"/>
        <v>8284.1789645877016</v>
      </c>
      <c r="AE22" s="1">
        <f t="shared" si="3"/>
        <v>8326.0097409650371</v>
      </c>
      <c r="AF22" s="1">
        <f t="shared" si="4"/>
        <v>8250.528399723451</v>
      </c>
      <c r="AG22" s="1">
        <f t="shared" si="5"/>
        <v>8523.1838501664806</v>
      </c>
      <c r="AH22" s="1">
        <f t="shared" si="5"/>
        <v>8495.2229793763508</v>
      </c>
      <c r="AI22" s="35">
        <f t="shared" si="8"/>
        <v>8288.5327463733774</v>
      </c>
      <c r="AJ22" s="43"/>
    </row>
    <row r="23" spans="2:36" x14ac:dyDescent="0.2">
      <c r="D23" s="1">
        <v>18</v>
      </c>
      <c r="E23" s="1">
        <v>5237.1118695661598</v>
      </c>
      <c r="F23" s="1">
        <v>4887.5322475433404</v>
      </c>
      <c r="G23" s="1">
        <v>5563.9728013746499</v>
      </c>
      <c r="H23" s="1">
        <v>6553.8190341075997</v>
      </c>
      <c r="I23" s="1">
        <v>6733.7316754227404</v>
      </c>
      <c r="J23" s="1">
        <v>8649.7599033960196</v>
      </c>
      <c r="K23" s="1">
        <v>7286.2033468657401</v>
      </c>
      <c r="L23" s="1">
        <v>7931.6208713129599</v>
      </c>
      <c r="N23" s="1">
        <v>18</v>
      </c>
      <c r="O23" s="44">
        <f t="shared" si="9"/>
        <v>-4.0025830989794163E-3</v>
      </c>
      <c r="P23" s="44">
        <f t="shared" si="10"/>
        <v>8.5570208721658918E-3</v>
      </c>
      <c r="Q23" s="44">
        <f t="shared" si="11"/>
        <v>-6.1961204596228548E-3</v>
      </c>
      <c r="R23" s="44">
        <f t="shared" si="12"/>
        <v>5.8762809276599499E-3</v>
      </c>
      <c r="S23" s="44">
        <f t="shared" si="13"/>
        <v>1.3715165986430326E-2</v>
      </c>
      <c r="T23" s="44">
        <f t="shared" si="14"/>
        <v>-2.3183016182403606E-4</v>
      </c>
      <c r="U23" s="44">
        <f t="shared" si="15"/>
        <v>9.187772945379688E-3</v>
      </c>
      <c r="V23" s="44">
        <f t="shared" si="16"/>
        <v>1.4705481824477026E-2</v>
      </c>
      <c r="W23" s="21">
        <f t="shared" si="17"/>
        <v>5.201398604460822E-3</v>
      </c>
      <c r="Z23" s="1">
        <v>18</v>
      </c>
      <c r="AA23" s="1">
        <f t="shared" si="7"/>
        <v>8184.5214283481091</v>
      </c>
      <c r="AB23" s="1">
        <f t="shared" si="0"/>
        <v>8099.4124039742446</v>
      </c>
      <c r="AC23" s="1">
        <f t="shared" si="1"/>
        <v>8158.1655098899391</v>
      </c>
      <c r="AD23" s="1">
        <f t="shared" si="2"/>
        <v>8235.4988017367741</v>
      </c>
      <c r="AE23" s="1">
        <f t="shared" si="3"/>
        <v>8211.817135363066</v>
      </c>
      <c r="AF23" s="1">
        <f t="shared" si="4"/>
        <v>8252.4411210574926</v>
      </c>
      <c r="AG23" s="1">
        <f t="shared" si="5"/>
        <v>8444.8747721794243</v>
      </c>
      <c r="AH23" s="1">
        <f t="shared" si="5"/>
        <v>8370.2966322582506</v>
      </c>
      <c r="AI23" s="35">
        <f t="shared" si="8"/>
        <v>8244.6284756009118</v>
      </c>
      <c r="AJ23" s="43"/>
    </row>
    <row r="24" spans="2:36" x14ac:dyDescent="0.2">
      <c r="D24" s="1">
        <v>19</v>
      </c>
      <c r="E24" s="1">
        <v>5234.1981750220302</v>
      </c>
      <c r="F24" s="1">
        <v>4835.7196787661796</v>
      </c>
      <c r="G24" s="1">
        <v>5541.3950764046103</v>
      </c>
      <c r="H24" s="1">
        <v>6560.49677727786</v>
      </c>
      <c r="I24" s="1">
        <v>6727.3164285984903</v>
      </c>
      <c r="K24" s="1">
        <v>7314.6231669906701</v>
      </c>
      <c r="L24" s="1">
        <v>7960</v>
      </c>
      <c r="N24" s="1">
        <v>19</v>
      </c>
      <c r="O24" s="44">
        <f t="shared" ref="O24:S28" si="18">(E23-E24)/E23</f>
        <v>5.5635522339357265E-4</v>
      </c>
      <c r="P24" s="44">
        <f t="shared" si="18"/>
        <v>1.0600967145168965E-2</v>
      </c>
      <c r="Q24" s="44">
        <f t="shared" si="18"/>
        <v>4.0578424402904004E-3</v>
      </c>
      <c r="R24" s="44">
        <f t="shared" si="18"/>
        <v>-1.018908690567713E-3</v>
      </c>
      <c r="S24" s="44">
        <f t="shared" si="18"/>
        <v>9.5270306770091427E-4</v>
      </c>
      <c r="T24" s="44"/>
      <c r="U24" s="44">
        <f>(K23-K24)/K23</f>
        <v>-3.9004978000175164E-3</v>
      </c>
      <c r="V24" s="44">
        <f t="shared" si="16"/>
        <v>-3.5779734240300783E-3</v>
      </c>
      <c r="W24" s="21">
        <f t="shared" si="17"/>
        <v>1.0957839945626489E-3</v>
      </c>
      <c r="Z24" s="1">
        <v>19</v>
      </c>
      <c r="AA24" s="1">
        <f t="shared" si="7"/>
        <v>8179.9679271004716</v>
      </c>
      <c r="AB24" s="1">
        <f t="shared" si="0"/>
        <v>8013.5507991845398</v>
      </c>
      <c r="AC24" s="1">
        <f t="shared" si="1"/>
        <v>8125.060959648993</v>
      </c>
      <c r="AD24" s="1">
        <f t="shared" si="2"/>
        <v>8243.8900230370236</v>
      </c>
      <c r="AE24" s="1">
        <f t="shared" si="3"/>
        <v>8203.9937119868064</v>
      </c>
      <c r="AG24" s="1">
        <f t="shared" si="5"/>
        <v>8477.8139876497335</v>
      </c>
      <c r="AH24" s="1">
        <f t="shared" si="5"/>
        <v>8400.2453311597201</v>
      </c>
      <c r="AI24" s="35">
        <f t="shared" si="8"/>
        <v>8234.9318199667559</v>
      </c>
      <c r="AJ24" s="43"/>
    </row>
    <row r="25" spans="2:36" x14ac:dyDescent="0.2">
      <c r="D25" s="1">
        <v>20</v>
      </c>
      <c r="E25" s="1">
        <v>5232.1839261923196</v>
      </c>
      <c r="F25" s="1">
        <v>4825.8787844708104</v>
      </c>
      <c r="G25" s="1">
        <v>5535.6564010196098</v>
      </c>
      <c r="H25" s="1">
        <v>6491.8203893079199</v>
      </c>
      <c r="I25" s="1">
        <v>6708.5457844975799</v>
      </c>
      <c r="K25" s="1">
        <v>7201.7744955815797</v>
      </c>
      <c r="L25" s="1">
        <v>7932.8904226969098</v>
      </c>
      <c r="N25" s="1">
        <v>20</v>
      </c>
      <c r="O25" s="44">
        <f t="shared" si="18"/>
        <v>3.8482471667250501E-4</v>
      </c>
      <c r="P25" s="44">
        <f t="shared" si="18"/>
        <v>2.03504234097377E-3</v>
      </c>
      <c r="Q25" s="44">
        <f t="shared" si="18"/>
        <v>1.0356011989536618E-3</v>
      </c>
      <c r="R25" s="44">
        <f t="shared" si="18"/>
        <v>1.0468168844743489E-2</v>
      </c>
      <c r="S25" s="44">
        <f t="shared" si="18"/>
        <v>2.7902127542439596E-3</v>
      </c>
      <c r="T25" s="44"/>
      <c r="U25" s="44">
        <f>(K24-K25)/K24</f>
        <v>1.5427817514694724E-2</v>
      </c>
      <c r="V25" s="44">
        <f t="shared" si="16"/>
        <v>3.4057257918455016E-3</v>
      </c>
      <c r="W25" s="21">
        <f t="shared" si="17"/>
        <v>5.0781990231610879E-3</v>
      </c>
      <c r="Z25" s="1">
        <v>20</v>
      </c>
      <c r="AA25" s="1">
        <f t="shared" si="7"/>
        <v>8176.8200732605346</v>
      </c>
      <c r="AB25" s="1">
        <f t="shared" si="0"/>
        <v>7997.2428840066559</v>
      </c>
      <c r="AC25" s="1">
        <f t="shared" si="1"/>
        <v>8116.6466367776093</v>
      </c>
      <c r="AD25" s="1">
        <f t="shared" si="2"/>
        <v>8157.5915903383757</v>
      </c>
      <c r="AE25" s="1">
        <f t="shared" si="3"/>
        <v>8181.102824095884</v>
      </c>
      <c r="AG25" s="1">
        <f t="shared" si="5"/>
        <v>8347.019820524747</v>
      </c>
      <c r="AH25" s="1">
        <f t="shared" si="5"/>
        <v>8371.63639897756</v>
      </c>
      <c r="AI25" s="35">
        <f t="shared" si="8"/>
        <v>8192.5800325687651</v>
      </c>
      <c r="AJ25" s="43"/>
    </row>
    <row r="26" spans="2:36" x14ac:dyDescent="0.2">
      <c r="D26" s="1">
        <v>21</v>
      </c>
      <c r="E26" s="1">
        <v>5174.34805045546</v>
      </c>
      <c r="F26" s="1">
        <v>4809.5745914327499</v>
      </c>
      <c r="G26" s="1">
        <v>5583.9321547767804</v>
      </c>
      <c r="H26" s="1">
        <v>6500.8612695823704</v>
      </c>
      <c r="I26" s="1">
        <v>6704.4144405955003</v>
      </c>
      <c r="K26" s="1">
        <v>7169.9215657064797</v>
      </c>
      <c r="L26" s="1">
        <v>7935.7365382252901</v>
      </c>
      <c r="N26" s="1">
        <v>21</v>
      </c>
      <c r="O26" s="44">
        <f t="shared" si="18"/>
        <v>1.1053869006273491E-2</v>
      </c>
      <c r="P26" s="44">
        <f t="shared" si="18"/>
        <v>3.378492035590641E-3</v>
      </c>
      <c r="Q26" s="44">
        <f t="shared" si="18"/>
        <v>-8.7208725144643576E-3</v>
      </c>
      <c r="R26" s="44">
        <f t="shared" si="18"/>
        <v>-1.3926571796935268E-3</v>
      </c>
      <c r="S26" s="44">
        <f t="shared" si="18"/>
        <v>6.1583300387194322E-4</v>
      </c>
      <c r="T26" s="44"/>
      <c r="U26" s="44">
        <f>(K25-K26)/K25</f>
        <v>4.4229279734657578E-3</v>
      </c>
      <c r="V26" s="44">
        <f t="shared" si="16"/>
        <v>-3.5877408822353836E-4</v>
      </c>
      <c r="W26" s="21">
        <f t="shared" si="17"/>
        <v>1.2855454624029156E-3</v>
      </c>
      <c r="Z26" s="1">
        <v>21</v>
      </c>
      <c r="AA26" s="1">
        <f t="shared" si="7"/>
        <v>8086.4345752828449</v>
      </c>
      <c r="AB26" s="1">
        <f t="shared" si="0"/>
        <v>7970.2242626163543</v>
      </c>
      <c r="AC26" s="1">
        <f t="shared" si="1"/>
        <v>8187.4308773419025</v>
      </c>
      <c r="AD26" s="1">
        <f t="shared" si="2"/>
        <v>8168.9523188356679</v>
      </c>
      <c r="AE26" s="1">
        <f t="shared" si="3"/>
        <v>8176.0646309687363</v>
      </c>
      <c r="AG26" s="1">
        <f t="shared" si="5"/>
        <v>8310.1015530654749</v>
      </c>
      <c r="AH26" s="1">
        <f t="shared" si="5"/>
        <v>8374.6399251935418</v>
      </c>
      <c r="AI26" s="35">
        <f t="shared" si="8"/>
        <v>8181.9783061863609</v>
      </c>
      <c r="AJ26" s="43"/>
    </row>
    <row r="27" spans="2:36" x14ac:dyDescent="0.2">
      <c r="D27" s="1">
        <v>22</v>
      </c>
      <c r="E27" s="1">
        <v>5093.85004782738</v>
      </c>
      <c r="F27" s="1">
        <v>4820.5417162549802</v>
      </c>
      <c r="G27" s="1">
        <v>5501.8360780368102</v>
      </c>
      <c r="H27" s="1">
        <v>6508.1697249115095</v>
      </c>
      <c r="I27" s="1">
        <v>6683.7205566439998</v>
      </c>
      <c r="K27" s="1">
        <v>7157.3114190874903</v>
      </c>
      <c r="L27" s="1">
        <v>7982.9014588882901</v>
      </c>
      <c r="N27" s="1">
        <v>22</v>
      </c>
      <c r="O27" s="44">
        <f t="shared" si="18"/>
        <v>1.5557129486292362E-2</v>
      </c>
      <c r="P27" s="44">
        <f t="shared" si="18"/>
        <v>-2.2802692033856643E-3</v>
      </c>
      <c r="Q27" s="44">
        <f t="shared" si="18"/>
        <v>1.4702198104205293E-2</v>
      </c>
      <c r="R27" s="44">
        <f t="shared" si="18"/>
        <v>-1.1242287792443061E-3</v>
      </c>
      <c r="S27" s="44">
        <f t="shared" si="18"/>
        <v>3.0866057184947035E-3</v>
      </c>
      <c r="T27" s="44"/>
      <c r="U27" s="44">
        <f>(K26-K27)/K26</f>
        <v>1.7587565642702846E-3</v>
      </c>
      <c r="V27" s="44">
        <f t="shared" si="16"/>
        <v>-5.9433576752218782E-3</v>
      </c>
      <c r="W27" s="21">
        <f t="shared" si="17"/>
        <v>3.6795477450586853E-3</v>
      </c>
      <c r="Z27" s="1">
        <v>22</v>
      </c>
      <c r="AA27" s="1">
        <f t="shared" si="7"/>
        <v>7960.6328655127381</v>
      </c>
      <c r="AB27" s="1">
        <f t="shared" si="0"/>
        <v>7988.3985195464766</v>
      </c>
      <c r="AC27" s="1">
        <f t="shared" si="1"/>
        <v>8067.057646618734</v>
      </c>
      <c r="AD27" s="1">
        <f t="shared" si="2"/>
        <v>8178.1360901287771</v>
      </c>
      <c r="AE27" s="1">
        <f t="shared" si="3"/>
        <v>8150.8283431240061</v>
      </c>
      <c r="AG27" s="1">
        <f t="shared" si="5"/>
        <v>8295.4861074092678</v>
      </c>
      <c r="AH27" s="1">
        <f t="shared" si="5"/>
        <v>8424.4134056701605</v>
      </c>
      <c r="AI27" s="35">
        <f t="shared" si="8"/>
        <v>8152.136139715737</v>
      </c>
      <c r="AJ27" s="43"/>
    </row>
    <row r="28" spans="2:36" x14ac:dyDescent="0.2">
      <c r="D28" s="1">
        <v>23</v>
      </c>
      <c r="E28" s="1">
        <v>5002.20044940554</v>
      </c>
      <c r="F28" s="1">
        <v>4802.86607406229</v>
      </c>
      <c r="G28" s="1">
        <v>5490.7724958121898</v>
      </c>
      <c r="H28" s="1">
        <v>6453.1852521751898</v>
      </c>
      <c r="I28" s="1">
        <v>6737.9345994892001</v>
      </c>
      <c r="K28" s="1">
        <v>7117.0469734675198</v>
      </c>
      <c r="N28" s="1">
        <v>23</v>
      </c>
      <c r="O28" s="44">
        <f t="shared" si="18"/>
        <v>1.7992205809224834E-2</v>
      </c>
      <c r="P28" s="44">
        <f t="shared" si="18"/>
        <v>3.6667335816403302E-3</v>
      </c>
      <c r="Q28" s="44">
        <f t="shared" si="18"/>
        <v>2.0108891046001793E-3</v>
      </c>
      <c r="R28" s="44">
        <f t="shared" si="18"/>
        <v>8.4485308558954874E-3</v>
      </c>
      <c r="S28" s="44">
        <f t="shared" si="18"/>
        <v>-8.1113568985628007E-3</v>
      </c>
      <c r="T28" s="44"/>
      <c r="U28" s="44">
        <f>(K27-K28)/K27</f>
        <v>5.6256383524952097E-3</v>
      </c>
      <c r="V28" s="44"/>
      <c r="W28" s="21">
        <f t="shared" si="17"/>
        <v>4.9387734675488742E-3</v>
      </c>
      <c r="Z28" s="1">
        <v>23</v>
      </c>
      <c r="AA28" s="1">
        <f t="shared" si="7"/>
        <v>7817.4035206247536</v>
      </c>
      <c r="AB28" s="1">
        <f t="shared" si="0"/>
        <v>7959.1071904313294</v>
      </c>
      <c r="AC28" s="1">
        <f t="shared" si="1"/>
        <v>8050.8356882909684</v>
      </c>
      <c r="AD28" s="1">
        <f t="shared" si="2"/>
        <v>8109.0428550276119</v>
      </c>
      <c r="AE28" s="1">
        <f t="shared" si="3"/>
        <v>8216.9426208340064</v>
      </c>
      <c r="AG28" s="1">
        <f t="shared" si="5"/>
        <v>8248.8187026108353</v>
      </c>
      <c r="AI28" s="35">
        <f t="shared" si="8"/>
        <v>8067.0250963032513</v>
      </c>
      <c r="AJ28" s="43"/>
    </row>
    <row r="29" spans="2:36" x14ac:dyDescent="0.2">
      <c r="M29" s="20" t="s">
        <v>59</v>
      </c>
      <c r="W29" s="45"/>
    </row>
    <row r="30" spans="2:36" x14ac:dyDescent="0.2">
      <c r="B30" s="46" t="s">
        <v>60</v>
      </c>
      <c r="C30" s="46"/>
      <c r="D30" s="46"/>
      <c r="E30" s="44">
        <f>1-(E28/E5)^(1/(COUNTA(E5:E28)-1))</f>
        <v>5.3796078130212699E-3</v>
      </c>
      <c r="F30" s="44">
        <f t="shared" ref="F30:K30" si="19">1-(F28/F5)^(1/(COUNTA(F5:F28)-1))</f>
        <v>4.6024468907255311E-3</v>
      </c>
      <c r="G30" s="44">
        <f t="shared" si="19"/>
        <v>4.1063960711296144E-3</v>
      </c>
      <c r="H30" s="44">
        <f t="shared" si="19"/>
        <v>3.7944185058157442E-3</v>
      </c>
      <c r="I30" s="44">
        <f t="shared" si="19"/>
        <v>3.2217235566610603E-3</v>
      </c>
      <c r="J30" s="44">
        <f>1-(J23/J5)^(1/(COUNTA(J5:J28)-1))</f>
        <v>3.8762683000486131E-3</v>
      </c>
      <c r="K30" s="44">
        <f t="shared" si="19"/>
        <v>3.0539123585622274E-3</v>
      </c>
      <c r="L30" s="44">
        <f>1-(L27/L5)^(1/(COUNTA(L5:L28)-1))</f>
        <v>2.2376568251901707E-3</v>
      </c>
      <c r="M30" s="21">
        <f>AVERAGE(E30:K30)</f>
        <v>4.0049676422805802E-3</v>
      </c>
      <c r="W30" s="45"/>
    </row>
    <row r="31" spans="2:36" x14ac:dyDescent="0.2">
      <c r="B31" s="46" t="s">
        <v>61</v>
      </c>
      <c r="C31" s="46"/>
      <c r="D31" s="46"/>
      <c r="E31" s="44">
        <f>1-(E28/E6)^(1/(COUNTA(E6:E28)-1))</f>
        <v>5.5439666994225867E-3</v>
      </c>
      <c r="F31" s="44">
        <f t="shared" ref="F31:K31" si="20">1-(F28/F6)^(1/(COUNTA(F6:F28)-1))</f>
        <v>3.511785218590302E-3</v>
      </c>
      <c r="G31" s="44">
        <f t="shared" si="20"/>
        <v>2.183799529063335E-3</v>
      </c>
      <c r="H31" s="44">
        <f t="shared" si="20"/>
        <v>3.2705894535831614E-3</v>
      </c>
      <c r="I31" s="44">
        <f t="shared" si="20"/>
        <v>2.7867406555033281E-3</v>
      </c>
      <c r="J31" s="44">
        <f>1-(J23/J6)^(1/(COUNTA(J6:J28)-1))</f>
        <v>3.1501183312625525E-3</v>
      </c>
      <c r="K31" s="44">
        <f t="shared" si="20"/>
        <v>2.8801104863332982E-3</v>
      </c>
      <c r="L31" s="44">
        <f>1-(L27/L6)^(1/(COUNTA(L6:L28)-1))</f>
        <v>3.1647715081465355E-3</v>
      </c>
      <c r="M31" s="21">
        <f>AVERAGE(E31:K31)</f>
        <v>3.3324443391083663E-3</v>
      </c>
      <c r="W31" s="45"/>
    </row>
    <row r="32" spans="2:36" x14ac:dyDescent="0.2">
      <c r="B32" s="46" t="s">
        <v>62</v>
      </c>
      <c r="C32" s="46"/>
      <c r="D32" s="46"/>
      <c r="E32" s="44">
        <f>(E5-E10)/E5</f>
        <v>5.8998012117438332E-2</v>
      </c>
      <c r="F32" s="44">
        <f t="shared" ref="F32:K32" si="21">(F5-F10)/F5</f>
        <v>3.2028497192144394E-2</v>
      </c>
      <c r="G32" s="44">
        <f t="shared" si="21"/>
        <v>7.5451297386100472E-2</v>
      </c>
      <c r="H32" s="44">
        <f t="shared" si="21"/>
        <v>3.6597614375875227E-2</v>
      </c>
      <c r="I32" s="44">
        <f t="shared" si="21"/>
        <v>5.8440511158668849E-2</v>
      </c>
      <c r="J32" s="44">
        <f t="shared" si="21"/>
        <v>3.1429695172250395E-2</v>
      </c>
      <c r="K32" s="44">
        <f t="shared" si="21"/>
        <v>4.8876205497973745E-2</v>
      </c>
      <c r="L32" s="44">
        <f t="shared" ref="L32" si="22">(L5-L10)/L5</f>
        <v>1.8906941824628657E-2</v>
      </c>
      <c r="M32" s="21">
        <f>AVERAGE(E32:K32)</f>
        <v>4.8831690414350197E-2</v>
      </c>
      <c r="W32" s="4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FAB0-F796-4695-ABAF-EA779F66FE6B}">
  <dimension ref="B1:X18"/>
  <sheetViews>
    <sheetView zoomScale="90" zoomScaleNormal="90" workbookViewId="0">
      <selection activeCell="H27" sqref="H27"/>
    </sheetView>
  </sheetViews>
  <sheetFormatPr defaultColWidth="8.85546875" defaultRowHeight="12.75" x14ac:dyDescent="0.2"/>
  <cols>
    <col min="1" max="13" width="8.85546875" style="1"/>
    <col min="14" max="14" width="15.85546875" style="1" customWidth="1"/>
    <col min="15" max="21" width="8.85546875" style="1"/>
    <col min="22" max="24" width="8.85546875" style="2"/>
    <col min="25" max="16384" width="8.85546875" style="1"/>
  </cols>
  <sheetData>
    <row r="1" spans="14:24" x14ac:dyDescent="0.2">
      <c r="N1" s="13"/>
      <c r="V1" s="1"/>
    </row>
    <row r="2" spans="14:24" x14ac:dyDescent="0.2">
      <c r="V2" s="36"/>
    </row>
    <row r="3" spans="14:24" x14ac:dyDescent="0.2">
      <c r="P3" s="2"/>
      <c r="Q3" s="2"/>
      <c r="R3" s="2"/>
      <c r="S3" s="2"/>
      <c r="T3" s="2"/>
      <c r="U3" s="2"/>
      <c r="V3" s="37"/>
      <c r="W3" s="37"/>
      <c r="X3" s="37"/>
    </row>
    <row r="4" spans="14:24" x14ac:dyDescent="0.2">
      <c r="P4" s="2"/>
      <c r="Q4" s="2"/>
      <c r="R4" s="2"/>
      <c r="S4" s="2"/>
      <c r="T4" s="2"/>
      <c r="U4" s="32"/>
      <c r="V4" s="35"/>
      <c r="W4" s="35"/>
      <c r="X4" s="35"/>
    </row>
    <row r="5" spans="14:24" x14ac:dyDescent="0.2">
      <c r="U5" s="32"/>
      <c r="V5" s="35"/>
      <c r="W5" s="35"/>
      <c r="X5" s="35"/>
    </row>
    <row r="6" spans="14:24" x14ac:dyDescent="0.2">
      <c r="Q6" s="2"/>
      <c r="R6" s="2"/>
      <c r="S6" s="2"/>
      <c r="T6" s="2"/>
      <c r="U6" s="32"/>
      <c r="V6" s="35"/>
      <c r="W6" s="35"/>
      <c r="X6" s="35"/>
    </row>
    <row r="7" spans="14:24" x14ac:dyDescent="0.2">
      <c r="Q7" s="2"/>
      <c r="R7" s="2"/>
      <c r="S7" s="2"/>
      <c r="T7" s="2"/>
      <c r="U7" s="32"/>
      <c r="V7" s="35"/>
      <c r="W7" s="35"/>
      <c r="X7" s="35"/>
    </row>
    <row r="8" spans="14:24" x14ac:dyDescent="0.2">
      <c r="Q8" s="2"/>
      <c r="R8" s="2"/>
      <c r="S8" s="2"/>
      <c r="T8" s="2"/>
      <c r="U8" s="32"/>
      <c r="V8" s="35"/>
      <c r="W8" s="35"/>
      <c r="X8" s="35"/>
    </row>
    <row r="9" spans="14:24" x14ac:dyDescent="0.2">
      <c r="Q9" s="2"/>
      <c r="U9" s="32"/>
      <c r="V9" s="35"/>
      <c r="W9" s="35"/>
      <c r="X9" s="35"/>
    </row>
    <row r="10" spans="14:24" x14ac:dyDescent="0.2">
      <c r="Q10" s="2"/>
      <c r="R10" s="2"/>
      <c r="S10" s="2"/>
      <c r="T10" s="2"/>
      <c r="U10" s="32"/>
      <c r="V10" s="35"/>
      <c r="W10" s="35"/>
      <c r="X10" s="35"/>
    </row>
    <row r="11" spans="14:24" x14ac:dyDescent="0.2">
      <c r="Q11" s="2"/>
      <c r="R11" s="2"/>
      <c r="S11" s="2"/>
      <c r="T11" s="2"/>
      <c r="U11" s="32"/>
      <c r="V11" s="35"/>
      <c r="W11" s="35"/>
      <c r="X11" s="35"/>
    </row>
    <row r="12" spans="14:24" x14ac:dyDescent="0.2">
      <c r="Q12" s="2"/>
      <c r="R12" s="2"/>
      <c r="S12" s="2"/>
      <c r="T12" s="2"/>
      <c r="U12" s="32"/>
      <c r="V12" s="35"/>
      <c r="W12" s="35"/>
      <c r="X12" s="35"/>
    </row>
    <row r="13" spans="14:24" x14ac:dyDescent="0.2">
      <c r="Q13" s="2"/>
      <c r="R13" s="2"/>
      <c r="S13" s="2"/>
      <c r="T13" s="2"/>
      <c r="U13" s="32"/>
      <c r="V13" s="35"/>
      <c r="W13" s="35"/>
      <c r="X13" s="35"/>
    </row>
    <row r="18" spans="2:3" x14ac:dyDescent="0.2">
      <c r="B18" s="1" t="s">
        <v>43</v>
      </c>
      <c r="C18" s="34" t="s">
        <v>44</v>
      </c>
    </row>
  </sheetData>
  <hyperlinks>
    <hyperlink ref="C18" r:id="rId1" xr:uid="{596C4DE7-E157-460E-87ED-59610F6DA65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Pre-R00 AF</vt:lpstr>
      <vt:lpstr>R00 AF</vt:lpstr>
      <vt:lpstr>R01 AF</vt:lpstr>
      <vt:lpstr>MagicNumber</vt:lpstr>
      <vt:lpstr>MN 2015-2022</vt:lpstr>
      <vt:lpstr>Pricing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Jack Matthewson</cp:lastModifiedBy>
  <dcterms:created xsi:type="dcterms:W3CDTF">2019-04-29T04:09:17Z</dcterms:created>
  <dcterms:modified xsi:type="dcterms:W3CDTF">2025-03-20T05:49:47Z</dcterms:modified>
</cp:coreProperties>
</file>