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 - Work\Moreira's Magic\Developer Specs\2024\"/>
    </mc:Choice>
  </mc:AlternateContent>
  <xr:revisionPtr revIDLastSave="0" documentId="13_ncr:1_{CBDA5F54-31CF-4B64-B61B-64DE280050B6}" xr6:coauthVersionLast="47" xr6:coauthVersionMax="47" xr10:uidLastSave="{00000000-0000-0000-0000-000000000000}"/>
  <bookViews>
    <workbookView xWindow="38280" yWindow="-5865" windowWidth="29040" windowHeight="15720" activeTab="2" xr2:uid="{C743CA4F-A05A-46AD-AF28-87A92C31C096}"/>
  </bookViews>
  <sheets>
    <sheet name="Pre-R00 SC" sheetId="37" r:id="rId1"/>
    <sheet name="R00 SC" sheetId="43" r:id="rId2"/>
    <sheet name="R01 SC" sheetId="44" r:id="rId3"/>
    <sheet name="MagicNumber" sheetId="39" r:id="rId4"/>
    <sheet name="MN 2010-2022" sheetId="42" r:id="rId5"/>
    <sheet name="Pricing Formula" sheetId="1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44" l="1"/>
  <c r="G45" i="44" s="1"/>
  <c r="F44" i="44"/>
  <c r="G44" i="44" s="1"/>
  <c r="I43" i="44"/>
  <c r="J44" i="44" s="1"/>
  <c r="K45" i="44" s="1"/>
  <c r="F43" i="44"/>
  <c r="G15" i="44" s="1"/>
  <c r="H42" i="44"/>
  <c r="F42" i="44"/>
  <c r="G42" i="44" s="1"/>
  <c r="C42" i="44"/>
  <c r="C43" i="44" s="1"/>
  <c r="K41" i="44"/>
  <c r="J41" i="44"/>
  <c r="K42" i="44" s="1"/>
  <c r="I41" i="44"/>
  <c r="J42" i="44" s="1"/>
  <c r="K43" i="44" s="1"/>
  <c r="H41" i="44"/>
  <c r="G41" i="44"/>
  <c r="F41" i="44"/>
  <c r="C41" i="44"/>
  <c r="D41" i="44" s="1"/>
  <c r="K37" i="44"/>
  <c r="J37" i="44"/>
  <c r="I37" i="44"/>
  <c r="H37" i="44"/>
  <c r="G37" i="44"/>
  <c r="D37" i="44"/>
  <c r="E6" i="44" s="1"/>
  <c r="K36" i="44"/>
  <c r="J36" i="44"/>
  <c r="I36" i="44"/>
  <c r="H36" i="44"/>
  <c r="D36" i="44"/>
  <c r="D35" i="44"/>
  <c r="N28" i="44"/>
  <c r="M28" i="44"/>
  <c r="L28" i="44"/>
  <c r="K28" i="44"/>
  <c r="J28" i="44"/>
  <c r="G36" i="44" s="1"/>
  <c r="I15" i="44"/>
  <c r="H15" i="44"/>
  <c r="F15" i="44"/>
  <c r="E15" i="44"/>
  <c r="I8" i="44"/>
  <c r="I14" i="44" s="1"/>
  <c r="H8" i="44"/>
  <c r="H14" i="44" s="1"/>
  <c r="G8" i="44"/>
  <c r="G14" i="44" s="1"/>
  <c r="F8" i="44"/>
  <c r="F14" i="44" s="1"/>
  <c r="E8" i="44"/>
  <c r="E14" i="44" s="1"/>
  <c r="M41" i="44" l="1"/>
  <c r="L41" i="44"/>
  <c r="I42" i="44"/>
  <c r="J43" i="44" s="1"/>
  <c r="K44" i="44" s="1"/>
  <c r="D43" i="44"/>
  <c r="C44" i="44"/>
  <c r="H43" i="44"/>
  <c r="I44" i="44" s="1"/>
  <c r="H45" i="44"/>
  <c r="E41" i="44"/>
  <c r="D42" i="44"/>
  <c r="G43" i="44"/>
  <c r="L42" i="44" l="1"/>
  <c r="M42" i="44"/>
  <c r="N41" i="44"/>
  <c r="P41" i="44"/>
  <c r="E19" i="44" s="1"/>
  <c r="O41" i="44"/>
  <c r="E20" i="44" s="1"/>
  <c r="H44" i="44"/>
  <c r="M43" i="44"/>
  <c r="L43" i="44"/>
  <c r="J45" i="44"/>
  <c r="C45" i="44"/>
  <c r="D45" i="44" s="1"/>
  <c r="D44" i="44"/>
  <c r="I45" i="44" l="1"/>
  <c r="M44" i="44"/>
  <c r="L44" i="44"/>
  <c r="E18" i="44"/>
  <c r="E16" i="44" s="1"/>
  <c r="E17" i="44" s="1"/>
  <c r="E42" i="44"/>
  <c r="P42" i="44" l="1"/>
  <c r="F19" i="44" s="1"/>
  <c r="O42" i="44"/>
  <c r="F20" i="44" s="1"/>
  <c r="N42" i="44"/>
  <c r="L45" i="44"/>
  <c r="M45" i="44"/>
  <c r="E43" i="44" l="1"/>
  <c r="F18" i="44"/>
  <c r="F16" i="44" s="1"/>
  <c r="F17" i="44" s="1"/>
  <c r="P43" i="44" l="1"/>
  <c r="G19" i="44" s="1"/>
  <c r="N43" i="44"/>
  <c r="O43" i="44"/>
  <c r="G20" i="44" s="1"/>
  <c r="G18" i="44" l="1"/>
  <c r="G16" i="44" s="1"/>
  <c r="G17" i="44" s="1"/>
  <c r="E44" i="44"/>
  <c r="P44" i="44" l="1"/>
  <c r="H19" i="44" s="1"/>
  <c r="O44" i="44"/>
  <c r="H20" i="44" s="1"/>
  <c r="N44" i="44"/>
  <c r="E45" i="44" l="1"/>
  <c r="H18" i="44"/>
  <c r="H16" i="44" s="1"/>
  <c r="H17" i="44" s="1"/>
  <c r="P45" i="44" l="1"/>
  <c r="I19" i="44" s="1"/>
  <c r="N45" i="44"/>
  <c r="I18" i="44" s="1"/>
  <c r="I16" i="44" s="1"/>
  <c r="I17" i="44" s="1"/>
  <c r="O45" i="44"/>
  <c r="I20" i="44" s="1"/>
  <c r="G7" i="39" l="1"/>
  <c r="H7" i="39"/>
  <c r="D8" i="39"/>
  <c r="E8" i="39"/>
  <c r="D9" i="39"/>
  <c r="E9" i="39"/>
  <c r="D10" i="39"/>
  <c r="E10" i="39"/>
  <c r="D11" i="39"/>
  <c r="E11" i="39"/>
  <c r="D12" i="39"/>
  <c r="E12" i="39"/>
  <c r="D13" i="39"/>
  <c r="E13" i="39"/>
  <c r="D14" i="39"/>
  <c r="E14" i="39"/>
  <c r="D15" i="39"/>
  <c r="E15" i="39"/>
  <c r="D16" i="39"/>
  <c r="E16" i="39"/>
  <c r="D17" i="39"/>
  <c r="E17" i="39"/>
  <c r="D18" i="39"/>
  <c r="E18" i="39"/>
  <c r="D19" i="39"/>
  <c r="E19" i="39"/>
  <c r="D20" i="39"/>
  <c r="E20" i="39"/>
  <c r="D21" i="39"/>
  <c r="E21" i="39"/>
  <c r="D22" i="39"/>
  <c r="E22" i="39"/>
  <c r="D23" i="39"/>
  <c r="E23" i="39"/>
  <c r="D24" i="39"/>
  <c r="E24" i="39"/>
  <c r="D25" i="39"/>
  <c r="E25" i="39"/>
  <c r="D26" i="39"/>
  <c r="E26" i="39"/>
  <c r="D27" i="39"/>
  <c r="E27" i="39"/>
  <c r="D28" i="39"/>
  <c r="E28" i="39"/>
  <c r="D29" i="39"/>
  <c r="E29" i="39"/>
  <c r="D30" i="39"/>
  <c r="E30" i="39"/>
  <c r="D7" i="39"/>
  <c r="E7" i="39"/>
  <c r="G45" i="43"/>
  <c r="F45" i="43"/>
  <c r="F44" i="43"/>
  <c r="G44" i="43" s="1"/>
  <c r="F43" i="43"/>
  <c r="G43" i="43" s="1"/>
  <c r="F42" i="43"/>
  <c r="G42" i="43" s="1"/>
  <c r="K41" i="43"/>
  <c r="J41" i="43"/>
  <c r="K42" i="43" s="1"/>
  <c r="I41" i="43"/>
  <c r="J42" i="43" s="1"/>
  <c r="K43" i="43" s="1"/>
  <c r="H41" i="43"/>
  <c r="I42" i="43" s="1"/>
  <c r="F41" i="43"/>
  <c r="G41" i="43" s="1"/>
  <c r="C41" i="43"/>
  <c r="D41" i="43" s="1"/>
  <c r="K37" i="43"/>
  <c r="J37" i="43"/>
  <c r="I37" i="43"/>
  <c r="H37" i="43"/>
  <c r="G37" i="43"/>
  <c r="D37" i="43"/>
  <c r="E41" i="43" s="1"/>
  <c r="K36" i="43"/>
  <c r="J36" i="43"/>
  <c r="I36" i="43"/>
  <c r="H36" i="43"/>
  <c r="G36" i="43"/>
  <c r="D36" i="43"/>
  <c r="D35" i="43"/>
  <c r="N28" i="43"/>
  <c r="M28" i="43"/>
  <c r="L28" i="43"/>
  <c r="K28" i="43"/>
  <c r="J28" i="43"/>
  <c r="I15" i="43"/>
  <c r="F15" i="43"/>
  <c r="E15" i="43"/>
  <c r="I8" i="43"/>
  <c r="I14" i="43" s="1"/>
  <c r="H8" i="43"/>
  <c r="H14" i="43" s="1"/>
  <c r="G8" i="43"/>
  <c r="G14" i="43" s="1"/>
  <c r="F8" i="43"/>
  <c r="F14" i="43" s="1"/>
  <c r="E8" i="43"/>
  <c r="E14" i="43" s="1"/>
  <c r="H5" i="39"/>
  <c r="P41" i="43" l="1"/>
  <c r="E19" i="43" s="1"/>
  <c r="N41" i="43"/>
  <c r="L41" i="43"/>
  <c r="O41" i="43" s="1"/>
  <c r="E20" i="43" s="1"/>
  <c r="M41" i="43"/>
  <c r="H42" i="43"/>
  <c r="I43" i="43" s="1"/>
  <c r="M43" i="43" s="1"/>
  <c r="J43" i="43"/>
  <c r="K44" i="43" s="1"/>
  <c r="H43" i="43"/>
  <c r="I44" i="43" s="1"/>
  <c r="H44" i="43"/>
  <c r="I45" i="43" s="1"/>
  <c r="M44" i="43"/>
  <c r="H45" i="43"/>
  <c r="C42" i="43"/>
  <c r="H15" i="43"/>
  <c r="E6" i="43"/>
  <c r="G15" i="43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R33" i="42" s="1"/>
  <c r="Q32" i="42"/>
  <c r="P32" i="42"/>
  <c r="O32" i="42"/>
  <c r="N32" i="42"/>
  <c r="M32" i="42"/>
  <c r="R32" i="42" s="1"/>
  <c r="L32" i="42"/>
  <c r="K32" i="42"/>
  <c r="J32" i="42"/>
  <c r="I32" i="42"/>
  <c r="H32" i="42"/>
  <c r="G32" i="42"/>
  <c r="F32" i="42"/>
  <c r="E32" i="42"/>
  <c r="Q31" i="42"/>
  <c r="P31" i="42"/>
  <c r="O31" i="42"/>
  <c r="N31" i="42"/>
  <c r="M31" i="42"/>
  <c r="L31" i="42"/>
  <c r="K31" i="42"/>
  <c r="J31" i="42"/>
  <c r="I31" i="42"/>
  <c r="H31" i="42"/>
  <c r="G31" i="42"/>
  <c r="R31" i="42" s="1"/>
  <c r="F31" i="42"/>
  <c r="E31" i="42"/>
  <c r="AK29" i="42"/>
  <c r="U29" i="42"/>
  <c r="AG29" i="42" s="1"/>
  <c r="AU28" i="42"/>
  <c r="AS28" i="42"/>
  <c r="AR28" i="42"/>
  <c r="AQ28" i="42"/>
  <c r="AP28" i="42"/>
  <c r="AO28" i="42"/>
  <c r="AN28" i="42"/>
  <c r="AM28" i="42"/>
  <c r="AL28" i="42"/>
  <c r="AK28" i="42"/>
  <c r="AE28" i="42"/>
  <c r="AC28" i="42"/>
  <c r="AB28" i="42"/>
  <c r="AG28" i="42" s="1"/>
  <c r="AA28" i="42"/>
  <c r="Z28" i="42"/>
  <c r="Y28" i="42"/>
  <c r="X28" i="42"/>
  <c r="W28" i="42"/>
  <c r="V28" i="42"/>
  <c r="U28" i="42"/>
  <c r="AU27" i="42"/>
  <c r="AS27" i="42"/>
  <c r="AR27" i="42"/>
  <c r="AQ27" i="42"/>
  <c r="AP27" i="42"/>
  <c r="AO27" i="42"/>
  <c r="AN27" i="42"/>
  <c r="AM27" i="42"/>
  <c r="AL27" i="42"/>
  <c r="AK27" i="42"/>
  <c r="AJ27" i="42"/>
  <c r="AG27" i="42"/>
  <c r="AF27" i="42"/>
  <c r="AE27" i="42"/>
  <c r="AC27" i="42"/>
  <c r="AB27" i="42"/>
  <c r="AA27" i="42"/>
  <c r="Z27" i="42"/>
  <c r="Y27" i="42"/>
  <c r="X27" i="42"/>
  <c r="W27" i="42"/>
  <c r="V27" i="42"/>
  <c r="U27" i="42"/>
  <c r="T27" i="42"/>
  <c r="AU26" i="42"/>
  <c r="AS26" i="42"/>
  <c r="AR26" i="42"/>
  <c r="AQ26" i="42"/>
  <c r="AP26" i="42"/>
  <c r="AO26" i="42"/>
  <c r="AN26" i="42"/>
  <c r="AM26" i="42"/>
  <c r="AL26" i="42"/>
  <c r="AK26" i="42"/>
  <c r="AJ26" i="42"/>
  <c r="AF26" i="42"/>
  <c r="AE26" i="42"/>
  <c r="AC26" i="42"/>
  <c r="AB26" i="42"/>
  <c r="AA26" i="42"/>
  <c r="Z26" i="42"/>
  <c r="Y26" i="42"/>
  <c r="X26" i="42"/>
  <c r="W26" i="42"/>
  <c r="V26" i="42"/>
  <c r="U26" i="42"/>
  <c r="T26" i="42"/>
  <c r="AG26" i="42" s="1"/>
  <c r="AU25" i="42"/>
  <c r="AS25" i="42"/>
  <c r="AR25" i="42"/>
  <c r="AQ25" i="42"/>
  <c r="AP25" i="42"/>
  <c r="AO25" i="42"/>
  <c r="AN25" i="42"/>
  <c r="AM25" i="42"/>
  <c r="AL25" i="42"/>
  <c r="AK25" i="42"/>
  <c r="AJ25" i="42"/>
  <c r="AF25" i="42"/>
  <c r="AE25" i="42"/>
  <c r="AC25" i="42"/>
  <c r="AB25" i="42"/>
  <c r="AA25" i="42"/>
  <c r="Z25" i="42"/>
  <c r="Y25" i="42"/>
  <c r="X25" i="42"/>
  <c r="W25" i="42"/>
  <c r="V25" i="42"/>
  <c r="AG25" i="42" s="1"/>
  <c r="U25" i="42"/>
  <c r="T25" i="42"/>
  <c r="AU24" i="42"/>
  <c r="AS24" i="42"/>
  <c r="AR24" i="42"/>
  <c r="AQ24" i="42"/>
  <c r="AP24" i="42"/>
  <c r="AO24" i="42"/>
  <c r="AN24" i="42"/>
  <c r="AM24" i="42"/>
  <c r="AL24" i="42"/>
  <c r="AK24" i="42"/>
  <c r="AJ24" i="42"/>
  <c r="AF24" i="42"/>
  <c r="AE24" i="42"/>
  <c r="AC24" i="42"/>
  <c r="AB24" i="42"/>
  <c r="AA24" i="42"/>
  <c r="AG24" i="42" s="1"/>
  <c r="Z24" i="42"/>
  <c r="Y24" i="42"/>
  <c r="X24" i="42"/>
  <c r="W24" i="42"/>
  <c r="V24" i="42"/>
  <c r="U24" i="42"/>
  <c r="T24" i="42"/>
  <c r="AU23" i="42"/>
  <c r="AT23" i="42"/>
  <c r="AS23" i="42"/>
  <c r="AR23" i="42"/>
  <c r="AQ23" i="42"/>
  <c r="AP23" i="42"/>
  <c r="AO23" i="42"/>
  <c r="AN23" i="42"/>
  <c r="AM23" i="42"/>
  <c r="AL23" i="42"/>
  <c r="AK23" i="42"/>
  <c r="AJ23" i="42"/>
  <c r="AF23" i="42"/>
  <c r="AE23" i="42"/>
  <c r="AD23" i="42"/>
  <c r="AC23" i="42"/>
  <c r="AB23" i="42"/>
  <c r="AA23" i="42"/>
  <c r="Z23" i="42"/>
  <c r="Y23" i="42"/>
  <c r="X23" i="42"/>
  <c r="W23" i="42"/>
  <c r="V23" i="42"/>
  <c r="U23" i="42"/>
  <c r="T23" i="42"/>
  <c r="AG23" i="42" s="1"/>
  <c r="AU22" i="42"/>
  <c r="AT22" i="42"/>
  <c r="AS22" i="42"/>
  <c r="AR22" i="42"/>
  <c r="AQ22" i="42"/>
  <c r="AP22" i="42"/>
  <c r="AO22" i="42"/>
  <c r="AN22" i="42"/>
  <c r="AM22" i="42"/>
  <c r="AL22" i="42"/>
  <c r="AK22" i="42"/>
  <c r="AJ22" i="42"/>
  <c r="AF22" i="42"/>
  <c r="AE22" i="42"/>
  <c r="AD22" i="42"/>
  <c r="AC22" i="42"/>
  <c r="AB22" i="42"/>
  <c r="AA22" i="42"/>
  <c r="Z22" i="42"/>
  <c r="Y22" i="42"/>
  <c r="X22" i="42"/>
  <c r="W22" i="42"/>
  <c r="V22" i="42"/>
  <c r="U22" i="42"/>
  <c r="AG22" i="42" s="1"/>
  <c r="T22" i="42"/>
  <c r="AU21" i="42"/>
  <c r="AT21" i="42"/>
  <c r="AS21" i="42"/>
  <c r="AR21" i="42"/>
  <c r="AQ21" i="42"/>
  <c r="AP21" i="42"/>
  <c r="AO21" i="42"/>
  <c r="AN21" i="42"/>
  <c r="AM21" i="42"/>
  <c r="AL21" i="42"/>
  <c r="AK21" i="42"/>
  <c r="AJ21" i="42"/>
  <c r="AW21" i="42" s="1"/>
  <c r="AF21" i="42"/>
  <c r="AE21" i="42"/>
  <c r="AD21" i="42"/>
  <c r="AC21" i="42"/>
  <c r="AB21" i="42"/>
  <c r="AG21" i="42" s="1"/>
  <c r="AA21" i="42"/>
  <c r="Z21" i="42"/>
  <c r="Y21" i="42"/>
  <c r="X21" i="42"/>
  <c r="W21" i="42"/>
  <c r="V21" i="42"/>
  <c r="U21" i="42"/>
  <c r="T21" i="42"/>
  <c r="AU20" i="42"/>
  <c r="AT20" i="42"/>
  <c r="AS20" i="42"/>
  <c r="AR20" i="42"/>
  <c r="AQ20" i="42"/>
  <c r="AP20" i="42"/>
  <c r="AO20" i="42"/>
  <c r="AN20" i="42"/>
  <c r="AM20" i="42"/>
  <c r="AL20" i="42"/>
  <c r="AK20" i="42"/>
  <c r="AJ20" i="42"/>
  <c r="AF20" i="42"/>
  <c r="AE20" i="42"/>
  <c r="AD20" i="42"/>
  <c r="AC20" i="42"/>
  <c r="AB20" i="42"/>
  <c r="AA20" i="42"/>
  <c r="Z20" i="42"/>
  <c r="Y20" i="42"/>
  <c r="X20" i="42"/>
  <c r="W20" i="42"/>
  <c r="V20" i="42"/>
  <c r="U20" i="42"/>
  <c r="T20" i="42"/>
  <c r="AG20" i="42" s="1"/>
  <c r="AU19" i="42"/>
  <c r="AT19" i="42"/>
  <c r="AS19" i="42"/>
  <c r="AR19" i="42"/>
  <c r="AW19" i="42" s="1"/>
  <c r="AQ19" i="42"/>
  <c r="AP19" i="42"/>
  <c r="AO19" i="42"/>
  <c r="AN19" i="42"/>
  <c r="AM19" i="42"/>
  <c r="AL19" i="42"/>
  <c r="AK19" i="42"/>
  <c r="AJ19" i="42"/>
  <c r="AF19" i="42"/>
  <c r="AE19" i="42"/>
  <c r="AD19" i="42"/>
  <c r="AC19" i="42"/>
  <c r="AB19" i="42"/>
  <c r="AA19" i="42"/>
  <c r="Z19" i="42"/>
  <c r="Y19" i="42"/>
  <c r="X19" i="42"/>
  <c r="W19" i="42"/>
  <c r="V19" i="42"/>
  <c r="AG19" i="42" s="1"/>
  <c r="U19" i="42"/>
  <c r="T19" i="42"/>
  <c r="AU18" i="42"/>
  <c r="AT18" i="42"/>
  <c r="AS18" i="42"/>
  <c r="AR18" i="42"/>
  <c r="AQ18" i="42"/>
  <c r="AP18" i="42"/>
  <c r="AO18" i="42"/>
  <c r="AN18" i="42"/>
  <c r="AM18" i="42"/>
  <c r="AL18" i="42"/>
  <c r="AK18" i="42"/>
  <c r="AJ18" i="42"/>
  <c r="AF18" i="42"/>
  <c r="AE18" i="42"/>
  <c r="AD18" i="42"/>
  <c r="AC18" i="42"/>
  <c r="AG18" i="42" s="1"/>
  <c r="AB18" i="42"/>
  <c r="AA18" i="42"/>
  <c r="Z18" i="42"/>
  <c r="Y18" i="42"/>
  <c r="X18" i="42"/>
  <c r="W18" i="42"/>
  <c r="V18" i="42"/>
  <c r="U18" i="42"/>
  <c r="T18" i="42"/>
  <c r="AU17" i="42"/>
  <c r="AT17" i="42"/>
  <c r="AS17" i="42"/>
  <c r="AR17" i="42"/>
  <c r="AQ17" i="42"/>
  <c r="AP17" i="42"/>
  <c r="AO17" i="42"/>
  <c r="AN17" i="42"/>
  <c r="AM17" i="42"/>
  <c r="AL17" i="42"/>
  <c r="AK17" i="42"/>
  <c r="AJ17" i="42"/>
  <c r="AF17" i="42"/>
  <c r="AE17" i="42"/>
  <c r="AD17" i="42"/>
  <c r="AC17" i="42"/>
  <c r="AB17" i="42"/>
  <c r="AA17" i="42"/>
  <c r="Z17" i="42"/>
  <c r="Y17" i="42"/>
  <c r="X17" i="42"/>
  <c r="W17" i="42"/>
  <c r="V17" i="42"/>
  <c r="U17" i="42"/>
  <c r="T17" i="42"/>
  <c r="AG17" i="42" s="1"/>
  <c r="AU16" i="42"/>
  <c r="AT16" i="42"/>
  <c r="AS16" i="42"/>
  <c r="AR16" i="42"/>
  <c r="AQ16" i="42"/>
  <c r="AP16" i="42"/>
  <c r="AO16" i="42"/>
  <c r="AN16" i="42"/>
  <c r="AM16" i="42"/>
  <c r="AL16" i="42"/>
  <c r="AK16" i="42"/>
  <c r="AJ16" i="42"/>
  <c r="AF16" i="42"/>
  <c r="AE16" i="42"/>
  <c r="AD16" i="42"/>
  <c r="AC16" i="42"/>
  <c r="AB16" i="42"/>
  <c r="AA16" i="42"/>
  <c r="Z16" i="42"/>
  <c r="Y16" i="42"/>
  <c r="X16" i="42"/>
  <c r="W16" i="42"/>
  <c r="AG16" i="42" s="1"/>
  <c r="V16" i="42"/>
  <c r="U16" i="42"/>
  <c r="T16" i="42"/>
  <c r="AU15" i="42"/>
  <c r="AT15" i="42"/>
  <c r="AS15" i="42"/>
  <c r="AR15" i="42"/>
  <c r="AQ15" i="42"/>
  <c r="AP15" i="42"/>
  <c r="AO15" i="42"/>
  <c r="AN15" i="42"/>
  <c r="AM15" i="42"/>
  <c r="AL15" i="42"/>
  <c r="AK15" i="42"/>
  <c r="AJ15" i="42"/>
  <c r="AF15" i="42"/>
  <c r="AE15" i="42"/>
  <c r="AD15" i="42"/>
  <c r="AG15" i="42" s="1"/>
  <c r="AC15" i="42"/>
  <c r="AB15" i="42"/>
  <c r="AA15" i="42"/>
  <c r="Z15" i="42"/>
  <c r="Y15" i="42"/>
  <c r="X15" i="42"/>
  <c r="W15" i="42"/>
  <c r="V15" i="42"/>
  <c r="U15" i="42"/>
  <c r="T15" i="42"/>
  <c r="AU14" i="42"/>
  <c r="AT14" i="42"/>
  <c r="AS14" i="42"/>
  <c r="AR14" i="42"/>
  <c r="AQ14" i="42"/>
  <c r="AP14" i="42"/>
  <c r="AO14" i="42"/>
  <c r="AN14" i="42"/>
  <c r="AM14" i="42"/>
  <c r="AW14" i="42" s="1"/>
  <c r="AL14" i="42"/>
  <c r="AK14" i="42"/>
  <c r="AJ14" i="42"/>
  <c r="AF14" i="42"/>
  <c r="AE14" i="42"/>
  <c r="AD14" i="42"/>
  <c r="AC14" i="42"/>
  <c r="AB14" i="42"/>
  <c r="AA14" i="42"/>
  <c r="Z14" i="42"/>
  <c r="Y14" i="42"/>
  <c r="X14" i="42"/>
  <c r="W14" i="42"/>
  <c r="V14" i="42"/>
  <c r="U14" i="42"/>
  <c r="T14" i="42"/>
  <c r="AG14" i="42" s="1"/>
  <c r="AU13" i="42"/>
  <c r="AT13" i="42"/>
  <c r="AS13" i="42"/>
  <c r="AR13" i="42"/>
  <c r="AQ13" i="42"/>
  <c r="AP13" i="42"/>
  <c r="AO13" i="42"/>
  <c r="AN13" i="42"/>
  <c r="AM13" i="42"/>
  <c r="AL13" i="42"/>
  <c r="AK13" i="42"/>
  <c r="AJ13" i="42"/>
  <c r="AF13" i="42"/>
  <c r="AE13" i="42"/>
  <c r="AD13" i="42"/>
  <c r="AC13" i="42"/>
  <c r="AB13" i="42"/>
  <c r="AA13" i="42"/>
  <c r="Z13" i="42"/>
  <c r="Y13" i="42"/>
  <c r="X13" i="42"/>
  <c r="AG13" i="42" s="1"/>
  <c r="W13" i="42"/>
  <c r="V13" i="42"/>
  <c r="U13" i="42"/>
  <c r="T13" i="42"/>
  <c r="AU12" i="42"/>
  <c r="AT12" i="42"/>
  <c r="AS12" i="42"/>
  <c r="AR12" i="42"/>
  <c r="AQ12" i="42"/>
  <c r="AP12" i="42"/>
  <c r="AO12" i="42"/>
  <c r="AN12" i="42"/>
  <c r="AM12" i="42"/>
  <c r="AL12" i="42"/>
  <c r="AK12" i="42"/>
  <c r="AJ12" i="42"/>
  <c r="AF12" i="42"/>
  <c r="AE12" i="42"/>
  <c r="AG12" i="42" s="1"/>
  <c r="AD12" i="42"/>
  <c r="AC12" i="42"/>
  <c r="AB12" i="42"/>
  <c r="AA12" i="42"/>
  <c r="Z12" i="42"/>
  <c r="Y12" i="42"/>
  <c r="X12" i="42"/>
  <c r="W12" i="42"/>
  <c r="V12" i="42"/>
  <c r="U12" i="42"/>
  <c r="T12" i="42"/>
  <c r="AU11" i="42"/>
  <c r="AT11" i="42"/>
  <c r="AS11" i="42"/>
  <c r="AR11" i="42"/>
  <c r="AQ11" i="42"/>
  <c r="AP11" i="42"/>
  <c r="AO11" i="42"/>
  <c r="AN11" i="42"/>
  <c r="AM11" i="42"/>
  <c r="AL11" i="42"/>
  <c r="AK11" i="42"/>
  <c r="AJ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AG11" i="42" s="1"/>
  <c r="AU10" i="42"/>
  <c r="AT10" i="42"/>
  <c r="AS10" i="42"/>
  <c r="AR10" i="42"/>
  <c r="AQ10" i="42"/>
  <c r="AP10" i="42"/>
  <c r="AO10" i="42"/>
  <c r="AN10" i="42"/>
  <c r="AM10" i="42"/>
  <c r="AL10" i="42"/>
  <c r="AK10" i="42"/>
  <c r="AJ10" i="42"/>
  <c r="AF10" i="42"/>
  <c r="AE10" i="42"/>
  <c r="AD10" i="42"/>
  <c r="AC10" i="42"/>
  <c r="AB10" i="42"/>
  <c r="AA10" i="42"/>
  <c r="Z10" i="42"/>
  <c r="Y10" i="42"/>
  <c r="AG10" i="42" s="1"/>
  <c r="X10" i="42"/>
  <c r="W10" i="42"/>
  <c r="V10" i="42"/>
  <c r="U10" i="42"/>
  <c r="T10" i="42"/>
  <c r="AU9" i="42"/>
  <c r="AT9" i="42"/>
  <c r="AS9" i="42"/>
  <c r="AR9" i="42"/>
  <c r="AQ9" i="42"/>
  <c r="AP9" i="42"/>
  <c r="AO9" i="42"/>
  <c r="AN9" i="42"/>
  <c r="AM9" i="42"/>
  <c r="AL9" i="42"/>
  <c r="AK9" i="42"/>
  <c r="AJ9" i="42"/>
  <c r="AW9" i="42" s="1"/>
  <c r="AF9" i="42"/>
  <c r="AG9" i="42" s="1"/>
  <c r="AE9" i="42"/>
  <c r="AD9" i="42"/>
  <c r="AC9" i="42"/>
  <c r="AB9" i="42"/>
  <c r="AA9" i="42"/>
  <c r="Z9" i="42"/>
  <c r="Y9" i="42"/>
  <c r="X9" i="42"/>
  <c r="W9" i="42"/>
  <c r="V9" i="42"/>
  <c r="U9" i="42"/>
  <c r="T9" i="42"/>
  <c r="AU8" i="42"/>
  <c r="AT8" i="42"/>
  <c r="AS8" i="42"/>
  <c r="AR8" i="42"/>
  <c r="AQ8" i="42"/>
  <c r="AP8" i="42"/>
  <c r="AO8" i="42"/>
  <c r="AN8" i="42"/>
  <c r="AM8" i="42"/>
  <c r="AL8" i="42"/>
  <c r="AK8" i="42"/>
  <c r="AJ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AG8" i="42" s="1"/>
  <c r="AU7" i="42"/>
  <c r="AT7" i="42"/>
  <c r="AS7" i="42"/>
  <c r="AW7" i="42" s="1"/>
  <c r="AR7" i="42"/>
  <c r="AQ7" i="42"/>
  <c r="AP7" i="42"/>
  <c r="AO7" i="42"/>
  <c r="AN7" i="42"/>
  <c r="AM7" i="42"/>
  <c r="AL7" i="42"/>
  <c r="AK7" i="42"/>
  <c r="AJ7" i="42"/>
  <c r="AF7" i="42"/>
  <c r="AE7" i="42"/>
  <c r="AD7" i="42"/>
  <c r="AC7" i="42"/>
  <c r="AB7" i="42"/>
  <c r="AA7" i="42"/>
  <c r="Z7" i="42"/>
  <c r="AG7" i="42" s="1"/>
  <c r="Y7" i="42"/>
  <c r="X7" i="42"/>
  <c r="W7" i="42"/>
  <c r="V7" i="42"/>
  <c r="U7" i="42"/>
  <c r="T7" i="42"/>
  <c r="AU6" i="42"/>
  <c r="AT6" i="42"/>
  <c r="AS6" i="42"/>
  <c r="AR6" i="42"/>
  <c r="AQ6" i="42"/>
  <c r="AP6" i="42"/>
  <c r="AO6" i="42"/>
  <c r="AN6" i="42"/>
  <c r="AM6" i="42"/>
  <c r="AL6" i="42"/>
  <c r="AK6" i="42"/>
  <c r="AJ6" i="42"/>
  <c r="AW6" i="42" s="1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AU5" i="42"/>
  <c r="AT5" i="42"/>
  <c r="AS5" i="42"/>
  <c r="AR5" i="42"/>
  <c r="AQ5" i="42"/>
  <c r="AP5" i="42"/>
  <c r="AO5" i="42"/>
  <c r="AN5" i="42"/>
  <c r="AM5" i="42"/>
  <c r="AL5" i="42"/>
  <c r="AK5" i="42"/>
  <c r="AJ5" i="42"/>
  <c r="M42" i="43" l="1"/>
  <c r="L43" i="43"/>
  <c r="J45" i="43"/>
  <c r="L42" i="43"/>
  <c r="C43" i="43"/>
  <c r="D42" i="43"/>
  <c r="M45" i="43"/>
  <c r="E18" i="43"/>
  <c r="E16" i="43" s="1"/>
  <c r="E17" i="43" s="1"/>
  <c r="E42" i="43"/>
  <c r="J44" i="43"/>
  <c r="AW8" i="42"/>
  <c r="AW17" i="42"/>
  <c r="AW16" i="42"/>
  <c r="AW26" i="42"/>
  <c r="AW27" i="42"/>
  <c r="AW18" i="42"/>
  <c r="AW28" i="42"/>
  <c r="AW25" i="42"/>
  <c r="AW5" i="42"/>
  <c r="AW23" i="42"/>
  <c r="AW22" i="42"/>
  <c r="AW13" i="42"/>
  <c r="AW11" i="42"/>
  <c r="AW24" i="42"/>
  <c r="AW12" i="42"/>
  <c r="AW10" i="42"/>
  <c r="AW20" i="42"/>
  <c r="AW15" i="42"/>
  <c r="P42" i="43" l="1"/>
  <c r="F19" i="43" s="1"/>
  <c r="O42" i="43"/>
  <c r="F20" i="43" s="1"/>
  <c r="N42" i="43"/>
  <c r="K45" i="43"/>
  <c r="L45" i="43" s="1"/>
  <c r="L44" i="43"/>
  <c r="D43" i="43"/>
  <c r="C44" i="43"/>
  <c r="G16" i="39"/>
  <c r="H16" i="39"/>
  <c r="G17" i="39"/>
  <c r="H17" i="39"/>
  <c r="G18" i="39"/>
  <c r="H18" i="39" s="1"/>
  <c r="G19" i="39"/>
  <c r="H19" i="39"/>
  <c r="G20" i="39"/>
  <c r="H20" i="39"/>
  <c r="G21" i="39"/>
  <c r="H21" i="39"/>
  <c r="G22" i="39"/>
  <c r="H22" i="39"/>
  <c r="G23" i="39"/>
  <c r="H23" i="39"/>
  <c r="G24" i="39"/>
  <c r="H24" i="39"/>
  <c r="G25" i="39"/>
  <c r="H25" i="39"/>
  <c r="G26" i="39"/>
  <c r="H26" i="39"/>
  <c r="G27" i="39"/>
  <c r="H27" i="39"/>
  <c r="G28" i="39"/>
  <c r="H28" i="39"/>
  <c r="G29" i="39"/>
  <c r="H29" i="39"/>
  <c r="G30" i="39"/>
  <c r="H30" i="39"/>
  <c r="G15" i="39"/>
  <c r="H15" i="39" s="1"/>
  <c r="D44" i="43" l="1"/>
  <c r="C45" i="43"/>
  <c r="D45" i="43" s="1"/>
  <c r="F18" i="43"/>
  <c r="F16" i="43" s="1"/>
  <c r="F17" i="43" s="1"/>
  <c r="E43" i="43"/>
  <c r="G14" i="39"/>
  <c r="H14" i="39" s="1"/>
  <c r="G13" i="39"/>
  <c r="H13" i="39" s="1"/>
  <c r="G12" i="39"/>
  <c r="H12" i="39" s="1"/>
  <c r="P43" i="43" l="1"/>
  <c r="G19" i="43" s="1"/>
  <c r="N43" i="43"/>
  <c r="O43" i="43"/>
  <c r="G20" i="43" s="1"/>
  <c r="G11" i="39"/>
  <c r="H11" i="39" s="1"/>
  <c r="E44" i="43" l="1"/>
  <c r="G18" i="43"/>
  <c r="G16" i="43" s="1"/>
  <c r="G17" i="43" s="1"/>
  <c r="G10" i="39"/>
  <c r="H10" i="39" s="1"/>
  <c r="G9" i="39"/>
  <c r="H9" i="39" s="1"/>
  <c r="P44" i="43" l="1"/>
  <c r="H19" i="43" s="1"/>
  <c r="N44" i="43"/>
  <c r="O44" i="43"/>
  <c r="H20" i="43" s="1"/>
  <c r="G8" i="39"/>
  <c r="H8" i="39" s="1"/>
  <c r="G6" i="39"/>
  <c r="H6" i="39" s="1"/>
  <c r="E6" i="39"/>
  <c r="D6" i="39"/>
  <c r="K45" i="37"/>
  <c r="G37" i="37"/>
  <c r="H37" i="37"/>
  <c r="I37" i="37"/>
  <c r="J37" i="37"/>
  <c r="K37" i="37"/>
  <c r="H36" i="37"/>
  <c r="I36" i="37"/>
  <c r="J36" i="37"/>
  <c r="K36" i="37"/>
  <c r="G36" i="37"/>
  <c r="L28" i="37"/>
  <c r="K28" i="37"/>
  <c r="J28" i="37"/>
  <c r="N28" i="37"/>
  <c r="M28" i="37"/>
  <c r="F45" i="37"/>
  <c r="I15" i="37" s="1"/>
  <c r="F44" i="37"/>
  <c r="G44" i="37" s="1"/>
  <c r="H45" i="37" s="1"/>
  <c r="F43" i="37"/>
  <c r="G43" i="37" s="1"/>
  <c r="H44" i="37" s="1"/>
  <c r="F42" i="37"/>
  <c r="G42" i="37" s="1"/>
  <c r="K41" i="37"/>
  <c r="J41" i="37"/>
  <c r="K42" i="37" s="1"/>
  <c r="I41" i="37"/>
  <c r="H41" i="37"/>
  <c r="I42" i="37" s="1"/>
  <c r="F41" i="37"/>
  <c r="G41" i="37" s="1"/>
  <c r="C41" i="37"/>
  <c r="D41" i="37" s="1"/>
  <c r="D37" i="37"/>
  <c r="E6" i="37" s="1"/>
  <c r="D36" i="37"/>
  <c r="D35" i="37"/>
  <c r="I8" i="37"/>
  <c r="I14" i="37" s="1"/>
  <c r="H8" i="37"/>
  <c r="H14" i="37" s="1"/>
  <c r="G8" i="37"/>
  <c r="G14" i="37" s="1"/>
  <c r="F8" i="37"/>
  <c r="F14" i="37" s="1"/>
  <c r="E8" i="37"/>
  <c r="E14" i="37" s="1"/>
  <c r="H18" i="43" l="1"/>
  <c r="H16" i="43" s="1"/>
  <c r="H17" i="43" s="1"/>
  <c r="E45" i="43"/>
  <c r="G15" i="37"/>
  <c r="H15" i="37"/>
  <c r="G45" i="37"/>
  <c r="E15" i="37"/>
  <c r="F15" i="37"/>
  <c r="I45" i="37"/>
  <c r="H42" i="37"/>
  <c r="I43" i="37" s="1"/>
  <c r="M41" i="37"/>
  <c r="L41" i="37"/>
  <c r="J43" i="37"/>
  <c r="K44" i="37" s="1"/>
  <c r="H43" i="37"/>
  <c r="M42" i="37"/>
  <c r="C42" i="37"/>
  <c r="J42" i="37"/>
  <c r="K43" i="37" s="1"/>
  <c r="E41" i="37"/>
  <c r="P41" i="37" s="1"/>
  <c r="E19" i="37" s="1"/>
  <c r="P45" i="43" l="1"/>
  <c r="I19" i="43" s="1"/>
  <c r="O45" i="43"/>
  <c r="I20" i="43" s="1"/>
  <c r="N45" i="43"/>
  <c r="I18" i="43" s="1"/>
  <c r="I16" i="43" s="1"/>
  <c r="I17" i="43" s="1"/>
  <c r="N41" i="37"/>
  <c r="E18" i="37" s="1"/>
  <c r="E16" i="37" s="1"/>
  <c r="E17" i="37" s="1"/>
  <c r="O41" i="37"/>
  <c r="E20" i="37" s="1"/>
  <c r="L42" i="37"/>
  <c r="J44" i="37"/>
  <c r="M45" i="37"/>
  <c r="L43" i="37"/>
  <c r="I44" i="37"/>
  <c r="M43" i="37"/>
  <c r="C43" i="37"/>
  <c r="D42" i="37"/>
  <c r="E42" i="37" l="1"/>
  <c r="N42" i="37" s="1"/>
  <c r="C44" i="37"/>
  <c r="D43" i="37"/>
  <c r="J45" i="37"/>
  <c r="L45" i="37" s="1"/>
  <c r="M44" i="37"/>
  <c r="L44" i="37"/>
  <c r="O42" i="37" l="1"/>
  <c r="F20" i="37" s="1"/>
  <c r="P42" i="37"/>
  <c r="F19" i="37" s="1"/>
  <c r="F18" i="37"/>
  <c r="F16" i="37" s="1"/>
  <c r="F17" i="37" s="1"/>
  <c r="E43" i="37"/>
  <c r="N43" i="37" s="1"/>
  <c r="D44" i="37"/>
  <c r="C45" i="37"/>
  <c r="D45" i="37" s="1"/>
  <c r="O43" i="37" l="1"/>
  <c r="G20" i="37" s="1"/>
  <c r="P43" i="37"/>
  <c r="G19" i="37" s="1"/>
  <c r="E44" i="37" l="1"/>
  <c r="N44" i="37" s="1"/>
  <c r="G18" i="37"/>
  <c r="G16" i="37" s="1"/>
  <c r="G17" i="37" s="1"/>
  <c r="P44" i="37" l="1"/>
  <c r="H19" i="37" s="1"/>
  <c r="O44" i="37"/>
  <c r="H20" i="37" s="1"/>
  <c r="H18" i="37" l="1"/>
  <c r="H16" i="37" s="1"/>
  <c r="H17" i="37" s="1"/>
  <c r="E45" i="37"/>
  <c r="N45" i="37" s="1"/>
  <c r="P45" i="37" l="1"/>
  <c r="I19" i="37" s="1"/>
  <c r="O45" i="37"/>
  <c r="I20" i="37" s="1"/>
  <c r="I18" i="37"/>
  <c r="I16" i="37" s="1"/>
  <c r="I17" i="37" s="1"/>
</calcChain>
</file>

<file path=xl/sharedStrings.xml><?xml version="1.0" encoding="utf-8"?>
<sst xmlns="http://schemas.openxmlformats.org/spreadsheetml/2006/main" count="322" uniqueCount="99">
  <si>
    <t>wt</t>
  </si>
  <si>
    <t>Round</t>
  </si>
  <si>
    <t>pt</t>
  </si>
  <si>
    <t>game</t>
  </si>
  <si>
    <t>Player</t>
  </si>
  <si>
    <t>Price</t>
  </si>
  <si>
    <t>Score</t>
  </si>
  <si>
    <t>L01</t>
  </si>
  <si>
    <t>L02</t>
  </si>
  <si>
    <t>L03</t>
  </si>
  <si>
    <t>L04</t>
  </si>
  <si>
    <t>L05</t>
  </si>
  <si>
    <t>MN</t>
  </si>
  <si>
    <t>Team</t>
  </si>
  <si>
    <t>Current Price</t>
  </si>
  <si>
    <t>Pre-Round</t>
  </si>
  <si>
    <t>MN Decay</t>
  </si>
  <si>
    <t>CALCULATIONS FOR DEVELOPER</t>
  </si>
  <si>
    <t>User Inputs</t>
  </si>
  <si>
    <t>Database Lookups</t>
  </si>
  <si>
    <t>Last Round</t>
  </si>
  <si>
    <t>Weekly System Inputs</t>
  </si>
  <si>
    <t>WEIGHTS (CONSTANT)</t>
  </si>
  <si>
    <t>Developer Calculations</t>
  </si>
  <si>
    <t>Post Round</t>
  </si>
  <si>
    <t>DATABASE LOOKUPS</t>
  </si>
  <si>
    <t>Breakeven</t>
  </si>
  <si>
    <t>scores &amp; prices for last 4 rounds played</t>
  </si>
  <si>
    <t>Priced at</t>
  </si>
  <si>
    <t>Wt Avg</t>
  </si>
  <si>
    <t>USER SCREEN</t>
  </si>
  <si>
    <t>PRICE PROJECTOR</t>
  </si>
  <si>
    <t>Scores</t>
  </si>
  <si>
    <t>Price Change</t>
  </si>
  <si>
    <t>Total Change</t>
  </si>
  <si>
    <t>Projected Scores</t>
  </si>
  <si>
    <t>Initial MN</t>
  </si>
  <si>
    <t>Rounds</t>
  </si>
  <si>
    <t>Played</t>
  </si>
  <si>
    <t>WEEKLY SYSTEM INPUTS (ADMINSTRATOR)</t>
  </si>
  <si>
    <t>Source :</t>
  </si>
  <si>
    <t>https://denisewong1.medium.com/how-afl-fantasy-pricing-works-part-2-bca9b6685d69</t>
  </si>
  <si>
    <t>Expected BE</t>
  </si>
  <si>
    <t>Note</t>
  </si>
  <si>
    <t>All 22</t>
  </si>
  <si>
    <t>NM</t>
  </si>
  <si>
    <t>Top priced rookie</t>
  </si>
  <si>
    <t>Basement rookie</t>
  </si>
  <si>
    <t>Default rookie</t>
  </si>
  <si>
    <t>beta</t>
  </si>
  <si>
    <t>CALIBRATION PARAMETERS</t>
  </si>
  <si>
    <t>Fwd Est</t>
  </si>
  <si>
    <t>Act Decay</t>
  </si>
  <si>
    <t>Cum Decay</t>
  </si>
  <si>
    <t>Decay</t>
  </si>
  <si>
    <t>Next MN</t>
  </si>
  <si>
    <t>Init MN</t>
  </si>
  <si>
    <t>Lachie Neale</t>
  </si>
  <si>
    <t>MN Table</t>
  </si>
  <si>
    <t>Decay Table</t>
  </si>
  <si>
    <t>Ave</t>
  </si>
  <si>
    <t>Average</t>
  </si>
  <si>
    <t>Average decay per round</t>
  </si>
  <si>
    <t>Average decay excluding R0</t>
  </si>
  <si>
    <t>Total change by Round 5</t>
  </si>
  <si>
    <t>Post Rd</t>
  </si>
  <si>
    <t>Rebased to 2022 Magic Number</t>
  </si>
  <si>
    <t>Est</t>
  </si>
  <si>
    <t>Magic Number = (P(n) - 0.73 P (n-1))/ (0.27 * Avg3)</t>
  </si>
  <si>
    <t>Lloyd Meek</t>
  </si>
  <si>
    <t>BL</t>
  </si>
  <si>
    <t>Brodie Grundy</t>
  </si>
  <si>
    <t>ME</t>
  </si>
  <si>
    <t>Played 6</t>
  </si>
  <si>
    <t>Dom Sheed</t>
  </si>
  <si>
    <t>WC</t>
  </si>
  <si>
    <t>Played 1</t>
  </si>
  <si>
    <t>Nick Coffield</t>
  </si>
  <si>
    <t>SK</t>
  </si>
  <si>
    <t>Missed Season</t>
  </si>
  <si>
    <t>Will Ashcroft</t>
  </si>
  <si>
    <t>Blake Drury</t>
  </si>
  <si>
    <t>Fergus Greene</t>
  </si>
  <si>
    <t>HW</t>
  </si>
  <si>
    <t>Tim Kelly</t>
  </si>
  <si>
    <t>Played 17</t>
  </si>
  <si>
    <t>Charlie Spargo</t>
  </si>
  <si>
    <t>Marcus Bontempelli</t>
  </si>
  <si>
    <t>WB</t>
  </si>
  <si>
    <t>All 23</t>
  </si>
  <si>
    <t>Jhye Clark</t>
  </si>
  <si>
    <t>GE</t>
  </si>
  <si>
    <t>Harley Reid</t>
  </si>
  <si>
    <t>Shaun Mannagh</t>
  </si>
  <si>
    <t>Blake Howes</t>
  </si>
  <si>
    <t>Zac Fisher</t>
  </si>
  <si>
    <t>Played 12</t>
  </si>
  <si>
    <t>Matt Roberts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</si>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</sst>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#,##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4" borderId="0" xfId="0" applyFont="1" applyFill="1"/>
    <xf numFmtId="3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2" fillId="2" borderId="0" xfId="0" applyFont="1" applyFill="1"/>
    <xf numFmtId="0" fontId="1" fillId="5" borderId="0" xfId="0" applyFont="1" applyFill="1"/>
    <xf numFmtId="10" fontId="1" fillId="5" borderId="0" xfId="0" applyNumberFormat="1" applyFont="1" applyFill="1"/>
    <xf numFmtId="0" fontId="2" fillId="0" borderId="3" xfId="0" applyFont="1" applyBorder="1"/>
    <xf numFmtId="0" fontId="2" fillId="0" borderId="1" xfId="0" applyFont="1" applyBorder="1"/>
    <xf numFmtId="0" fontId="2" fillId="4" borderId="0" xfId="0" applyFont="1" applyFill="1"/>
    <xf numFmtId="0" fontId="3" fillId="3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3" fontId="1" fillId="3" borderId="0" xfId="0" applyNumberFormat="1" applyFont="1" applyFill="1"/>
    <xf numFmtId="164" fontId="1" fillId="5" borderId="0" xfId="0" applyNumberFormat="1" applyFont="1" applyFill="1"/>
    <xf numFmtId="0" fontId="1" fillId="0" borderId="3" xfId="0" applyFont="1" applyBorder="1" applyAlignment="1">
      <alignment horizontal="right"/>
    </xf>
    <xf numFmtId="165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/>
    <xf numFmtId="3" fontId="3" fillId="3" borderId="0" xfId="0" applyNumberFormat="1" applyFont="1" applyFill="1"/>
    <xf numFmtId="0" fontId="5" fillId="0" borderId="0" xfId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0" fontId="1" fillId="0" borderId="0" xfId="0" applyNumberFormat="1" applyFont="1"/>
    <xf numFmtId="0" fontId="1" fillId="6" borderId="0" xfId="0" applyFont="1" applyFill="1"/>
    <xf numFmtId="10" fontId="1" fillId="0" borderId="0" xfId="2" applyNumberFormat="1" applyFont="1"/>
    <xf numFmtId="3" fontId="3" fillId="2" borderId="0" xfId="0" applyNumberFormat="1" applyFont="1" applyFill="1"/>
    <xf numFmtId="0" fontId="2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0" fontId="1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10" fontId="1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AU"/>
              <a:t>Normalised to 2023</a:t>
            </a:r>
            <a:r>
              <a:rPr lang="en-AU" baseline="0"/>
              <a:t> MN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8.9611212391554507E-2"/>
          <c:w val="0.87753018372703417"/>
          <c:h val="0.76000456839446806"/>
        </c:manualLayout>
      </c:layout>
      <c:lineChart>
        <c:grouping val="standard"/>
        <c:varyColors val="0"/>
        <c:ser>
          <c:idx val="0"/>
          <c:order val="0"/>
          <c:tx>
            <c:strRef>
              <c:f>'[1]MN Testing 2010-2021'!$AM$4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2010-2021'!$AM$5:$AM$29</c:f>
              <c:numCache>
                <c:formatCode>General</c:formatCode>
                <c:ptCount val="25"/>
                <c:pt idx="0">
                  <c:v>5475</c:v>
                </c:pt>
                <c:pt idx="1">
                  <c:v>5083.026969657978</c:v>
                </c:pt>
                <c:pt idx="2">
                  <c:v>5015.5230971968567</c:v>
                </c:pt>
                <c:pt idx="3">
                  <c:v>4962.1177168769718</c:v>
                </c:pt>
                <c:pt idx="4">
                  <c:v>5004.502356605235</c:v>
                </c:pt>
                <c:pt idx="5">
                  <c:v>5059.4313993165097</c:v>
                </c:pt>
                <c:pt idx="6">
                  <c:v>5007.8422439675696</c:v>
                </c:pt>
                <c:pt idx="7">
                  <c:v>4968.2435527422649</c:v>
                </c:pt>
                <c:pt idx="8">
                  <c:v>4978.0541190575013</c:v>
                </c:pt>
                <c:pt idx="9">
                  <c:v>4968.7314193093143</c:v>
                </c:pt>
                <c:pt idx="10">
                  <c:v>4924.8793236344018</c:v>
                </c:pt>
                <c:pt idx="11">
                  <c:v>4899.0273355747413</c:v>
                </c:pt>
                <c:pt idx="12">
                  <c:v>4948.3208118185839</c:v>
                </c:pt>
                <c:pt idx="13">
                  <c:v>4887.1075352814214</c:v>
                </c:pt>
                <c:pt idx="14">
                  <c:v>4956.9268215728598</c:v>
                </c:pt>
                <c:pt idx="15">
                  <c:v>4922.881863204937</c:v>
                </c:pt>
                <c:pt idx="16">
                  <c:v>4905.4686704991982</c:v>
                </c:pt>
                <c:pt idx="17">
                  <c:v>4859.7822816564285</c:v>
                </c:pt>
                <c:pt idx="18">
                  <c:v>4799.2364093059941</c:v>
                </c:pt>
                <c:pt idx="19">
                  <c:v>4797.0153835989822</c:v>
                </c:pt>
                <c:pt idx="20">
                  <c:v>4794.8092041341524</c:v>
                </c:pt>
                <c:pt idx="21">
                  <c:v>4839.7845095882449</c:v>
                </c:pt>
                <c:pt idx="22">
                  <c:v>4797.4572065139191</c:v>
                </c:pt>
                <c:pt idx="23">
                  <c:v>4797.31520214179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1-482F-ABCE-0723AB7F03BD}"/>
            </c:ext>
          </c:extLst>
        </c:ser>
        <c:ser>
          <c:idx val="1"/>
          <c:order val="1"/>
          <c:tx>
            <c:strRef>
              <c:f>'[1]MN Testing 2010-2021'!$AN$4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2010-2021'!$AN$5:$AN$29</c:f>
              <c:numCache>
                <c:formatCode>General</c:formatCode>
                <c:ptCount val="25"/>
                <c:pt idx="0">
                  <c:v>5475</c:v>
                </c:pt>
                <c:pt idx="1">
                  <c:v>5267.2382369586749</c:v>
                </c:pt>
                <c:pt idx="2">
                  <c:v>5241.322491308898</c:v>
                </c:pt>
                <c:pt idx="3">
                  <c:v>5186.5964407883675</c:v>
                </c:pt>
                <c:pt idx="4">
                  <c:v>5160.2970521886618</c:v>
                </c:pt>
                <c:pt idx="5">
                  <c:v>5155.4552500654163</c:v>
                </c:pt>
                <c:pt idx="6">
                  <c:v>5125.1018410603137</c:v>
                </c:pt>
                <c:pt idx="7">
                  <c:v>5108.2439125703231</c:v>
                </c:pt>
                <c:pt idx="8">
                  <c:v>5121.9236671588515</c:v>
                </c:pt>
                <c:pt idx="9">
                  <c:v>5097.8245627955439</c:v>
                </c:pt>
                <c:pt idx="10">
                  <c:v>5061.5289414425361</c:v>
                </c:pt>
                <c:pt idx="11">
                  <c:v>5068.3987755406233</c:v>
                </c:pt>
                <c:pt idx="12">
                  <c:v>4974.9925688933326</c:v>
                </c:pt>
                <c:pt idx="13">
                  <c:v>5068.2219879819822</c:v>
                </c:pt>
                <c:pt idx="14">
                  <c:v>5046.3715365119715</c:v>
                </c:pt>
                <c:pt idx="15">
                  <c:v>5010.3201386557766</c:v>
                </c:pt>
                <c:pt idx="16">
                  <c:v>4971.8801424733192</c:v>
                </c:pt>
                <c:pt idx="17">
                  <c:v>4947.5823783853239</c:v>
                </c:pt>
                <c:pt idx="18">
                  <c:v>4951.0870558146271</c:v>
                </c:pt>
                <c:pt idx="19">
                  <c:v>4958.2915584079392</c:v>
                </c:pt>
                <c:pt idx="20">
                  <c:v>4948.5422598919686</c:v>
                </c:pt>
                <c:pt idx="21">
                  <c:v>4949.5969241958392</c:v>
                </c:pt>
                <c:pt idx="22">
                  <c:v>4950.018902276508</c:v>
                </c:pt>
                <c:pt idx="23">
                  <c:v>4917.3844199624318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1-482F-ABCE-0723AB7F03BD}"/>
            </c:ext>
          </c:extLst>
        </c:ser>
        <c:ser>
          <c:idx val="2"/>
          <c:order val="2"/>
          <c:tx>
            <c:strRef>
              <c:f>'[1]MN Testing 2010-2021'!$AO$4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2010-2021'!$AO$5:$AO$29</c:f>
              <c:numCache>
                <c:formatCode>General</c:formatCode>
                <c:ptCount val="25"/>
                <c:pt idx="0">
                  <c:v>5475</c:v>
                </c:pt>
                <c:pt idx="1">
                  <c:v>5204.9541853333212</c:v>
                </c:pt>
                <c:pt idx="2">
                  <c:v>5119.4531092330653</c:v>
                </c:pt>
                <c:pt idx="3">
                  <c:v>5090.6808982054808</c:v>
                </c:pt>
                <c:pt idx="4">
                  <c:v>5081.0710278261831</c:v>
                </c:pt>
                <c:pt idx="5">
                  <c:v>5017.3313522765193</c:v>
                </c:pt>
                <c:pt idx="6">
                  <c:v>5054.6979359775314</c:v>
                </c:pt>
                <c:pt idx="7">
                  <c:v>5136.8431695849249</c:v>
                </c:pt>
                <c:pt idx="8">
                  <c:v>5064.5561443263141</c:v>
                </c:pt>
                <c:pt idx="9">
                  <c:v>5140.5229061028513</c:v>
                </c:pt>
                <c:pt idx="10">
                  <c:v>5119.6252770846468</c:v>
                </c:pt>
                <c:pt idx="11">
                  <c:v>5076.0979238024165</c:v>
                </c:pt>
                <c:pt idx="12">
                  <c:v>5090.1830560555782</c:v>
                </c:pt>
                <c:pt idx="13">
                  <c:v>5112.0899518232545</c:v>
                </c:pt>
                <c:pt idx="14">
                  <c:v>5145.8209333404402</c:v>
                </c:pt>
                <c:pt idx="15">
                  <c:v>5119.9177859274778</c:v>
                </c:pt>
                <c:pt idx="16">
                  <c:v>5109.9866594536725</c:v>
                </c:pt>
                <c:pt idx="17">
                  <c:v>5069.1932608496163</c:v>
                </c:pt>
                <c:pt idx="18">
                  <c:v>5066.4695006210377</c:v>
                </c:pt>
                <c:pt idx="19">
                  <c:v>5073.9676705442889</c:v>
                </c:pt>
                <c:pt idx="20">
                  <c:v>5082.6688799126841</c:v>
                </c:pt>
                <c:pt idx="21">
                  <c:v>5080.6927613733269</c:v>
                </c:pt>
                <c:pt idx="22">
                  <c:v>5008.3027979542849</c:v>
                </c:pt>
                <c:pt idx="23">
                  <c:v>4967.6265238728629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1-482F-ABCE-0723AB7F03BD}"/>
            </c:ext>
          </c:extLst>
        </c:ser>
        <c:ser>
          <c:idx val="3"/>
          <c:order val="3"/>
          <c:tx>
            <c:strRef>
              <c:f>'[1]MN Testing 2010-2021'!$AP$4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2010-2021'!$AP$5:$AP$29</c:f>
              <c:numCache>
                <c:formatCode>General</c:formatCode>
                <c:ptCount val="25"/>
                <c:pt idx="0">
                  <c:v>5475</c:v>
                </c:pt>
                <c:pt idx="1">
                  <c:v>5308.4961869496374</c:v>
                </c:pt>
                <c:pt idx="2">
                  <c:v>5200.5627410058287</c:v>
                </c:pt>
                <c:pt idx="3">
                  <c:v>5155.7476066351373</c:v>
                </c:pt>
                <c:pt idx="4">
                  <c:v>5133.902177661972</c:v>
                </c:pt>
                <c:pt idx="5">
                  <c:v>5107.3519292001483</c:v>
                </c:pt>
                <c:pt idx="6">
                  <c:v>5106.3877252752163</c:v>
                </c:pt>
                <c:pt idx="7">
                  <c:v>5111.8745668406864</c:v>
                </c:pt>
                <c:pt idx="8">
                  <c:v>5132.4840990107668</c:v>
                </c:pt>
                <c:pt idx="9">
                  <c:v>5134.0729854954643</c:v>
                </c:pt>
                <c:pt idx="10">
                  <c:v>5170.4294446702897</c:v>
                </c:pt>
                <c:pt idx="11">
                  <c:v>5158.7142503493114</c:v>
                </c:pt>
                <c:pt idx="12">
                  <c:v>5136.9796910250852</c:v>
                </c:pt>
                <c:pt idx="13">
                  <c:v>5135.3504311685683</c:v>
                </c:pt>
                <c:pt idx="14">
                  <c:v>5177.5623962579557</c:v>
                </c:pt>
                <c:pt idx="15">
                  <c:v>5169.2466714218208</c:v>
                </c:pt>
                <c:pt idx="16">
                  <c:v>5154.9548410752259</c:v>
                </c:pt>
                <c:pt idx="17">
                  <c:v>5044.2358474065422</c:v>
                </c:pt>
                <c:pt idx="18">
                  <c:v>5056.5044232930286</c:v>
                </c:pt>
                <c:pt idx="19">
                  <c:v>5046.8121961786983</c:v>
                </c:pt>
                <c:pt idx="20">
                  <c:v>5029.2896221024885</c:v>
                </c:pt>
                <c:pt idx="21">
                  <c:v>4975.7060606116984</c:v>
                </c:pt>
                <c:pt idx="22">
                  <c:v>4979.793940141808</c:v>
                </c:pt>
                <c:pt idx="23">
                  <c:v>4901.2828738741582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1-482F-ABCE-0723AB7F03BD}"/>
            </c:ext>
          </c:extLst>
        </c:ser>
        <c:ser>
          <c:idx val="4"/>
          <c:order val="4"/>
          <c:tx>
            <c:strRef>
              <c:f>'[1]MN Testing 2010-2021'!$AQ$4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2010-2021'!$AQ$5:$AQ$29</c:f>
              <c:numCache>
                <c:formatCode>General</c:formatCode>
                <c:ptCount val="25"/>
                <c:pt idx="0">
                  <c:v>5475</c:v>
                </c:pt>
                <c:pt idx="1">
                  <c:v>5262.2296610379144</c:v>
                </c:pt>
                <c:pt idx="2">
                  <c:v>5182.2085143012009</c:v>
                </c:pt>
                <c:pt idx="3">
                  <c:v>5176.9995911440965</c:v>
                </c:pt>
                <c:pt idx="4">
                  <c:v>5171.4225532716255</c:v>
                </c:pt>
                <c:pt idx="5">
                  <c:v>5199.8561100872812</c:v>
                </c:pt>
                <c:pt idx="6">
                  <c:v>5188.9506819685348</c:v>
                </c:pt>
                <c:pt idx="7">
                  <c:v>5123.7217912914166</c:v>
                </c:pt>
                <c:pt idx="8">
                  <c:v>5123.005848093173</c:v>
                </c:pt>
                <c:pt idx="9">
                  <c:v>5087.1184365132312</c:v>
                </c:pt>
                <c:pt idx="10">
                  <c:v>5070.4039008922618</c:v>
                </c:pt>
                <c:pt idx="11">
                  <c:v>5085.4178577245948</c:v>
                </c:pt>
                <c:pt idx="12">
                  <c:v>5062.8266851373137</c:v>
                </c:pt>
                <c:pt idx="13">
                  <c:v>4934.4277407855243</c:v>
                </c:pt>
                <c:pt idx="14">
                  <c:v>5010.5908133755838</c:v>
                </c:pt>
                <c:pt idx="15">
                  <c:v>5077.457732863576</c:v>
                </c:pt>
                <c:pt idx="16">
                  <c:v>5043.0714233516792</c:v>
                </c:pt>
                <c:pt idx="17">
                  <c:v>4976.4733261201918</c:v>
                </c:pt>
                <c:pt idx="18">
                  <c:v>4942.1882499305093</c:v>
                </c:pt>
                <c:pt idx="19">
                  <c:v>4921.6783981265298</c:v>
                </c:pt>
                <c:pt idx="20">
                  <c:v>4913.2603198104298</c:v>
                </c:pt>
                <c:pt idx="21">
                  <c:v>4904.801954122192</c:v>
                </c:pt>
                <c:pt idx="22">
                  <c:v>4910.8263635340227</c:v>
                </c:pt>
                <c:pt idx="23">
                  <c:v>4916.2441511841234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1-482F-ABCE-0723AB7F03BD}"/>
            </c:ext>
          </c:extLst>
        </c:ser>
        <c:ser>
          <c:idx val="5"/>
          <c:order val="5"/>
          <c:tx>
            <c:strRef>
              <c:f>'[1]MN Testing 2010-2021'!$AR$4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2010-2021'!$AR$5:$AR$29</c:f>
              <c:numCache>
                <c:formatCode>General</c:formatCode>
                <c:ptCount val="25"/>
                <c:pt idx="0">
                  <c:v>5475</c:v>
                </c:pt>
                <c:pt idx="1">
                  <c:v>5238.5859499540529</c:v>
                </c:pt>
                <c:pt idx="2">
                  <c:v>5212.488780339092</c:v>
                </c:pt>
                <c:pt idx="3">
                  <c:v>5177.7980503216322</c:v>
                </c:pt>
                <c:pt idx="4">
                  <c:v>5156.0809964252894</c:v>
                </c:pt>
                <c:pt idx="5">
                  <c:v>5169.5350376355445</c:v>
                </c:pt>
                <c:pt idx="6">
                  <c:v>5138.6206700009179</c:v>
                </c:pt>
                <c:pt idx="7">
                  <c:v>5159.5625721696379</c:v>
                </c:pt>
                <c:pt idx="8">
                  <c:v>5124.5867114776702</c:v>
                </c:pt>
                <c:pt idx="9">
                  <c:v>5142.9914789239119</c:v>
                </c:pt>
                <c:pt idx="10">
                  <c:v>5135.4597918029776</c:v>
                </c:pt>
                <c:pt idx="11">
                  <c:v>5107.9372364776691</c:v>
                </c:pt>
                <c:pt idx="12">
                  <c:v>5148.4400980977762</c:v>
                </c:pt>
                <c:pt idx="13">
                  <c:v>5141.4170355587212</c:v>
                </c:pt>
                <c:pt idx="14">
                  <c:v>5143.1420811707403</c:v>
                </c:pt>
                <c:pt idx="15">
                  <c:v>5076.5991233642708</c:v>
                </c:pt>
                <c:pt idx="16">
                  <c:v>5067.8735934249216</c:v>
                </c:pt>
                <c:pt idx="17">
                  <c:v>5058.2376276373825</c:v>
                </c:pt>
                <c:pt idx="18">
                  <c:v>5035.8832388623414</c:v>
                </c:pt>
                <c:pt idx="19">
                  <c:v>5024.0980100532988</c:v>
                </c:pt>
                <c:pt idx="20">
                  <c:v>4997.3570605357472</c:v>
                </c:pt>
                <c:pt idx="21">
                  <c:v>4991.2895510246281</c:v>
                </c:pt>
                <c:pt idx="22">
                  <c:v>4992.2232121025545</c:v>
                </c:pt>
                <c:pt idx="23">
                  <c:v>5005.0920884120569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81-482F-ABCE-0723AB7F03BD}"/>
            </c:ext>
          </c:extLst>
        </c:ser>
        <c:ser>
          <c:idx val="6"/>
          <c:order val="6"/>
          <c:tx>
            <c:strRef>
              <c:f>'[1]MN Testing 2010-2021'!$AS$4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2010-2021'!$AS$5:$AS$29</c:f>
              <c:numCache>
                <c:formatCode>General</c:formatCode>
                <c:ptCount val="25"/>
                <c:pt idx="0">
                  <c:v>5475</c:v>
                </c:pt>
                <c:pt idx="1">
                  <c:v>5169.7858641051289</c:v>
                </c:pt>
                <c:pt idx="2">
                  <c:v>5059.771529779011</c:v>
                </c:pt>
                <c:pt idx="3">
                  <c:v>5026.0970991405966</c:v>
                </c:pt>
                <c:pt idx="4">
                  <c:v>5088.1100511094946</c:v>
                </c:pt>
                <c:pt idx="5">
                  <c:v>5104.1905075072746</c:v>
                </c:pt>
                <c:pt idx="6">
                  <c:v>5037.4298273326667</c:v>
                </c:pt>
                <c:pt idx="7">
                  <c:v>5003.3913211440522</c:v>
                </c:pt>
                <c:pt idx="8">
                  <c:v>4959.4724196389598</c:v>
                </c:pt>
                <c:pt idx="9">
                  <c:v>4946.7463029510727</c:v>
                </c:pt>
                <c:pt idx="10">
                  <c:v>4978.2025350491085</c:v>
                </c:pt>
                <c:pt idx="11">
                  <c:v>4978.6658507002549</c:v>
                </c:pt>
                <c:pt idx="12">
                  <c:v>4930.0264814705351</c:v>
                </c:pt>
                <c:pt idx="13">
                  <c:v>4970.4710344125133</c:v>
                </c:pt>
                <c:pt idx="14">
                  <c:v>4933.5613199208801</c:v>
                </c:pt>
                <c:pt idx="15">
                  <c:v>4879.2720305156417</c:v>
                </c:pt>
                <c:pt idx="16">
                  <c:v>4875.7895779965447</c:v>
                </c:pt>
                <c:pt idx="17">
                  <c:v>4893.2081401282285</c:v>
                </c:pt>
                <c:pt idx="18">
                  <c:v>4875.1467026600585</c:v>
                </c:pt>
                <c:pt idx="19">
                  <c:v>4875.7748667970172</c:v>
                </c:pt>
                <c:pt idx="20">
                  <c:v>4853.704467629138</c:v>
                </c:pt>
                <c:pt idx="21">
                  <c:v>4845.3647052473625</c:v>
                </c:pt>
                <c:pt idx="22">
                  <c:v>4826.1004756047651</c:v>
                </c:pt>
                <c:pt idx="23">
                  <c:v>4819.1677732857406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81-482F-ABCE-0723AB7F03BD}"/>
            </c:ext>
          </c:extLst>
        </c:ser>
        <c:ser>
          <c:idx val="7"/>
          <c:order val="7"/>
          <c:tx>
            <c:strRef>
              <c:f>'[1]MN Testing 2010-2021'!$AT$4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2010-2021'!$AT$5:$AT$29</c:f>
              <c:numCache>
                <c:formatCode>General</c:formatCode>
                <c:ptCount val="25"/>
                <c:pt idx="0">
                  <c:v>5475</c:v>
                </c:pt>
                <c:pt idx="1">
                  <c:v>5223.5450611609385</c:v>
                </c:pt>
                <c:pt idx="2">
                  <c:v>5206.0832481197185</c:v>
                </c:pt>
                <c:pt idx="3">
                  <c:v>5144.9680597600536</c:v>
                </c:pt>
                <c:pt idx="4">
                  <c:v>5174.9993007316652</c:v>
                </c:pt>
                <c:pt idx="5">
                  <c:v>5213.4089917770516</c:v>
                </c:pt>
                <c:pt idx="6">
                  <c:v>5200.0334140154837</c:v>
                </c:pt>
                <c:pt idx="7">
                  <c:v>5162.3555726084096</c:v>
                </c:pt>
                <c:pt idx="8">
                  <c:v>5101.7475068662716</c:v>
                </c:pt>
                <c:pt idx="9">
                  <c:v>5073.9522274905094</c:v>
                </c:pt>
                <c:pt idx="10">
                  <c:v>5090.4011426885945</c:v>
                </c:pt>
                <c:pt idx="11">
                  <c:v>5067.749760910051</c:v>
                </c:pt>
                <c:pt idx="12">
                  <c:v>5077.6205504070022</c:v>
                </c:pt>
                <c:pt idx="13">
                  <c:v>5083.0501596373724</c:v>
                </c:pt>
                <c:pt idx="14">
                  <c:v>5106.090711771305</c:v>
                </c:pt>
                <c:pt idx="15">
                  <c:v>5107.078502337572</c:v>
                </c:pt>
                <c:pt idx="16">
                  <c:v>5102.0553637328203</c:v>
                </c:pt>
                <c:pt idx="17">
                  <c:v>5058.5927411898956</c:v>
                </c:pt>
                <c:pt idx="18">
                  <c:v>5039.5611056217776</c:v>
                </c:pt>
                <c:pt idx="19">
                  <c:v>5047.8492431212944</c:v>
                </c:pt>
                <c:pt idx="20">
                  <c:v>5000.7865981282848</c:v>
                </c:pt>
                <c:pt idx="21">
                  <c:v>5017.6148525616582</c:v>
                </c:pt>
                <c:pt idx="22">
                  <c:v>5010.9932754880992</c:v>
                </c:pt>
                <c:pt idx="23">
                  <c:v>5028.9375304768528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81-482F-ABCE-0723AB7F03BD}"/>
            </c:ext>
          </c:extLst>
        </c:ser>
        <c:ser>
          <c:idx val="8"/>
          <c:order val="8"/>
          <c:tx>
            <c:strRef>
              <c:f>'[1]MN Testing 2010-2021'!$AU$4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2010-2021'!$AU$5:$AU$29</c:f>
              <c:numCache>
                <c:formatCode>General</c:formatCode>
                <c:ptCount val="25"/>
                <c:pt idx="0">
                  <c:v>5475</c:v>
                </c:pt>
                <c:pt idx="1">
                  <c:v>5298.2232633192752</c:v>
                </c:pt>
                <c:pt idx="2">
                  <c:v>5318.605586987348</c:v>
                </c:pt>
                <c:pt idx="3">
                  <c:v>5316.5569896180541</c:v>
                </c:pt>
                <c:pt idx="4">
                  <c:v>5271.3238767840367</c:v>
                </c:pt>
                <c:pt idx="5">
                  <c:v>5223.7545337286601</c:v>
                </c:pt>
                <c:pt idx="6">
                  <c:v>5204.4017925774842</c:v>
                </c:pt>
                <c:pt idx="7">
                  <c:v>5134.6317434577622</c:v>
                </c:pt>
                <c:pt idx="8">
                  <c:v>5072.6246889836284</c:v>
                </c:pt>
                <c:pt idx="9">
                  <c:v>5069.0534162860722</c:v>
                </c:pt>
                <c:pt idx="10">
                  <c:v>5031.731635600634</c:v>
                </c:pt>
                <c:pt idx="11">
                  <c:v>5026.8648686672432</c:v>
                </c:pt>
                <c:pt idx="12">
                  <c:v>5004.7055943813193</c:v>
                </c:pt>
                <c:pt idx="13">
                  <c:v>5006.1179590615275</c:v>
                </c:pt>
                <c:pt idx="14">
                  <c:v>5016.4017202952055</c:v>
                </c:pt>
                <c:pt idx="15">
                  <c:v>5038.7594057337801</c:v>
                </c:pt>
                <c:pt idx="16">
                  <c:v>5009.1058192436594</c:v>
                </c:pt>
                <c:pt idx="17">
                  <c:v>4973.1246659269627</c:v>
                </c:pt>
                <c:pt idx="18">
                  <c:v>4977.873382741569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81-482F-ABCE-0723AB7F03BD}"/>
            </c:ext>
          </c:extLst>
        </c:ser>
        <c:ser>
          <c:idx val="9"/>
          <c:order val="9"/>
          <c:tx>
            <c:strRef>
              <c:f>'[1]MN Testing 2010-2021'!$AV$4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2010-2021'!$AV$5:$AV$29</c:f>
              <c:numCache>
                <c:formatCode>General</c:formatCode>
                <c:ptCount val="25"/>
                <c:pt idx="0">
                  <c:v>5475</c:v>
                </c:pt>
                <c:pt idx="1">
                  <c:v>5255.7949279259929</c:v>
                </c:pt>
                <c:pt idx="2">
                  <c:v>5210.1409737572239</c:v>
                </c:pt>
                <c:pt idx="3">
                  <c:v>5209.2117894704661</c:v>
                </c:pt>
                <c:pt idx="4">
                  <c:v>5223.3442542788689</c:v>
                </c:pt>
                <c:pt idx="5">
                  <c:v>5221.8432394369383</c:v>
                </c:pt>
                <c:pt idx="6">
                  <c:v>5191.9718091649847</c:v>
                </c:pt>
                <c:pt idx="7">
                  <c:v>5125.0021738820205</c:v>
                </c:pt>
                <c:pt idx="8">
                  <c:v>5144.5550671807196</c:v>
                </c:pt>
                <c:pt idx="9">
                  <c:v>5119.8165534512755</c:v>
                </c:pt>
                <c:pt idx="10">
                  <c:v>5129.9967348297023</c:v>
                </c:pt>
                <c:pt idx="11">
                  <c:v>5098.3383171715614</c:v>
                </c:pt>
                <c:pt idx="12">
                  <c:v>5127.0825722676909</c:v>
                </c:pt>
                <c:pt idx="13">
                  <c:v>5091.3522868328128</c:v>
                </c:pt>
                <c:pt idx="14">
                  <c:v>5272.05568435023</c:v>
                </c:pt>
                <c:pt idx="15">
                  <c:v>5189.4947745257932</c:v>
                </c:pt>
                <c:pt idx="16">
                  <c:v>5212.1661776275932</c:v>
                </c:pt>
                <c:pt idx="17">
                  <c:v>5154.0843306445859</c:v>
                </c:pt>
                <c:pt idx="18">
                  <c:v>5090.6283981965726</c:v>
                </c:pt>
                <c:pt idx="19">
                  <c:v>5155.1796519972713</c:v>
                </c:pt>
                <c:pt idx="20">
                  <c:v>5123.2506526557154</c:v>
                </c:pt>
                <c:pt idx="21">
                  <c:v>5105.4732092899339</c:v>
                </c:pt>
                <c:pt idx="22">
                  <c:v>5047.8333952561488</c:v>
                </c:pt>
                <c:pt idx="23">
                  <c:v>4972.9746201044954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81-482F-ABCE-0723AB7F03BD}"/>
            </c:ext>
          </c:extLst>
        </c:ser>
        <c:ser>
          <c:idx val="10"/>
          <c:order val="10"/>
          <c:tx>
            <c:strRef>
              <c:f>'[1]MN Testing 2010-2021'!$AW$4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2010-2021'!$AW$5:$AW$29</c:f>
              <c:numCache>
                <c:formatCode>General</c:formatCode>
                <c:ptCount val="25"/>
                <c:pt idx="0">
                  <c:v>5475</c:v>
                </c:pt>
                <c:pt idx="1">
                  <c:v>5219.6147505699901</c:v>
                </c:pt>
                <c:pt idx="2">
                  <c:v>5165.2251444469975</c:v>
                </c:pt>
                <c:pt idx="3">
                  <c:v>5133.3967742719424</c:v>
                </c:pt>
                <c:pt idx="4">
                  <c:v>5128.0973791273163</c:v>
                </c:pt>
                <c:pt idx="5">
                  <c:v>5126.1938481616789</c:v>
                </c:pt>
                <c:pt idx="6">
                  <c:v>5102.3327742180636</c:v>
                </c:pt>
                <c:pt idx="7">
                  <c:v>5091.3218480486403</c:v>
                </c:pt>
                <c:pt idx="8">
                  <c:v>5068.1420600124729</c:v>
                </c:pt>
                <c:pt idx="9">
                  <c:v>5067.4731770466133</c:v>
                </c:pt>
                <c:pt idx="10">
                  <c:v>5047.0139397964585</c:v>
                </c:pt>
                <c:pt idx="11">
                  <c:v>5030.3697029030809</c:v>
                </c:pt>
                <c:pt idx="12">
                  <c:v>5024.1938760589492</c:v>
                </c:pt>
                <c:pt idx="13">
                  <c:v>5017.0847991907094</c:v>
                </c:pt>
                <c:pt idx="14">
                  <c:v>5052.727866350564</c:v>
                </c:pt>
                <c:pt idx="15">
                  <c:v>5032.1586421483371</c:v>
                </c:pt>
                <c:pt idx="16">
                  <c:v>5020.9858687829919</c:v>
                </c:pt>
                <c:pt idx="17">
                  <c:v>4979.8370989529212</c:v>
                </c:pt>
                <c:pt idx="18">
                  <c:v>4967.5685165402992</c:v>
                </c:pt>
                <c:pt idx="19">
                  <c:v>4966.0534158286528</c:v>
                </c:pt>
                <c:pt idx="20">
                  <c:v>4948.6504072507023</c:v>
                </c:pt>
                <c:pt idx="21">
                  <c:v>4950.2383847204437</c:v>
                </c:pt>
                <c:pt idx="22">
                  <c:v>4934.1095955923583</c:v>
                </c:pt>
                <c:pt idx="23">
                  <c:v>4921.0147554602463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81-482F-ABCE-0723AB7F03BD}"/>
            </c:ext>
          </c:extLst>
        </c:ser>
        <c:ser>
          <c:idx val="11"/>
          <c:order val="11"/>
          <c:tx>
            <c:strRef>
              <c:f>'[1]MN Testing 2010-2021'!$AX$4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2010-2021'!$AX$5:$AX$29</c:f>
              <c:numCache>
                <c:formatCode>General</c:formatCode>
                <c:ptCount val="25"/>
                <c:pt idx="0">
                  <c:v>5475</c:v>
                </c:pt>
                <c:pt idx="1">
                  <c:v>5207.3400673400702</c:v>
                </c:pt>
                <c:pt idx="2">
                  <c:v>5093.0224668274996</c:v>
                </c:pt>
                <c:pt idx="3">
                  <c:v>5066.3599999999997</c:v>
                </c:pt>
                <c:pt idx="4">
                  <c:v>5101.97</c:v>
                </c:pt>
                <c:pt idx="5">
                  <c:v>5183.7704649151601</c:v>
                </c:pt>
                <c:pt idx="6">
                  <c:v>5169.3869063861803</c:v>
                </c:pt>
                <c:pt idx="7">
                  <c:v>5167.1623266864499</c:v>
                </c:pt>
                <c:pt idx="8">
                  <c:v>5143.4321442127903</c:v>
                </c:pt>
                <c:pt idx="9">
                  <c:v>5098.6732037884303</c:v>
                </c:pt>
                <c:pt idx="10">
                  <c:v>5091.1065435186301</c:v>
                </c:pt>
                <c:pt idx="11">
                  <c:v>5086.1168392797499</c:v>
                </c:pt>
                <c:pt idx="12">
                  <c:v>5085.2176219892399</c:v>
                </c:pt>
                <c:pt idx="13">
                  <c:v>5192.6191004902403</c:v>
                </c:pt>
                <c:pt idx="14">
                  <c:v>5093.62</c:v>
                </c:pt>
                <c:pt idx="15">
                  <c:v>5113.8500000000004</c:v>
                </c:pt>
                <c:pt idx="16">
                  <c:v>5191.43</c:v>
                </c:pt>
                <c:pt idx="17">
                  <c:v>5150</c:v>
                </c:pt>
                <c:pt idx="18">
                  <c:v>5132.8321146323096</c:v>
                </c:pt>
                <c:pt idx="19">
                  <c:v>5126</c:v>
                </c:pt>
                <c:pt idx="20">
                  <c:v>5120.3771339061605</c:v>
                </c:pt>
                <c:pt idx="21">
                  <c:v>5144.0180617999104</c:v>
                </c:pt>
                <c:pt idx="22">
                  <c:v>5133.4093384501102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81-482F-ABCE-0723AB7F03BD}"/>
            </c:ext>
          </c:extLst>
        </c:ser>
        <c:ser>
          <c:idx val="14"/>
          <c:order val="12"/>
          <c:tx>
            <c:v>2022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'[1]MN Testing 2010-2021'!$AY$5:$AY$27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81-482F-ABCE-0723AB7F03BD}"/>
            </c:ext>
          </c:extLst>
        </c:ser>
        <c:ser>
          <c:idx val="13"/>
          <c:order val="13"/>
          <c:tx>
            <c:strRef>
              <c:f>'[1]MN Testing 2010-2021'!$BA$4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2010-2021'!$BA$5:$BA$29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81-482F-ABCE-0723AB7F03BD}"/>
            </c:ext>
          </c:extLst>
        </c:ser>
        <c:ser>
          <c:idx val="12"/>
          <c:order val="14"/>
          <c:tx>
            <c:strRef>
              <c:f>'[1]MN Testing 2010-2021'!$AZ$4</c:f>
              <c:strCache>
                <c:ptCount val="1"/>
              </c:strCache>
            </c:strRef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'[1]MN Testing 2010-2021'!$AL$5:$AL$29</c:f>
              <c:numCache>
                <c:formatCode>General</c:formatCode>
                <c:ptCount val="25"/>
                <c:pt idx="0">
                  <c:v>5475</c:v>
                </c:pt>
                <c:pt idx="1">
                  <c:v>5154.2397781551208</c:v>
                </c:pt>
                <c:pt idx="2">
                  <c:v>5085.1923083139818</c:v>
                </c:pt>
                <c:pt idx="3">
                  <c:v>5038.631072699809</c:v>
                </c:pt>
                <c:pt idx="4">
                  <c:v>4985.8798578269179</c:v>
                </c:pt>
                <c:pt idx="5">
                  <c:v>4991.1559737458647</c:v>
                </c:pt>
                <c:pt idx="6">
                  <c:v>4851.9146303407388</c:v>
                </c:pt>
                <c:pt idx="7">
                  <c:v>4934.173606321544</c:v>
                </c:pt>
                <c:pt idx="8">
                  <c:v>4905.6200045263986</c:v>
                </c:pt>
                <c:pt idx="9">
                  <c:v>4965.4614574796033</c:v>
                </c:pt>
                <c:pt idx="10">
                  <c:v>4859.4431339628845</c:v>
                </c:pt>
                <c:pt idx="11">
                  <c:v>4816.7362492909851</c:v>
                </c:pt>
                <c:pt idx="12">
                  <c:v>4843.2005218202185</c:v>
                </c:pt>
                <c:pt idx="13">
                  <c:v>4842.7362511816937</c:v>
                </c:pt>
                <c:pt idx="14">
                  <c:v>4880.9002495684254</c:v>
                </c:pt>
                <c:pt idx="15">
                  <c:v>4825.2740425358106</c:v>
                </c:pt>
                <c:pt idx="16">
                  <c:v>4842.7407102591505</c:v>
                </c:pt>
                <c:pt idx="17">
                  <c:v>4794.4127066935216</c:v>
                </c:pt>
                <c:pt idx="18">
                  <c:v>4858.8978809418604</c:v>
                </c:pt>
                <c:pt idx="19">
                  <c:v>4816.0652745894904</c:v>
                </c:pt>
                <c:pt idx="20">
                  <c:v>4830.6358632061911</c:v>
                </c:pt>
                <c:pt idx="21">
                  <c:v>4860.158779326538</c:v>
                </c:pt>
                <c:pt idx="22">
                  <c:v>4912.4934310764711</c:v>
                </c:pt>
                <c:pt idx="23">
                  <c:v>4884.1223712879428</c:v>
                </c:pt>
                <c:pt idx="24">
                  <c:v>4828.483480132144</c:v>
                </c:pt>
              </c:numCache>
            </c:numRef>
          </c:cat>
          <c:val>
            <c:numRef>
              <c:f>'[1]MN Testing 2010-2021'!$AZ$5:$AZ$29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81-482F-ABCE-0723AB7F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192008"/>
        <c:axId val="1091192336"/>
      </c:lineChart>
      <c:catAx>
        <c:axId val="109119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91192336"/>
        <c:crosses val="autoZero"/>
        <c:auto val="1"/>
        <c:lblAlgn val="ctr"/>
        <c:lblOffset val="100"/>
        <c:noMultiLvlLbl val="0"/>
      </c:catAx>
      <c:valAx>
        <c:axId val="1091192336"/>
        <c:scaling>
          <c:orientation val="minMax"/>
          <c:max val="5500"/>
          <c:min val="4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911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575734</xdr:colOff>
      <xdr:row>1</xdr:row>
      <xdr:rowOff>127002</xdr:rowOff>
    </xdr:from>
    <xdr:to>
      <xdr:col>17</xdr:col>
      <xdr:colOff>55457</xdr:colOff>
      <xdr:row>21</xdr:row>
      <xdr:rowOff>93442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B884D-C0C6-49F4-82D4-CBA8D1A5B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1639" y="302262"/>
          <a:ext cx="4853728" cy="3395440"/>
        </a:xfrm>
        <a:prstGeom prst="rect">
          <a:avLst/>
        </a:prstGeom>
      </xdr:spPr>
    </xdr:pic>
    <xdr:clientData/>
  </xdr:twoCellAnchor>
  <xdr:twoCellAnchor>
    <xdr:from>
      <xdr:col>5</xdr:col>
      <xdr:colOff>212722</xdr:colOff>
      <xdr:row>2</xdr:row>
      <xdr:rowOff>56727</xdr:rowOff>
    </xdr:from>
    <xdr:to>
      <xdr:col>9</xdr:col>
      <xdr:colOff>338666</xdr:colOff>
      <xdr:row>6</xdr:row>
      <xdr:rowOff>137583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6D8C26D6-3609-4605-84A7-CBFADAFF4D5D}"/>
            </a:ext>
          </a:extLst>
        </xdr:cNvPr>
        <xdr:cNvSpPr/>
      </xdr:nvSpPr>
      <xdr:spPr>
        <a:xfrm flipH="1">
          <a:off x="2571112" y="403437"/>
          <a:ext cx="3099649" cy="759036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/>
            <a:t>STEP 1 : CHANGE THIS CELL</a:t>
          </a:r>
        </a:p>
      </xdr:txBody>
    </xdr:sp>
    <xdr:clientData/>
  </xdr:twoCellAnchor>
  <xdr:twoCellAnchor>
    <xdr:from>
      <xdr:col>14</xdr:col>
      <xdr:colOff>240454</xdr:colOff>
      <xdr:row>32</xdr:row>
      <xdr:rowOff>21166</xdr:rowOff>
    </xdr:from>
    <xdr:to>
      <xdr:col>15</xdr:col>
      <xdr:colOff>29845</xdr:colOff>
      <xdr:row>38</xdr:row>
      <xdr:rowOff>114510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8FF8320-8C2D-4251-8348-1C54648FF7B9}"/>
            </a:ext>
          </a:extLst>
        </xdr:cNvPr>
        <xdr:cNvSpPr/>
      </xdr:nvSpPr>
      <xdr:spPr>
        <a:xfrm>
          <a:off x="8721514" y="5503756"/>
          <a:ext cx="526626" cy="1125854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2750</xdr:colOff>
      <xdr:row>32</xdr:row>
      <xdr:rowOff>20321</xdr:rowOff>
    </xdr:from>
    <xdr:to>
      <xdr:col>16</xdr:col>
      <xdr:colOff>732155</xdr:colOff>
      <xdr:row>37</xdr:row>
      <xdr:rowOff>21167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DBB33E-94EF-4CDB-B00E-866D292B25EF}"/>
            </a:ext>
          </a:extLst>
        </xdr:cNvPr>
        <xdr:cNvSpPr txBox="1"/>
      </xdr:nvSpPr>
      <xdr:spPr>
        <a:xfrm>
          <a:off x="9222950" y="5502911"/>
          <a:ext cx="1474260" cy="8580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2 : MATCH THIS VALUE WITH EXPECTED</a:t>
          </a:r>
          <a:r>
            <a:rPr lang="en-AU" sz="1400" baseline="0"/>
            <a:t> BE</a:t>
          </a:r>
          <a:endParaRPr lang="en-AU" sz="1400"/>
        </a:p>
      </xdr:txBody>
    </xdr:sp>
    <xdr:clientData/>
  </xdr:twoCellAnchor>
  <xdr:twoCellAnchor>
    <xdr:from>
      <xdr:col>14</xdr:col>
      <xdr:colOff>93556</xdr:colOff>
      <xdr:row>38</xdr:row>
      <xdr:rowOff>154781</xdr:rowOff>
    </xdr:from>
    <xdr:to>
      <xdr:col>15</xdr:col>
      <xdr:colOff>90489</xdr:colOff>
      <xdr:row>41</xdr:row>
      <xdr:rowOff>1480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97BFA33-7A2C-407F-A4F6-1D991D62D6BB}"/>
            </a:ext>
          </a:extLst>
        </xdr:cNvPr>
        <xdr:cNvSpPr/>
      </xdr:nvSpPr>
      <xdr:spPr>
        <a:xfrm>
          <a:off x="8570806" y="6669881"/>
          <a:ext cx="739883" cy="361049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28</xdr:col>
      <xdr:colOff>103029</xdr:colOff>
      <xdr:row>17</xdr:row>
      <xdr:rowOff>38364</xdr:rowOff>
    </xdr:from>
    <xdr:to>
      <xdr:col>29</xdr:col>
      <xdr:colOff>103029</xdr:colOff>
      <xdr:row>24</xdr:row>
      <xdr:rowOff>72020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6AE1839-88E0-4DAC-9908-81D29B2A3822}"/>
            </a:ext>
          </a:extLst>
        </xdr:cNvPr>
        <xdr:cNvSpPr/>
      </xdr:nvSpPr>
      <xdr:spPr>
        <a:xfrm flipV="1">
          <a:off x="16398399" y="2953014"/>
          <a:ext cx="628650" cy="1231901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157745</xdr:colOff>
      <xdr:row>17</xdr:row>
      <xdr:rowOff>96836</xdr:rowOff>
    </xdr:from>
    <xdr:to>
      <xdr:col>31</xdr:col>
      <xdr:colOff>269558</xdr:colOff>
      <xdr:row>20</xdr:row>
      <xdr:rowOff>164782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0895F7-3DAD-4115-9C50-ED5435940C78}"/>
            </a:ext>
          </a:extLst>
        </xdr:cNvPr>
        <xdr:cNvSpPr txBox="1"/>
      </xdr:nvSpPr>
      <xdr:spPr>
        <a:xfrm>
          <a:off x="17085575" y="3007676"/>
          <a:ext cx="1367208" cy="589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3 : CHECK VALUES</a:t>
          </a:r>
          <a:r>
            <a:rPr lang="en-AU" sz="1400" baseline="0"/>
            <a:t> MATCH</a:t>
          </a:r>
          <a:endParaRPr lang="en-AU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575734</xdr:colOff>
      <xdr:row>1</xdr:row>
      <xdr:rowOff>127002</xdr:rowOff>
    </xdr:from>
    <xdr:to>
      <xdr:col>17</xdr:col>
      <xdr:colOff>55457</xdr:colOff>
      <xdr:row>21</xdr:row>
      <xdr:rowOff>93442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D0E538-06CE-422A-8737-F0E9BEF0D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2284" y="285752"/>
          <a:ext cx="4921673" cy="3141440"/>
        </a:xfrm>
        <a:prstGeom prst="rect">
          <a:avLst/>
        </a:prstGeom>
      </xdr:spPr>
    </xdr:pic>
    <xdr:clientData/>
  </xdr:twoCellAnchor>
  <xdr:twoCellAnchor>
    <xdr:from>
      <xdr:col>5</xdr:col>
      <xdr:colOff>212722</xdr:colOff>
      <xdr:row>2</xdr:row>
      <xdr:rowOff>56727</xdr:rowOff>
    </xdr:from>
    <xdr:to>
      <xdr:col>9</xdr:col>
      <xdr:colOff>338666</xdr:colOff>
      <xdr:row>6</xdr:row>
      <xdr:rowOff>137583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6082F4A-0A45-410C-B0AA-A3239FA11271}"/>
            </a:ext>
          </a:extLst>
        </xdr:cNvPr>
        <xdr:cNvSpPr/>
      </xdr:nvSpPr>
      <xdr:spPr>
        <a:xfrm flipH="1">
          <a:off x="2606672" y="374227"/>
          <a:ext cx="3148544" cy="715856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/>
            <a:t>STEP 1 : CHANGE THIS CELL</a:t>
          </a:r>
        </a:p>
      </xdr:txBody>
    </xdr:sp>
    <xdr:clientData/>
  </xdr:twoCellAnchor>
  <xdr:twoCellAnchor>
    <xdr:from>
      <xdr:col>14</xdr:col>
      <xdr:colOff>240454</xdr:colOff>
      <xdr:row>32</xdr:row>
      <xdr:rowOff>21166</xdr:rowOff>
    </xdr:from>
    <xdr:to>
      <xdr:col>15</xdr:col>
      <xdr:colOff>29845</xdr:colOff>
      <xdr:row>38</xdr:row>
      <xdr:rowOff>114510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009B5C68-064C-437F-85C4-B3BD17CE1102}"/>
            </a:ext>
          </a:extLst>
        </xdr:cNvPr>
        <xdr:cNvSpPr/>
      </xdr:nvSpPr>
      <xdr:spPr>
        <a:xfrm>
          <a:off x="8832004" y="5101166"/>
          <a:ext cx="545041" cy="1045844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2750</xdr:colOff>
      <xdr:row>32</xdr:row>
      <xdr:rowOff>20321</xdr:rowOff>
    </xdr:from>
    <xdr:to>
      <xdr:col>16</xdr:col>
      <xdr:colOff>732155</xdr:colOff>
      <xdr:row>37</xdr:row>
      <xdr:rowOff>21167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2AD9901-7280-48BD-AC10-F2A5E833BC7A}"/>
            </a:ext>
          </a:extLst>
        </xdr:cNvPr>
        <xdr:cNvSpPr txBox="1"/>
      </xdr:nvSpPr>
      <xdr:spPr>
        <a:xfrm>
          <a:off x="9349950" y="5100321"/>
          <a:ext cx="1485055" cy="794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2 : MATCH THIS VALUE WITH EXPECTED</a:t>
          </a:r>
          <a:r>
            <a:rPr lang="en-AU" sz="1400" baseline="0"/>
            <a:t> BE</a:t>
          </a:r>
          <a:endParaRPr lang="en-AU" sz="1400"/>
        </a:p>
      </xdr:txBody>
    </xdr:sp>
    <xdr:clientData/>
  </xdr:twoCellAnchor>
  <xdr:twoCellAnchor>
    <xdr:from>
      <xdr:col>14</xdr:col>
      <xdr:colOff>93556</xdr:colOff>
      <xdr:row>38</xdr:row>
      <xdr:rowOff>154781</xdr:rowOff>
    </xdr:from>
    <xdr:to>
      <xdr:col>15</xdr:col>
      <xdr:colOff>90489</xdr:colOff>
      <xdr:row>41</xdr:row>
      <xdr:rowOff>1480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BC15724-E696-4FB4-997E-4A1BB81E54CB}"/>
            </a:ext>
          </a:extLst>
        </xdr:cNvPr>
        <xdr:cNvSpPr/>
      </xdr:nvSpPr>
      <xdr:spPr>
        <a:xfrm>
          <a:off x="8685106" y="6187281"/>
          <a:ext cx="752583" cy="322949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28</xdr:col>
      <xdr:colOff>103029</xdr:colOff>
      <xdr:row>17</xdr:row>
      <xdr:rowOff>38364</xdr:rowOff>
    </xdr:from>
    <xdr:to>
      <xdr:col>29</xdr:col>
      <xdr:colOff>103029</xdr:colOff>
      <xdr:row>24</xdr:row>
      <xdr:rowOff>72020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BC6E43A1-8A31-4749-AAC4-B57404B23237}"/>
            </a:ext>
          </a:extLst>
        </xdr:cNvPr>
        <xdr:cNvSpPr/>
      </xdr:nvSpPr>
      <xdr:spPr>
        <a:xfrm flipV="1">
          <a:off x="16625729" y="2737114"/>
          <a:ext cx="635000" cy="1144906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157745</xdr:colOff>
      <xdr:row>17</xdr:row>
      <xdr:rowOff>96836</xdr:rowOff>
    </xdr:from>
    <xdr:to>
      <xdr:col>31</xdr:col>
      <xdr:colOff>269558</xdr:colOff>
      <xdr:row>20</xdr:row>
      <xdr:rowOff>164782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8EF530-9FBB-4BDE-B5CC-36B482312607}"/>
            </a:ext>
          </a:extLst>
        </xdr:cNvPr>
        <xdr:cNvSpPr txBox="1"/>
      </xdr:nvSpPr>
      <xdr:spPr>
        <a:xfrm>
          <a:off x="17315445" y="2795586"/>
          <a:ext cx="1381813" cy="537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3 : CHECK VALUES</a:t>
          </a:r>
          <a:r>
            <a:rPr lang="en-AU" sz="1400" baseline="0"/>
            <a:t> MATCH</a:t>
          </a:r>
          <a:endParaRPr lang="en-AU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575734</xdr:colOff>
      <xdr:row>1</xdr:row>
      <xdr:rowOff>127002</xdr:rowOff>
    </xdr:from>
    <xdr:to>
      <xdr:col>17</xdr:col>
      <xdr:colOff>55457</xdr:colOff>
      <xdr:row>21</xdr:row>
      <xdr:rowOff>93442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18216-09BA-4809-9B35-F8AAEDD8B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9584" y="285752"/>
          <a:ext cx="4924848" cy="3208115"/>
        </a:xfrm>
        <a:prstGeom prst="rect">
          <a:avLst/>
        </a:prstGeom>
      </xdr:spPr>
    </xdr:pic>
    <xdr:clientData/>
  </xdr:twoCellAnchor>
  <xdr:twoCellAnchor>
    <xdr:from>
      <xdr:col>5</xdr:col>
      <xdr:colOff>212722</xdr:colOff>
      <xdr:row>2</xdr:row>
      <xdr:rowOff>56727</xdr:rowOff>
    </xdr:from>
    <xdr:to>
      <xdr:col>9</xdr:col>
      <xdr:colOff>338666</xdr:colOff>
      <xdr:row>6</xdr:row>
      <xdr:rowOff>137583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E7102A1-F8E5-484D-9FA8-28293C8DC674}"/>
            </a:ext>
          </a:extLst>
        </xdr:cNvPr>
        <xdr:cNvSpPr/>
      </xdr:nvSpPr>
      <xdr:spPr>
        <a:xfrm flipH="1">
          <a:off x="2603497" y="380577"/>
          <a:ext cx="3132669" cy="731731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/>
            <a:t>STEP 1 : CHANGE THIS CELL</a:t>
          </a:r>
        </a:p>
      </xdr:txBody>
    </xdr:sp>
    <xdr:clientData/>
  </xdr:twoCellAnchor>
  <xdr:twoCellAnchor>
    <xdr:from>
      <xdr:col>14</xdr:col>
      <xdr:colOff>240454</xdr:colOff>
      <xdr:row>32</xdr:row>
      <xdr:rowOff>21166</xdr:rowOff>
    </xdr:from>
    <xdr:to>
      <xdr:col>15</xdr:col>
      <xdr:colOff>29845</xdr:colOff>
      <xdr:row>38</xdr:row>
      <xdr:rowOff>114510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F21331B6-0189-48AB-A823-40CD8B5B75ED}"/>
            </a:ext>
          </a:extLst>
        </xdr:cNvPr>
        <xdr:cNvSpPr/>
      </xdr:nvSpPr>
      <xdr:spPr>
        <a:xfrm>
          <a:off x="8828829" y="5202766"/>
          <a:ext cx="541866" cy="1064894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2750</xdr:colOff>
      <xdr:row>32</xdr:row>
      <xdr:rowOff>20321</xdr:rowOff>
    </xdr:from>
    <xdr:to>
      <xdr:col>16</xdr:col>
      <xdr:colOff>732155</xdr:colOff>
      <xdr:row>37</xdr:row>
      <xdr:rowOff>21167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BCD0AAF-D924-4D47-8731-9554E7590CA2}"/>
            </a:ext>
          </a:extLst>
        </xdr:cNvPr>
        <xdr:cNvSpPr txBox="1"/>
      </xdr:nvSpPr>
      <xdr:spPr>
        <a:xfrm>
          <a:off x="9346775" y="5201921"/>
          <a:ext cx="1485055" cy="810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2 : MATCH THIS VALUE WITH EXPECTED</a:t>
          </a:r>
          <a:r>
            <a:rPr lang="en-AU" sz="1400" baseline="0"/>
            <a:t> BE</a:t>
          </a:r>
          <a:endParaRPr lang="en-AU" sz="1400"/>
        </a:p>
      </xdr:txBody>
    </xdr:sp>
    <xdr:clientData/>
  </xdr:twoCellAnchor>
  <xdr:twoCellAnchor>
    <xdr:from>
      <xdr:col>14</xdr:col>
      <xdr:colOff>93556</xdr:colOff>
      <xdr:row>38</xdr:row>
      <xdr:rowOff>154781</xdr:rowOff>
    </xdr:from>
    <xdr:to>
      <xdr:col>15</xdr:col>
      <xdr:colOff>90489</xdr:colOff>
      <xdr:row>41</xdr:row>
      <xdr:rowOff>1480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724058C-95DD-4B1D-AED1-EF03F80F57F6}"/>
            </a:ext>
          </a:extLst>
        </xdr:cNvPr>
        <xdr:cNvSpPr/>
      </xdr:nvSpPr>
      <xdr:spPr>
        <a:xfrm>
          <a:off x="8685106" y="6307931"/>
          <a:ext cx="746233" cy="332474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28</xdr:col>
      <xdr:colOff>103029</xdr:colOff>
      <xdr:row>17</xdr:row>
      <xdr:rowOff>38364</xdr:rowOff>
    </xdr:from>
    <xdr:to>
      <xdr:col>29</xdr:col>
      <xdr:colOff>103029</xdr:colOff>
      <xdr:row>24</xdr:row>
      <xdr:rowOff>72020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C47025BA-D538-46BF-A358-06BDF61E04DC}"/>
            </a:ext>
          </a:extLst>
        </xdr:cNvPr>
        <xdr:cNvSpPr/>
      </xdr:nvSpPr>
      <xdr:spPr>
        <a:xfrm flipV="1">
          <a:off x="16632079" y="2791089"/>
          <a:ext cx="638175" cy="1163956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157745</xdr:colOff>
      <xdr:row>17</xdr:row>
      <xdr:rowOff>96836</xdr:rowOff>
    </xdr:from>
    <xdr:to>
      <xdr:col>31</xdr:col>
      <xdr:colOff>269558</xdr:colOff>
      <xdr:row>20</xdr:row>
      <xdr:rowOff>164782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A2C0AC-B693-40AA-B903-72AB7731B710}"/>
            </a:ext>
          </a:extLst>
        </xdr:cNvPr>
        <xdr:cNvSpPr txBox="1"/>
      </xdr:nvSpPr>
      <xdr:spPr>
        <a:xfrm>
          <a:off x="17324970" y="2849561"/>
          <a:ext cx="1384988" cy="550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3 : CHECK VALUES</a:t>
          </a:r>
          <a:r>
            <a:rPr lang="en-AU" sz="1400" baseline="0"/>
            <a:t> MATCH</a:t>
          </a:r>
          <a:endParaRPr lang="en-AU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202247</xdr:colOff>
      <xdr:row>29</xdr:row>
      <xdr:rowOff>94932</xdr:rowOff>
    </xdr:from>
    <xdr:to>
      <xdr:col>34</xdr:col>
      <xdr:colOff>217487</xdr:colOff>
      <xdr:row>56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82C73F-D8CF-4785-91C9-B66D6FCF9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243840</xdr:colOff>
      <xdr:row>16</xdr:row>
      <xdr:rowOff>132203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33248A-337B-4228-9355-EDB4BA43A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5113020" cy="2535677"/>
        </a:xfrm>
        <a:prstGeom prst="rect">
          <a:avLst/>
        </a:prstGeom>
      </xdr:spPr>
    </xdr:pic>
    <xdr:clientData/>
  </xdr:twoCellAnchor>
  <xdr:twoCellAnchor editAs="oneCell">
    <xdr:from>
      <xdr:col>12</xdr:col>
      <xdr:colOff>93133</xdr:colOff>
      <xdr:row>1</xdr:row>
      <xdr:rowOff>152400</xdr:rowOff>
    </xdr:from>
    <xdr:to>
      <xdr:col>19</xdr:col>
      <xdr:colOff>447900</xdr:colOff>
      <xdr:row>23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DEDB8A-E2A1-4FB4-B2AE-953A115D1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8333" y="321733"/>
          <a:ext cx="5096100" cy="36300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2" Type="http://schemas.openxmlformats.org/officeDocument/2006/relationships/externalLinkPath" Target="about:blank" TargetMode="External"/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00 SC"/>
      <sheetName val="R01 SC"/>
      <sheetName val="R02 SC"/>
      <sheetName val="R03 SC"/>
      <sheetName val="R04 SC"/>
      <sheetName val="R05 SC"/>
      <sheetName val="R06 SC"/>
      <sheetName val="R08 SC"/>
      <sheetName val="R09 SC"/>
      <sheetName val="R10 SC"/>
      <sheetName val="R11 SC"/>
      <sheetName val="R12 SC"/>
      <sheetName val="R13 SC"/>
      <sheetName val="R14 SC"/>
      <sheetName val="R15 SC"/>
      <sheetName val="R16 SC"/>
      <sheetName val="R17 SC"/>
      <sheetName val="R18 SC"/>
      <sheetName val="R19 SC"/>
      <sheetName val="R20 SC"/>
      <sheetName val="R21 SC"/>
      <sheetName val="R22 SC"/>
      <sheetName val="MagicNumber"/>
      <sheetName val="MN Testing 2010-2021"/>
      <sheetName val="Pricing Formula"/>
      <sheetName val="MN Comparison"/>
      <sheetName val="DW"/>
      <sheetName val="JM t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">
          <cell r="AM4">
            <v>2012</v>
          </cell>
          <cell r="AN4">
            <v>2013</v>
          </cell>
          <cell r="AO4">
            <v>2014</v>
          </cell>
          <cell r="AP4">
            <v>2015</v>
          </cell>
          <cell r="AQ4">
            <v>2016</v>
          </cell>
          <cell r="AR4">
            <v>2017</v>
          </cell>
          <cell r="AS4">
            <v>2018</v>
          </cell>
          <cell r="AT4">
            <v>2019</v>
          </cell>
          <cell r="AU4">
            <v>2020</v>
          </cell>
          <cell r="AV4">
            <v>2021</v>
          </cell>
          <cell r="AW4" t="str">
            <v>Average</v>
          </cell>
          <cell r="AX4">
            <v>2022</v>
          </cell>
        </row>
        <row r="5">
          <cell r="AL5">
            <v>5475</v>
          </cell>
          <cell r="AM5">
            <v>5475</v>
          </cell>
          <cell r="AN5">
            <v>5475</v>
          </cell>
          <cell r="AO5">
            <v>5475</v>
          </cell>
          <cell r="AP5">
            <v>5475</v>
          </cell>
          <cell r="AQ5">
            <v>5475</v>
          </cell>
          <cell r="AR5">
            <v>5475</v>
          </cell>
          <cell r="AS5">
            <v>5475</v>
          </cell>
          <cell r="AT5">
            <v>5475</v>
          </cell>
          <cell r="AU5">
            <v>5475</v>
          </cell>
          <cell r="AV5">
            <v>5475</v>
          </cell>
          <cell r="AW5">
            <v>5475</v>
          </cell>
          <cell r="AX5">
            <v>5475</v>
          </cell>
          <cell r="AY5"/>
        </row>
        <row r="6">
          <cell r="AL6">
            <v>5154.2397781551208</v>
          </cell>
          <cell r="AM6">
            <v>5083.026969657978</v>
          </cell>
          <cell r="AN6">
            <v>5267.2382369586749</v>
          </cell>
          <cell r="AO6">
            <v>5204.9541853333212</v>
          </cell>
          <cell r="AP6">
            <v>5308.4961869496374</v>
          </cell>
          <cell r="AQ6">
            <v>5262.2296610379144</v>
          </cell>
          <cell r="AR6">
            <v>5238.5859499540529</v>
          </cell>
          <cell r="AS6">
            <v>5169.7858641051289</v>
          </cell>
          <cell r="AT6">
            <v>5223.5450611609385</v>
          </cell>
          <cell r="AU6">
            <v>5298.2232633192752</v>
          </cell>
          <cell r="AV6">
            <v>5255.7949279259929</v>
          </cell>
          <cell r="AW6">
            <v>5219.6147505699901</v>
          </cell>
          <cell r="AX6">
            <v>5207.3400673400702</v>
          </cell>
          <cell r="AY6"/>
        </row>
        <row r="7">
          <cell r="AL7">
            <v>5085.1923083139818</v>
          </cell>
          <cell r="AM7">
            <v>5015.5230971968567</v>
          </cell>
          <cell r="AN7">
            <v>5241.322491308898</v>
          </cell>
          <cell r="AO7">
            <v>5119.4531092330653</v>
          </cell>
          <cell r="AP7">
            <v>5200.5627410058287</v>
          </cell>
          <cell r="AQ7">
            <v>5182.2085143012009</v>
          </cell>
          <cell r="AR7">
            <v>5212.488780339092</v>
          </cell>
          <cell r="AS7">
            <v>5059.771529779011</v>
          </cell>
          <cell r="AT7">
            <v>5206.0832481197185</v>
          </cell>
          <cell r="AU7">
            <v>5318.605586987348</v>
          </cell>
          <cell r="AV7">
            <v>5210.1409737572239</v>
          </cell>
          <cell r="AW7">
            <v>5165.2251444469975</v>
          </cell>
          <cell r="AX7">
            <v>5093.0224668274996</v>
          </cell>
          <cell r="AY7"/>
        </row>
        <row r="8">
          <cell r="AL8">
            <v>5038.631072699809</v>
          </cell>
          <cell r="AM8">
            <v>4962.1177168769718</v>
          </cell>
          <cell r="AN8">
            <v>5186.5964407883675</v>
          </cell>
          <cell r="AO8">
            <v>5090.6808982054808</v>
          </cell>
          <cell r="AP8">
            <v>5155.7476066351373</v>
          </cell>
          <cell r="AQ8">
            <v>5176.9995911440965</v>
          </cell>
          <cell r="AR8">
            <v>5177.7980503216322</v>
          </cell>
          <cell r="AS8">
            <v>5026.0970991405966</v>
          </cell>
          <cell r="AT8">
            <v>5144.9680597600536</v>
          </cell>
          <cell r="AU8">
            <v>5316.5569896180541</v>
          </cell>
          <cell r="AV8">
            <v>5209.2117894704661</v>
          </cell>
          <cell r="AW8">
            <v>5133.3967742719424</v>
          </cell>
          <cell r="AX8">
            <v>5066.3599999999997</v>
          </cell>
          <cell r="AY8"/>
        </row>
        <row r="9">
          <cell r="AL9">
            <v>4985.8798578269179</v>
          </cell>
          <cell r="AM9">
            <v>5004.502356605235</v>
          </cell>
          <cell r="AN9">
            <v>5160.2970521886618</v>
          </cell>
          <cell r="AO9">
            <v>5081.0710278261831</v>
          </cell>
          <cell r="AP9">
            <v>5133.902177661972</v>
          </cell>
          <cell r="AQ9">
            <v>5171.4225532716255</v>
          </cell>
          <cell r="AR9">
            <v>5156.0809964252894</v>
          </cell>
          <cell r="AS9">
            <v>5088.1100511094946</v>
          </cell>
          <cell r="AT9">
            <v>5174.9993007316652</v>
          </cell>
          <cell r="AU9">
            <v>5271.3238767840367</v>
          </cell>
          <cell r="AV9">
            <v>5223.3442542788689</v>
          </cell>
          <cell r="AW9">
            <v>5128.0973791273163</v>
          </cell>
          <cell r="AX9">
            <v>5101.97</v>
          </cell>
          <cell r="AY9"/>
        </row>
        <row r="10">
          <cell r="AL10">
            <v>4991.1559737458647</v>
          </cell>
          <cell r="AM10">
            <v>5059.4313993165097</v>
          </cell>
          <cell r="AN10">
            <v>5155.4552500654163</v>
          </cell>
          <cell r="AO10">
            <v>5017.3313522765193</v>
          </cell>
          <cell r="AP10">
            <v>5107.3519292001483</v>
          </cell>
          <cell r="AQ10">
            <v>5199.8561100872812</v>
          </cell>
          <cell r="AR10">
            <v>5169.5350376355445</v>
          </cell>
          <cell r="AS10">
            <v>5104.1905075072746</v>
          </cell>
          <cell r="AT10">
            <v>5213.4089917770516</v>
          </cell>
          <cell r="AU10">
            <v>5223.7545337286601</v>
          </cell>
          <cell r="AV10">
            <v>5221.8432394369383</v>
          </cell>
          <cell r="AW10">
            <v>5126.1938481616789</v>
          </cell>
          <cell r="AX10">
            <v>5183.7704649151601</v>
          </cell>
          <cell r="AY10"/>
        </row>
        <row r="11">
          <cell r="AL11">
            <v>4851.9146303407388</v>
          </cell>
          <cell r="AM11">
            <v>5007.8422439675696</v>
          </cell>
          <cell r="AN11">
            <v>5125.1018410603137</v>
          </cell>
          <cell r="AO11">
            <v>5054.6979359775314</v>
          </cell>
          <cell r="AP11">
            <v>5106.3877252752163</v>
          </cell>
          <cell r="AQ11">
            <v>5188.9506819685348</v>
          </cell>
          <cell r="AR11">
            <v>5138.6206700009179</v>
          </cell>
          <cell r="AS11">
            <v>5037.4298273326667</v>
          </cell>
          <cell r="AT11">
            <v>5200.0334140154837</v>
          </cell>
          <cell r="AU11">
            <v>5204.4017925774842</v>
          </cell>
          <cell r="AV11">
            <v>5191.9718091649847</v>
          </cell>
          <cell r="AW11">
            <v>5102.3327742180636</v>
          </cell>
          <cell r="AX11">
            <v>5169.3869063861803</v>
          </cell>
          <cell r="AY11"/>
        </row>
        <row r="12">
          <cell r="AL12">
            <v>4934.173606321544</v>
          </cell>
          <cell r="AM12">
            <v>4968.2435527422649</v>
          </cell>
          <cell r="AN12">
            <v>5108.2439125703231</v>
          </cell>
          <cell r="AO12">
            <v>5136.8431695849249</v>
          </cell>
          <cell r="AP12">
            <v>5111.8745668406864</v>
          </cell>
          <cell r="AQ12">
            <v>5123.7217912914166</v>
          </cell>
          <cell r="AR12">
            <v>5159.5625721696379</v>
          </cell>
          <cell r="AS12">
            <v>5003.3913211440522</v>
          </cell>
          <cell r="AT12">
            <v>5162.3555726084096</v>
          </cell>
          <cell r="AU12">
            <v>5134.6317434577622</v>
          </cell>
          <cell r="AV12">
            <v>5125.0021738820205</v>
          </cell>
          <cell r="AW12">
            <v>5091.3218480486403</v>
          </cell>
          <cell r="AX12">
            <v>5167.1623266864499</v>
          </cell>
          <cell r="AY12"/>
        </row>
        <row r="13">
          <cell r="AL13">
            <v>4905.6200045263986</v>
          </cell>
          <cell r="AM13">
            <v>4978.0541190575013</v>
          </cell>
          <cell r="AN13">
            <v>5121.9236671588515</v>
          </cell>
          <cell r="AO13">
            <v>5064.5561443263141</v>
          </cell>
          <cell r="AP13">
            <v>5132.4840990107668</v>
          </cell>
          <cell r="AQ13">
            <v>5123.005848093173</v>
          </cell>
          <cell r="AR13">
            <v>5124.5867114776702</v>
          </cell>
          <cell r="AS13">
            <v>4959.4724196389598</v>
          </cell>
          <cell r="AT13">
            <v>5101.7475068662716</v>
          </cell>
          <cell r="AU13">
            <v>5072.6246889836284</v>
          </cell>
          <cell r="AV13">
            <v>5144.5550671807196</v>
          </cell>
          <cell r="AW13">
            <v>5068.1420600124729</v>
          </cell>
          <cell r="AX13">
            <v>5143.4321442127903</v>
          </cell>
          <cell r="AY13"/>
        </row>
        <row r="14">
          <cell r="AL14">
            <v>4965.4614574796033</v>
          </cell>
          <cell r="AM14">
            <v>4968.7314193093143</v>
          </cell>
          <cell r="AN14">
            <v>5097.8245627955439</v>
          </cell>
          <cell r="AO14">
            <v>5140.5229061028513</v>
          </cell>
          <cell r="AP14">
            <v>5134.0729854954643</v>
          </cell>
          <cell r="AQ14">
            <v>5087.1184365132312</v>
          </cell>
          <cell r="AR14">
            <v>5142.9914789239119</v>
          </cell>
          <cell r="AS14">
            <v>4946.7463029510727</v>
          </cell>
          <cell r="AT14">
            <v>5073.9522274905094</v>
          </cell>
          <cell r="AU14">
            <v>5069.0534162860722</v>
          </cell>
          <cell r="AV14">
            <v>5119.8165534512755</v>
          </cell>
          <cell r="AW14">
            <v>5067.4731770466133</v>
          </cell>
          <cell r="AX14">
            <v>5098.6732037884303</v>
          </cell>
          <cell r="AY14"/>
        </row>
        <row r="15">
          <cell r="AL15">
            <v>4859.4431339628845</v>
          </cell>
          <cell r="AM15">
            <v>4924.8793236344018</v>
          </cell>
          <cell r="AN15">
            <v>5061.5289414425361</v>
          </cell>
          <cell r="AO15">
            <v>5119.6252770846468</v>
          </cell>
          <cell r="AP15">
            <v>5170.4294446702897</v>
          </cell>
          <cell r="AQ15">
            <v>5070.4039008922618</v>
          </cell>
          <cell r="AR15">
            <v>5135.4597918029776</v>
          </cell>
          <cell r="AS15">
            <v>4978.2025350491085</v>
          </cell>
          <cell r="AT15">
            <v>5090.4011426885945</v>
          </cell>
          <cell r="AU15">
            <v>5031.731635600634</v>
          </cell>
          <cell r="AV15">
            <v>5129.9967348297023</v>
          </cell>
          <cell r="AW15">
            <v>5047.0139397964585</v>
          </cell>
          <cell r="AX15">
            <v>5091.1065435186301</v>
          </cell>
          <cell r="AY15"/>
        </row>
        <row r="16">
          <cell r="AL16">
            <v>4816.7362492909851</v>
          </cell>
          <cell r="AM16">
            <v>4899.0273355747413</v>
          </cell>
          <cell r="AN16">
            <v>5068.3987755406233</v>
          </cell>
          <cell r="AO16">
            <v>5076.0979238024165</v>
          </cell>
          <cell r="AP16">
            <v>5158.7142503493114</v>
          </cell>
          <cell r="AQ16">
            <v>5085.4178577245948</v>
          </cell>
          <cell r="AR16">
            <v>5107.9372364776691</v>
          </cell>
          <cell r="AS16">
            <v>4978.6658507002549</v>
          </cell>
          <cell r="AT16">
            <v>5067.749760910051</v>
          </cell>
          <cell r="AU16">
            <v>5026.8648686672432</v>
          </cell>
          <cell r="AV16">
            <v>5098.3383171715614</v>
          </cell>
          <cell r="AW16">
            <v>5030.3697029030809</v>
          </cell>
          <cell r="AX16">
            <v>5086.1168392797499</v>
          </cell>
          <cell r="AY16"/>
        </row>
        <row r="17">
          <cell r="AL17">
            <v>4843.2005218202185</v>
          </cell>
          <cell r="AM17">
            <v>4948.3208118185839</v>
          </cell>
          <cell r="AN17">
            <v>4974.9925688933326</v>
          </cell>
          <cell r="AO17">
            <v>5090.1830560555782</v>
          </cell>
          <cell r="AP17">
            <v>5136.9796910250852</v>
          </cell>
          <cell r="AQ17">
            <v>5062.8266851373137</v>
          </cell>
          <cell r="AR17">
            <v>5148.4400980977762</v>
          </cell>
          <cell r="AS17">
            <v>4930.0264814705351</v>
          </cell>
          <cell r="AT17">
            <v>5077.6205504070022</v>
          </cell>
          <cell r="AU17">
            <v>5004.7055943813193</v>
          </cell>
          <cell r="AV17">
            <v>5127.0825722676909</v>
          </cell>
          <cell r="AW17">
            <v>5024.1938760589492</v>
          </cell>
          <cell r="AX17">
            <v>5085.2176219892399</v>
          </cell>
          <cell r="AY17"/>
        </row>
        <row r="18">
          <cell r="AL18">
            <v>4842.7362511816937</v>
          </cell>
          <cell r="AM18">
            <v>4887.1075352814214</v>
          </cell>
          <cell r="AN18">
            <v>5068.2219879819822</v>
          </cell>
          <cell r="AO18">
            <v>5112.0899518232545</v>
          </cell>
          <cell r="AP18">
            <v>5135.3504311685683</v>
          </cell>
          <cell r="AQ18">
            <v>4934.4277407855243</v>
          </cell>
          <cell r="AR18">
            <v>5141.4170355587212</v>
          </cell>
          <cell r="AS18">
            <v>4970.4710344125133</v>
          </cell>
          <cell r="AT18">
            <v>5083.0501596373724</v>
          </cell>
          <cell r="AU18">
            <v>5006.1179590615275</v>
          </cell>
          <cell r="AV18">
            <v>5091.3522868328128</v>
          </cell>
          <cell r="AW18">
            <v>5017.0847991907094</v>
          </cell>
          <cell r="AX18">
            <v>5192.6191004902403</v>
          </cell>
          <cell r="AY18"/>
        </row>
        <row r="19">
          <cell r="AL19">
            <v>4880.9002495684254</v>
          </cell>
          <cell r="AM19">
            <v>4956.9268215728598</v>
          </cell>
          <cell r="AN19">
            <v>5046.3715365119715</v>
          </cell>
          <cell r="AO19">
            <v>5145.8209333404402</v>
          </cell>
          <cell r="AP19">
            <v>5177.5623962579557</v>
          </cell>
          <cell r="AQ19">
            <v>5010.5908133755838</v>
          </cell>
          <cell r="AR19">
            <v>5143.1420811707403</v>
          </cell>
          <cell r="AS19">
            <v>4933.5613199208801</v>
          </cell>
          <cell r="AT19">
            <v>5106.090711771305</v>
          </cell>
          <cell r="AU19">
            <v>5016.4017202952055</v>
          </cell>
          <cell r="AV19">
            <v>5272.05568435023</v>
          </cell>
          <cell r="AW19">
            <v>5052.727866350564</v>
          </cell>
          <cell r="AX19">
            <v>5093.62</v>
          </cell>
          <cell r="AY19"/>
        </row>
        <row r="20">
          <cell r="AL20">
            <v>4825.2740425358106</v>
          </cell>
          <cell r="AM20">
            <v>4922.881863204937</v>
          </cell>
          <cell r="AN20">
            <v>5010.3201386557766</v>
          </cell>
          <cell r="AO20">
            <v>5119.9177859274778</v>
          </cell>
          <cell r="AP20">
            <v>5169.2466714218208</v>
          </cell>
          <cell r="AQ20">
            <v>5077.457732863576</v>
          </cell>
          <cell r="AR20">
            <v>5076.5991233642708</v>
          </cell>
          <cell r="AS20">
            <v>4879.2720305156417</v>
          </cell>
          <cell r="AT20">
            <v>5107.078502337572</v>
          </cell>
          <cell r="AU20">
            <v>5038.7594057337801</v>
          </cell>
          <cell r="AV20">
            <v>5189.4947745257932</v>
          </cell>
          <cell r="AW20">
            <v>5032.1586421483371</v>
          </cell>
          <cell r="AX20">
            <v>5113.8500000000004</v>
          </cell>
          <cell r="AY20"/>
        </row>
        <row r="21">
          <cell r="AL21">
            <v>4842.7407102591505</v>
          </cell>
          <cell r="AM21">
            <v>4905.4686704991982</v>
          </cell>
          <cell r="AN21">
            <v>4971.8801424733192</v>
          </cell>
          <cell r="AO21">
            <v>5109.9866594536725</v>
          </cell>
          <cell r="AP21">
            <v>5154.9548410752259</v>
          </cell>
          <cell r="AQ21">
            <v>5043.0714233516792</v>
          </cell>
          <cell r="AR21">
            <v>5067.8735934249216</v>
          </cell>
          <cell r="AS21">
            <v>4875.7895779965447</v>
          </cell>
          <cell r="AT21">
            <v>5102.0553637328203</v>
          </cell>
          <cell r="AU21">
            <v>5009.1058192436594</v>
          </cell>
          <cell r="AV21">
            <v>5212.1661776275932</v>
          </cell>
          <cell r="AW21">
            <v>5020.9858687829919</v>
          </cell>
          <cell r="AX21">
            <v>5191.43</v>
          </cell>
          <cell r="AY21"/>
        </row>
        <row r="22">
          <cell r="AL22">
            <v>4794.4127066935216</v>
          </cell>
          <cell r="AM22">
            <v>4859.7822816564285</v>
          </cell>
          <cell r="AN22">
            <v>4947.5823783853239</v>
          </cell>
          <cell r="AO22">
            <v>5069.1932608496163</v>
          </cell>
          <cell r="AP22">
            <v>5044.2358474065422</v>
          </cell>
          <cell r="AQ22">
            <v>4976.4733261201918</v>
          </cell>
          <cell r="AR22">
            <v>5058.2376276373825</v>
          </cell>
          <cell r="AS22">
            <v>4893.2081401282285</v>
          </cell>
          <cell r="AT22">
            <v>5058.5927411898956</v>
          </cell>
          <cell r="AU22">
            <v>4973.1246659269627</v>
          </cell>
          <cell r="AV22">
            <v>5154.0843306445859</v>
          </cell>
          <cell r="AW22">
            <v>4979.8370989529212</v>
          </cell>
          <cell r="AX22">
            <v>5150</v>
          </cell>
          <cell r="AY22"/>
        </row>
        <row r="23">
          <cell r="AL23">
            <v>4858.8978809418604</v>
          </cell>
          <cell r="AM23">
            <v>4799.2364093059941</v>
          </cell>
          <cell r="AN23">
            <v>4951.0870558146271</v>
          </cell>
          <cell r="AO23">
            <v>5066.4695006210377</v>
          </cell>
          <cell r="AP23">
            <v>5056.5044232930286</v>
          </cell>
          <cell r="AQ23">
            <v>4942.1882499305093</v>
          </cell>
          <cell r="AR23">
            <v>5035.8832388623414</v>
          </cell>
          <cell r="AS23">
            <v>4875.1467026600585</v>
          </cell>
          <cell r="AT23">
            <v>5039.5611056217776</v>
          </cell>
          <cell r="AU23">
            <v>4977.873382741569</v>
          </cell>
          <cell r="AV23">
            <v>5090.6283981965726</v>
          </cell>
          <cell r="AW23">
            <v>4967.5685165402992</v>
          </cell>
          <cell r="AX23">
            <v>5132.8321146323096</v>
          </cell>
          <cell r="AY23"/>
        </row>
        <row r="24">
          <cell r="AL24">
            <v>4816.0652745894904</v>
          </cell>
          <cell r="AM24">
            <v>4797.0153835989822</v>
          </cell>
          <cell r="AN24">
            <v>4958.2915584079392</v>
          </cell>
          <cell r="AO24">
            <v>5073.9676705442889</v>
          </cell>
          <cell r="AP24">
            <v>5046.8121961786983</v>
          </cell>
          <cell r="AQ24">
            <v>4921.6783981265298</v>
          </cell>
          <cell r="AR24">
            <v>5024.0980100532988</v>
          </cell>
          <cell r="AS24">
            <v>4875.7748667970172</v>
          </cell>
          <cell r="AT24">
            <v>5047.8492431212944</v>
          </cell>
          <cell r="AU24"/>
          <cell r="AV24">
            <v>5155.1796519972713</v>
          </cell>
          <cell r="AW24">
            <v>4966.0534158286528</v>
          </cell>
          <cell r="AX24">
            <v>5126</v>
          </cell>
          <cell r="AY24"/>
        </row>
        <row r="25">
          <cell r="AL25">
            <v>4830.6358632061911</v>
          </cell>
          <cell r="AM25">
            <v>4794.8092041341524</v>
          </cell>
          <cell r="AN25">
            <v>4948.5422598919686</v>
          </cell>
          <cell r="AO25">
            <v>5082.6688799126841</v>
          </cell>
          <cell r="AP25">
            <v>5029.2896221024885</v>
          </cell>
          <cell r="AQ25">
            <v>4913.2603198104298</v>
          </cell>
          <cell r="AR25">
            <v>4997.3570605357472</v>
          </cell>
          <cell r="AS25">
            <v>4853.704467629138</v>
          </cell>
          <cell r="AT25">
            <v>5000.7865981282848</v>
          </cell>
          <cell r="AU25"/>
          <cell r="AV25">
            <v>5123.2506526557154</v>
          </cell>
          <cell r="AW25">
            <v>4948.6504072507023</v>
          </cell>
          <cell r="AX25">
            <v>5120.3771339061605</v>
          </cell>
          <cell r="AY25"/>
        </row>
        <row r="26">
          <cell r="AL26">
            <v>4860.158779326538</v>
          </cell>
          <cell r="AM26">
            <v>4839.7845095882449</v>
          </cell>
          <cell r="AN26">
            <v>4949.5969241958392</v>
          </cell>
          <cell r="AO26">
            <v>5080.6927613733269</v>
          </cell>
          <cell r="AP26">
            <v>4975.7060606116984</v>
          </cell>
          <cell r="AQ26">
            <v>4904.801954122192</v>
          </cell>
          <cell r="AR26">
            <v>4991.2895510246281</v>
          </cell>
          <cell r="AS26">
            <v>4845.3647052473625</v>
          </cell>
          <cell r="AT26">
            <v>5017.6148525616582</v>
          </cell>
          <cell r="AU26"/>
          <cell r="AV26">
            <v>5105.4732092899339</v>
          </cell>
          <cell r="AW26">
            <v>4950.2383847204437</v>
          </cell>
          <cell r="AX26">
            <v>5144.0180617999104</v>
          </cell>
          <cell r="AY26"/>
        </row>
        <row r="27">
          <cell r="AL27">
            <v>4912.4934310764711</v>
          </cell>
          <cell r="AM27">
            <v>4797.4572065139191</v>
          </cell>
          <cell r="AN27">
            <v>4950.018902276508</v>
          </cell>
          <cell r="AO27">
            <v>5008.3027979542849</v>
          </cell>
          <cell r="AP27">
            <v>4979.793940141808</v>
          </cell>
          <cell r="AQ27">
            <v>4910.8263635340227</v>
          </cell>
          <cell r="AR27">
            <v>4992.2232121025545</v>
          </cell>
          <cell r="AS27">
            <v>4826.1004756047651</v>
          </cell>
          <cell r="AT27">
            <v>5010.9932754880992</v>
          </cell>
          <cell r="AU27"/>
          <cell r="AV27">
            <v>5047.8333952561488</v>
          </cell>
          <cell r="AW27">
            <v>4934.1095955923583</v>
          </cell>
          <cell r="AX27">
            <v>5133.4093384501102</v>
          </cell>
          <cell r="AY27"/>
        </row>
        <row r="28">
          <cell r="AL28">
            <v>4884.1223712879428</v>
          </cell>
          <cell r="AM28">
            <v>4797.31520214179</v>
          </cell>
          <cell r="AN28">
            <v>4917.3844199624318</v>
          </cell>
          <cell r="AO28">
            <v>4967.6265238728629</v>
          </cell>
          <cell r="AP28">
            <v>4901.2828738741582</v>
          </cell>
          <cell r="AQ28">
            <v>4916.2441511841234</v>
          </cell>
          <cell r="AR28">
            <v>5005.0920884120569</v>
          </cell>
          <cell r="AS28">
            <v>4819.1677732857406</v>
          </cell>
          <cell r="AT28">
            <v>5028.9375304768528</v>
          </cell>
          <cell r="AU28"/>
          <cell r="AV28">
            <v>4972.9746201044954</v>
          </cell>
          <cell r="AW28">
            <v>4921.0147554602463</v>
          </cell>
        </row>
        <row r="29">
          <cell r="AL29">
            <v>4828.483480132144</v>
          </cell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</row>
      </sheetData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382F-E574-4182-84A8-617E2FAE0F77}">
  <dimension ref="B2:AE46"/>
  <sheetViews>
    <sheetView showGridLines="0" showRowColHeaders="0" zoomScale="80" zoomScaleNormal="80" workbookViewId="0">
      <selection activeCell="E28" sqref="E28"/>
    </sheetView>
  </sheetViews>
  <sheetFormatPr defaultColWidth="9.08984375" defaultRowHeight="12.5" x14ac:dyDescent="0.25"/>
  <cols>
    <col min="1" max="2" width="2.6328125" style="1" customWidth="1"/>
    <col min="3" max="3" width="9.08984375" style="1"/>
    <col min="4" max="4" width="9.08984375" style="1" customWidth="1"/>
    <col min="5" max="9" width="10.81640625" style="1" customWidth="1"/>
    <col min="10" max="14" width="9.08984375" style="1"/>
    <col min="15" max="17" width="10.81640625" style="1" customWidth="1"/>
    <col min="18" max="20" width="2.6328125" style="1" customWidth="1"/>
    <col min="21" max="21" width="15.81640625" style="1" customWidth="1"/>
    <col min="22" max="27" width="9.08984375" style="1"/>
    <col min="28" max="28" width="2.81640625" style="1" customWidth="1"/>
    <col min="29" max="16384" width="9.08984375" style="1"/>
  </cols>
  <sheetData>
    <row r="2" spans="2:3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T2" s="5"/>
      <c r="U2" s="6"/>
      <c r="V2" s="6"/>
      <c r="W2" s="6"/>
      <c r="X2" s="6"/>
      <c r="Y2" s="6"/>
      <c r="Z2" s="6"/>
      <c r="AA2" s="6"/>
      <c r="AB2" s="7"/>
    </row>
    <row r="3" spans="2:31" x14ac:dyDescent="0.25">
      <c r="B3" s="8"/>
      <c r="C3" s="13" t="s">
        <v>30</v>
      </c>
      <c r="R3" s="9"/>
      <c r="T3" s="8"/>
      <c r="U3" s="13" t="s">
        <v>25</v>
      </c>
      <c r="AB3" s="9"/>
    </row>
    <row r="4" spans="2:31" x14ac:dyDescent="0.25">
      <c r="B4" s="8"/>
      <c r="R4" s="9"/>
      <c r="T4" s="8"/>
      <c r="U4" s="1" t="s">
        <v>27</v>
      </c>
      <c r="AB4" s="9"/>
    </row>
    <row r="5" spans="2:31" x14ac:dyDescent="0.25">
      <c r="B5" s="8"/>
      <c r="C5" s="1" t="s">
        <v>4</v>
      </c>
      <c r="E5" s="15" t="s">
        <v>57</v>
      </c>
      <c r="R5" s="9"/>
      <c r="T5" s="8"/>
      <c r="AB5" s="9"/>
    </row>
    <row r="6" spans="2:31" x14ac:dyDescent="0.25">
      <c r="B6" s="8"/>
      <c r="C6" s="1" t="s">
        <v>5</v>
      </c>
      <c r="E6" s="10">
        <f>D37</f>
        <v>676200</v>
      </c>
      <c r="R6" s="9"/>
      <c r="T6" s="8"/>
      <c r="U6" s="3" t="s">
        <v>4</v>
      </c>
      <c r="V6" s="3" t="s">
        <v>13</v>
      </c>
      <c r="W6" s="4" t="s">
        <v>5</v>
      </c>
      <c r="X6" s="4" t="s">
        <v>7</v>
      </c>
      <c r="Y6" s="4" t="s">
        <v>8</v>
      </c>
      <c r="Z6" s="4" t="s">
        <v>9</v>
      </c>
      <c r="AA6" s="4" t="s">
        <v>10</v>
      </c>
      <c r="AB6" s="9"/>
      <c r="AC6" s="1" t="s">
        <v>42</v>
      </c>
      <c r="AE6" s="1" t="s">
        <v>43</v>
      </c>
    </row>
    <row r="7" spans="2:31" x14ac:dyDescent="0.25">
      <c r="B7" s="8"/>
      <c r="R7" s="9"/>
      <c r="T7" s="8"/>
      <c r="U7" s="16" t="s">
        <v>57</v>
      </c>
      <c r="V7" s="16" t="s">
        <v>70</v>
      </c>
      <c r="W7" s="18">
        <v>676200</v>
      </c>
      <c r="X7" s="18">
        <v>0</v>
      </c>
      <c r="Y7" s="18">
        <v>0</v>
      </c>
      <c r="Z7" s="18">
        <v>0</v>
      </c>
      <c r="AA7" s="18">
        <v>0</v>
      </c>
      <c r="AB7" s="9"/>
      <c r="AC7" s="32">
        <v>128</v>
      </c>
      <c r="AE7" s="1" t="s">
        <v>44</v>
      </c>
    </row>
    <row r="8" spans="2:31" x14ac:dyDescent="0.25">
      <c r="B8" s="8"/>
      <c r="E8" s="2" t="str">
        <f>"Round "&amp;$E$27+1</f>
        <v>Round 0</v>
      </c>
      <c r="F8" s="2" t="str">
        <f>"Round "&amp;$E$27+2</f>
        <v>Round 1</v>
      </c>
      <c r="G8" s="2" t="str">
        <f>"Round "&amp;$E$27+3</f>
        <v>Round 2</v>
      </c>
      <c r="H8" s="2" t="str">
        <f>"Round "&amp;$E$27+4</f>
        <v>Round 3</v>
      </c>
      <c r="I8" s="2" t="str">
        <f>"Round "&amp;$E$27+5</f>
        <v>Round 4</v>
      </c>
      <c r="R8" s="9"/>
      <c r="T8" s="8"/>
      <c r="U8" s="16" t="s">
        <v>74</v>
      </c>
      <c r="V8" s="16" t="s">
        <v>75</v>
      </c>
      <c r="W8" s="16">
        <v>332000</v>
      </c>
      <c r="X8" s="18">
        <v>0</v>
      </c>
      <c r="Y8" s="18">
        <v>0</v>
      </c>
      <c r="Z8" s="18">
        <v>0</v>
      </c>
      <c r="AA8" s="18">
        <v>0</v>
      </c>
      <c r="AB8" s="9"/>
      <c r="AC8" s="1">
        <v>63</v>
      </c>
      <c r="AE8" s="1" t="s">
        <v>76</v>
      </c>
    </row>
    <row r="9" spans="2:31" x14ac:dyDescent="0.25">
      <c r="B9" s="8"/>
      <c r="D9" s="2" t="s">
        <v>35</v>
      </c>
      <c r="E9" s="14">
        <v>100</v>
      </c>
      <c r="F9" s="14">
        <v>100</v>
      </c>
      <c r="G9" s="14">
        <v>100</v>
      </c>
      <c r="H9" s="14">
        <v>100</v>
      </c>
      <c r="I9" s="14">
        <v>100</v>
      </c>
      <c r="R9" s="9"/>
      <c r="T9" s="8"/>
      <c r="U9" s="16" t="s">
        <v>71</v>
      </c>
      <c r="V9" s="16" t="s">
        <v>72</v>
      </c>
      <c r="W9" s="16">
        <v>512900</v>
      </c>
      <c r="X9" s="18">
        <v>0</v>
      </c>
      <c r="Y9" s="18">
        <v>0</v>
      </c>
      <c r="Z9" s="18">
        <v>0</v>
      </c>
      <c r="AA9" s="18">
        <v>0</v>
      </c>
      <c r="AB9" s="9"/>
      <c r="AC9" s="32">
        <v>97</v>
      </c>
      <c r="AE9" s="1" t="s">
        <v>73</v>
      </c>
    </row>
    <row r="10" spans="2:31" x14ac:dyDescent="0.25">
      <c r="B10" s="8"/>
      <c r="D10" s="2"/>
      <c r="E10" s="2"/>
      <c r="F10" s="2"/>
      <c r="G10" s="2"/>
      <c r="H10" s="2"/>
      <c r="I10" s="2"/>
      <c r="R10" s="9"/>
      <c r="T10" s="8"/>
      <c r="U10" s="16" t="s">
        <v>77</v>
      </c>
      <c r="V10" s="16" t="s">
        <v>78</v>
      </c>
      <c r="W10" s="16">
        <v>208800</v>
      </c>
      <c r="X10" s="18">
        <v>0</v>
      </c>
      <c r="Y10" s="18">
        <v>0</v>
      </c>
      <c r="Z10" s="18">
        <v>0</v>
      </c>
      <c r="AA10" s="18">
        <v>0</v>
      </c>
      <c r="AB10" s="9"/>
      <c r="AC10" s="32">
        <v>39</v>
      </c>
      <c r="AE10" s="1" t="s">
        <v>79</v>
      </c>
    </row>
    <row r="11" spans="2:31" x14ac:dyDescent="0.25">
      <c r="B11" s="8"/>
      <c r="R11" s="9"/>
      <c r="T11" s="8"/>
      <c r="U11" s="16" t="s">
        <v>80</v>
      </c>
      <c r="V11" s="16" t="s">
        <v>70</v>
      </c>
      <c r="W11" s="16">
        <v>202800</v>
      </c>
      <c r="X11" s="18">
        <v>0</v>
      </c>
      <c r="Y11" s="18">
        <v>0</v>
      </c>
      <c r="Z11" s="18">
        <v>0</v>
      </c>
      <c r="AA11" s="18">
        <v>0</v>
      </c>
      <c r="AB11" s="9"/>
      <c r="AC11" s="32">
        <v>38</v>
      </c>
      <c r="AE11" s="1" t="s">
        <v>46</v>
      </c>
    </row>
    <row r="12" spans="2:31" x14ac:dyDescent="0.25">
      <c r="B12" s="8"/>
      <c r="C12" s="13" t="s">
        <v>31</v>
      </c>
      <c r="R12" s="9"/>
      <c r="T12" s="8"/>
      <c r="U12" s="16" t="s">
        <v>81</v>
      </c>
      <c r="V12" s="16" t="s">
        <v>45</v>
      </c>
      <c r="W12" s="16">
        <v>102400</v>
      </c>
      <c r="X12" s="18">
        <v>0</v>
      </c>
      <c r="Y12" s="18">
        <v>0</v>
      </c>
      <c r="Z12" s="18">
        <v>0</v>
      </c>
      <c r="AA12" s="18">
        <v>0</v>
      </c>
      <c r="AB12" s="9"/>
      <c r="AC12" s="32">
        <v>19</v>
      </c>
      <c r="AE12" s="1" t="s">
        <v>47</v>
      </c>
    </row>
    <row r="13" spans="2:31" x14ac:dyDescent="0.25">
      <c r="B13" s="8"/>
      <c r="E13" s="1">
        <v>1</v>
      </c>
      <c r="F13" s="1">
        <v>2</v>
      </c>
      <c r="G13" s="1">
        <v>3</v>
      </c>
      <c r="H13" s="1">
        <v>4</v>
      </c>
      <c r="I13" s="1">
        <v>5</v>
      </c>
      <c r="R13" s="9"/>
      <c r="T13" s="8"/>
      <c r="U13" s="16" t="s">
        <v>82</v>
      </c>
      <c r="V13" s="16" t="s">
        <v>83</v>
      </c>
      <c r="W13" s="16">
        <v>123900</v>
      </c>
      <c r="X13" s="18">
        <v>0</v>
      </c>
      <c r="Y13" s="18">
        <v>0</v>
      </c>
      <c r="Z13" s="18">
        <v>0</v>
      </c>
      <c r="AA13" s="18">
        <v>0</v>
      </c>
      <c r="AB13" s="9"/>
      <c r="AC13" s="32">
        <v>23</v>
      </c>
      <c r="AE13" s="1" t="s">
        <v>48</v>
      </c>
    </row>
    <row r="14" spans="2:31" x14ac:dyDescent="0.25">
      <c r="B14" s="8"/>
      <c r="D14" s="3"/>
      <c r="E14" s="4" t="str">
        <f>E8</f>
        <v>Round 0</v>
      </c>
      <c r="F14" s="4" t="str">
        <f t="shared" ref="F14:I14" si="0">F8</f>
        <v>Round 1</v>
      </c>
      <c r="G14" s="4" t="str">
        <f t="shared" si="0"/>
        <v>Round 2</v>
      </c>
      <c r="H14" s="4" t="str">
        <f t="shared" si="0"/>
        <v>Round 3</v>
      </c>
      <c r="I14" s="4" t="str">
        <f t="shared" si="0"/>
        <v>Round 4</v>
      </c>
      <c r="R14" s="9"/>
      <c r="T14" s="8"/>
      <c r="U14" s="16" t="s">
        <v>84</v>
      </c>
      <c r="V14" s="16" t="s">
        <v>75</v>
      </c>
      <c r="W14" s="16">
        <v>476100</v>
      </c>
      <c r="X14" s="18">
        <v>0</v>
      </c>
      <c r="Y14" s="18">
        <v>0</v>
      </c>
      <c r="Z14" s="18">
        <v>0</v>
      </c>
      <c r="AA14" s="18">
        <v>0</v>
      </c>
      <c r="AB14" s="9"/>
      <c r="AC14" s="1">
        <v>90</v>
      </c>
      <c r="AE14" s="1" t="s">
        <v>85</v>
      </c>
    </row>
    <row r="15" spans="2:31" x14ac:dyDescent="0.25">
      <c r="B15" s="8"/>
      <c r="D15" s="2" t="s">
        <v>32</v>
      </c>
      <c r="E15" s="1">
        <f ca="1">OFFSET($F$40,E$13,0)</f>
        <v>100</v>
      </c>
      <c r="F15" s="1">
        <f ca="1">OFFSET($F$40,F$13,0)</f>
        <v>100</v>
      </c>
      <c r="G15" s="1">
        <f ca="1">OFFSET($F$40,G$13,0)</f>
        <v>100</v>
      </c>
      <c r="H15" s="1">
        <f ca="1">OFFSET($F$40,H$13,0)</f>
        <v>100</v>
      </c>
      <c r="I15" s="1">
        <f ca="1">OFFSET($F$40,I$13,0)</f>
        <v>100</v>
      </c>
      <c r="R15" s="9"/>
      <c r="T15" s="8"/>
      <c r="U15" s="16" t="s">
        <v>69</v>
      </c>
      <c r="V15" s="16" t="s">
        <v>83</v>
      </c>
      <c r="W15" s="16">
        <v>431100</v>
      </c>
      <c r="X15" s="18">
        <v>0</v>
      </c>
      <c r="Y15" s="18">
        <v>0</v>
      </c>
      <c r="Z15" s="18">
        <v>0</v>
      </c>
      <c r="AA15" s="18">
        <v>0</v>
      </c>
      <c r="AB15" s="9"/>
      <c r="AC15" s="1">
        <v>81</v>
      </c>
      <c r="AE15" s="1" t="s">
        <v>73</v>
      </c>
    </row>
    <row r="16" spans="2:31" x14ac:dyDescent="0.25">
      <c r="B16" s="8"/>
      <c r="D16" s="2" t="s">
        <v>33</v>
      </c>
      <c r="E16" s="31">
        <f ca="1">E18-$E$6</f>
        <v>-200</v>
      </c>
      <c r="F16" s="31">
        <f ca="1">F18-E18</f>
        <v>0</v>
      </c>
      <c r="G16" s="31">
        <f ca="1">G18-F18</f>
        <v>-40000</v>
      </c>
      <c r="H16" s="31">
        <f ca="1">H18-G18</f>
        <v>-32000</v>
      </c>
      <c r="I16" s="31">
        <f ca="1">I18-H18</f>
        <v>-26000</v>
      </c>
      <c r="R16" s="9"/>
      <c r="T16" s="8"/>
      <c r="U16" s="16" t="s">
        <v>86</v>
      </c>
      <c r="V16" s="16" t="s">
        <v>72</v>
      </c>
      <c r="W16" s="16">
        <v>308600</v>
      </c>
      <c r="X16" s="18">
        <v>0</v>
      </c>
      <c r="Y16" s="18">
        <v>0</v>
      </c>
      <c r="Z16" s="18">
        <v>0</v>
      </c>
      <c r="AA16" s="18">
        <v>0</v>
      </c>
      <c r="AB16" s="9"/>
      <c r="AC16" s="1">
        <v>58</v>
      </c>
      <c r="AE16" s="1" t="s">
        <v>44</v>
      </c>
    </row>
    <row r="17" spans="2:28" x14ac:dyDescent="0.25">
      <c r="B17" s="8"/>
      <c r="D17" s="2" t="s">
        <v>34</v>
      </c>
      <c r="E17" s="31">
        <f ca="1">E16</f>
        <v>-200</v>
      </c>
      <c r="F17" s="31">
        <f ca="1">E17+F16</f>
        <v>-200</v>
      </c>
      <c r="G17" s="31">
        <f ca="1">F17+G16</f>
        <v>-40200</v>
      </c>
      <c r="H17" s="31">
        <f ca="1">G17+H16</f>
        <v>-72200</v>
      </c>
      <c r="I17" s="31">
        <f ca="1">H17+I16</f>
        <v>-98200</v>
      </c>
      <c r="R17" s="9"/>
      <c r="T17" s="11"/>
      <c r="AB17" s="12"/>
    </row>
    <row r="18" spans="2:28" x14ac:dyDescent="0.25">
      <c r="B18" s="8"/>
      <c r="D18" s="2" t="s">
        <v>5</v>
      </c>
      <c r="E18" s="31">
        <f ca="1">ROUND(OFFSET($N$40,E$13,0)/1000,0)*1000</f>
        <v>676000</v>
      </c>
      <c r="F18" s="31">
        <f ca="1">ROUND(OFFSET($N$40,F$13,0)/1000,0)*1000</f>
        <v>676000</v>
      </c>
      <c r="G18" s="31">
        <f ca="1">ROUND(OFFSET($N$40,G$13,0)/1000,0)*1000</f>
        <v>636000</v>
      </c>
      <c r="H18" s="31">
        <f ca="1">ROUND(OFFSET($N$40,H$13,0)/1000,0)*1000</f>
        <v>604000</v>
      </c>
      <c r="I18" s="31">
        <f ca="1">ROUND(OFFSET($N$40,I$13,0)/1000,0)*1000</f>
        <v>578000</v>
      </c>
      <c r="R18" s="9"/>
      <c r="U18" s="6"/>
      <c r="V18" s="6"/>
      <c r="W18" s="6"/>
      <c r="X18" s="6"/>
      <c r="Y18" s="6"/>
      <c r="Z18" s="6"/>
      <c r="AA18" s="6"/>
    </row>
    <row r="19" spans="2:28" x14ac:dyDescent="0.25">
      <c r="B19" s="8"/>
      <c r="D19" s="2" t="s">
        <v>28</v>
      </c>
      <c r="E19" s="1">
        <f ca="1">ROUND(OFFSET($P$40,E$13,0),0)</f>
        <v>123</v>
      </c>
      <c r="F19" s="1">
        <f ca="1">ROUND(OFFSET($P$40,F$13,0),0)</f>
        <v>125</v>
      </c>
      <c r="G19" s="1">
        <f ca="1">ROUND(OFFSET($P$40,G$13,0),0)</f>
        <v>128</v>
      </c>
      <c r="H19" s="1">
        <f ca="1">ROUND(OFFSET($P$40,H$13,0),0)</f>
        <v>123</v>
      </c>
      <c r="I19" s="1">
        <f ca="1">ROUND(OFFSET($P$40,I$13,0),0)</f>
        <v>119</v>
      </c>
      <c r="R19" s="9"/>
    </row>
    <row r="20" spans="2:28" x14ac:dyDescent="0.25">
      <c r="B20" s="8"/>
      <c r="D20" s="2" t="s">
        <v>26</v>
      </c>
      <c r="E20" s="1">
        <f ca="1">ROUND(OFFSET($O$40,E$13,0),0)</f>
        <v>125</v>
      </c>
      <c r="F20" s="1">
        <f ca="1">ROUND(OFFSET($O$40,F$13,0),0)</f>
        <v>141</v>
      </c>
      <c r="G20" s="1">
        <f ca="1">ROUND(OFFSET($O$40,G$13,0),0)</f>
        <v>184</v>
      </c>
      <c r="H20" s="1">
        <f ca="1">ROUND(OFFSET($O$40,H$13,0),0)</f>
        <v>168</v>
      </c>
      <c r="I20" s="1">
        <f ca="1">ROUND(OFFSET($O$40,I$13,0),0)</f>
        <v>157</v>
      </c>
      <c r="R20" s="9"/>
      <c r="U20" s="19"/>
      <c r="V20" s="1" t="s">
        <v>18</v>
      </c>
      <c r="W20" s="2"/>
    </row>
    <row r="21" spans="2:28" x14ac:dyDescent="0.25">
      <c r="B21" s="8"/>
      <c r="R21" s="9"/>
      <c r="U21" s="24"/>
      <c r="V21" s="1" t="s">
        <v>19</v>
      </c>
    </row>
    <row r="22" spans="2:28" x14ac:dyDescent="0.25"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2"/>
      <c r="U22" s="20"/>
      <c r="V22" s="1" t="s">
        <v>21</v>
      </c>
    </row>
    <row r="23" spans="2:28" x14ac:dyDescent="0.25">
      <c r="C23" s="13"/>
      <c r="U23" s="26"/>
      <c r="V23" s="1" t="s">
        <v>23</v>
      </c>
    </row>
    <row r="24" spans="2:28" x14ac:dyDescent="0.25">
      <c r="B24" s="5"/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2:28" x14ac:dyDescent="0.25">
      <c r="B25" s="8"/>
      <c r="C25" s="13" t="s">
        <v>39</v>
      </c>
      <c r="I25" s="13" t="s">
        <v>22</v>
      </c>
      <c r="R25" s="9"/>
    </row>
    <row r="26" spans="2:28" x14ac:dyDescent="0.25">
      <c r="B26" s="8"/>
      <c r="C26" s="13"/>
      <c r="I26" s="3" t="s">
        <v>3</v>
      </c>
      <c r="J26" s="4" t="s">
        <v>7</v>
      </c>
      <c r="K26" s="4" t="s">
        <v>8</v>
      </c>
      <c r="L26" s="4" t="s">
        <v>9</v>
      </c>
      <c r="M26" s="4" t="s">
        <v>10</v>
      </c>
      <c r="N26" s="4" t="s">
        <v>11</v>
      </c>
      <c r="R26" s="9"/>
    </row>
    <row r="27" spans="2:28" x14ac:dyDescent="0.25">
      <c r="B27" s="8"/>
      <c r="C27" s="1" t="s">
        <v>20</v>
      </c>
      <c r="E27" s="20">
        <v>-1</v>
      </c>
      <c r="I27" s="1" t="s">
        <v>0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R27" s="9"/>
    </row>
    <row r="28" spans="2:28" x14ac:dyDescent="0.25">
      <c r="B28" s="8"/>
      <c r="C28" s="1" t="s">
        <v>36</v>
      </c>
      <c r="E28" s="20">
        <v>5506</v>
      </c>
      <c r="I28" s="20" t="s">
        <v>2</v>
      </c>
      <c r="J28" s="29">
        <f>J27/3</f>
        <v>0.33333333333333331</v>
      </c>
      <c r="K28" s="29">
        <f>K27/3</f>
        <v>0.33333333333333331</v>
      </c>
      <c r="L28" s="29">
        <f>L27/3</f>
        <v>0.33333333333333331</v>
      </c>
      <c r="M28" s="29">
        <f>0.25*M27/15</f>
        <v>0</v>
      </c>
      <c r="N28" s="29">
        <f>0.25*N27/15</f>
        <v>0</v>
      </c>
      <c r="R28" s="9"/>
    </row>
    <row r="29" spans="2:28" x14ac:dyDescent="0.25">
      <c r="B29" s="8"/>
      <c r="C29" s="1" t="s">
        <v>16</v>
      </c>
      <c r="E29" s="21">
        <v>0.02</v>
      </c>
      <c r="I29" s="20" t="s">
        <v>49</v>
      </c>
      <c r="J29" s="29">
        <v>0.27</v>
      </c>
      <c r="K29" s="29">
        <v>0.27</v>
      </c>
      <c r="L29" s="29">
        <v>0.27</v>
      </c>
      <c r="M29" s="29">
        <v>0</v>
      </c>
      <c r="N29" s="29">
        <v>0</v>
      </c>
      <c r="R29" s="9"/>
    </row>
    <row r="30" spans="2:28" x14ac:dyDescent="0.25">
      <c r="B30" s="11"/>
      <c r="C30" s="2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2"/>
    </row>
    <row r="31" spans="2:28" x14ac:dyDescent="0.25">
      <c r="C31" s="13"/>
    </row>
    <row r="32" spans="2:28" x14ac:dyDescent="0.25">
      <c r="B32" s="5"/>
      <c r="C32" s="22"/>
      <c r="D32" s="6"/>
      <c r="E32" s="30"/>
      <c r="F32" s="30"/>
      <c r="G32" s="30"/>
      <c r="H32" s="30"/>
      <c r="I32" s="30"/>
      <c r="J32" s="30"/>
      <c r="K32" s="6"/>
      <c r="L32" s="6"/>
      <c r="M32" s="6"/>
      <c r="N32" s="6"/>
      <c r="O32" s="6"/>
      <c r="P32" s="6"/>
      <c r="Q32" s="6"/>
      <c r="R32" s="7"/>
    </row>
    <row r="33" spans="2:23" x14ac:dyDescent="0.25">
      <c r="B33" s="8"/>
      <c r="C33" s="13" t="s">
        <v>17</v>
      </c>
      <c r="E33" s="2"/>
      <c r="F33" s="2"/>
      <c r="G33" s="2"/>
      <c r="H33" s="2"/>
      <c r="I33" s="2"/>
      <c r="J33" s="2"/>
      <c r="R33" s="9"/>
    </row>
    <row r="34" spans="2:23" x14ac:dyDescent="0.25">
      <c r="B34" s="8"/>
      <c r="R34" s="9"/>
    </row>
    <row r="35" spans="2:23" x14ac:dyDescent="0.25">
      <c r="B35" s="8"/>
      <c r="C35" s="2" t="s">
        <v>4</v>
      </c>
      <c r="D35" s="14" t="str">
        <f>E5</f>
        <v>Lachie Neale</v>
      </c>
      <c r="F35" s="3" t="s">
        <v>3</v>
      </c>
      <c r="G35" s="4" t="s">
        <v>7</v>
      </c>
      <c r="H35" s="4" t="s">
        <v>8</v>
      </c>
      <c r="I35" s="4" t="s">
        <v>9</v>
      </c>
      <c r="J35" s="4" t="s">
        <v>10</v>
      </c>
      <c r="K35" s="4" t="s">
        <v>11</v>
      </c>
      <c r="R35" s="9"/>
    </row>
    <row r="36" spans="2:23" x14ac:dyDescent="0.25">
      <c r="B36" s="8"/>
      <c r="C36" s="2" t="s">
        <v>13</v>
      </c>
      <c r="D36" s="18" t="str">
        <f>INDEX($V$7:$V$16,MATCH(E5,$U$7:$U$16,0),0)</f>
        <v>BL</v>
      </c>
      <c r="F36" s="20" t="s">
        <v>2</v>
      </c>
      <c r="G36" s="29">
        <f>J28</f>
        <v>0.33333333333333331</v>
      </c>
      <c r="H36" s="29">
        <f t="shared" ref="H36:K36" si="1">K28</f>
        <v>0.33333333333333331</v>
      </c>
      <c r="I36" s="29">
        <f t="shared" si="1"/>
        <v>0.33333333333333331</v>
      </c>
      <c r="J36" s="29">
        <f t="shared" si="1"/>
        <v>0</v>
      </c>
      <c r="K36" s="29">
        <f t="shared" si="1"/>
        <v>0</v>
      </c>
      <c r="R36" s="9"/>
    </row>
    <row r="37" spans="2:23" x14ac:dyDescent="0.25">
      <c r="B37" s="8"/>
      <c r="C37" s="2" t="s">
        <v>14</v>
      </c>
      <c r="D37" s="17">
        <f>INDEX($W$7:$W$16,MATCH(E5,$U$7:$U$16,0),0)</f>
        <v>676200</v>
      </c>
      <c r="F37" s="20" t="s">
        <v>49</v>
      </c>
      <c r="G37" s="29">
        <f>J29</f>
        <v>0.27</v>
      </c>
      <c r="H37" s="29">
        <f t="shared" ref="H37" si="2">K29</f>
        <v>0.27</v>
      </c>
      <c r="I37" s="29">
        <f t="shared" ref="I37" si="3">L29</f>
        <v>0.27</v>
      </c>
      <c r="J37" s="29">
        <f t="shared" ref="J37" si="4">M29</f>
        <v>0</v>
      </c>
      <c r="K37" s="29">
        <f t="shared" ref="K37" si="5">N29</f>
        <v>0</v>
      </c>
      <c r="R37" s="9"/>
      <c r="W37" s="33"/>
    </row>
    <row r="38" spans="2:23" x14ac:dyDescent="0.25">
      <c r="B38" s="8"/>
      <c r="F38" s="2"/>
      <c r="G38" s="2"/>
      <c r="H38" s="2"/>
      <c r="I38" s="2"/>
      <c r="J38" s="2"/>
      <c r="K38" s="2"/>
      <c r="R38" s="9"/>
    </row>
    <row r="39" spans="2:23" x14ac:dyDescent="0.25">
      <c r="B39" s="8"/>
      <c r="E39" s="2" t="s">
        <v>15</v>
      </c>
      <c r="F39" s="2"/>
      <c r="G39" s="2"/>
      <c r="H39" s="2"/>
      <c r="I39" s="2"/>
      <c r="J39" s="2"/>
      <c r="K39" s="2"/>
      <c r="L39" s="2" t="s">
        <v>38</v>
      </c>
      <c r="M39" s="2" t="s">
        <v>29</v>
      </c>
      <c r="N39" s="2" t="s">
        <v>24</v>
      </c>
      <c r="R39" s="9"/>
    </row>
    <row r="40" spans="2:23" x14ac:dyDescent="0.25">
      <c r="B40" s="8"/>
      <c r="C40" s="4" t="s">
        <v>1</v>
      </c>
      <c r="D40" s="4" t="s">
        <v>12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37</v>
      </c>
      <c r="M40" s="4" t="s">
        <v>6</v>
      </c>
      <c r="N40" s="4" t="s">
        <v>5</v>
      </c>
      <c r="O40" s="4" t="s">
        <v>26</v>
      </c>
      <c r="P40" s="4" t="s">
        <v>28</v>
      </c>
      <c r="R40" s="9"/>
    </row>
    <row r="41" spans="2:23" x14ac:dyDescent="0.25">
      <c r="B41" s="8"/>
      <c r="C41" s="20">
        <f>E27+1</f>
        <v>0</v>
      </c>
      <c r="D41" s="27">
        <f>$E$28*(1-$E$29)^(C41)</f>
        <v>5506</v>
      </c>
      <c r="E41" s="17">
        <f>D37</f>
        <v>676200</v>
      </c>
      <c r="F41" s="34">
        <f>E9</f>
        <v>100</v>
      </c>
      <c r="G41" s="25">
        <f>F41</f>
        <v>100</v>
      </c>
      <c r="H41" s="16">
        <f>INDEX(X$7:X$16,MATCH($E5,$U$7:$U$16,0),0)</f>
        <v>0</v>
      </c>
      <c r="I41" s="16">
        <f>INDEX(Y$7:Y$16,MATCH($E5,$U$7:$U$16,0),0)</f>
        <v>0</v>
      </c>
      <c r="J41" s="16">
        <f>INDEX(Z$7:Z$16,MATCH($E5,$U$7:$U$16,0),0)</f>
        <v>0</v>
      </c>
      <c r="K41" s="16">
        <f>INDEX(AA$7:AA$16,MATCH($E5,$U$7:$U$16,0),0)</f>
        <v>0</v>
      </c>
      <c r="L41" s="28">
        <f>COUNTIF(G41:K41,"&gt;0")</f>
        <v>1</v>
      </c>
      <c r="M41" s="28">
        <f>AVERAGE(G41:I41)</f>
        <v>33.333333333333336</v>
      </c>
      <c r="N41" s="28">
        <f>IF(I41,E41*(1-$G$37)+SUMPRODUCT(G41:K41,$G$36:$K$36)*D41*$G$37,E41)</f>
        <v>676200</v>
      </c>
      <c r="O41" s="28">
        <f>IF(I41=0,(3*E41/D41 - H41)/(4-L41)*(1+$E$29),3*E41/D41-I41-H41)</f>
        <v>125.26770795495823</v>
      </c>
      <c r="P41" s="27">
        <f>E41/D41</f>
        <v>122.81147838721395</v>
      </c>
      <c r="R41" s="9"/>
    </row>
    <row r="42" spans="2:23" x14ac:dyDescent="0.25">
      <c r="B42" s="8"/>
      <c r="C42" s="26">
        <f>C41+1</f>
        <v>1</v>
      </c>
      <c r="D42" s="27">
        <f t="shared" ref="D42:D44" si="6">$E$28*(1-$E$29)^(C42)</f>
        <v>5395.88</v>
      </c>
      <c r="E42" s="28">
        <f>N41</f>
        <v>676200</v>
      </c>
      <c r="F42" s="34">
        <f>F9</f>
        <v>100</v>
      </c>
      <c r="G42" s="25">
        <f t="shared" ref="G42:G45" si="7">F42</f>
        <v>100</v>
      </c>
      <c r="H42" s="26">
        <f t="shared" ref="H42:K45" si="8">G41</f>
        <v>100</v>
      </c>
      <c r="I42" s="26">
        <f t="shared" si="8"/>
        <v>0</v>
      </c>
      <c r="J42" s="26">
        <f t="shared" si="8"/>
        <v>0</v>
      </c>
      <c r="K42" s="26">
        <f t="shared" si="8"/>
        <v>0</v>
      </c>
      <c r="L42" s="28">
        <f t="shared" ref="L42:L45" si="9">COUNTIF(G42:K42,"&gt;0")</f>
        <v>2</v>
      </c>
      <c r="M42" s="28">
        <f t="shared" ref="M42:M45" si="10">AVERAGE(G42:I42)</f>
        <v>66.666666666666671</v>
      </c>
      <c r="N42" s="28">
        <f t="shared" ref="N42:N45" si="11">IF(I42,E42*(1-$G$37)+SUMPRODUCT(G42:K42,$G$36:$K$36)*D42*$G$37,E42)</f>
        <v>676200</v>
      </c>
      <c r="O42" s="28">
        <f t="shared" ref="O42:O45" si="12">IF(I42=0,(3*E42/D42 - H42)/(4-L42)*(1+$E$29),3*E42/D42-I42-H42)</f>
        <v>140.73628768616055</v>
      </c>
      <c r="P42" s="27">
        <f>E42/D42</f>
        <v>125.31783508899382</v>
      </c>
      <c r="R42" s="9"/>
    </row>
    <row r="43" spans="2:23" x14ac:dyDescent="0.25">
      <c r="B43" s="8"/>
      <c r="C43" s="26">
        <f t="shared" ref="C43:C45" si="13">C42+1</f>
        <v>2</v>
      </c>
      <c r="D43" s="27">
        <f t="shared" si="6"/>
        <v>5287.9623999999994</v>
      </c>
      <c r="E43" s="28">
        <f>N42</f>
        <v>676200</v>
      </c>
      <c r="F43" s="34">
        <f>G9</f>
        <v>100</v>
      </c>
      <c r="G43" s="25">
        <f t="shared" si="7"/>
        <v>100</v>
      </c>
      <c r="H43" s="26">
        <f t="shared" si="8"/>
        <v>100</v>
      </c>
      <c r="I43" s="26">
        <f t="shared" si="8"/>
        <v>100</v>
      </c>
      <c r="J43" s="26">
        <f t="shared" si="8"/>
        <v>0</v>
      </c>
      <c r="K43" s="26">
        <f t="shared" si="8"/>
        <v>0</v>
      </c>
      <c r="L43" s="28">
        <f t="shared" si="9"/>
        <v>3</v>
      </c>
      <c r="M43" s="28">
        <f t="shared" si="10"/>
        <v>100</v>
      </c>
      <c r="N43" s="28">
        <f t="shared" si="11"/>
        <v>636400.98479999998</v>
      </c>
      <c r="O43" s="28">
        <f>IF(I43=0,(3*E43/D43 - H43)/(4-L43)*(1+$E$29),3*E43/D43-I43-H43)</f>
        <v>183.6260257826342</v>
      </c>
      <c r="P43" s="27">
        <f>E43/D43</f>
        <v>127.87534192754474</v>
      </c>
      <c r="R43" s="9"/>
    </row>
    <row r="44" spans="2:23" x14ac:dyDescent="0.25">
      <c r="B44" s="8"/>
      <c r="C44" s="26">
        <f t="shared" si="13"/>
        <v>3</v>
      </c>
      <c r="D44" s="27">
        <f t="shared" si="6"/>
        <v>5182.2031519999991</v>
      </c>
      <c r="E44" s="28">
        <f>N43</f>
        <v>636400.98479999998</v>
      </c>
      <c r="F44" s="34">
        <f>H9</f>
        <v>100</v>
      </c>
      <c r="G44" s="25">
        <f t="shared" si="7"/>
        <v>100</v>
      </c>
      <c r="H44" s="26">
        <f t="shared" si="8"/>
        <v>100</v>
      </c>
      <c r="I44" s="26">
        <f t="shared" si="8"/>
        <v>100</v>
      </c>
      <c r="J44" s="26">
        <f t="shared" si="8"/>
        <v>100</v>
      </c>
      <c r="K44" s="26">
        <f t="shared" si="8"/>
        <v>0</v>
      </c>
      <c r="L44" s="28">
        <f t="shared" si="9"/>
        <v>4</v>
      </c>
      <c r="M44" s="28">
        <f t="shared" si="10"/>
        <v>100</v>
      </c>
      <c r="N44" s="28">
        <f t="shared" si="11"/>
        <v>604492.20400799997</v>
      </c>
      <c r="O44" s="28">
        <f t="shared" si="12"/>
        <v>168.4153049197173</v>
      </c>
      <c r="P44" s="27">
        <f>E44/D44</f>
        <v>122.80510163990577</v>
      </c>
      <c r="R44" s="9"/>
    </row>
    <row r="45" spans="2:23" x14ac:dyDescent="0.25">
      <c r="B45" s="8"/>
      <c r="C45" s="26">
        <f t="shared" si="13"/>
        <v>4</v>
      </c>
      <c r="D45" s="27">
        <f>$E$28*(1-$E$29)^(C45)</f>
        <v>5078.5590889599989</v>
      </c>
      <c r="E45" s="28">
        <f>N44</f>
        <v>604492.20400799997</v>
      </c>
      <c r="F45" s="34">
        <f>I9</f>
        <v>100</v>
      </c>
      <c r="G45" s="25">
        <f t="shared" si="7"/>
        <v>100</v>
      </c>
      <c r="H45" s="26">
        <f t="shared" si="8"/>
        <v>100</v>
      </c>
      <c r="I45" s="26">
        <f t="shared" si="8"/>
        <v>100</v>
      </c>
      <c r="J45" s="26">
        <f t="shared" si="8"/>
        <v>100</v>
      </c>
      <c r="K45" s="26">
        <f>J44</f>
        <v>100</v>
      </c>
      <c r="L45" s="28">
        <f t="shared" si="9"/>
        <v>5</v>
      </c>
      <c r="M45" s="28">
        <f t="shared" si="10"/>
        <v>100</v>
      </c>
      <c r="N45" s="28">
        <f t="shared" si="11"/>
        <v>578400.40432775998</v>
      </c>
      <c r="O45" s="28">
        <f t="shared" si="12"/>
        <v>157.08486999121806</v>
      </c>
      <c r="P45" s="27">
        <f>E45/D45</f>
        <v>119.02828999707268</v>
      </c>
      <c r="R45" s="9"/>
    </row>
    <row r="46" spans="2:23" x14ac:dyDescent="0.25"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2"/>
    </row>
  </sheetData>
  <conditionalFormatting sqref="L41:L45">
    <cfRule type="expression" dxfId="10" priority="1">
      <formula>$C41&gt;#REF!</formula>
    </cfRule>
  </conditionalFormatting>
  <conditionalFormatting sqref="M41:M45">
    <cfRule type="expression" dxfId="9" priority="4">
      <formula>$C41&gt;#REF!</formula>
    </cfRule>
  </conditionalFormatting>
  <conditionalFormatting sqref="N41:O45">
    <cfRule type="expression" dxfId="8" priority="2">
      <formula>$C41&gt;#REF!</formula>
    </cfRule>
  </conditionalFormatting>
  <dataValidations count="1">
    <dataValidation type="list" allowBlank="1" showInputMessage="1" showErrorMessage="1" sqref="E5" xr:uid="{1D7BD2C9-8DC1-44B2-AFFA-25540029EB60}">
      <formula1>$U$7:$U$16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503E-0471-4D11-A2DD-C3D7B6D94065}">
  <dimension ref="B2:AE46"/>
  <sheetViews>
    <sheetView showGridLines="0" showRowColHeaders="0" zoomScale="80" zoomScaleNormal="80" workbookViewId="0">
      <selection activeCell="E5" sqref="E5"/>
    </sheetView>
  </sheetViews>
  <sheetFormatPr defaultColWidth="9.08984375" defaultRowHeight="12.5" x14ac:dyDescent="0.25"/>
  <cols>
    <col min="1" max="2" width="2.6328125" style="1" customWidth="1"/>
    <col min="3" max="3" width="9.08984375" style="1"/>
    <col min="4" max="4" width="9.08984375" style="1" customWidth="1"/>
    <col min="5" max="9" width="10.81640625" style="1" customWidth="1"/>
    <col min="10" max="14" width="9.08984375" style="1"/>
    <col min="15" max="17" width="10.81640625" style="1" customWidth="1"/>
    <col min="18" max="20" width="2.6328125" style="1" customWidth="1"/>
    <col min="21" max="21" width="15.81640625" style="1" customWidth="1"/>
    <col min="22" max="27" width="9.08984375" style="1"/>
    <col min="28" max="28" width="2.81640625" style="1" customWidth="1"/>
    <col min="29" max="16384" width="9.08984375" style="1"/>
  </cols>
  <sheetData>
    <row r="2" spans="2:3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T2" s="5"/>
      <c r="U2" s="6"/>
      <c r="V2" s="6"/>
      <c r="W2" s="6"/>
      <c r="X2" s="6"/>
      <c r="Y2" s="6"/>
      <c r="Z2" s="6"/>
      <c r="AA2" s="6"/>
      <c r="AB2" s="7"/>
    </row>
    <row r="3" spans="2:31" x14ac:dyDescent="0.25">
      <c r="B3" s="8"/>
      <c r="C3" s="13" t="s">
        <v>30</v>
      </c>
      <c r="R3" s="9"/>
      <c r="T3" s="8"/>
      <c r="U3" s="13" t="s">
        <v>25</v>
      </c>
      <c r="AB3" s="9"/>
    </row>
    <row r="4" spans="2:31" x14ac:dyDescent="0.25">
      <c r="B4" s="8"/>
      <c r="R4" s="9"/>
      <c r="T4" s="8"/>
      <c r="U4" s="1" t="s">
        <v>27</v>
      </c>
      <c r="AB4" s="9"/>
    </row>
    <row r="5" spans="2:31" x14ac:dyDescent="0.25">
      <c r="B5" s="8"/>
      <c r="C5" s="1" t="s">
        <v>4</v>
      </c>
      <c r="E5" s="15" t="s">
        <v>97</v>
      </c>
      <c r="R5" s="9"/>
      <c r="T5" s="8"/>
      <c r="AB5" s="9"/>
    </row>
    <row r="6" spans="2:31" x14ac:dyDescent="0.25">
      <c r="B6" s="8"/>
      <c r="C6" s="1" t="s">
        <v>5</v>
      </c>
      <c r="E6" s="10">
        <f>D37</f>
        <v>156800</v>
      </c>
      <c r="R6" s="9"/>
      <c r="T6" s="8"/>
      <c r="U6" s="3" t="s">
        <v>4</v>
      </c>
      <c r="V6" s="3" t="s">
        <v>13</v>
      </c>
      <c r="W6" s="4" t="s">
        <v>5</v>
      </c>
      <c r="X6" s="4" t="s">
        <v>7</v>
      </c>
      <c r="Y6" s="4" t="s">
        <v>8</v>
      </c>
      <c r="Z6" s="4" t="s">
        <v>9</v>
      </c>
      <c r="AA6" s="4" t="s">
        <v>10</v>
      </c>
      <c r="AB6" s="9"/>
      <c r="AC6" s="1" t="s">
        <v>42</v>
      </c>
      <c r="AE6" s="1" t="s">
        <v>43</v>
      </c>
    </row>
    <row r="7" spans="2:31" x14ac:dyDescent="0.25">
      <c r="B7" s="8"/>
      <c r="R7" s="9"/>
      <c r="T7" s="8"/>
      <c r="U7" s="16" t="s">
        <v>87</v>
      </c>
      <c r="V7" s="16" t="s">
        <v>88</v>
      </c>
      <c r="W7" s="18">
        <v>724600</v>
      </c>
      <c r="X7" s="18">
        <v>0</v>
      </c>
      <c r="Y7" s="18">
        <v>0</v>
      </c>
      <c r="Z7" s="18">
        <v>0</v>
      </c>
      <c r="AA7" s="18">
        <v>0</v>
      </c>
      <c r="AB7" s="9"/>
      <c r="AC7" s="32">
        <v>137</v>
      </c>
      <c r="AD7" s="32"/>
      <c r="AE7" s="1" t="s">
        <v>89</v>
      </c>
    </row>
    <row r="8" spans="2:31" x14ac:dyDescent="0.25">
      <c r="B8" s="8"/>
      <c r="E8" s="2" t="str">
        <f>"Round "&amp;$E$27+1</f>
        <v>Round 1</v>
      </c>
      <c r="F8" s="2" t="str">
        <f>"Round "&amp;$E$27+2</f>
        <v>Round 2</v>
      </c>
      <c r="G8" s="2" t="str">
        <f>"Round "&amp;$E$27+3</f>
        <v>Round 3</v>
      </c>
      <c r="H8" s="2" t="str">
        <f>"Round "&amp;$E$27+4</f>
        <v>Round 4</v>
      </c>
      <c r="I8" s="2" t="str">
        <f>"Round "&amp;$E$27+5</f>
        <v>Round 5</v>
      </c>
      <c r="R8" s="9"/>
      <c r="T8" s="8"/>
      <c r="U8" s="16" t="s">
        <v>90</v>
      </c>
      <c r="V8" s="16" t="s">
        <v>91</v>
      </c>
      <c r="W8" s="16">
        <v>123900</v>
      </c>
      <c r="X8" s="18">
        <v>0</v>
      </c>
      <c r="Y8" s="18">
        <v>0</v>
      </c>
      <c r="Z8" s="18">
        <v>0</v>
      </c>
      <c r="AA8" s="18">
        <v>0</v>
      </c>
      <c r="AB8" s="9"/>
      <c r="AC8" s="32">
        <v>23</v>
      </c>
      <c r="AD8" s="32"/>
      <c r="AE8" s="1" t="s">
        <v>76</v>
      </c>
    </row>
    <row r="9" spans="2:31" x14ac:dyDescent="0.25">
      <c r="B9" s="8"/>
      <c r="D9" s="2" t="s">
        <v>35</v>
      </c>
      <c r="E9" s="14">
        <v>100</v>
      </c>
      <c r="F9" s="14">
        <v>100</v>
      </c>
      <c r="G9" s="14">
        <v>100</v>
      </c>
      <c r="H9" s="14">
        <v>100</v>
      </c>
      <c r="I9" s="14">
        <v>100</v>
      </c>
      <c r="R9" s="9"/>
      <c r="T9" s="8"/>
      <c r="U9" s="16" t="s">
        <v>71</v>
      </c>
      <c r="V9" s="16" t="s">
        <v>72</v>
      </c>
      <c r="W9" s="16">
        <v>481900</v>
      </c>
      <c r="X9" s="18">
        <v>139</v>
      </c>
      <c r="Y9" s="18">
        <v>0</v>
      </c>
      <c r="Z9" s="18">
        <v>0</v>
      </c>
      <c r="AA9" s="18">
        <v>0</v>
      </c>
      <c r="AB9" s="9"/>
      <c r="AC9" s="32">
        <v>66</v>
      </c>
      <c r="AD9" s="32"/>
      <c r="AE9" s="1" t="s">
        <v>85</v>
      </c>
    </row>
    <row r="10" spans="2:31" x14ac:dyDescent="0.25">
      <c r="B10" s="8"/>
      <c r="D10" s="2"/>
      <c r="E10" s="2"/>
      <c r="F10" s="2"/>
      <c r="G10" s="2"/>
      <c r="H10" s="2"/>
      <c r="I10" s="2"/>
      <c r="R10" s="9"/>
      <c r="T10" s="8"/>
      <c r="U10" s="16" t="s">
        <v>77</v>
      </c>
      <c r="V10" s="16" t="s">
        <v>88</v>
      </c>
      <c r="W10" s="16">
        <v>123900</v>
      </c>
      <c r="X10" s="18">
        <v>0</v>
      </c>
      <c r="Y10" s="18">
        <v>0</v>
      </c>
      <c r="Z10" s="18">
        <v>0</v>
      </c>
      <c r="AA10" s="18">
        <v>0</v>
      </c>
      <c r="AB10" s="9"/>
      <c r="AC10" s="32">
        <v>23</v>
      </c>
      <c r="AD10" s="32"/>
      <c r="AE10" s="1" t="s">
        <v>79</v>
      </c>
    </row>
    <row r="11" spans="2:31" x14ac:dyDescent="0.25">
      <c r="B11" s="8"/>
      <c r="R11" s="9"/>
      <c r="T11" s="8"/>
      <c r="U11" s="16" t="s">
        <v>92</v>
      </c>
      <c r="V11" s="16" t="s">
        <v>75</v>
      </c>
      <c r="W11" s="16">
        <v>207300</v>
      </c>
      <c r="X11" s="18">
        <v>0</v>
      </c>
      <c r="Y11" s="18">
        <v>0</v>
      </c>
      <c r="Z11" s="18">
        <v>0</v>
      </c>
      <c r="AA11" s="18">
        <v>0</v>
      </c>
      <c r="AB11" s="9"/>
      <c r="AC11" s="32">
        <v>38</v>
      </c>
      <c r="AD11" s="32"/>
      <c r="AE11" s="1" t="s">
        <v>46</v>
      </c>
    </row>
    <row r="12" spans="2:31" x14ac:dyDescent="0.25">
      <c r="B12" s="8"/>
      <c r="C12" s="13" t="s">
        <v>31</v>
      </c>
      <c r="R12" s="9"/>
      <c r="T12" s="8"/>
      <c r="U12" s="16" t="s">
        <v>93</v>
      </c>
      <c r="V12" s="16" t="s">
        <v>91</v>
      </c>
      <c r="W12" s="16">
        <v>117300</v>
      </c>
      <c r="X12" s="18">
        <v>0</v>
      </c>
      <c r="Y12" s="18">
        <v>0</v>
      </c>
      <c r="Z12" s="18">
        <v>0</v>
      </c>
      <c r="AA12" s="18">
        <v>0</v>
      </c>
      <c r="AB12" s="9"/>
      <c r="AC12" s="32">
        <v>22</v>
      </c>
      <c r="AD12" s="32"/>
      <c r="AE12" s="1" t="s">
        <v>47</v>
      </c>
    </row>
    <row r="13" spans="2:31" x14ac:dyDescent="0.25">
      <c r="B13" s="8"/>
      <c r="E13" s="1">
        <v>1</v>
      </c>
      <c r="F13" s="1">
        <v>2</v>
      </c>
      <c r="G13" s="1">
        <v>3</v>
      </c>
      <c r="H13" s="1">
        <v>4</v>
      </c>
      <c r="I13" s="1">
        <v>5</v>
      </c>
      <c r="R13" s="9"/>
      <c r="T13" s="8"/>
      <c r="U13" s="16" t="s">
        <v>94</v>
      </c>
      <c r="V13" s="16" t="s">
        <v>72</v>
      </c>
      <c r="W13" s="16">
        <v>123900</v>
      </c>
      <c r="X13" s="18">
        <v>91</v>
      </c>
      <c r="Y13" s="18">
        <v>0</v>
      </c>
      <c r="Z13" s="18">
        <v>0</v>
      </c>
      <c r="AA13" s="18">
        <v>0</v>
      </c>
      <c r="AB13" s="9"/>
      <c r="AC13" s="32">
        <v>-12</v>
      </c>
      <c r="AD13" s="32"/>
      <c r="AE13" s="1" t="s">
        <v>48</v>
      </c>
    </row>
    <row r="14" spans="2:31" x14ac:dyDescent="0.25">
      <c r="B14" s="8"/>
      <c r="D14" s="3"/>
      <c r="E14" s="4" t="str">
        <f>E8</f>
        <v>Round 1</v>
      </c>
      <c r="F14" s="4" t="str">
        <f t="shared" ref="F14:I14" si="0">F8</f>
        <v>Round 2</v>
      </c>
      <c r="G14" s="4" t="str">
        <f t="shared" si="0"/>
        <v>Round 3</v>
      </c>
      <c r="H14" s="4" t="str">
        <f t="shared" si="0"/>
        <v>Round 4</v>
      </c>
      <c r="I14" s="4" t="str">
        <f t="shared" si="0"/>
        <v>Round 5</v>
      </c>
      <c r="R14" s="9"/>
      <c r="T14" s="8"/>
      <c r="U14" s="16" t="s">
        <v>95</v>
      </c>
      <c r="V14" s="16" t="s">
        <v>45</v>
      </c>
      <c r="W14" s="16">
        <v>378600</v>
      </c>
      <c r="X14" s="18">
        <v>0</v>
      </c>
      <c r="Y14" s="18">
        <v>0</v>
      </c>
      <c r="Z14" s="18">
        <v>0</v>
      </c>
      <c r="AA14" s="18">
        <v>0</v>
      </c>
      <c r="AB14" s="9"/>
      <c r="AC14" s="32">
        <v>69</v>
      </c>
      <c r="AD14" s="32"/>
      <c r="AE14" s="1" t="s">
        <v>96</v>
      </c>
    </row>
    <row r="15" spans="2:31" x14ac:dyDescent="0.25">
      <c r="B15" s="8"/>
      <c r="D15" s="2" t="s">
        <v>32</v>
      </c>
      <c r="E15" s="1">
        <f ca="1">OFFSET($F$40,E$13,0)</f>
        <v>100</v>
      </c>
      <c r="F15" s="1">
        <f ca="1">OFFSET($F$40,F$13,0)</f>
        <v>100</v>
      </c>
      <c r="G15" s="1">
        <f ca="1">OFFSET($F$40,G$13,0)</f>
        <v>100</v>
      </c>
      <c r="H15" s="1">
        <f ca="1">OFFSET($F$40,H$13,0)</f>
        <v>100</v>
      </c>
      <c r="I15" s="1">
        <f ca="1">OFFSET($F$40,I$13,0)</f>
        <v>100</v>
      </c>
      <c r="R15" s="9"/>
      <c r="T15" s="8"/>
      <c r="U15" s="16" t="s">
        <v>97</v>
      </c>
      <c r="V15" s="16" t="s">
        <v>98</v>
      </c>
      <c r="W15" s="16">
        <v>156800</v>
      </c>
      <c r="X15" s="18">
        <v>76</v>
      </c>
      <c r="Y15" s="18">
        <v>0</v>
      </c>
      <c r="Z15" s="18">
        <v>0</v>
      </c>
      <c r="AA15" s="18">
        <v>0</v>
      </c>
      <c r="AB15" s="9"/>
      <c r="AC15" s="32">
        <v>5</v>
      </c>
      <c r="AD15" s="32"/>
      <c r="AE15" s="1" t="s">
        <v>73</v>
      </c>
    </row>
    <row r="16" spans="2:31" x14ac:dyDescent="0.25">
      <c r="B16" s="8"/>
      <c r="D16" s="2" t="s">
        <v>33</v>
      </c>
      <c r="E16" s="31">
        <f ca="1">E18-$E$6</f>
        <v>200</v>
      </c>
      <c r="F16" s="31">
        <f ca="1">F18-E18</f>
        <v>93000</v>
      </c>
      <c r="G16" s="31">
        <f ca="1">G18-F18</f>
        <v>77000</v>
      </c>
      <c r="H16" s="31">
        <f ca="1">H18-G18</f>
        <v>55000</v>
      </c>
      <c r="I16" s="31">
        <f ca="1">I18-H18</f>
        <v>37000</v>
      </c>
      <c r="R16" s="9"/>
      <c r="T16" s="8"/>
      <c r="U16" s="16"/>
      <c r="V16" s="16"/>
      <c r="W16" s="16"/>
      <c r="X16" s="18"/>
      <c r="Y16" s="18"/>
      <c r="Z16" s="18"/>
      <c r="AA16" s="18"/>
      <c r="AB16" s="9"/>
    </row>
    <row r="17" spans="2:28" x14ac:dyDescent="0.25">
      <c r="B17" s="8"/>
      <c r="D17" s="2" t="s">
        <v>34</v>
      </c>
      <c r="E17" s="31">
        <f ca="1">E16</f>
        <v>200</v>
      </c>
      <c r="F17" s="31">
        <f ca="1">E17+F16</f>
        <v>93200</v>
      </c>
      <c r="G17" s="31">
        <f ca="1">F17+G16</f>
        <v>170200</v>
      </c>
      <c r="H17" s="31">
        <f ca="1">G17+H16</f>
        <v>225200</v>
      </c>
      <c r="I17" s="31">
        <f ca="1">H17+I16</f>
        <v>262200</v>
      </c>
      <c r="R17" s="9"/>
      <c r="T17" s="11"/>
      <c r="AB17" s="12"/>
    </row>
    <row r="18" spans="2:28" x14ac:dyDescent="0.25">
      <c r="B18" s="8"/>
      <c r="D18" s="2" t="s">
        <v>5</v>
      </c>
      <c r="E18" s="31">
        <f ca="1">ROUND(OFFSET($N$40,E$13,0)/1000,0)*1000</f>
        <v>157000</v>
      </c>
      <c r="F18" s="31">
        <f ca="1">ROUND(OFFSET($N$40,F$13,0)/1000,0)*1000</f>
        <v>250000</v>
      </c>
      <c r="G18" s="31">
        <f ca="1">ROUND(OFFSET($N$40,G$13,0)/1000,0)*1000</f>
        <v>327000</v>
      </c>
      <c r="H18" s="31">
        <f ca="1">ROUND(OFFSET($N$40,H$13,0)/1000,0)*1000</f>
        <v>382000</v>
      </c>
      <c r="I18" s="31">
        <f ca="1">ROUND(OFFSET($N$40,I$13,0)/1000,0)*1000</f>
        <v>419000</v>
      </c>
      <c r="R18" s="9"/>
      <c r="U18" s="6"/>
      <c r="V18" s="6"/>
      <c r="W18" s="6"/>
      <c r="X18" s="6"/>
      <c r="Y18" s="6"/>
      <c r="Z18" s="6"/>
      <c r="AA18" s="6"/>
    </row>
    <row r="19" spans="2:28" x14ac:dyDescent="0.25">
      <c r="B19" s="8"/>
      <c r="D19" s="2" t="s">
        <v>28</v>
      </c>
      <c r="E19" s="1">
        <f ca="1">ROUND(OFFSET($P$40,E$13,0),0)</f>
        <v>28</v>
      </c>
      <c r="F19" s="1">
        <f ca="1">ROUND(OFFSET($P$40,F$13,0),0)</f>
        <v>29</v>
      </c>
      <c r="G19" s="1">
        <f ca="1">ROUND(OFFSET($P$40,G$13,0),0)</f>
        <v>47</v>
      </c>
      <c r="H19" s="1">
        <f ca="1">ROUND(OFFSET($P$40,H$13,0),0)</f>
        <v>62</v>
      </c>
      <c r="I19" s="1">
        <f ca="1">ROUND(OFFSET($P$40,I$13,0),0)</f>
        <v>73</v>
      </c>
      <c r="R19" s="9"/>
    </row>
    <row r="20" spans="2:28" x14ac:dyDescent="0.25">
      <c r="B20" s="8"/>
      <c r="D20" s="2" t="s">
        <v>26</v>
      </c>
      <c r="E20" s="1">
        <f ca="1">ROUND(OFFSET($O$40,E$13,0),0)</f>
        <v>5</v>
      </c>
      <c r="F20" s="1">
        <f ca="1">ROUND(OFFSET($O$40,F$13,0),0)</f>
        <v>-90</v>
      </c>
      <c r="G20" s="1">
        <f ca="1">ROUND(OFFSET($O$40,G$13,0),0)</f>
        <v>-60</v>
      </c>
      <c r="H20" s="1">
        <f ca="1">ROUND(OFFSET($O$40,H$13,0),0)</f>
        <v>-14</v>
      </c>
      <c r="I20" s="1">
        <f ca="1">ROUND(OFFSET($O$40,I$13,0),0)</f>
        <v>20</v>
      </c>
      <c r="R20" s="9"/>
      <c r="U20" s="19"/>
      <c r="V20" s="1" t="s">
        <v>18</v>
      </c>
      <c r="W20" s="2"/>
    </row>
    <row r="21" spans="2:28" x14ac:dyDescent="0.25">
      <c r="B21" s="8"/>
      <c r="R21" s="9"/>
      <c r="U21" s="24"/>
      <c r="V21" s="1" t="s">
        <v>19</v>
      </c>
    </row>
    <row r="22" spans="2:28" x14ac:dyDescent="0.25"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2"/>
      <c r="U22" s="20"/>
      <c r="V22" s="1" t="s">
        <v>21</v>
      </c>
    </row>
    <row r="23" spans="2:28" x14ac:dyDescent="0.25">
      <c r="C23" s="13"/>
      <c r="U23" s="26"/>
      <c r="V23" s="1" t="s">
        <v>23</v>
      </c>
    </row>
    <row r="24" spans="2:28" x14ac:dyDescent="0.25">
      <c r="B24" s="5"/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2:28" x14ac:dyDescent="0.25">
      <c r="B25" s="8"/>
      <c r="C25" s="13" t="s">
        <v>39</v>
      </c>
      <c r="I25" s="13" t="s">
        <v>22</v>
      </c>
      <c r="R25" s="9"/>
    </row>
    <row r="26" spans="2:28" x14ac:dyDescent="0.25">
      <c r="B26" s="8"/>
      <c r="C26" s="13"/>
      <c r="I26" s="3" t="s">
        <v>3</v>
      </c>
      <c r="J26" s="4" t="s">
        <v>7</v>
      </c>
      <c r="K26" s="4" t="s">
        <v>8</v>
      </c>
      <c r="L26" s="4" t="s">
        <v>9</v>
      </c>
      <c r="M26" s="4" t="s">
        <v>10</v>
      </c>
      <c r="N26" s="4" t="s">
        <v>11</v>
      </c>
      <c r="R26" s="9"/>
    </row>
    <row r="27" spans="2:28" x14ac:dyDescent="0.25">
      <c r="B27" s="8"/>
      <c r="C27" s="1" t="s">
        <v>20</v>
      </c>
      <c r="E27" s="20">
        <v>0</v>
      </c>
      <c r="I27" s="1" t="s">
        <v>0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R27" s="9"/>
    </row>
    <row r="28" spans="2:28" x14ac:dyDescent="0.25">
      <c r="B28" s="8"/>
      <c r="C28" s="1" t="s">
        <v>36</v>
      </c>
      <c r="E28" s="20">
        <v>5615</v>
      </c>
      <c r="I28" s="20" t="s">
        <v>2</v>
      </c>
      <c r="J28" s="29">
        <f>J27/3</f>
        <v>0.33333333333333331</v>
      </c>
      <c r="K28" s="29">
        <f>K27/3</f>
        <v>0.33333333333333331</v>
      </c>
      <c r="L28" s="29">
        <f>L27/3</f>
        <v>0.33333333333333331</v>
      </c>
      <c r="M28" s="29">
        <f>0.25*M27/15</f>
        <v>0</v>
      </c>
      <c r="N28" s="29">
        <f>0.25*N27/15</f>
        <v>0</v>
      </c>
      <c r="R28" s="9"/>
    </row>
    <row r="29" spans="2:28" x14ac:dyDescent="0.25">
      <c r="B29" s="8"/>
      <c r="C29" s="1" t="s">
        <v>16</v>
      </c>
      <c r="E29" s="21">
        <v>1.4999999999999999E-2</v>
      </c>
      <c r="I29" s="20" t="s">
        <v>49</v>
      </c>
      <c r="J29" s="29">
        <v>0.27</v>
      </c>
      <c r="K29" s="29">
        <v>0.27</v>
      </c>
      <c r="L29" s="29">
        <v>0.27</v>
      </c>
      <c r="M29" s="29">
        <v>0</v>
      </c>
      <c r="N29" s="29">
        <v>0</v>
      </c>
      <c r="R29" s="9"/>
    </row>
    <row r="30" spans="2:28" x14ac:dyDescent="0.25">
      <c r="B30" s="11"/>
      <c r="C30" s="2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2"/>
    </row>
    <row r="31" spans="2:28" x14ac:dyDescent="0.25">
      <c r="C31" s="13"/>
    </row>
    <row r="32" spans="2:28" x14ac:dyDescent="0.25">
      <c r="B32" s="5"/>
      <c r="C32" s="22"/>
      <c r="D32" s="6"/>
      <c r="E32" s="30"/>
      <c r="F32" s="30"/>
      <c r="G32" s="30"/>
      <c r="H32" s="30"/>
      <c r="I32" s="30"/>
      <c r="J32" s="30"/>
      <c r="K32" s="6"/>
      <c r="L32" s="6"/>
      <c r="M32" s="6"/>
      <c r="N32" s="6"/>
      <c r="O32" s="6"/>
      <c r="P32" s="6"/>
      <c r="Q32" s="6"/>
      <c r="R32" s="7"/>
    </row>
    <row r="33" spans="2:23" x14ac:dyDescent="0.25">
      <c r="B33" s="8"/>
      <c r="C33" s="13" t="s">
        <v>17</v>
      </c>
      <c r="E33" s="2"/>
      <c r="F33" s="2"/>
      <c r="G33" s="2"/>
      <c r="H33" s="2"/>
      <c r="I33" s="2"/>
      <c r="J33" s="2"/>
      <c r="R33" s="9"/>
    </row>
    <row r="34" spans="2:23" x14ac:dyDescent="0.25">
      <c r="B34" s="8"/>
      <c r="R34" s="9"/>
    </row>
    <row r="35" spans="2:23" x14ac:dyDescent="0.25">
      <c r="B35" s="8"/>
      <c r="C35" s="2" t="s">
        <v>4</v>
      </c>
      <c r="D35" s="14" t="str">
        <f>E5</f>
        <v>Matt Roberts</v>
      </c>
      <c r="F35" s="3" t="s">
        <v>3</v>
      </c>
      <c r="G35" s="4" t="s">
        <v>7</v>
      </c>
      <c r="H35" s="4" t="s">
        <v>8</v>
      </c>
      <c r="I35" s="4" t="s">
        <v>9</v>
      </c>
      <c r="J35" s="4" t="s">
        <v>10</v>
      </c>
      <c r="K35" s="4" t="s">
        <v>11</v>
      </c>
      <c r="R35" s="9"/>
    </row>
    <row r="36" spans="2:23" x14ac:dyDescent="0.25">
      <c r="B36" s="8"/>
      <c r="C36" s="2" t="s">
        <v>13</v>
      </c>
      <c r="D36" s="18" t="str">
        <f>INDEX($V$7:$V$16,MATCH(E5,$U$7:$U$16,0),0)</f>
        <v>SY</v>
      </c>
      <c r="F36" s="20" t="s">
        <v>2</v>
      </c>
      <c r="G36" s="29">
        <f>J28</f>
        <v>0.33333333333333331</v>
      </c>
      <c r="H36" s="29">
        <f t="shared" ref="H36:K37" si="1">K28</f>
        <v>0.33333333333333331</v>
      </c>
      <c r="I36" s="29">
        <f t="shared" si="1"/>
        <v>0.33333333333333331</v>
      </c>
      <c r="J36" s="29">
        <f t="shared" si="1"/>
        <v>0</v>
      </c>
      <c r="K36" s="29">
        <f t="shared" si="1"/>
        <v>0</v>
      </c>
      <c r="R36" s="9"/>
    </row>
    <row r="37" spans="2:23" x14ac:dyDescent="0.25">
      <c r="B37" s="8"/>
      <c r="C37" s="2" t="s">
        <v>14</v>
      </c>
      <c r="D37" s="17">
        <f>INDEX($W$7:$W$16,MATCH(E5,$U$7:$U$16,0),0)</f>
        <v>156800</v>
      </c>
      <c r="F37" s="20" t="s">
        <v>49</v>
      </c>
      <c r="G37" s="29">
        <f>J29</f>
        <v>0.27</v>
      </c>
      <c r="H37" s="29">
        <f t="shared" si="1"/>
        <v>0.27</v>
      </c>
      <c r="I37" s="29">
        <f t="shared" si="1"/>
        <v>0.27</v>
      </c>
      <c r="J37" s="29">
        <f t="shared" si="1"/>
        <v>0</v>
      </c>
      <c r="K37" s="29">
        <f t="shared" si="1"/>
        <v>0</v>
      </c>
      <c r="R37" s="9"/>
      <c r="W37" s="33"/>
    </row>
    <row r="38" spans="2:23" x14ac:dyDescent="0.25">
      <c r="B38" s="8"/>
      <c r="F38" s="2"/>
      <c r="G38" s="2"/>
      <c r="H38" s="2"/>
      <c r="I38" s="2"/>
      <c r="J38" s="2"/>
      <c r="K38" s="2"/>
      <c r="R38" s="9"/>
    </row>
    <row r="39" spans="2:23" x14ac:dyDescent="0.25">
      <c r="B39" s="8"/>
      <c r="E39" s="2" t="s">
        <v>15</v>
      </c>
      <c r="F39" s="2"/>
      <c r="G39" s="2"/>
      <c r="H39" s="2"/>
      <c r="I39" s="2"/>
      <c r="J39" s="2"/>
      <c r="K39" s="2"/>
      <c r="L39" s="2" t="s">
        <v>38</v>
      </c>
      <c r="M39" s="2" t="s">
        <v>29</v>
      </c>
      <c r="N39" s="2" t="s">
        <v>24</v>
      </c>
      <c r="R39" s="9"/>
    </row>
    <row r="40" spans="2:23" x14ac:dyDescent="0.25">
      <c r="B40" s="8"/>
      <c r="C40" s="4" t="s">
        <v>1</v>
      </c>
      <c r="D40" s="4" t="s">
        <v>12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37</v>
      </c>
      <c r="M40" s="4" t="s">
        <v>6</v>
      </c>
      <c r="N40" s="4" t="s">
        <v>5</v>
      </c>
      <c r="O40" s="4" t="s">
        <v>26</v>
      </c>
      <c r="P40" s="4" t="s">
        <v>28</v>
      </c>
      <c r="R40" s="9"/>
    </row>
    <row r="41" spans="2:23" x14ac:dyDescent="0.25">
      <c r="B41" s="8"/>
      <c r="C41" s="20">
        <f>E27+1</f>
        <v>1</v>
      </c>
      <c r="D41" s="27">
        <f>$E$28*(1-$E$29)^(C41)</f>
        <v>5530.7749999999996</v>
      </c>
      <c r="E41" s="17">
        <f>D37</f>
        <v>156800</v>
      </c>
      <c r="F41" s="34">
        <f>E9</f>
        <v>100</v>
      </c>
      <c r="G41" s="25">
        <f>F41</f>
        <v>100</v>
      </c>
      <c r="H41" s="16">
        <f>INDEX(X$7:X$16,MATCH($E5,$U$7:$U$16,0),0)</f>
        <v>76</v>
      </c>
      <c r="I41" s="16">
        <f>INDEX(Y$7:Y$16,MATCH($E5,$U$7:$U$16,0),0)</f>
        <v>0</v>
      </c>
      <c r="J41" s="16">
        <f>INDEX(Z$7:Z$16,MATCH($E5,$U$7:$U$16,0),0)</f>
        <v>0</v>
      </c>
      <c r="K41" s="16">
        <f>INDEX(AA$7:AA$16,MATCH($E5,$U$7:$U$16,0),0)</f>
        <v>0</v>
      </c>
      <c r="L41" s="28">
        <f>COUNTIF(G41:K41,"&gt;0")</f>
        <v>2</v>
      </c>
      <c r="M41" s="28">
        <f>AVERAGE(G41:I41)</f>
        <v>58.666666666666664</v>
      </c>
      <c r="N41" s="28">
        <f>IF(I41,E41*(1-$G$37)+SUMPRODUCT(G41:K41,$G$36:$K$36)*D41*$G$37,E41)</f>
        <v>156800</v>
      </c>
      <c r="O41" s="28">
        <f>IF(I41=0,(3*E41/D41 - H41)/(4-L41)*(1+$E$29),3*E41/D41-I41-H41)</f>
        <v>4.5935711089313918</v>
      </c>
      <c r="P41" s="27">
        <f>E41/D41</f>
        <v>28.350457214404855</v>
      </c>
      <c r="R41" s="9"/>
    </row>
    <row r="42" spans="2:23" x14ac:dyDescent="0.25">
      <c r="B42" s="8"/>
      <c r="C42" s="26">
        <f>C41+1</f>
        <v>2</v>
      </c>
      <c r="D42" s="27">
        <f t="shared" ref="D42:D44" si="2">$E$28*(1-$E$29)^(C42)</f>
        <v>5447.8133749999997</v>
      </c>
      <c r="E42" s="28">
        <f>N41</f>
        <v>156800</v>
      </c>
      <c r="F42" s="34">
        <f>F9</f>
        <v>100</v>
      </c>
      <c r="G42" s="25">
        <f t="shared" ref="G42:G45" si="3">F42</f>
        <v>100</v>
      </c>
      <c r="H42" s="26">
        <f t="shared" ref="H42:K45" si="4">G41</f>
        <v>100</v>
      </c>
      <c r="I42" s="26">
        <f t="shared" si="4"/>
        <v>76</v>
      </c>
      <c r="J42" s="26">
        <f t="shared" si="4"/>
        <v>0</v>
      </c>
      <c r="K42" s="26">
        <f t="shared" si="4"/>
        <v>0</v>
      </c>
      <c r="L42" s="28">
        <f t="shared" ref="L42:L45" si="5">COUNTIF(G42:K42,"&gt;0")</f>
        <v>3</v>
      </c>
      <c r="M42" s="28">
        <f t="shared" ref="M42:M45" si="6">AVERAGE(G42:I42)</f>
        <v>92</v>
      </c>
      <c r="N42" s="28">
        <f t="shared" ref="N42:N45" si="7">IF(I42,E42*(1-$G$37)+SUMPRODUCT(G42:K42,$G$36:$K$36)*D42*$G$37,E42)</f>
        <v>249787.68423499999</v>
      </c>
      <c r="O42" s="28">
        <f t="shared" ref="O42:O45" si="8">IF(I42=0,(3*E42/D42 - H42)/(4-L42)*(1+$E$29),3*E42/D42-I42-H42)</f>
        <v>-89.653429803843082</v>
      </c>
      <c r="P42" s="27">
        <f>E42/D42</f>
        <v>28.782190065385638</v>
      </c>
      <c r="R42" s="9"/>
    </row>
    <row r="43" spans="2:23" x14ac:dyDescent="0.25">
      <c r="B43" s="8"/>
      <c r="C43" s="26">
        <f t="shared" ref="C43:C45" si="9">C42+1</f>
        <v>3</v>
      </c>
      <c r="D43" s="27">
        <f t="shared" si="2"/>
        <v>5366.0961743750004</v>
      </c>
      <c r="E43" s="28">
        <f>N42</f>
        <v>249787.68423499999</v>
      </c>
      <c r="F43" s="34">
        <f>G9</f>
        <v>100</v>
      </c>
      <c r="G43" s="25">
        <f t="shared" si="3"/>
        <v>100</v>
      </c>
      <c r="H43" s="26">
        <f t="shared" si="4"/>
        <v>100</v>
      </c>
      <c r="I43" s="26">
        <f t="shared" si="4"/>
        <v>100</v>
      </c>
      <c r="J43" s="26">
        <f t="shared" si="4"/>
        <v>76</v>
      </c>
      <c r="K43" s="26">
        <f t="shared" si="4"/>
        <v>0</v>
      </c>
      <c r="L43" s="28">
        <f t="shared" si="5"/>
        <v>4</v>
      </c>
      <c r="M43" s="28">
        <f t="shared" si="6"/>
        <v>100</v>
      </c>
      <c r="N43" s="28">
        <f t="shared" si="7"/>
        <v>327229.60619967501</v>
      </c>
      <c r="O43" s="28">
        <f>IF(I43=0,(3*E43/D43 - H43)/(4-L43)*(1+$E$29),3*E43/D43-I43-H43)</f>
        <v>-60.352288077975118</v>
      </c>
      <c r="P43" s="27">
        <f>E43/D43</f>
        <v>46.549237307341635</v>
      </c>
      <c r="R43" s="9"/>
    </row>
    <row r="44" spans="2:23" x14ac:dyDescent="0.25">
      <c r="B44" s="8"/>
      <c r="C44" s="26">
        <f t="shared" si="9"/>
        <v>4</v>
      </c>
      <c r="D44" s="27">
        <f t="shared" si="2"/>
        <v>5285.6047317593748</v>
      </c>
      <c r="E44" s="28">
        <f>N43</f>
        <v>327229.60619967501</v>
      </c>
      <c r="F44" s="34">
        <f>H9</f>
        <v>100</v>
      </c>
      <c r="G44" s="25">
        <f t="shared" si="3"/>
        <v>100</v>
      </c>
      <c r="H44" s="26">
        <f t="shared" si="4"/>
        <v>100</v>
      </c>
      <c r="I44" s="26">
        <f t="shared" si="4"/>
        <v>100</v>
      </c>
      <c r="J44" s="26">
        <f t="shared" si="4"/>
        <v>100</v>
      </c>
      <c r="K44" s="26">
        <f t="shared" si="4"/>
        <v>76</v>
      </c>
      <c r="L44" s="28">
        <f t="shared" si="5"/>
        <v>5</v>
      </c>
      <c r="M44" s="28">
        <f t="shared" si="6"/>
        <v>100</v>
      </c>
      <c r="N44" s="28">
        <f t="shared" si="7"/>
        <v>381588.9402832659</v>
      </c>
      <c r="O44" s="28">
        <f t="shared" si="8"/>
        <v>-14.271238880123661</v>
      </c>
      <c r="P44" s="27">
        <f>E44/D44</f>
        <v>61.90958703995878</v>
      </c>
      <c r="R44" s="9"/>
    </row>
    <row r="45" spans="2:23" x14ac:dyDescent="0.25">
      <c r="B45" s="8"/>
      <c r="C45" s="26">
        <f t="shared" si="9"/>
        <v>5</v>
      </c>
      <c r="D45" s="27">
        <f>$E$28*(1-$E$29)^(C45)</f>
        <v>5206.3206607829843</v>
      </c>
      <c r="E45" s="28">
        <f>N44</f>
        <v>381588.9402832659</v>
      </c>
      <c r="F45" s="34">
        <f>I9</f>
        <v>100</v>
      </c>
      <c r="G45" s="25">
        <f t="shared" si="3"/>
        <v>100</v>
      </c>
      <c r="H45" s="26">
        <f t="shared" si="4"/>
        <v>100</v>
      </c>
      <c r="I45" s="26">
        <f t="shared" si="4"/>
        <v>100</v>
      </c>
      <c r="J45" s="26">
        <f t="shared" si="4"/>
        <v>100</v>
      </c>
      <c r="K45" s="26">
        <f>J44</f>
        <v>100</v>
      </c>
      <c r="L45" s="28">
        <f t="shared" si="5"/>
        <v>5</v>
      </c>
      <c r="M45" s="28">
        <f t="shared" si="6"/>
        <v>100</v>
      </c>
      <c r="N45" s="28">
        <f t="shared" si="7"/>
        <v>419130.58424792468</v>
      </c>
      <c r="O45" s="28">
        <f t="shared" si="8"/>
        <v>19.88019859645658</v>
      </c>
      <c r="P45" s="27">
        <f>E45/D45</f>
        <v>73.293399532152193</v>
      </c>
      <c r="R45" s="9"/>
    </row>
    <row r="46" spans="2:23" x14ac:dyDescent="0.25"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2"/>
    </row>
  </sheetData>
  <conditionalFormatting sqref="L41:L45">
    <cfRule type="expression" dxfId="7" priority="1">
      <formula>$C41&gt;#REF!</formula>
    </cfRule>
  </conditionalFormatting>
  <conditionalFormatting sqref="M41:M45">
    <cfRule type="expression" dxfId="6" priority="4">
      <formula>$C41&gt;#REF!</formula>
    </cfRule>
  </conditionalFormatting>
  <conditionalFormatting sqref="N41:N45">
    <cfRule type="expression" dxfId="5" priority="2">
      <formula>$C41&gt;#REF!</formula>
    </cfRule>
  </conditionalFormatting>
  <conditionalFormatting sqref="O41:O45">
    <cfRule type="expression" dxfId="4" priority="3">
      <formula>$C41&gt;#REF!</formula>
    </cfRule>
  </conditionalFormatting>
  <dataValidations count="1">
    <dataValidation type="list" allowBlank="1" showInputMessage="1" showErrorMessage="1" sqref="E5" xr:uid="{1C40DD16-DF55-4D39-B27B-12CF876D58EC}">
      <formula1>$U$7:$U$16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E0B0-13AC-45F9-A844-AC6D3B09F46B}">
  <dimension ref="B2:AE46"/>
  <sheetViews>
    <sheetView showGridLines="0" showRowColHeaders="0" tabSelected="1" zoomScale="80" zoomScaleNormal="80" workbookViewId="0">
      <selection activeCell="AC16" sqref="AC16"/>
    </sheetView>
  </sheetViews>
  <sheetFormatPr defaultColWidth="9.08984375" defaultRowHeight="12.5" x14ac:dyDescent="0.25"/>
  <cols>
    <col min="1" max="2" width="2.6328125" style="1" customWidth="1"/>
    <col min="3" max="3" width="9.08984375" style="1"/>
    <col min="4" max="4" width="9.08984375" style="1" customWidth="1"/>
    <col min="5" max="9" width="10.81640625" style="1" customWidth="1"/>
    <col min="10" max="14" width="9.08984375" style="1"/>
    <col min="15" max="17" width="10.81640625" style="1" customWidth="1"/>
    <col min="18" max="20" width="2.6328125" style="1" customWidth="1"/>
    <col min="21" max="21" width="15.81640625" style="1" customWidth="1"/>
    <col min="22" max="27" width="9.08984375" style="1"/>
    <col min="28" max="28" width="2.81640625" style="1" customWidth="1"/>
    <col min="29" max="16384" width="9.08984375" style="1"/>
  </cols>
  <sheetData>
    <row r="2" spans="2:3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T2" s="5"/>
      <c r="U2" s="6"/>
      <c r="V2" s="6"/>
      <c r="W2" s="6"/>
      <c r="X2" s="6"/>
      <c r="Y2" s="6"/>
      <c r="Z2" s="6"/>
      <c r="AA2" s="6"/>
      <c r="AB2" s="7"/>
    </row>
    <row r="3" spans="2:31" x14ac:dyDescent="0.25">
      <c r="B3" s="8"/>
      <c r="C3" s="13" t="s">
        <v>30</v>
      </c>
      <c r="R3" s="9"/>
      <c r="T3" s="8"/>
      <c r="U3" s="13" t="s">
        <v>25</v>
      </c>
      <c r="AB3" s="9"/>
    </row>
    <row r="4" spans="2:31" x14ac:dyDescent="0.25">
      <c r="B4" s="8"/>
      <c r="R4" s="9"/>
      <c r="T4" s="8"/>
      <c r="U4" s="1" t="s">
        <v>27</v>
      </c>
      <c r="AB4" s="9"/>
    </row>
    <row r="5" spans="2:31" x14ac:dyDescent="0.25">
      <c r="B5" s="8"/>
      <c r="C5" s="1" t="s">
        <v>4</v>
      </c>
      <c r="E5" s="15" t="s">
        <v>97</v>
      </c>
      <c r="R5" s="9"/>
      <c r="T5" s="8"/>
      <c r="AB5" s="9"/>
    </row>
    <row r="6" spans="2:31" x14ac:dyDescent="0.25">
      <c r="B6" s="8"/>
      <c r="C6" s="1" t="s">
        <v>5</v>
      </c>
      <c r="E6" s="10">
        <f>D37</f>
        <v>156800</v>
      </c>
      <c r="R6" s="9"/>
      <c r="T6" s="8"/>
      <c r="U6" s="3" t="s">
        <v>4</v>
      </c>
      <c r="V6" s="3" t="s">
        <v>13</v>
      </c>
      <c r="W6" s="4" t="s">
        <v>5</v>
      </c>
      <c r="X6" s="4" t="s">
        <v>7</v>
      </c>
      <c r="Y6" s="4" t="s">
        <v>8</v>
      </c>
      <c r="Z6" s="4" t="s">
        <v>9</v>
      </c>
      <c r="AA6" s="4" t="s">
        <v>10</v>
      </c>
      <c r="AB6" s="9"/>
      <c r="AC6" s="1" t="s">
        <v>42</v>
      </c>
      <c r="AE6" s="1" t="s">
        <v>43</v>
      </c>
    </row>
    <row r="7" spans="2:31" x14ac:dyDescent="0.25">
      <c r="B7" s="8"/>
      <c r="R7" s="9"/>
      <c r="T7" s="8"/>
      <c r="U7" s="16" t="s">
        <v>87</v>
      </c>
      <c r="V7" s="16" t="s">
        <v>88</v>
      </c>
      <c r="W7" s="18">
        <v>724600</v>
      </c>
      <c r="X7" s="18">
        <v>126</v>
      </c>
      <c r="Y7" s="18">
        <v>0</v>
      </c>
      <c r="Z7" s="18">
        <v>0</v>
      </c>
      <c r="AA7" s="18">
        <v>0</v>
      </c>
      <c r="AB7" s="9"/>
      <c r="AC7" s="32">
        <v>147</v>
      </c>
      <c r="AD7" s="32"/>
      <c r="AE7" s="1" t="s">
        <v>89</v>
      </c>
    </row>
    <row r="8" spans="2:31" x14ac:dyDescent="0.25">
      <c r="B8" s="8"/>
      <c r="E8" s="2" t="str">
        <f>"Round "&amp;$E$27+1</f>
        <v>Round 2</v>
      </c>
      <c r="F8" s="2" t="str">
        <f>"Round "&amp;$E$27+2</f>
        <v>Round 3</v>
      </c>
      <c r="G8" s="2" t="str">
        <f>"Round "&amp;$E$27+3</f>
        <v>Round 4</v>
      </c>
      <c r="H8" s="2" t="str">
        <f>"Round "&amp;$E$27+4</f>
        <v>Round 5</v>
      </c>
      <c r="I8" s="2" t="str">
        <f>"Round "&amp;$E$27+5</f>
        <v>Round 6</v>
      </c>
      <c r="R8" s="9"/>
      <c r="T8" s="8"/>
      <c r="U8" s="16" t="s">
        <v>90</v>
      </c>
      <c r="V8" s="16" t="s">
        <v>91</v>
      </c>
      <c r="W8" s="16">
        <v>123900</v>
      </c>
      <c r="X8" s="18">
        <v>13</v>
      </c>
      <c r="Y8" s="18">
        <v>0</v>
      </c>
      <c r="Z8" s="18">
        <v>0</v>
      </c>
      <c r="AA8" s="18">
        <v>0</v>
      </c>
      <c r="AB8" s="9"/>
      <c r="AC8" s="32">
        <v>30</v>
      </c>
      <c r="AD8" s="32"/>
      <c r="AE8" s="1" t="s">
        <v>76</v>
      </c>
    </row>
    <row r="9" spans="2:31" x14ac:dyDescent="0.25">
      <c r="B9" s="8"/>
      <c r="D9" s="2" t="s">
        <v>35</v>
      </c>
      <c r="E9" s="14">
        <v>100</v>
      </c>
      <c r="F9" s="14">
        <v>100</v>
      </c>
      <c r="G9" s="14">
        <v>100</v>
      </c>
      <c r="H9" s="14">
        <v>100</v>
      </c>
      <c r="I9" s="14">
        <v>100</v>
      </c>
      <c r="R9" s="9"/>
      <c r="T9" s="8"/>
      <c r="U9" s="16" t="s">
        <v>71</v>
      </c>
      <c r="V9" s="16" t="s">
        <v>72</v>
      </c>
      <c r="W9" s="16">
        <v>481900</v>
      </c>
      <c r="X9" s="18">
        <v>71</v>
      </c>
      <c r="Y9" s="18">
        <v>139</v>
      </c>
      <c r="Z9" s="18">
        <v>0</v>
      </c>
      <c r="AA9" s="18">
        <v>0</v>
      </c>
      <c r="AB9" s="9"/>
      <c r="AC9" s="32">
        <v>66</v>
      </c>
      <c r="AD9" s="32"/>
      <c r="AE9" s="1" t="s">
        <v>85</v>
      </c>
    </row>
    <row r="10" spans="2:31" x14ac:dyDescent="0.25">
      <c r="B10" s="8"/>
      <c r="D10" s="2"/>
      <c r="E10" s="2"/>
      <c r="F10" s="2"/>
      <c r="G10" s="2"/>
      <c r="H10" s="2"/>
      <c r="I10" s="2"/>
      <c r="R10" s="9"/>
      <c r="T10" s="8"/>
      <c r="U10" s="16" t="s">
        <v>77</v>
      </c>
      <c r="V10" s="16" t="s">
        <v>88</v>
      </c>
      <c r="W10" s="16">
        <v>123900</v>
      </c>
      <c r="X10" s="18">
        <v>49</v>
      </c>
      <c r="Y10" s="18">
        <v>0</v>
      </c>
      <c r="Z10" s="18">
        <v>0</v>
      </c>
      <c r="AA10" s="18">
        <v>0</v>
      </c>
      <c r="AB10" s="9"/>
      <c r="AC10" s="32">
        <v>11</v>
      </c>
      <c r="AD10" s="32"/>
      <c r="AE10" s="1" t="s">
        <v>79</v>
      </c>
    </row>
    <row r="11" spans="2:31" x14ac:dyDescent="0.25">
      <c r="B11" s="8"/>
      <c r="R11" s="9"/>
      <c r="T11" s="8"/>
      <c r="U11" s="16" t="s">
        <v>92</v>
      </c>
      <c r="V11" s="16" t="s">
        <v>75</v>
      </c>
      <c r="W11" s="16">
        <v>207300</v>
      </c>
      <c r="X11" s="18">
        <v>78</v>
      </c>
      <c r="Y11" s="18">
        <v>0</v>
      </c>
      <c r="Z11" s="18">
        <v>0</v>
      </c>
      <c r="AA11" s="18">
        <v>0</v>
      </c>
      <c r="AB11" s="9"/>
      <c r="AC11" s="32">
        <v>21</v>
      </c>
      <c r="AD11" s="32"/>
      <c r="AE11" s="1" t="s">
        <v>46</v>
      </c>
    </row>
    <row r="12" spans="2:31" x14ac:dyDescent="0.25">
      <c r="B12" s="8"/>
      <c r="C12" s="13" t="s">
        <v>31</v>
      </c>
      <c r="R12" s="9"/>
      <c r="T12" s="8"/>
      <c r="U12" s="16" t="s">
        <v>93</v>
      </c>
      <c r="V12" s="16" t="s">
        <v>91</v>
      </c>
      <c r="W12" s="16">
        <v>117300</v>
      </c>
      <c r="X12" s="18">
        <v>29</v>
      </c>
      <c r="Y12" s="18">
        <v>0</v>
      </c>
      <c r="Z12" s="18">
        <v>0</v>
      </c>
      <c r="AA12" s="18">
        <v>0</v>
      </c>
      <c r="AB12" s="9"/>
      <c r="AC12" s="32">
        <v>19</v>
      </c>
      <c r="AD12" s="32"/>
      <c r="AE12" s="1" t="s">
        <v>47</v>
      </c>
    </row>
    <row r="13" spans="2:31" x14ac:dyDescent="0.25">
      <c r="B13" s="8"/>
      <c r="E13" s="1">
        <v>1</v>
      </c>
      <c r="F13" s="1">
        <v>2</v>
      </c>
      <c r="G13" s="1">
        <v>3</v>
      </c>
      <c r="H13" s="1">
        <v>4</v>
      </c>
      <c r="I13" s="1">
        <v>5</v>
      </c>
      <c r="R13" s="9"/>
      <c r="T13" s="8"/>
      <c r="U13" s="16" t="s">
        <v>94</v>
      </c>
      <c r="V13" s="16" t="s">
        <v>72</v>
      </c>
      <c r="W13" s="16">
        <v>123900</v>
      </c>
      <c r="X13" s="18">
        <v>64</v>
      </c>
      <c r="Y13" s="18">
        <v>91</v>
      </c>
      <c r="Z13" s="18">
        <v>0</v>
      </c>
      <c r="AA13" s="18">
        <v>0</v>
      </c>
      <c r="AB13" s="9"/>
      <c r="AC13" s="32">
        <v>-84</v>
      </c>
      <c r="AD13" s="32"/>
      <c r="AE13" s="1" t="s">
        <v>48</v>
      </c>
    </row>
    <row r="14" spans="2:31" x14ac:dyDescent="0.25">
      <c r="B14" s="8"/>
      <c r="D14" s="3"/>
      <c r="E14" s="4" t="str">
        <f>E8</f>
        <v>Round 2</v>
      </c>
      <c r="F14" s="4" t="str">
        <f t="shared" ref="F14:I14" si="0">F8</f>
        <v>Round 3</v>
      </c>
      <c r="G14" s="4" t="str">
        <f t="shared" si="0"/>
        <v>Round 4</v>
      </c>
      <c r="H14" s="4" t="str">
        <f t="shared" si="0"/>
        <v>Round 5</v>
      </c>
      <c r="I14" s="4" t="str">
        <f t="shared" si="0"/>
        <v>Round 6</v>
      </c>
      <c r="R14" s="9"/>
      <c r="T14" s="8"/>
      <c r="U14" s="16" t="s">
        <v>95</v>
      </c>
      <c r="V14" s="16" t="s">
        <v>45</v>
      </c>
      <c r="W14" s="16">
        <v>378600</v>
      </c>
      <c r="X14" s="18">
        <v>50</v>
      </c>
      <c r="Y14" s="18">
        <v>0</v>
      </c>
      <c r="Z14" s="18">
        <v>0</v>
      </c>
      <c r="AA14" s="18">
        <v>0</v>
      </c>
      <c r="AB14" s="9"/>
      <c r="AC14" s="32">
        <v>85</v>
      </c>
      <c r="AD14" s="32"/>
      <c r="AE14" s="1" t="s">
        <v>96</v>
      </c>
    </row>
    <row r="15" spans="2:31" x14ac:dyDescent="0.25">
      <c r="B15" s="8"/>
      <c r="D15" s="2" t="s">
        <v>32</v>
      </c>
      <c r="E15" s="1">
        <f ca="1">OFFSET($F$40,E$13,0)</f>
        <v>100</v>
      </c>
      <c r="F15" s="1">
        <f ca="1">OFFSET($F$40,F$13,0)</f>
        <v>100</v>
      </c>
      <c r="G15" s="1">
        <f ca="1">OFFSET($F$40,G$13,0)</f>
        <v>100</v>
      </c>
      <c r="H15" s="1">
        <f ca="1">OFFSET($F$40,H$13,0)</f>
        <v>100</v>
      </c>
      <c r="I15" s="1">
        <f ca="1">OFFSET($F$40,I$13,0)</f>
        <v>100</v>
      </c>
      <c r="R15" s="9"/>
      <c r="T15" s="8"/>
      <c r="U15" s="16" t="s">
        <v>97</v>
      </c>
      <c r="V15" s="16" t="s">
        <v>98</v>
      </c>
      <c r="W15" s="16">
        <v>156800</v>
      </c>
      <c r="X15" s="18">
        <v>69</v>
      </c>
      <c r="Y15" s="18">
        <v>76</v>
      </c>
      <c r="Z15" s="18">
        <v>0</v>
      </c>
      <c r="AA15" s="18">
        <v>0</v>
      </c>
      <c r="AB15" s="9"/>
      <c r="AC15" s="32">
        <v>-55</v>
      </c>
      <c r="AD15" s="32"/>
      <c r="AE15" s="1" t="s">
        <v>73</v>
      </c>
    </row>
    <row r="16" spans="2:31" x14ac:dyDescent="0.25">
      <c r="B16" s="8"/>
      <c r="D16" s="2" t="s">
        <v>33</v>
      </c>
      <c r="E16" s="31">
        <f ca="1">E18-$E$6</f>
        <v>73200</v>
      </c>
      <c r="F16" s="31">
        <f ca="1">F18-E18</f>
        <v>62000</v>
      </c>
      <c r="G16" s="31">
        <f ca="1">G18-F18</f>
        <v>57000</v>
      </c>
      <c r="H16" s="31">
        <f ca="1">H18-G18</f>
        <v>39000</v>
      </c>
      <c r="I16" s="31">
        <f ca="1">I18-H18</f>
        <v>26000</v>
      </c>
      <c r="R16" s="9"/>
      <c r="T16" s="8"/>
      <c r="U16" s="16"/>
      <c r="V16" s="16"/>
      <c r="W16" s="16"/>
      <c r="X16" s="18"/>
      <c r="Y16" s="18"/>
      <c r="Z16" s="18"/>
      <c r="AA16" s="18"/>
      <c r="AB16" s="9"/>
    </row>
    <row r="17" spans="2:28" x14ac:dyDescent="0.25">
      <c r="B17" s="8"/>
      <c r="D17" s="2" t="s">
        <v>34</v>
      </c>
      <c r="E17" s="31">
        <f ca="1">E16</f>
        <v>73200</v>
      </c>
      <c r="F17" s="31">
        <f ca="1">E17+F16</f>
        <v>135200</v>
      </c>
      <c r="G17" s="31">
        <f ca="1">F17+G16</f>
        <v>192200</v>
      </c>
      <c r="H17" s="31">
        <f ca="1">G17+H16</f>
        <v>231200</v>
      </c>
      <c r="I17" s="31">
        <f ca="1">H17+I16</f>
        <v>257200</v>
      </c>
      <c r="R17" s="9"/>
      <c r="T17" s="11"/>
      <c r="AB17" s="12"/>
    </row>
    <row r="18" spans="2:28" x14ac:dyDescent="0.25">
      <c r="B18" s="8"/>
      <c r="D18" s="2" t="s">
        <v>5</v>
      </c>
      <c r="E18" s="31">
        <f ca="1">ROUND(OFFSET($N$40,E$13,0)/1000,0)*1000</f>
        <v>230000</v>
      </c>
      <c r="F18" s="31">
        <f ca="1">ROUND(OFFSET($N$40,F$13,0)/1000,0)*1000</f>
        <v>292000</v>
      </c>
      <c r="G18" s="31">
        <f ca="1">ROUND(OFFSET($N$40,G$13,0)/1000,0)*1000</f>
        <v>349000</v>
      </c>
      <c r="H18" s="31">
        <f ca="1">ROUND(OFFSET($N$40,H$13,0)/1000,0)*1000</f>
        <v>388000</v>
      </c>
      <c r="I18" s="31">
        <f ca="1">ROUND(OFFSET($N$40,I$13,0)/1000,0)*1000</f>
        <v>414000</v>
      </c>
      <c r="R18" s="9"/>
      <c r="U18" s="6"/>
      <c r="V18" s="6"/>
      <c r="W18" s="6"/>
      <c r="X18" s="6"/>
      <c r="Y18" s="6"/>
      <c r="Z18" s="6"/>
      <c r="AA18" s="6"/>
    </row>
    <row r="19" spans="2:28" x14ac:dyDescent="0.25">
      <c r="B19" s="8"/>
      <c r="D19" s="2" t="s">
        <v>28</v>
      </c>
      <c r="E19" s="1">
        <f ca="1">ROUND(OFFSET($P$40,E$13,0),0)</f>
        <v>30</v>
      </c>
      <c r="F19" s="1">
        <f ca="1">ROUND(OFFSET($P$40,F$13,0),0)</f>
        <v>45</v>
      </c>
      <c r="G19" s="1">
        <f ca="1">ROUND(OFFSET($P$40,G$13,0),0)</f>
        <v>58</v>
      </c>
      <c r="H19" s="1">
        <f ca="1">ROUND(OFFSET($P$40,H$13,0),0)</f>
        <v>71</v>
      </c>
      <c r="I19" s="1">
        <f ca="1">ROUND(OFFSET($P$40,I$13,0),0)</f>
        <v>80</v>
      </c>
      <c r="R19" s="9"/>
    </row>
    <row r="20" spans="2:28" x14ac:dyDescent="0.25">
      <c r="B20" s="8"/>
      <c r="D20" s="2" t="s">
        <v>26</v>
      </c>
      <c r="E20" s="1">
        <f ca="1">ROUND(OFFSET($O$40,E$13,0),0)</f>
        <v>-55</v>
      </c>
      <c r="F20" s="1">
        <f ca="1">ROUND(OFFSET($O$40,F$13,0),0)</f>
        <v>-35</v>
      </c>
      <c r="G20" s="1">
        <f ca="1">ROUND(OFFSET($O$40,G$13,0),0)</f>
        <v>-26</v>
      </c>
      <c r="H20" s="1">
        <f ca="1">ROUND(OFFSET($O$40,H$13,0),0)</f>
        <v>12</v>
      </c>
      <c r="I20" s="1">
        <f ca="1">ROUND(OFFSET($O$40,I$13,0),0)</f>
        <v>41</v>
      </c>
      <c r="R20" s="9"/>
      <c r="U20" s="19"/>
      <c r="V20" s="1" t="s">
        <v>18</v>
      </c>
      <c r="W20" s="2"/>
    </row>
    <row r="21" spans="2:28" x14ac:dyDescent="0.25">
      <c r="B21" s="8"/>
      <c r="R21" s="9"/>
      <c r="U21" s="24"/>
      <c r="V21" s="1" t="s">
        <v>19</v>
      </c>
    </row>
    <row r="22" spans="2:28" x14ac:dyDescent="0.25"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2"/>
      <c r="U22" s="20"/>
      <c r="V22" s="1" t="s">
        <v>21</v>
      </c>
    </row>
    <row r="23" spans="2:28" x14ac:dyDescent="0.25">
      <c r="C23" s="13"/>
      <c r="U23" s="26"/>
      <c r="V23" s="1" t="s">
        <v>23</v>
      </c>
    </row>
    <row r="24" spans="2:28" x14ac:dyDescent="0.25">
      <c r="B24" s="5"/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2:28" x14ac:dyDescent="0.25">
      <c r="B25" s="8"/>
      <c r="C25" s="13" t="s">
        <v>39</v>
      </c>
      <c r="I25" s="13" t="s">
        <v>22</v>
      </c>
      <c r="R25" s="9"/>
    </row>
    <row r="26" spans="2:28" x14ac:dyDescent="0.25">
      <c r="B26" s="8"/>
      <c r="C26" s="13"/>
      <c r="I26" s="3" t="s">
        <v>3</v>
      </c>
      <c r="J26" s="4" t="s">
        <v>7</v>
      </c>
      <c r="K26" s="4" t="s">
        <v>8</v>
      </c>
      <c r="L26" s="4" t="s">
        <v>9</v>
      </c>
      <c r="M26" s="4" t="s">
        <v>10</v>
      </c>
      <c r="N26" s="4" t="s">
        <v>11</v>
      </c>
      <c r="R26" s="9"/>
    </row>
    <row r="27" spans="2:28" x14ac:dyDescent="0.25">
      <c r="B27" s="8"/>
      <c r="C27" s="1" t="s">
        <v>20</v>
      </c>
      <c r="E27" s="20">
        <v>1</v>
      </c>
      <c r="I27" s="1" t="s">
        <v>0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R27" s="9"/>
    </row>
    <row r="28" spans="2:28" x14ac:dyDescent="0.25">
      <c r="B28" s="8"/>
      <c r="C28" s="1" t="s">
        <v>36</v>
      </c>
      <c r="E28" s="20">
        <v>5455</v>
      </c>
      <c r="I28" s="20" t="s">
        <v>2</v>
      </c>
      <c r="J28" s="29">
        <f>J27/3</f>
        <v>0.33333333333333331</v>
      </c>
      <c r="K28" s="29">
        <f>K27/3</f>
        <v>0.33333333333333331</v>
      </c>
      <c r="L28" s="29">
        <f>L27/3</f>
        <v>0.33333333333333331</v>
      </c>
      <c r="M28" s="29">
        <f>0.25*M27/15</f>
        <v>0</v>
      </c>
      <c r="N28" s="29">
        <f>0.25*N27/15</f>
        <v>0</v>
      </c>
      <c r="R28" s="9"/>
    </row>
    <row r="29" spans="2:28" x14ac:dyDescent="0.25">
      <c r="B29" s="8"/>
      <c r="C29" s="1" t="s">
        <v>16</v>
      </c>
      <c r="E29" s="21">
        <v>0.02</v>
      </c>
      <c r="I29" s="20" t="s">
        <v>49</v>
      </c>
      <c r="J29" s="29">
        <v>0.27</v>
      </c>
      <c r="K29" s="29">
        <v>0.27</v>
      </c>
      <c r="L29" s="29">
        <v>0.27</v>
      </c>
      <c r="M29" s="29">
        <v>0</v>
      </c>
      <c r="N29" s="29">
        <v>0</v>
      </c>
      <c r="R29" s="9"/>
    </row>
    <row r="30" spans="2:28" x14ac:dyDescent="0.25">
      <c r="B30" s="11"/>
      <c r="C30" s="2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2"/>
    </row>
    <row r="31" spans="2:28" x14ac:dyDescent="0.25">
      <c r="C31" s="13"/>
    </row>
    <row r="32" spans="2:28" x14ac:dyDescent="0.25">
      <c r="B32" s="5"/>
      <c r="C32" s="22"/>
      <c r="D32" s="6"/>
      <c r="E32" s="30"/>
      <c r="F32" s="30"/>
      <c r="G32" s="30"/>
      <c r="H32" s="30"/>
      <c r="I32" s="30"/>
      <c r="J32" s="30"/>
      <c r="K32" s="6"/>
      <c r="L32" s="6"/>
      <c r="M32" s="6"/>
      <c r="N32" s="6"/>
      <c r="O32" s="6"/>
      <c r="P32" s="6"/>
      <c r="Q32" s="6"/>
      <c r="R32" s="7"/>
    </row>
    <row r="33" spans="2:23" x14ac:dyDescent="0.25">
      <c r="B33" s="8"/>
      <c r="C33" s="13" t="s">
        <v>17</v>
      </c>
      <c r="E33" s="2"/>
      <c r="F33" s="2"/>
      <c r="G33" s="2"/>
      <c r="H33" s="2"/>
      <c r="I33" s="2"/>
      <c r="J33" s="2"/>
      <c r="R33" s="9"/>
    </row>
    <row r="34" spans="2:23" x14ac:dyDescent="0.25">
      <c r="B34" s="8"/>
      <c r="R34" s="9"/>
    </row>
    <row r="35" spans="2:23" x14ac:dyDescent="0.25">
      <c r="B35" s="8"/>
      <c r="C35" s="2" t="s">
        <v>4</v>
      </c>
      <c r="D35" s="14" t="str">
        <f>E5</f>
        <v>Matt Roberts</v>
      </c>
      <c r="F35" s="3" t="s">
        <v>3</v>
      </c>
      <c r="G35" s="4" t="s">
        <v>7</v>
      </c>
      <c r="H35" s="4" t="s">
        <v>8</v>
      </c>
      <c r="I35" s="4" t="s">
        <v>9</v>
      </c>
      <c r="J35" s="4" t="s">
        <v>10</v>
      </c>
      <c r="K35" s="4" t="s">
        <v>11</v>
      </c>
      <c r="R35" s="9"/>
    </row>
    <row r="36" spans="2:23" x14ac:dyDescent="0.25">
      <c r="B36" s="8"/>
      <c r="C36" s="2" t="s">
        <v>13</v>
      </c>
      <c r="D36" s="18" t="str">
        <f>INDEX($V$7:$V$16,MATCH(E5,$U$7:$U$16,0),0)</f>
        <v>SY</v>
      </c>
      <c r="F36" s="20" t="s">
        <v>2</v>
      </c>
      <c r="G36" s="29">
        <f>J28</f>
        <v>0.33333333333333331</v>
      </c>
      <c r="H36" s="29">
        <f t="shared" ref="H36:K37" si="1">K28</f>
        <v>0.33333333333333331</v>
      </c>
      <c r="I36" s="29">
        <f t="shared" si="1"/>
        <v>0.33333333333333331</v>
      </c>
      <c r="J36" s="29">
        <f t="shared" si="1"/>
        <v>0</v>
      </c>
      <c r="K36" s="29">
        <f t="shared" si="1"/>
        <v>0</v>
      </c>
      <c r="R36" s="9"/>
    </row>
    <row r="37" spans="2:23" x14ac:dyDescent="0.25">
      <c r="B37" s="8"/>
      <c r="C37" s="2" t="s">
        <v>14</v>
      </c>
      <c r="D37" s="17">
        <f>INDEX($W$7:$W$16,MATCH(E5,$U$7:$U$16,0),0)</f>
        <v>156800</v>
      </c>
      <c r="F37" s="20" t="s">
        <v>49</v>
      </c>
      <c r="G37" s="29">
        <f>J29</f>
        <v>0.27</v>
      </c>
      <c r="H37" s="29">
        <f t="shared" si="1"/>
        <v>0.27</v>
      </c>
      <c r="I37" s="29">
        <f t="shared" si="1"/>
        <v>0.27</v>
      </c>
      <c r="J37" s="29">
        <f t="shared" si="1"/>
        <v>0</v>
      </c>
      <c r="K37" s="29">
        <f t="shared" si="1"/>
        <v>0</v>
      </c>
      <c r="R37" s="9"/>
      <c r="W37" s="33"/>
    </row>
    <row r="38" spans="2:23" x14ac:dyDescent="0.25">
      <c r="B38" s="8"/>
      <c r="F38" s="2"/>
      <c r="G38" s="2"/>
      <c r="H38" s="2"/>
      <c r="I38" s="2"/>
      <c r="J38" s="2"/>
      <c r="K38" s="2"/>
      <c r="R38" s="9"/>
    </row>
    <row r="39" spans="2:23" x14ac:dyDescent="0.25">
      <c r="B39" s="8"/>
      <c r="E39" s="2" t="s">
        <v>15</v>
      </c>
      <c r="F39" s="2"/>
      <c r="G39" s="2"/>
      <c r="H39" s="2"/>
      <c r="I39" s="2"/>
      <c r="J39" s="2"/>
      <c r="K39" s="2"/>
      <c r="L39" s="2" t="s">
        <v>38</v>
      </c>
      <c r="M39" s="2" t="s">
        <v>29</v>
      </c>
      <c r="N39" s="2" t="s">
        <v>24</v>
      </c>
      <c r="R39" s="9"/>
    </row>
    <row r="40" spans="2:23" x14ac:dyDescent="0.25">
      <c r="B40" s="8"/>
      <c r="C40" s="4" t="s">
        <v>1</v>
      </c>
      <c r="D40" s="4" t="s">
        <v>12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37</v>
      </c>
      <c r="M40" s="4" t="s">
        <v>6</v>
      </c>
      <c r="N40" s="4" t="s">
        <v>5</v>
      </c>
      <c r="O40" s="4" t="s">
        <v>26</v>
      </c>
      <c r="P40" s="4" t="s">
        <v>28</v>
      </c>
      <c r="R40" s="9"/>
    </row>
    <row r="41" spans="2:23" x14ac:dyDescent="0.25">
      <c r="B41" s="8"/>
      <c r="C41" s="20">
        <f>E27+1</f>
        <v>2</v>
      </c>
      <c r="D41" s="27">
        <f>$E$28*(1-$E$29)^(C41)</f>
        <v>5238.982</v>
      </c>
      <c r="E41" s="17">
        <f>D37</f>
        <v>156800</v>
      </c>
      <c r="F41" s="34">
        <f>E9</f>
        <v>100</v>
      </c>
      <c r="G41" s="25">
        <f>F41</f>
        <v>100</v>
      </c>
      <c r="H41" s="16">
        <f>INDEX(X$7:X$16,MATCH($E5,$U$7:$U$16,0),0)</f>
        <v>69</v>
      </c>
      <c r="I41" s="16">
        <f>INDEX(Y$7:Y$16,MATCH($E5,$U$7:$U$16,0),0)</f>
        <v>76</v>
      </c>
      <c r="J41" s="16">
        <f>INDEX(Z$7:Z$16,MATCH($E5,$U$7:$U$16,0),0)</f>
        <v>0</v>
      </c>
      <c r="K41" s="16">
        <f>INDEX(AA$7:AA$16,MATCH($E5,$U$7:$U$16,0),0)</f>
        <v>0</v>
      </c>
      <c r="L41" s="28">
        <f>COUNTIF(G41:K41,"&gt;0")</f>
        <v>3</v>
      </c>
      <c r="M41" s="28">
        <f>AVERAGE(G41:I41)</f>
        <v>81.666666666666671</v>
      </c>
      <c r="N41" s="28">
        <f>IF(I41,E41*(1-$G$37)+SUMPRODUCT(G41:K41,$G$36:$K$36)*D41*$G$37,E41)</f>
        <v>229983.55309999999</v>
      </c>
      <c r="O41" s="28">
        <f>IF(I41=0,(3*E41/D41 - H41)/(4-L41)*(1+$E$29),3*E41/D41-I41-H41)</f>
        <v>-55.211564002319534</v>
      </c>
      <c r="P41" s="27">
        <f>E41/D41</f>
        <v>29.929478665893487</v>
      </c>
      <c r="R41" s="9"/>
    </row>
    <row r="42" spans="2:23" x14ac:dyDescent="0.25">
      <c r="B42" s="8"/>
      <c r="C42" s="26">
        <f>C41+1</f>
        <v>3</v>
      </c>
      <c r="D42" s="27">
        <f t="shared" ref="D42:D44" si="2">$E$28*(1-$E$29)^(C42)</f>
        <v>5134.2023599999993</v>
      </c>
      <c r="E42" s="28">
        <f>N41</f>
        <v>229983.55309999999</v>
      </c>
      <c r="F42" s="34">
        <f>F9</f>
        <v>100</v>
      </c>
      <c r="G42" s="25">
        <f t="shared" ref="G42:G45" si="3">F42</f>
        <v>100</v>
      </c>
      <c r="H42" s="26">
        <f t="shared" ref="H42:K45" si="4">G41</f>
        <v>100</v>
      </c>
      <c r="I42" s="26">
        <f t="shared" si="4"/>
        <v>69</v>
      </c>
      <c r="J42" s="26">
        <f t="shared" si="4"/>
        <v>76</v>
      </c>
      <c r="K42" s="26">
        <f t="shared" si="4"/>
        <v>0</v>
      </c>
      <c r="L42" s="28">
        <f t="shared" ref="L42:L45" si="5">COUNTIF(G42:K42,"&gt;0")</f>
        <v>4</v>
      </c>
      <c r="M42" s="28">
        <f t="shared" ref="M42:M45" si="6">AVERAGE(G42:I42)</f>
        <v>89.666666666666671</v>
      </c>
      <c r="N42" s="28">
        <f t="shared" ref="N42:N45" si="7">IF(I42,E42*(1-$G$37)+SUMPRODUCT(G42:K42,$G$36:$K$36)*D42*$G$37,E42)</f>
        <v>292187.03289859998</v>
      </c>
      <c r="O42" s="28">
        <f t="shared" ref="O42:O45" si="8">IF(I42=0,(3*E42/D42 - H42)/(4-L42)*(1+$E$29),3*E42/D42-I42-H42)</f>
        <v>-34.616777267033939</v>
      </c>
      <c r="P42" s="27">
        <f>E42/D42</f>
        <v>44.794407577655356</v>
      </c>
      <c r="R42" s="9"/>
    </row>
    <row r="43" spans="2:23" x14ac:dyDescent="0.25">
      <c r="B43" s="8"/>
      <c r="C43" s="26">
        <f t="shared" ref="C43:C45" si="9">C42+1</f>
        <v>4</v>
      </c>
      <c r="D43" s="27">
        <f t="shared" si="2"/>
        <v>5031.518312799999</v>
      </c>
      <c r="E43" s="28">
        <f>N42</f>
        <v>292187.03289859998</v>
      </c>
      <c r="F43" s="34">
        <f>G9</f>
        <v>100</v>
      </c>
      <c r="G43" s="25">
        <f t="shared" si="3"/>
        <v>100</v>
      </c>
      <c r="H43" s="26">
        <f t="shared" si="4"/>
        <v>100</v>
      </c>
      <c r="I43" s="26">
        <f t="shared" si="4"/>
        <v>100</v>
      </c>
      <c r="J43" s="26">
        <f t="shared" si="4"/>
        <v>69</v>
      </c>
      <c r="K43" s="26">
        <f t="shared" si="4"/>
        <v>76</v>
      </c>
      <c r="L43" s="28">
        <f t="shared" si="5"/>
        <v>5</v>
      </c>
      <c r="M43" s="28">
        <f t="shared" si="6"/>
        <v>100</v>
      </c>
      <c r="N43" s="28">
        <f t="shared" si="7"/>
        <v>349147.52846157795</v>
      </c>
      <c r="O43" s="28">
        <f>IF(I43=0,(3*E43/D43 - H43)/(4-L43)*(1+$E$29),3*E43/D43-I43-H43)</f>
        <v>-25.785966739729332</v>
      </c>
      <c r="P43" s="27">
        <f>E43/D43</f>
        <v>58.07134442009022</v>
      </c>
      <c r="R43" s="9"/>
    </row>
    <row r="44" spans="2:23" x14ac:dyDescent="0.25">
      <c r="B44" s="8"/>
      <c r="C44" s="26">
        <f t="shared" si="9"/>
        <v>5</v>
      </c>
      <c r="D44" s="27">
        <f t="shared" si="2"/>
        <v>4930.8879465439986</v>
      </c>
      <c r="E44" s="28">
        <f>N43</f>
        <v>349147.52846157795</v>
      </c>
      <c r="F44" s="34">
        <f>H9</f>
        <v>100</v>
      </c>
      <c r="G44" s="25">
        <f t="shared" si="3"/>
        <v>100</v>
      </c>
      <c r="H44" s="26">
        <f t="shared" si="4"/>
        <v>100</v>
      </c>
      <c r="I44" s="26">
        <f t="shared" si="4"/>
        <v>100</v>
      </c>
      <c r="J44" s="26">
        <f t="shared" si="4"/>
        <v>100</v>
      </c>
      <c r="K44" s="26">
        <f t="shared" si="4"/>
        <v>69</v>
      </c>
      <c r="L44" s="28">
        <f t="shared" si="5"/>
        <v>5</v>
      </c>
      <c r="M44" s="28">
        <f t="shared" si="6"/>
        <v>100</v>
      </c>
      <c r="N44" s="28">
        <f t="shared" si="7"/>
        <v>388011.67033363984</v>
      </c>
      <c r="O44" s="28">
        <f t="shared" si="8"/>
        <v>12.424739061222027</v>
      </c>
      <c r="P44" s="27">
        <f>E44/D44</f>
        <v>70.808246353740685</v>
      </c>
      <c r="R44" s="9"/>
    </row>
    <row r="45" spans="2:23" x14ac:dyDescent="0.25">
      <c r="B45" s="8"/>
      <c r="C45" s="26">
        <f t="shared" si="9"/>
        <v>6</v>
      </c>
      <c r="D45" s="27">
        <f>$E$28*(1-$E$29)^(C45)</f>
        <v>4832.2701876131187</v>
      </c>
      <c r="E45" s="28">
        <f>N44</f>
        <v>388011.67033363984</v>
      </c>
      <c r="F45" s="34">
        <f>I9</f>
        <v>100</v>
      </c>
      <c r="G45" s="25">
        <f t="shared" si="3"/>
        <v>100</v>
      </c>
      <c r="H45" s="26">
        <f t="shared" si="4"/>
        <v>100</v>
      </c>
      <c r="I45" s="26">
        <f t="shared" si="4"/>
        <v>100</v>
      </c>
      <c r="J45" s="26">
        <f t="shared" si="4"/>
        <v>100</v>
      </c>
      <c r="K45" s="26">
        <f>J44</f>
        <v>100</v>
      </c>
      <c r="L45" s="28">
        <f t="shared" si="5"/>
        <v>5</v>
      </c>
      <c r="M45" s="28">
        <f t="shared" si="6"/>
        <v>100</v>
      </c>
      <c r="N45" s="28">
        <f t="shared" si="7"/>
        <v>413719.81440911128</v>
      </c>
      <c r="O45" s="28">
        <f t="shared" si="8"/>
        <v>40.887815831318449</v>
      </c>
      <c r="P45" s="27">
        <f>E45/D45</f>
        <v>80.295938610439478</v>
      </c>
      <c r="R45" s="9"/>
    </row>
    <row r="46" spans="2:23" x14ac:dyDescent="0.25"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2"/>
    </row>
  </sheetData>
  <conditionalFormatting sqref="L41:L45">
    <cfRule type="expression" dxfId="3" priority="1">
      <formula>$C41&gt;#REF!</formula>
    </cfRule>
  </conditionalFormatting>
  <conditionalFormatting sqref="M41:M45">
    <cfRule type="expression" dxfId="2" priority="4">
      <formula>$C41&gt;#REF!</formula>
    </cfRule>
  </conditionalFormatting>
  <conditionalFormatting sqref="N41:N45">
    <cfRule type="expression" dxfId="1" priority="2">
      <formula>$C41&gt;#REF!</formula>
    </cfRule>
  </conditionalFormatting>
  <conditionalFormatting sqref="O41:O45">
    <cfRule type="expression" dxfId="0" priority="3">
      <formula>$C41&gt;#REF!</formula>
    </cfRule>
  </conditionalFormatting>
  <dataValidations count="1">
    <dataValidation type="list" allowBlank="1" showInputMessage="1" showErrorMessage="1" sqref="E5" xr:uid="{EE8D3FA9-58AF-4F5F-94E3-0EADAE708A20}">
      <formula1>$U$7:$U$16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DA23-94FA-44B8-8CCA-0C55293107D3}">
  <dimension ref="B1:H30"/>
  <sheetViews>
    <sheetView zoomScale="80" zoomScaleNormal="80" workbookViewId="0">
      <selection activeCell="F7" sqref="F7"/>
    </sheetView>
  </sheetViews>
  <sheetFormatPr defaultColWidth="8.90625" defaultRowHeight="12.5" x14ac:dyDescent="0.25"/>
  <cols>
    <col min="1" max="1" width="8.90625" style="1"/>
    <col min="2" max="2" width="12.81640625" style="2" customWidth="1"/>
    <col min="3" max="3" width="12.81640625" style="44" customWidth="1"/>
    <col min="4" max="5" width="12.81640625" style="2" customWidth="1"/>
    <col min="6" max="6" width="12.81640625" style="1" customWidth="1"/>
    <col min="7" max="8" width="12.81640625" style="10" customWidth="1"/>
    <col min="9" max="16384" width="8.90625" style="1"/>
  </cols>
  <sheetData>
    <row r="1" spans="2:8" x14ac:dyDescent="0.25">
      <c r="B1" s="43" t="s">
        <v>50</v>
      </c>
    </row>
    <row r="3" spans="2:8" x14ac:dyDescent="0.25">
      <c r="F3" s="2" t="s">
        <v>51</v>
      </c>
      <c r="G3" s="44" t="s">
        <v>51</v>
      </c>
      <c r="H3" s="44" t="s">
        <v>51</v>
      </c>
    </row>
    <row r="4" spans="2:8" x14ac:dyDescent="0.25">
      <c r="B4" s="2" t="s">
        <v>1</v>
      </c>
      <c r="C4" s="44" t="s">
        <v>12</v>
      </c>
      <c r="D4" s="2" t="s">
        <v>52</v>
      </c>
      <c r="E4" s="2" t="s">
        <v>53</v>
      </c>
      <c r="F4" s="2" t="s">
        <v>54</v>
      </c>
      <c r="G4" s="44" t="s">
        <v>55</v>
      </c>
      <c r="H4" s="44" t="s">
        <v>56</v>
      </c>
    </row>
    <row r="5" spans="2:8" x14ac:dyDescent="0.25">
      <c r="B5" s="2">
        <v>-1</v>
      </c>
      <c r="C5" s="47">
        <v>5589</v>
      </c>
      <c r="H5" s="10">
        <f>5505.82*1.02</f>
        <v>5615.9363999999996</v>
      </c>
    </row>
    <row r="6" spans="2:8" x14ac:dyDescent="0.25">
      <c r="B6" s="2">
        <v>0</v>
      </c>
      <c r="C6" s="47">
        <v>5700</v>
      </c>
      <c r="D6" s="45">
        <f t="shared" ref="D6" si="0">C6/C5-1</f>
        <v>1.9860440150295311E-2</v>
      </c>
      <c r="E6" s="45">
        <f t="shared" ref="E6" si="1">C6/C$5-1</f>
        <v>1.9860440150295311E-2</v>
      </c>
      <c r="F6" s="46">
        <v>-1.4999999999999999E-2</v>
      </c>
      <c r="G6" s="10">
        <f t="shared" ref="G6:G12" si="2">C6*(1+F6)</f>
        <v>5614.5</v>
      </c>
      <c r="H6" s="10">
        <f t="shared" ref="H6:H12" si="3">G6/(1+F6)^(B6+1)</f>
        <v>5700</v>
      </c>
    </row>
    <row r="7" spans="2:8" x14ac:dyDescent="0.25">
      <c r="B7" s="2">
        <v>1</v>
      </c>
      <c r="C7" s="47">
        <v>5346</v>
      </c>
      <c r="D7" s="45">
        <f t="shared" ref="D7" si="4">C7/C6-1</f>
        <v>-6.2105263157894774E-2</v>
      </c>
      <c r="E7" s="45">
        <f t="shared" ref="E7" si="5">C7/C$5-1</f>
        <v>-4.3478260869565188E-2</v>
      </c>
      <c r="F7" s="46">
        <v>-0.02</v>
      </c>
      <c r="G7" s="10">
        <f t="shared" ref="G7" si="6">C7*(1+F7)</f>
        <v>5239.08</v>
      </c>
      <c r="H7" s="10">
        <f t="shared" ref="H7" si="7">G7/(1+F7)^(B7+1)</f>
        <v>5455.1020408163267</v>
      </c>
    </row>
    <row r="8" spans="2:8" x14ac:dyDescent="0.25">
      <c r="B8" s="2">
        <v>2</v>
      </c>
      <c r="C8" s="47"/>
      <c r="D8" s="45">
        <f t="shared" ref="D8:D30" si="8">C8/C7-1</f>
        <v>-1</v>
      </c>
      <c r="E8" s="45">
        <f t="shared" ref="E8:E30" si="9">C8/C$5-1</f>
        <v>-1</v>
      </c>
      <c r="F8" s="46"/>
      <c r="G8" s="10">
        <f t="shared" si="2"/>
        <v>0</v>
      </c>
      <c r="H8" s="10">
        <f t="shared" si="3"/>
        <v>0</v>
      </c>
    </row>
    <row r="9" spans="2:8" x14ac:dyDescent="0.25">
      <c r="B9" s="2">
        <v>3</v>
      </c>
      <c r="C9" s="47"/>
      <c r="D9" s="45" t="e">
        <f t="shared" si="8"/>
        <v>#DIV/0!</v>
      </c>
      <c r="E9" s="45">
        <f t="shared" si="9"/>
        <v>-1</v>
      </c>
      <c r="F9" s="46"/>
      <c r="G9" s="10">
        <f t="shared" si="2"/>
        <v>0</v>
      </c>
      <c r="H9" s="10">
        <f t="shared" si="3"/>
        <v>0</v>
      </c>
    </row>
    <row r="10" spans="2:8" x14ac:dyDescent="0.25">
      <c r="B10" s="2">
        <v>4</v>
      </c>
      <c r="C10" s="47"/>
      <c r="D10" s="45" t="e">
        <f t="shared" si="8"/>
        <v>#DIV/0!</v>
      </c>
      <c r="E10" s="45">
        <f t="shared" si="9"/>
        <v>-1</v>
      </c>
      <c r="F10" s="46"/>
      <c r="G10" s="10">
        <f t="shared" si="2"/>
        <v>0</v>
      </c>
      <c r="H10" s="10">
        <f t="shared" si="3"/>
        <v>0</v>
      </c>
    </row>
    <row r="11" spans="2:8" x14ac:dyDescent="0.25">
      <c r="B11" s="2">
        <v>5</v>
      </c>
      <c r="C11" s="47"/>
      <c r="D11" s="45" t="e">
        <f t="shared" si="8"/>
        <v>#DIV/0!</v>
      </c>
      <c r="E11" s="45">
        <f t="shared" si="9"/>
        <v>-1</v>
      </c>
      <c r="F11" s="46"/>
      <c r="G11" s="10">
        <f t="shared" si="2"/>
        <v>0</v>
      </c>
      <c r="H11" s="10">
        <f t="shared" si="3"/>
        <v>0</v>
      </c>
    </row>
    <row r="12" spans="2:8" x14ac:dyDescent="0.25">
      <c r="B12" s="2">
        <v>6</v>
      </c>
      <c r="C12" s="47"/>
      <c r="D12" s="45" t="e">
        <f t="shared" si="8"/>
        <v>#DIV/0!</v>
      </c>
      <c r="E12" s="45">
        <f t="shared" si="9"/>
        <v>-1</v>
      </c>
      <c r="F12" s="46"/>
      <c r="G12" s="10">
        <f t="shared" si="2"/>
        <v>0</v>
      </c>
      <c r="H12" s="10">
        <f t="shared" si="3"/>
        <v>0</v>
      </c>
    </row>
    <row r="13" spans="2:8" x14ac:dyDescent="0.25">
      <c r="B13" s="2">
        <v>7</v>
      </c>
      <c r="C13" s="47"/>
      <c r="D13" s="45" t="e">
        <f t="shared" si="8"/>
        <v>#DIV/0!</v>
      </c>
      <c r="E13" s="45">
        <f t="shared" si="9"/>
        <v>-1</v>
      </c>
      <c r="F13" s="46"/>
      <c r="G13" s="10">
        <f t="shared" ref="G13" si="10">C13*(1+F13)</f>
        <v>0</v>
      </c>
      <c r="H13" s="10">
        <f t="shared" ref="H13" si="11">G13/(1+F13)^(B13+1)</f>
        <v>0</v>
      </c>
    </row>
    <row r="14" spans="2:8" x14ac:dyDescent="0.25">
      <c r="B14" s="2">
        <v>8</v>
      </c>
      <c r="C14" s="47"/>
      <c r="D14" s="45" t="e">
        <f t="shared" si="8"/>
        <v>#DIV/0!</v>
      </c>
      <c r="E14" s="45">
        <f t="shared" si="9"/>
        <v>-1</v>
      </c>
      <c r="F14" s="46"/>
      <c r="G14" s="10">
        <f t="shared" ref="G14" si="12">C14*(1+F14)</f>
        <v>0</v>
      </c>
      <c r="H14" s="10">
        <f t="shared" ref="H14" si="13">G14/(1+F14)^(B14+1)</f>
        <v>0</v>
      </c>
    </row>
    <row r="15" spans="2:8" x14ac:dyDescent="0.25">
      <c r="B15" s="2">
        <v>9</v>
      </c>
      <c r="C15" s="47"/>
      <c r="D15" s="45" t="e">
        <f t="shared" si="8"/>
        <v>#DIV/0!</v>
      </c>
      <c r="E15" s="45">
        <f t="shared" si="9"/>
        <v>-1</v>
      </c>
      <c r="F15" s="46"/>
      <c r="G15" s="10">
        <f t="shared" ref="G15:G16" si="14">C15*(1+F15)</f>
        <v>0</v>
      </c>
      <c r="H15" s="10">
        <f t="shared" ref="H15:H16" si="15">G15/(1+F15)^(B15+1)</f>
        <v>0</v>
      </c>
    </row>
    <row r="16" spans="2:8" x14ac:dyDescent="0.25">
      <c r="B16" s="2">
        <v>10</v>
      </c>
      <c r="C16" s="47"/>
      <c r="D16" s="45" t="e">
        <f t="shared" si="8"/>
        <v>#DIV/0!</v>
      </c>
      <c r="E16" s="45">
        <f t="shared" si="9"/>
        <v>-1</v>
      </c>
      <c r="F16" s="46"/>
      <c r="G16" s="10">
        <f t="shared" si="14"/>
        <v>0</v>
      </c>
      <c r="H16" s="10">
        <f t="shared" si="15"/>
        <v>0</v>
      </c>
    </row>
    <row r="17" spans="2:8" x14ac:dyDescent="0.25">
      <c r="B17" s="2">
        <v>11</v>
      </c>
      <c r="C17" s="47"/>
      <c r="D17" s="45" t="e">
        <f t="shared" si="8"/>
        <v>#DIV/0!</v>
      </c>
      <c r="E17" s="45">
        <f t="shared" si="9"/>
        <v>-1</v>
      </c>
      <c r="F17" s="46"/>
      <c r="G17" s="10">
        <f t="shared" ref="G17:G30" si="16">C17*(1+F17)</f>
        <v>0</v>
      </c>
      <c r="H17" s="10">
        <f t="shared" ref="H17:H30" si="17">G17/(1+F17)^(B17+1)</f>
        <v>0</v>
      </c>
    </row>
    <row r="18" spans="2:8" x14ac:dyDescent="0.25">
      <c r="B18" s="2">
        <v>12</v>
      </c>
      <c r="C18" s="47"/>
      <c r="D18" s="45" t="e">
        <f t="shared" si="8"/>
        <v>#DIV/0!</v>
      </c>
      <c r="E18" s="45">
        <f t="shared" si="9"/>
        <v>-1</v>
      </c>
      <c r="F18" s="46"/>
      <c r="G18" s="10">
        <f t="shared" si="16"/>
        <v>0</v>
      </c>
      <c r="H18" s="10">
        <f t="shared" si="17"/>
        <v>0</v>
      </c>
    </row>
    <row r="19" spans="2:8" x14ac:dyDescent="0.25">
      <c r="B19" s="2">
        <v>13</v>
      </c>
      <c r="C19" s="47"/>
      <c r="D19" s="45" t="e">
        <f t="shared" si="8"/>
        <v>#DIV/0!</v>
      </c>
      <c r="E19" s="45">
        <f t="shared" si="9"/>
        <v>-1</v>
      </c>
      <c r="F19" s="46"/>
      <c r="G19" s="10">
        <f t="shared" si="16"/>
        <v>0</v>
      </c>
      <c r="H19" s="10">
        <f t="shared" si="17"/>
        <v>0</v>
      </c>
    </row>
    <row r="20" spans="2:8" x14ac:dyDescent="0.25">
      <c r="B20" s="2">
        <v>14</v>
      </c>
      <c r="C20" s="47"/>
      <c r="D20" s="45" t="e">
        <f t="shared" si="8"/>
        <v>#DIV/0!</v>
      </c>
      <c r="E20" s="45">
        <f t="shared" si="9"/>
        <v>-1</v>
      </c>
      <c r="F20" s="46"/>
      <c r="G20" s="10">
        <f t="shared" si="16"/>
        <v>0</v>
      </c>
      <c r="H20" s="10">
        <f t="shared" si="17"/>
        <v>0</v>
      </c>
    </row>
    <row r="21" spans="2:8" x14ac:dyDescent="0.25">
      <c r="B21" s="2">
        <v>15</v>
      </c>
      <c r="C21" s="47"/>
      <c r="D21" s="45" t="e">
        <f t="shared" si="8"/>
        <v>#DIV/0!</v>
      </c>
      <c r="E21" s="45">
        <f t="shared" si="9"/>
        <v>-1</v>
      </c>
      <c r="F21" s="46"/>
      <c r="G21" s="10">
        <f t="shared" si="16"/>
        <v>0</v>
      </c>
      <c r="H21" s="10">
        <f t="shared" si="17"/>
        <v>0</v>
      </c>
    </row>
    <row r="22" spans="2:8" x14ac:dyDescent="0.25">
      <c r="B22" s="2">
        <v>16</v>
      </c>
      <c r="C22" s="47"/>
      <c r="D22" s="45" t="e">
        <f t="shared" si="8"/>
        <v>#DIV/0!</v>
      </c>
      <c r="E22" s="45">
        <f t="shared" si="9"/>
        <v>-1</v>
      </c>
      <c r="F22" s="46"/>
      <c r="G22" s="10">
        <f t="shared" si="16"/>
        <v>0</v>
      </c>
      <c r="H22" s="10">
        <f t="shared" si="17"/>
        <v>0</v>
      </c>
    </row>
    <row r="23" spans="2:8" x14ac:dyDescent="0.25">
      <c r="B23" s="2">
        <v>17</v>
      </c>
      <c r="C23" s="47"/>
      <c r="D23" s="45" t="e">
        <f t="shared" si="8"/>
        <v>#DIV/0!</v>
      </c>
      <c r="E23" s="45">
        <f t="shared" si="9"/>
        <v>-1</v>
      </c>
      <c r="F23" s="46"/>
      <c r="G23" s="10">
        <f t="shared" si="16"/>
        <v>0</v>
      </c>
      <c r="H23" s="10">
        <f t="shared" si="17"/>
        <v>0</v>
      </c>
    </row>
    <row r="24" spans="2:8" x14ac:dyDescent="0.25">
      <c r="B24" s="2">
        <v>18</v>
      </c>
      <c r="C24" s="47"/>
      <c r="D24" s="45" t="e">
        <f t="shared" si="8"/>
        <v>#DIV/0!</v>
      </c>
      <c r="E24" s="45">
        <f t="shared" si="9"/>
        <v>-1</v>
      </c>
      <c r="F24" s="46"/>
      <c r="G24" s="10">
        <f t="shared" si="16"/>
        <v>0</v>
      </c>
      <c r="H24" s="10">
        <f t="shared" si="17"/>
        <v>0</v>
      </c>
    </row>
    <row r="25" spans="2:8" x14ac:dyDescent="0.25">
      <c r="B25" s="2">
        <v>19</v>
      </c>
      <c r="C25" s="47"/>
      <c r="D25" s="45" t="e">
        <f t="shared" si="8"/>
        <v>#DIV/0!</v>
      </c>
      <c r="E25" s="45">
        <f t="shared" si="9"/>
        <v>-1</v>
      </c>
      <c r="F25" s="46"/>
      <c r="G25" s="10">
        <f t="shared" si="16"/>
        <v>0</v>
      </c>
      <c r="H25" s="10">
        <f t="shared" si="17"/>
        <v>0</v>
      </c>
    </row>
    <row r="26" spans="2:8" x14ac:dyDescent="0.25">
      <c r="B26" s="2">
        <v>20</v>
      </c>
      <c r="C26" s="47"/>
      <c r="D26" s="45" t="e">
        <f t="shared" si="8"/>
        <v>#DIV/0!</v>
      </c>
      <c r="E26" s="45">
        <f t="shared" si="9"/>
        <v>-1</v>
      </c>
      <c r="F26" s="46"/>
      <c r="G26" s="10">
        <f t="shared" si="16"/>
        <v>0</v>
      </c>
      <c r="H26" s="10">
        <f t="shared" si="17"/>
        <v>0</v>
      </c>
    </row>
    <row r="27" spans="2:8" x14ac:dyDescent="0.25">
      <c r="B27" s="2">
        <v>21</v>
      </c>
      <c r="C27" s="47"/>
      <c r="D27" s="45" t="e">
        <f t="shared" si="8"/>
        <v>#DIV/0!</v>
      </c>
      <c r="E27" s="45">
        <f t="shared" si="9"/>
        <v>-1</v>
      </c>
      <c r="F27" s="46"/>
      <c r="G27" s="10">
        <f t="shared" si="16"/>
        <v>0</v>
      </c>
      <c r="H27" s="10">
        <f t="shared" si="17"/>
        <v>0</v>
      </c>
    </row>
    <row r="28" spans="2:8" x14ac:dyDescent="0.25">
      <c r="B28" s="2">
        <v>22</v>
      </c>
      <c r="C28" s="47"/>
      <c r="D28" s="45" t="e">
        <f t="shared" si="8"/>
        <v>#DIV/0!</v>
      </c>
      <c r="E28" s="45">
        <f t="shared" si="9"/>
        <v>-1</v>
      </c>
      <c r="F28" s="46"/>
      <c r="G28" s="10">
        <f t="shared" si="16"/>
        <v>0</v>
      </c>
      <c r="H28" s="10">
        <f t="shared" si="17"/>
        <v>0</v>
      </c>
    </row>
    <row r="29" spans="2:8" x14ac:dyDescent="0.25">
      <c r="B29" s="2">
        <v>23</v>
      </c>
      <c r="C29" s="47"/>
      <c r="D29" s="45" t="e">
        <f t="shared" si="8"/>
        <v>#DIV/0!</v>
      </c>
      <c r="E29" s="45">
        <f t="shared" si="9"/>
        <v>-1</v>
      </c>
      <c r="F29" s="46"/>
      <c r="G29" s="10">
        <f t="shared" si="16"/>
        <v>0</v>
      </c>
      <c r="H29" s="10">
        <f t="shared" si="17"/>
        <v>0</v>
      </c>
    </row>
    <row r="30" spans="2:8" x14ac:dyDescent="0.25">
      <c r="B30" s="2">
        <v>24</v>
      </c>
      <c r="C30" s="47"/>
      <c r="D30" s="45" t="e">
        <f t="shared" si="8"/>
        <v>#DIV/0!</v>
      </c>
      <c r="E30" s="45">
        <f t="shared" si="9"/>
        <v>-1</v>
      </c>
      <c r="F30" s="46"/>
      <c r="G30" s="10">
        <f t="shared" si="16"/>
        <v>0</v>
      </c>
      <c r="H30" s="1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C896-C460-420F-B6D6-2009A6614250}">
  <dimension ref="B2:AY33"/>
  <sheetViews>
    <sheetView topLeftCell="H1" zoomScale="80" zoomScaleNormal="80" workbookViewId="0">
      <selection activeCell="AG6" sqref="AG6:AG10"/>
    </sheetView>
  </sheetViews>
  <sheetFormatPr defaultColWidth="8.90625" defaultRowHeight="12.5" x14ac:dyDescent="0.25"/>
  <cols>
    <col min="1" max="48" width="8.90625" style="1"/>
    <col min="49" max="49" width="8.90625" style="2"/>
    <col min="50" max="16384" width="8.90625" style="1"/>
  </cols>
  <sheetData>
    <row r="2" spans="4:51" x14ac:dyDescent="0.25">
      <c r="E2" s="1" t="s">
        <v>58</v>
      </c>
      <c r="T2" s="1" t="s">
        <v>59</v>
      </c>
      <c r="AJ2" s="14">
        <v>5505.82</v>
      </c>
      <c r="AK2" s="1" t="s">
        <v>66</v>
      </c>
    </row>
    <row r="3" spans="4:51" x14ac:dyDescent="0.25">
      <c r="AX3" s="2" t="s">
        <v>67</v>
      </c>
    </row>
    <row r="4" spans="4:51" x14ac:dyDescent="0.25">
      <c r="E4" s="1">
        <v>2010</v>
      </c>
      <c r="F4" s="1">
        <v>2011</v>
      </c>
      <c r="G4" s="1">
        <v>2012</v>
      </c>
      <c r="H4" s="1">
        <v>2013</v>
      </c>
      <c r="I4" s="1">
        <v>2014</v>
      </c>
      <c r="J4" s="1">
        <v>2015</v>
      </c>
      <c r="K4" s="1">
        <v>2016</v>
      </c>
      <c r="L4" s="1">
        <v>2017</v>
      </c>
      <c r="M4" s="1">
        <v>2018</v>
      </c>
      <c r="N4" s="1">
        <v>2019</v>
      </c>
      <c r="O4" s="1">
        <v>2020</v>
      </c>
      <c r="P4" s="1">
        <v>2021</v>
      </c>
      <c r="Q4" s="1">
        <v>2022</v>
      </c>
      <c r="S4" s="1" t="s">
        <v>65</v>
      </c>
      <c r="T4" s="1">
        <v>2010</v>
      </c>
      <c r="U4" s="1">
        <v>2011</v>
      </c>
      <c r="V4" s="1">
        <v>2012</v>
      </c>
      <c r="W4" s="1">
        <v>2013</v>
      </c>
      <c r="X4" s="1">
        <v>2014</v>
      </c>
      <c r="Y4" s="1">
        <v>2015</v>
      </c>
      <c r="Z4" s="1">
        <v>2016</v>
      </c>
      <c r="AA4" s="1">
        <v>2017</v>
      </c>
      <c r="AB4" s="1">
        <v>2018</v>
      </c>
      <c r="AC4" s="1">
        <v>2019</v>
      </c>
      <c r="AD4" s="1">
        <v>2020</v>
      </c>
      <c r="AE4" s="1">
        <v>2021</v>
      </c>
      <c r="AF4" s="1">
        <v>2022</v>
      </c>
      <c r="AG4" s="20" t="s">
        <v>60</v>
      </c>
      <c r="AJ4" s="1">
        <v>2010</v>
      </c>
      <c r="AK4" s="1">
        <v>2011</v>
      </c>
      <c r="AL4" s="1">
        <v>2012</v>
      </c>
      <c r="AM4" s="1">
        <v>2013</v>
      </c>
      <c r="AN4" s="1">
        <v>2014</v>
      </c>
      <c r="AO4" s="1">
        <v>2015</v>
      </c>
      <c r="AP4" s="1">
        <v>2016</v>
      </c>
      <c r="AQ4" s="1">
        <v>2017</v>
      </c>
      <c r="AR4" s="1">
        <v>2018</v>
      </c>
      <c r="AS4" s="1">
        <v>2019</v>
      </c>
      <c r="AT4" s="1">
        <v>2020</v>
      </c>
      <c r="AU4" s="1">
        <v>2021</v>
      </c>
      <c r="AV4" s="1">
        <v>2022</v>
      </c>
      <c r="AW4" s="2" t="s">
        <v>61</v>
      </c>
      <c r="AX4" s="1">
        <v>2023</v>
      </c>
    </row>
    <row r="5" spans="4:51" x14ac:dyDescent="0.25">
      <c r="D5" s="1">
        <v>0</v>
      </c>
      <c r="E5" s="1">
        <v>5311.5</v>
      </c>
      <c r="F5" s="1">
        <v>4865.8999999999996</v>
      </c>
      <c r="G5" s="1">
        <v>5420.7</v>
      </c>
      <c r="H5" s="1">
        <v>5350.3</v>
      </c>
      <c r="I5" s="1">
        <v>5394.2</v>
      </c>
      <c r="J5" s="1">
        <v>5374.87</v>
      </c>
      <c r="K5" s="1">
        <v>5396.4</v>
      </c>
      <c r="L5" s="1">
        <v>5441</v>
      </c>
      <c r="M5" s="1">
        <v>5498</v>
      </c>
      <c r="N5" s="1">
        <v>5428.71</v>
      </c>
      <c r="O5" s="1">
        <v>5430.1</v>
      </c>
      <c r="P5" s="1">
        <v>5375</v>
      </c>
      <c r="Q5" s="1">
        <v>5475</v>
      </c>
      <c r="S5" s="1">
        <v>0</v>
      </c>
      <c r="AG5" s="20"/>
      <c r="AI5" s="1">
        <v>0</v>
      </c>
      <c r="AJ5" s="10">
        <f>(E5/E$5)*$AJ$2</f>
        <v>5505.82</v>
      </c>
      <c r="AK5" s="10">
        <f t="shared" ref="AK5:AU28" si="0">(F5/F$5)*$AJ$2</f>
        <v>5505.82</v>
      </c>
      <c r="AL5" s="10">
        <f t="shared" si="0"/>
        <v>5505.82</v>
      </c>
      <c r="AM5" s="10">
        <f t="shared" si="0"/>
        <v>5505.82</v>
      </c>
      <c r="AN5" s="10">
        <f t="shared" si="0"/>
        <v>5505.82</v>
      </c>
      <c r="AO5" s="10">
        <f t="shared" si="0"/>
        <v>5505.82</v>
      </c>
      <c r="AP5" s="10">
        <f t="shared" si="0"/>
        <v>5505.82</v>
      </c>
      <c r="AQ5" s="10">
        <f t="shared" si="0"/>
        <v>5505.82</v>
      </c>
      <c r="AR5" s="10">
        <f t="shared" si="0"/>
        <v>5505.82</v>
      </c>
      <c r="AS5" s="10">
        <f t="shared" si="0"/>
        <v>5505.82</v>
      </c>
      <c r="AT5" s="10">
        <f t="shared" si="0"/>
        <v>5505.82</v>
      </c>
      <c r="AU5" s="10">
        <f t="shared" si="0"/>
        <v>5505.82</v>
      </c>
      <c r="AV5" s="10">
        <v>5475</v>
      </c>
      <c r="AW5" s="10">
        <f>AVERAGE(AJ5:AU5)</f>
        <v>5505.82</v>
      </c>
      <c r="AX5" s="42">
        <v>5505.82</v>
      </c>
      <c r="AY5" s="10"/>
    </row>
    <row r="6" spans="4:51" x14ac:dyDescent="0.25">
      <c r="D6" s="1">
        <v>1</v>
      </c>
      <c r="E6" s="1">
        <v>5014.8873320000002</v>
      </c>
      <c r="F6" s="1">
        <v>4580.8247190000002</v>
      </c>
      <c r="G6" s="1">
        <v>5032.6144830000003</v>
      </c>
      <c r="H6" s="1">
        <v>5147.2702719999997</v>
      </c>
      <c r="I6" s="1">
        <v>5128.1395190000003</v>
      </c>
      <c r="J6" s="1">
        <v>5211.411306</v>
      </c>
      <c r="K6" s="1">
        <v>5186.6842269999997</v>
      </c>
      <c r="L6" s="1">
        <v>5206.0540920000003</v>
      </c>
      <c r="M6" s="1">
        <v>5191.503686</v>
      </c>
      <c r="N6" s="1">
        <v>5179.381061</v>
      </c>
      <c r="O6" s="1">
        <v>5254.7729939999999</v>
      </c>
      <c r="P6" s="1">
        <v>5159.7986735346503</v>
      </c>
      <c r="Q6" s="1">
        <v>5207.3400673400702</v>
      </c>
      <c r="S6" s="1">
        <v>1</v>
      </c>
      <c r="T6" s="39">
        <f t="shared" ref="T6:AF23" si="1">(E5-E6)/E5</f>
        <v>5.5843484514732138E-2</v>
      </c>
      <c r="U6" s="39">
        <f t="shared" si="1"/>
        <v>5.8586341889475632E-2</v>
      </c>
      <c r="V6" s="39">
        <f t="shared" si="1"/>
        <v>7.1593247551054201E-2</v>
      </c>
      <c r="W6" s="39">
        <f t="shared" si="1"/>
        <v>3.7947353980150728E-2</v>
      </c>
      <c r="X6" s="39">
        <f t="shared" si="1"/>
        <v>4.9323436468799733E-2</v>
      </c>
      <c r="Y6" s="39">
        <f t="shared" si="1"/>
        <v>3.0411655351664305E-2</v>
      </c>
      <c r="Z6" s="39">
        <f t="shared" si="1"/>
        <v>3.8862162367504248E-2</v>
      </c>
      <c r="AA6" s="39">
        <f t="shared" si="1"/>
        <v>4.3180648410218653E-2</v>
      </c>
      <c r="AB6" s="39">
        <f t="shared" si="1"/>
        <v>5.5746874136049472E-2</v>
      </c>
      <c r="AC6" s="39">
        <f t="shared" si="1"/>
        <v>4.5927842710330812E-2</v>
      </c>
      <c r="AD6" s="39">
        <f t="shared" si="1"/>
        <v>3.2287988434835532E-2</v>
      </c>
      <c r="AE6" s="39">
        <f t="shared" si="1"/>
        <v>4.0037456086576682E-2</v>
      </c>
      <c r="AF6" s="39">
        <f t="shared" si="1"/>
        <v>4.8887658933320519E-2</v>
      </c>
      <c r="AG6" s="48">
        <f>AVERAGE(T6:AF6)</f>
        <v>4.6818165448824042E-2</v>
      </c>
      <c r="AI6" s="1">
        <v>1</v>
      </c>
      <c r="AJ6" s="10">
        <f t="shared" ref="AJ6:AJ27" si="2">(E6/E$5)*$AJ$2</f>
        <v>5198.3558260890977</v>
      </c>
      <c r="AK6" s="10">
        <f t="shared" si="0"/>
        <v>5183.2541470980868</v>
      </c>
      <c r="AL6" s="10">
        <f t="shared" si="0"/>
        <v>5111.6404657684543</v>
      </c>
      <c r="AM6" s="10">
        <f t="shared" si="0"/>
        <v>5296.8886995090061</v>
      </c>
      <c r="AN6" s="10">
        <f t="shared" si="0"/>
        <v>5234.2540370213528</v>
      </c>
      <c r="AO6" s="10">
        <f t="shared" si="0"/>
        <v>5338.3788997316988</v>
      </c>
      <c r="AP6" s="10">
        <f t="shared" si="0"/>
        <v>5291.8519291937473</v>
      </c>
      <c r="AQ6" s="10">
        <f t="shared" si="0"/>
        <v>5268.0751223700499</v>
      </c>
      <c r="AR6" s="10">
        <f t="shared" si="0"/>
        <v>5198.8877454442554</v>
      </c>
      <c r="AS6" s="10">
        <f t="shared" si="0"/>
        <v>5252.949565048606</v>
      </c>
      <c r="AT6" s="10">
        <f t="shared" si="0"/>
        <v>5328.0481475157139</v>
      </c>
      <c r="AU6" s="10">
        <f t="shared" si="0"/>
        <v>5285.3809735294035</v>
      </c>
      <c r="AV6" s="10">
        <v>5207.3400673400702</v>
      </c>
      <c r="AW6" s="10">
        <f t="shared" ref="AW6:AW28" si="3">AVERAGE(AJ6:AU6)</f>
        <v>5248.9971298599567</v>
      </c>
      <c r="AX6" s="42"/>
      <c r="AY6" s="10"/>
    </row>
    <row r="7" spans="4:51" x14ac:dyDescent="0.25">
      <c r="D7" s="1">
        <v>2</v>
      </c>
      <c r="E7" s="1">
        <v>4978.1117969999996</v>
      </c>
      <c r="F7" s="1">
        <v>4519.4588590000003</v>
      </c>
      <c r="G7" s="1">
        <v>4965.7801010000003</v>
      </c>
      <c r="H7" s="1">
        <v>5121.9447899999996</v>
      </c>
      <c r="I7" s="1">
        <v>5043.900267</v>
      </c>
      <c r="J7" s="1">
        <v>5105.4518099999996</v>
      </c>
      <c r="K7" s="1">
        <v>5107.8118770000001</v>
      </c>
      <c r="L7" s="1">
        <v>5180.1189869999998</v>
      </c>
      <c r="M7" s="1">
        <v>5081.0271910000001</v>
      </c>
      <c r="N7" s="1">
        <v>5162.0668839999998</v>
      </c>
      <c r="O7" s="1">
        <v>5274.9881640000003</v>
      </c>
      <c r="P7" s="1">
        <v>5114.9785815424802</v>
      </c>
      <c r="Q7" s="1">
        <v>5093.0224668274996</v>
      </c>
      <c r="S7" s="1">
        <v>2</v>
      </c>
      <c r="T7" s="39">
        <f t="shared" si="1"/>
        <v>7.3332724277444788E-3</v>
      </c>
      <c r="U7" s="39">
        <f t="shared" si="1"/>
        <v>1.3396247131105276E-2</v>
      </c>
      <c r="V7" s="39">
        <f t="shared" si="1"/>
        <v>1.328025069787568E-2</v>
      </c>
      <c r="W7" s="39">
        <f t="shared" si="1"/>
        <v>4.9201772321467467E-3</v>
      </c>
      <c r="X7" s="39">
        <f t="shared" si="1"/>
        <v>1.6426864301934432E-2</v>
      </c>
      <c r="Y7" s="39">
        <f t="shared" si="1"/>
        <v>2.0332207492048681E-2</v>
      </c>
      <c r="Z7" s="39">
        <f t="shared" si="1"/>
        <v>1.520669980050429E-2</v>
      </c>
      <c r="AA7" s="39">
        <f t="shared" si="1"/>
        <v>4.9817202321916394E-3</v>
      </c>
      <c r="AB7" s="39">
        <f t="shared" si="1"/>
        <v>2.1280249746893829E-2</v>
      </c>
      <c r="AC7" s="39">
        <f t="shared" si="1"/>
        <v>3.3429046436404303E-3</v>
      </c>
      <c r="AD7" s="39">
        <f t="shared" si="1"/>
        <v>-3.847011093168528E-3</v>
      </c>
      <c r="AE7" s="39">
        <f t="shared" si="1"/>
        <v>8.6864032548515484E-3</v>
      </c>
      <c r="AF7" s="39">
        <f t="shared" si="1"/>
        <v>2.1953165922379347E-2</v>
      </c>
      <c r="AG7" s="48">
        <f t="shared" ref="AG7:AG29" si="4">AVERAGE(T7:AF7)</f>
        <v>1.1330242445395987E-2</v>
      </c>
      <c r="AI7" s="1">
        <v>2</v>
      </c>
      <c r="AJ7" s="10">
        <f t="shared" si="2"/>
        <v>5160.234866640033</v>
      </c>
      <c r="AK7" s="10">
        <f t="shared" si="0"/>
        <v>5113.8179936002343</v>
      </c>
      <c r="AL7" s="10">
        <f t="shared" si="0"/>
        <v>5043.7565989056429</v>
      </c>
      <c r="AM7" s="10">
        <f t="shared" si="0"/>
        <v>5270.8270683284663</v>
      </c>
      <c r="AN7" s="10">
        <f t="shared" si="0"/>
        <v>5148.2716562333508</v>
      </c>
      <c r="AO7" s="10">
        <f t="shared" si="0"/>
        <v>5229.8378722711795</v>
      </c>
      <c r="AP7" s="10">
        <f t="shared" si="0"/>
        <v>5211.3803255177781</v>
      </c>
      <c r="AQ7" s="10">
        <f t="shared" si="0"/>
        <v>5241.8310459482327</v>
      </c>
      <c r="AR7" s="10">
        <f t="shared" si="0"/>
        <v>5088.2541158151362</v>
      </c>
      <c r="AS7" s="10">
        <f t="shared" si="0"/>
        <v>5235.3894555547959</v>
      </c>
      <c r="AT7" s="10">
        <f t="shared" si="0"/>
        <v>5348.5452078441422</v>
      </c>
      <c r="AU7" s="10">
        <f t="shared" si="0"/>
        <v>5239.4700230378076</v>
      </c>
      <c r="AV7" s="10">
        <v>5093.0224668274996</v>
      </c>
      <c r="AW7" s="10">
        <f t="shared" si="3"/>
        <v>5194.301352474733</v>
      </c>
      <c r="AX7" s="42"/>
      <c r="AY7" s="10"/>
    </row>
    <row r="8" spans="4:51" x14ac:dyDescent="0.25">
      <c r="D8" s="1">
        <v>3</v>
      </c>
      <c r="E8" s="1">
        <v>4962.596031</v>
      </c>
      <c r="F8" s="1">
        <v>4478.0776139999998</v>
      </c>
      <c r="G8" s="1">
        <v>4912.9043849999998</v>
      </c>
      <c r="H8" s="1">
        <v>5068.4651940000003</v>
      </c>
      <c r="I8" s="1">
        <v>5015.5526760000002</v>
      </c>
      <c r="J8" s="1">
        <v>5061.4562809999998</v>
      </c>
      <c r="K8" s="1">
        <v>5102.6777339999999</v>
      </c>
      <c r="L8" s="1">
        <v>5145.6436880000001</v>
      </c>
      <c r="M8" s="1">
        <v>5047.2112969999998</v>
      </c>
      <c r="N8" s="1">
        <v>5101.4684120000002</v>
      </c>
      <c r="O8" s="1">
        <v>5272.9563669999998</v>
      </c>
      <c r="P8" s="1">
        <v>5114.0663686582202</v>
      </c>
      <c r="Q8" s="1">
        <v>5066.3599999999997</v>
      </c>
      <c r="S8" s="1">
        <v>3</v>
      </c>
      <c r="T8" s="39">
        <f t="shared" si="1"/>
        <v>3.1167974189229585E-3</v>
      </c>
      <c r="U8" s="39">
        <f t="shared" si="1"/>
        <v>9.1562388974056781E-3</v>
      </c>
      <c r="V8" s="39">
        <f t="shared" si="1"/>
        <v>1.0648018020240655E-2</v>
      </c>
      <c r="W8" s="39">
        <f t="shared" si="1"/>
        <v>1.0441267563916718E-2</v>
      </c>
      <c r="X8" s="39">
        <f t="shared" si="1"/>
        <v>5.6201727828493041E-3</v>
      </c>
      <c r="Y8" s="39">
        <f t="shared" si="1"/>
        <v>8.6173625052784128E-3</v>
      </c>
      <c r="Z8" s="39">
        <f t="shared" si="1"/>
        <v>1.0051550690656382E-3</v>
      </c>
      <c r="AA8" s="39">
        <f t="shared" si="1"/>
        <v>6.6553102518530473E-3</v>
      </c>
      <c r="AB8" s="39">
        <f t="shared" si="1"/>
        <v>6.6553263206105715E-3</v>
      </c>
      <c r="AC8" s="39">
        <f t="shared" si="1"/>
        <v>1.1739187686201176E-2</v>
      </c>
      <c r="AD8" s="39">
        <f t="shared" si="1"/>
        <v>3.8517565098380221E-4</v>
      </c>
      <c r="AE8" s="39">
        <f t="shared" si="1"/>
        <v>1.7834148661966732E-4</v>
      </c>
      <c r="AF8" s="39">
        <f t="shared" si="1"/>
        <v>5.2350970373999219E-3</v>
      </c>
      <c r="AG8" s="48">
        <f t="shared" si="4"/>
        <v>6.1118038993344262E-3</v>
      </c>
      <c r="AI8" s="1">
        <v>3</v>
      </c>
      <c r="AJ8" s="10">
        <f t="shared" si="2"/>
        <v>5144.1514599266529</v>
      </c>
      <c r="AK8" s="10">
        <f t="shared" si="0"/>
        <v>5066.9946543729793</v>
      </c>
      <c r="AL8" s="10">
        <f t="shared" si="0"/>
        <v>4990.0505877507885</v>
      </c>
      <c r="AM8" s="10">
        <f t="shared" si="0"/>
        <v>5215.7929526249145</v>
      </c>
      <c r="AN8" s="10">
        <f t="shared" si="0"/>
        <v>5119.337479992274</v>
      </c>
      <c r="AO8" s="10">
        <f t="shared" si="0"/>
        <v>5184.7704634819856</v>
      </c>
      <c r="AP8" s="10">
        <f t="shared" si="0"/>
        <v>5206.1420801667555</v>
      </c>
      <c r="AQ8" s="10">
        <f t="shared" si="0"/>
        <v>5206.9450340496523</v>
      </c>
      <c r="AR8" s="10">
        <f t="shared" si="0"/>
        <v>5054.3901242721968</v>
      </c>
      <c r="AS8" s="10">
        <f t="shared" si="0"/>
        <v>5173.9302361256796</v>
      </c>
      <c r="AT8" s="10">
        <f t="shared" si="0"/>
        <v>5346.4850784618948</v>
      </c>
      <c r="AU8" s="10">
        <f t="shared" si="0"/>
        <v>5238.5356081648006</v>
      </c>
      <c r="AV8" s="10">
        <v>5066.3599999999997</v>
      </c>
      <c r="AW8" s="10">
        <f t="shared" si="3"/>
        <v>5162.2938132825484</v>
      </c>
      <c r="AX8" s="42"/>
      <c r="AY8" s="10"/>
    </row>
    <row r="9" spans="4:51" x14ac:dyDescent="0.25">
      <c r="D9" s="1">
        <v>4</v>
      </c>
      <c r="E9" s="1">
        <v>4934.3447379999998</v>
      </c>
      <c r="F9" s="1">
        <v>4431.1950319999996</v>
      </c>
      <c r="G9" s="1">
        <v>4954.8686619999999</v>
      </c>
      <c r="H9" s="1">
        <v>5042.7648069999996</v>
      </c>
      <c r="I9" s="1">
        <v>5006.0846279999996</v>
      </c>
      <c r="J9" s="1">
        <v>5040.0103740000004</v>
      </c>
      <c r="K9" s="1">
        <v>5097.1807609999996</v>
      </c>
      <c r="L9" s="1">
        <v>5124.061498</v>
      </c>
      <c r="M9" s="1">
        <v>5109.4847600000003</v>
      </c>
      <c r="N9" s="1">
        <v>5131.2457450000002</v>
      </c>
      <c r="O9" s="1">
        <v>5228.0942070000001</v>
      </c>
      <c r="P9" s="1">
        <v>5127.9407062555101</v>
      </c>
      <c r="Q9" s="1">
        <v>5101.97</v>
      </c>
      <c r="S9" s="1">
        <v>4</v>
      </c>
      <c r="T9" s="39">
        <f t="shared" si="1"/>
        <v>5.692845604099557E-3</v>
      </c>
      <c r="U9" s="39">
        <f t="shared" si="1"/>
        <v>1.0469354495649924E-2</v>
      </c>
      <c r="V9" s="39">
        <f t="shared" si="1"/>
        <v>-8.5416433358900066E-3</v>
      </c>
      <c r="W9" s="39">
        <f t="shared" si="1"/>
        <v>5.0706448631480478E-3</v>
      </c>
      <c r="X9" s="39">
        <f t="shared" si="1"/>
        <v>1.8877377253570359E-3</v>
      </c>
      <c r="Y9" s="39">
        <f t="shared" si="1"/>
        <v>4.2371020926337526E-3</v>
      </c>
      <c r="Z9" s="39">
        <f t="shared" si="1"/>
        <v>1.0772722257909797E-3</v>
      </c>
      <c r="AA9" s="39">
        <f t="shared" si="1"/>
        <v>4.1942643736353636E-3</v>
      </c>
      <c r="AB9" s="39">
        <f t="shared" si="1"/>
        <v>-1.233819218882614E-2</v>
      </c>
      <c r="AC9" s="39">
        <f t="shared" si="1"/>
        <v>-5.8370121296754188E-3</v>
      </c>
      <c r="AD9" s="39">
        <f t="shared" si="1"/>
        <v>8.5079710275553812E-3</v>
      </c>
      <c r="AE9" s="39">
        <f t="shared" si="1"/>
        <v>-2.7129756630299927E-3</v>
      </c>
      <c r="AF9" s="39">
        <f t="shared" si="1"/>
        <v>-7.0287148959017097E-3</v>
      </c>
      <c r="AG9" s="48">
        <f t="shared" si="4"/>
        <v>3.5989647650359766E-4</v>
      </c>
      <c r="AI9" s="1">
        <v>4</v>
      </c>
      <c r="AJ9" s="10">
        <f t="shared" si="2"/>
        <v>5114.8665999011873</v>
      </c>
      <c r="AK9" s="10">
        <f t="shared" si="0"/>
        <v>5013.9464911087853</v>
      </c>
      <c r="AL9" s="10">
        <f t="shared" si="0"/>
        <v>5032.6738200994041</v>
      </c>
      <c r="AM9" s="10">
        <f t="shared" si="0"/>
        <v>5189.3455188824428</v>
      </c>
      <c r="AN9" s="10">
        <f t="shared" si="0"/>
        <v>5109.6735135024574</v>
      </c>
      <c r="AO9" s="10">
        <f t="shared" si="0"/>
        <v>5162.8020617013399</v>
      </c>
      <c r="AP9" s="10">
        <f t="shared" si="0"/>
        <v>5200.5336479002699</v>
      </c>
      <c r="AQ9" s="10">
        <f t="shared" si="0"/>
        <v>5185.1057299978602</v>
      </c>
      <c r="AR9" s="10">
        <f t="shared" si="0"/>
        <v>5116.7521610227723</v>
      </c>
      <c r="AS9" s="10">
        <f t="shared" si="0"/>
        <v>5204.1305296720402</v>
      </c>
      <c r="AT9" s="10">
        <f t="shared" si="0"/>
        <v>5300.9973383150837</v>
      </c>
      <c r="AU9" s="10">
        <f t="shared" si="0"/>
        <v>5252.7476277796677</v>
      </c>
      <c r="AV9" s="10">
        <v>5101.97</v>
      </c>
      <c r="AW9" s="10">
        <f t="shared" si="3"/>
        <v>5156.9645866569426</v>
      </c>
      <c r="AX9" s="42"/>
      <c r="AY9" s="10"/>
    </row>
    <row r="10" spans="4:51" x14ac:dyDescent="0.25">
      <c r="D10" s="1">
        <v>5</v>
      </c>
      <c r="E10" s="1">
        <v>4900.173417</v>
      </c>
      <c r="F10" s="1">
        <v>4435.8841739999998</v>
      </c>
      <c r="G10" s="1">
        <v>5009.2529290000002</v>
      </c>
      <c r="H10" s="1">
        <v>5038.0332829999998</v>
      </c>
      <c r="I10" s="1">
        <v>4943.2856220000003</v>
      </c>
      <c r="J10" s="1">
        <v>5013.9456920000002</v>
      </c>
      <c r="K10" s="1">
        <v>5125.2061210000002</v>
      </c>
      <c r="L10" s="1">
        <v>5137.4319889999997</v>
      </c>
      <c r="M10" s="1">
        <v>5125.6327689999998</v>
      </c>
      <c r="N10" s="1">
        <v>5169.3306899999998</v>
      </c>
      <c r="O10" s="1">
        <v>5180.914976</v>
      </c>
      <c r="P10" s="1">
        <v>5126.4671072097799</v>
      </c>
      <c r="Q10" s="1">
        <v>5183.7704649151601</v>
      </c>
      <c r="S10" s="1">
        <v>5</v>
      </c>
      <c r="T10" s="39">
        <f t="shared" si="1"/>
        <v>6.925199355619042E-3</v>
      </c>
      <c r="U10" s="39">
        <f t="shared" si="1"/>
        <v>-1.0582116034472424E-3</v>
      </c>
      <c r="V10" s="39">
        <f t="shared" si="1"/>
        <v>-1.0975925036537399E-2</v>
      </c>
      <c r="W10" s="39">
        <f t="shared" si="1"/>
        <v>9.3827972968952482E-4</v>
      </c>
      <c r="X10" s="39">
        <f t="shared" si="1"/>
        <v>1.2544535433690492E-2</v>
      </c>
      <c r="Y10" s="39">
        <f t="shared" si="1"/>
        <v>5.1715532441084962E-3</v>
      </c>
      <c r="Z10" s="39">
        <f t="shared" si="1"/>
        <v>-5.4982079926281331E-3</v>
      </c>
      <c r="AA10" s="39">
        <f t="shared" si="1"/>
        <v>-2.6093541237197058E-3</v>
      </c>
      <c r="AB10" s="39">
        <f t="shared" si="1"/>
        <v>-3.1603987013358948E-3</v>
      </c>
      <c r="AC10" s="39">
        <f t="shared" si="1"/>
        <v>-7.422163523762319E-3</v>
      </c>
      <c r="AD10" s="39">
        <f t="shared" si="1"/>
        <v>9.0241738446164288E-3</v>
      </c>
      <c r="AE10" s="39">
        <f t="shared" si="1"/>
        <v>2.8736663119614472E-4</v>
      </c>
      <c r="AF10" s="39">
        <f t="shared" si="1"/>
        <v>-1.6033113662988974E-2</v>
      </c>
      <c r="AG10" s="48">
        <f t="shared" si="4"/>
        <v>-9.127897234999647E-4</v>
      </c>
      <c r="AI10" s="1">
        <v>5</v>
      </c>
      <c r="AJ10" s="10">
        <f t="shared" si="2"/>
        <v>5079.4451290194747</v>
      </c>
      <c r="AK10" s="10">
        <f t="shared" si="0"/>
        <v>5019.2523074647406</v>
      </c>
      <c r="AL10" s="10">
        <f t="shared" si="0"/>
        <v>5087.9120706821595</v>
      </c>
      <c r="AM10" s="10">
        <f t="shared" si="0"/>
        <v>5184.4764611717201</v>
      </c>
      <c r="AN10" s="10">
        <f t="shared" si="0"/>
        <v>5045.5750330577366</v>
      </c>
      <c r="AO10" s="10">
        <f t="shared" si="0"/>
        <v>5136.1023559504583</v>
      </c>
      <c r="AP10" s="10">
        <f t="shared" si="0"/>
        <v>5229.1272635690866</v>
      </c>
      <c r="AQ10" s="10">
        <f t="shared" si="0"/>
        <v>5198.6355070163527</v>
      </c>
      <c r="AR10" s="10">
        <f t="shared" si="0"/>
        <v>5132.9231379075254</v>
      </c>
      <c r="AS10" s="10">
        <f t="shared" si="0"/>
        <v>5242.7564374622698</v>
      </c>
      <c r="AT10" s="10">
        <f t="shared" si="0"/>
        <v>5253.1602167842802</v>
      </c>
      <c r="AU10" s="10">
        <f t="shared" si="0"/>
        <v>5251.2381633893483</v>
      </c>
      <c r="AV10" s="10">
        <v>5183.7704649151601</v>
      </c>
      <c r="AW10" s="10">
        <f t="shared" si="3"/>
        <v>5155.0503402895956</v>
      </c>
      <c r="AX10" s="42"/>
      <c r="AY10" s="10"/>
    </row>
    <row r="11" spans="4:51" x14ac:dyDescent="0.25">
      <c r="D11" s="1">
        <v>6</v>
      </c>
      <c r="E11" s="1">
        <v>4967.7229550000002</v>
      </c>
      <c r="F11" s="1">
        <v>4312.133589</v>
      </c>
      <c r="G11" s="1">
        <v>4958.1754250000004</v>
      </c>
      <c r="H11" s="1">
        <v>5008.3712109999997</v>
      </c>
      <c r="I11" s="1">
        <v>4980.1007499999996</v>
      </c>
      <c r="J11" s="1">
        <v>5012.9991220000002</v>
      </c>
      <c r="K11" s="1">
        <v>5114.4572529999996</v>
      </c>
      <c r="L11" s="1">
        <v>5106.7096009999996</v>
      </c>
      <c r="M11" s="1">
        <v>5058.591633</v>
      </c>
      <c r="N11" s="1">
        <v>5156.0681999999997</v>
      </c>
      <c r="O11" s="1">
        <v>5161.720945</v>
      </c>
      <c r="P11" s="1">
        <v>5097.1412738377703</v>
      </c>
      <c r="Q11" s="1">
        <v>5169.3869063861803</v>
      </c>
      <c r="S11" s="1">
        <v>6</v>
      </c>
      <c r="T11" s="39">
        <f t="shared" si="1"/>
        <v>-1.3785132127294304E-2</v>
      </c>
      <c r="U11" s="39">
        <f t="shared" si="1"/>
        <v>2.7897614127379101E-2</v>
      </c>
      <c r="V11" s="39">
        <f t="shared" si="1"/>
        <v>1.0196631059353693E-2</v>
      </c>
      <c r="W11" s="39">
        <f t="shared" si="1"/>
        <v>5.8876292262875236E-3</v>
      </c>
      <c r="X11" s="39">
        <f t="shared" si="1"/>
        <v>-7.4475016851452474E-3</v>
      </c>
      <c r="Y11" s="39">
        <f t="shared" si="1"/>
        <v>1.8878744568581282E-4</v>
      </c>
      <c r="Z11" s="39">
        <f t="shared" si="1"/>
        <v>2.0972557485948152E-3</v>
      </c>
      <c r="AA11" s="39">
        <f t="shared" si="1"/>
        <v>5.9801060268595873E-3</v>
      </c>
      <c r="AB11" s="39">
        <f t="shared" si="1"/>
        <v>1.3079582369901114E-2</v>
      </c>
      <c r="AC11" s="39">
        <f t="shared" si="1"/>
        <v>2.5656106748318847E-3</v>
      </c>
      <c r="AD11" s="39">
        <f t="shared" si="1"/>
        <v>3.7047569954176364E-3</v>
      </c>
      <c r="AE11" s="39">
        <f t="shared" si="1"/>
        <v>5.7204762575704836E-3</v>
      </c>
      <c r="AF11" s="39">
        <f t="shared" si="1"/>
        <v>2.7747290560665777E-3</v>
      </c>
      <c r="AG11" s="21">
        <f t="shared" si="4"/>
        <v>4.527734244269898E-3</v>
      </c>
      <c r="AI11" s="1">
        <v>6</v>
      </c>
      <c r="AJ11" s="10">
        <f t="shared" si="2"/>
        <v>5149.4659512563494</v>
      </c>
      <c r="AK11" s="10">
        <f t="shared" si="0"/>
        <v>4879.227143383132</v>
      </c>
      <c r="AL11" s="10">
        <f t="shared" si="0"/>
        <v>5036.0325084349806</v>
      </c>
      <c r="AM11" s="10">
        <f t="shared" si="0"/>
        <v>5153.9521860359264</v>
      </c>
      <c r="AN11" s="10">
        <f t="shared" si="0"/>
        <v>5083.1519616189607</v>
      </c>
      <c r="AO11" s="10">
        <f t="shared" si="0"/>
        <v>5135.1327243058977</v>
      </c>
      <c r="AP11" s="10">
        <f t="shared" si="0"/>
        <v>5218.1604463554331</v>
      </c>
      <c r="AQ11" s="10">
        <f t="shared" si="0"/>
        <v>5167.5471154893976</v>
      </c>
      <c r="AR11" s="10">
        <f t="shared" si="0"/>
        <v>5065.7866469268929</v>
      </c>
      <c r="AS11" s="10">
        <f t="shared" si="0"/>
        <v>5229.305565580773</v>
      </c>
      <c r="AT11" s="10">
        <f t="shared" si="0"/>
        <v>5233.6985347230984</v>
      </c>
      <c r="AU11" s="10">
        <f t="shared" si="0"/>
        <v>5221.1985801528317</v>
      </c>
      <c r="AV11" s="10">
        <v>5169.3869063861803</v>
      </c>
      <c r="AW11" s="10">
        <f t="shared" si="3"/>
        <v>5131.054947021973</v>
      </c>
      <c r="AX11" s="42"/>
      <c r="AY11" s="10"/>
    </row>
    <row r="12" spans="4:51" x14ac:dyDescent="0.25">
      <c r="D12" s="1">
        <v>7</v>
      </c>
      <c r="E12" s="1">
        <v>4974.6860889999998</v>
      </c>
      <c r="F12" s="1">
        <v>4385.2411599999996</v>
      </c>
      <c r="G12" s="1">
        <v>4918.9694659999996</v>
      </c>
      <c r="H12" s="1">
        <v>4991.8972430000003</v>
      </c>
      <c r="I12" s="1">
        <v>5061.0336850000003</v>
      </c>
      <c r="J12" s="1">
        <v>5018.3856169999999</v>
      </c>
      <c r="K12" s="1">
        <v>5050.1647990000001</v>
      </c>
      <c r="L12" s="1">
        <v>5127.5214530000003</v>
      </c>
      <c r="M12" s="1">
        <v>5024.4101339999997</v>
      </c>
      <c r="N12" s="1">
        <v>5118.7089169999999</v>
      </c>
      <c r="O12" s="1">
        <v>5092.5230739999997</v>
      </c>
      <c r="P12" s="1">
        <v>5031.3948282403398</v>
      </c>
      <c r="Q12" s="1">
        <v>5167.1623266864499</v>
      </c>
      <c r="S12" s="1">
        <v>7</v>
      </c>
      <c r="T12" s="39">
        <f t="shared" si="1"/>
        <v>-1.4016751866146745E-3</v>
      </c>
      <c r="U12" s="39">
        <f t="shared" si="1"/>
        <v>-1.695392071954651E-2</v>
      </c>
      <c r="V12" s="39">
        <f t="shared" si="1"/>
        <v>7.9073359934619097E-3</v>
      </c>
      <c r="W12" s="39">
        <f t="shared" si="1"/>
        <v>3.2892865376706066E-3</v>
      </c>
      <c r="X12" s="39">
        <f t="shared" si="1"/>
        <v>-1.6251264595400151E-2</v>
      </c>
      <c r="Y12" s="39">
        <f t="shared" si="1"/>
        <v>-1.0745054744495405E-3</v>
      </c>
      <c r="Z12" s="39">
        <f t="shared" si="1"/>
        <v>1.2570728587532385E-2</v>
      </c>
      <c r="AA12" s="39">
        <f t="shared" si="1"/>
        <v>-4.0753936734380459E-3</v>
      </c>
      <c r="AB12" s="39">
        <f t="shared" si="1"/>
        <v>6.7571176880567652E-3</v>
      </c>
      <c r="AC12" s="39">
        <f t="shared" si="1"/>
        <v>7.2456921729622936E-3</v>
      </c>
      <c r="AD12" s="39">
        <f t="shared" si="1"/>
        <v>1.3405969004781273E-2</v>
      </c>
      <c r="AE12" s="39">
        <f t="shared" si="1"/>
        <v>1.2898690082397551E-2</v>
      </c>
      <c r="AF12" s="39">
        <f t="shared" si="1"/>
        <v>4.3033724114984953E-4</v>
      </c>
      <c r="AG12" s="21">
        <f t="shared" si="4"/>
        <v>1.9037228968125932E-3</v>
      </c>
      <c r="AI12" s="1">
        <v>7</v>
      </c>
      <c r="AJ12" s="10">
        <f t="shared" si="2"/>
        <v>5156.6838299045421</v>
      </c>
      <c r="AK12" s="10">
        <f t="shared" si="0"/>
        <v>4961.9491735447091</v>
      </c>
      <c r="AL12" s="10">
        <f t="shared" si="0"/>
        <v>4996.2109073167885</v>
      </c>
      <c r="AM12" s="10">
        <f t="shared" si="0"/>
        <v>5136.9993604946003</v>
      </c>
      <c r="AN12" s="10">
        <f t="shared" si="0"/>
        <v>5165.7596091258574</v>
      </c>
      <c r="AO12" s="10">
        <f t="shared" si="0"/>
        <v>5140.6504525301889</v>
      </c>
      <c r="AP12" s="10">
        <f t="shared" si="0"/>
        <v>5152.5643676581012</v>
      </c>
      <c r="AQ12" s="10">
        <f t="shared" si="0"/>
        <v>5188.6069043110565</v>
      </c>
      <c r="AR12" s="10">
        <f t="shared" si="0"/>
        <v>5031.5565303710218</v>
      </c>
      <c r="AS12" s="10">
        <f t="shared" si="0"/>
        <v>5191.4156271742158</v>
      </c>
      <c r="AT12" s="10">
        <f t="shared" si="0"/>
        <v>5163.5357343862315</v>
      </c>
      <c r="AU12" s="10">
        <f t="shared" si="0"/>
        <v>5153.8519578087862</v>
      </c>
      <c r="AV12" s="10">
        <v>5167.1623266864499</v>
      </c>
      <c r="AW12" s="10">
        <f t="shared" si="3"/>
        <v>5119.9820378855084</v>
      </c>
      <c r="AX12" s="42"/>
      <c r="AY12" s="10"/>
    </row>
    <row r="13" spans="4:51" x14ac:dyDescent="0.25">
      <c r="D13" s="1">
        <v>8</v>
      </c>
      <c r="E13" s="1">
        <v>4937.0993440000002</v>
      </c>
      <c r="F13" s="1">
        <v>4359.8641790000001</v>
      </c>
      <c r="G13" s="1">
        <v>4928.6827329999996</v>
      </c>
      <c r="H13" s="1">
        <v>5005.2654240000002</v>
      </c>
      <c r="I13" s="1">
        <v>4989.8134710000004</v>
      </c>
      <c r="J13" s="1">
        <v>5038.61823</v>
      </c>
      <c r="K13" s="1">
        <v>5049.4591339999997</v>
      </c>
      <c r="L13" s="1">
        <v>5092.7627940000002</v>
      </c>
      <c r="M13" s="1">
        <v>4980.3067330000003</v>
      </c>
      <c r="N13" s="1">
        <v>5058.6132799999996</v>
      </c>
      <c r="O13" s="1">
        <v>5031.0245340000001</v>
      </c>
      <c r="P13" s="1">
        <v>5050.5905910678302</v>
      </c>
      <c r="Q13" s="1">
        <v>5143.4321442127903</v>
      </c>
      <c r="S13" s="1">
        <v>8</v>
      </c>
      <c r="T13" s="39">
        <f t="shared" si="1"/>
        <v>7.5556013640963654E-3</v>
      </c>
      <c r="U13" s="39">
        <f t="shared" si="1"/>
        <v>5.7869065974012323E-3</v>
      </c>
      <c r="V13" s="39">
        <f t="shared" si="1"/>
        <v>-1.9746548676787593E-3</v>
      </c>
      <c r="W13" s="39">
        <f t="shared" si="1"/>
        <v>-2.6779759977522883E-3</v>
      </c>
      <c r="X13" s="39">
        <f t="shared" si="1"/>
        <v>1.4072266345723786E-2</v>
      </c>
      <c r="Y13" s="39">
        <f t="shared" si="1"/>
        <v>-4.0316975505950104E-3</v>
      </c>
      <c r="Z13" s="39">
        <f t="shared" si="1"/>
        <v>1.39731083654961E-4</v>
      </c>
      <c r="AA13" s="39">
        <f t="shared" si="1"/>
        <v>6.7788422376396981E-3</v>
      </c>
      <c r="AB13" s="39">
        <f t="shared" si="1"/>
        <v>8.7778266152186285E-3</v>
      </c>
      <c r="AC13" s="39">
        <f t="shared" si="1"/>
        <v>1.1740389612781794E-2</v>
      </c>
      <c r="AD13" s="39">
        <f t="shared" si="1"/>
        <v>1.2076241797309055E-2</v>
      </c>
      <c r="AE13" s="39">
        <f t="shared" si="1"/>
        <v>-3.8151970741290143E-3</v>
      </c>
      <c r="AF13" s="39">
        <f t="shared" si="1"/>
        <v>4.5924979656826641E-3</v>
      </c>
      <c r="AG13" s="21">
        <f t="shared" si="4"/>
        <v>4.540059856104086E-3</v>
      </c>
      <c r="AI13" s="1">
        <v>8</v>
      </c>
      <c r="AJ13" s="10">
        <f t="shared" si="2"/>
        <v>5117.7219825251022</v>
      </c>
      <c r="AK13" s="10">
        <f t="shared" si="0"/>
        <v>4933.2348371363532</v>
      </c>
      <c r="AL13" s="10">
        <f t="shared" si="0"/>
        <v>5006.0766995048716</v>
      </c>
      <c r="AM13" s="10">
        <f t="shared" si="0"/>
        <v>5150.7561214824736</v>
      </c>
      <c r="AN13" s="10">
        <f t="shared" si="0"/>
        <v>5093.0656640282568</v>
      </c>
      <c r="AO13" s="10">
        <f t="shared" si="0"/>
        <v>5161.37600036812</v>
      </c>
      <c r="AP13" s="10">
        <f t="shared" si="0"/>
        <v>5151.8443942554068</v>
      </c>
      <c r="AQ13" s="10">
        <f t="shared" si="0"/>
        <v>5153.4341566736039</v>
      </c>
      <c r="AR13" s="10">
        <f t="shared" si="0"/>
        <v>4987.3903995427536</v>
      </c>
      <c r="AS13" s="10">
        <f t="shared" si="0"/>
        <v>5130.4663850693069</v>
      </c>
      <c r="AT13" s="10">
        <f t="shared" si="0"/>
        <v>5101.1796283287376</v>
      </c>
      <c r="AU13" s="10">
        <f t="shared" si="0"/>
        <v>5173.5149187187126</v>
      </c>
      <c r="AV13" s="10">
        <v>5143.4321442127903</v>
      </c>
      <c r="AW13" s="10">
        <f t="shared" si="3"/>
        <v>5096.6717656361416</v>
      </c>
      <c r="AX13" s="42"/>
      <c r="AY13" s="10"/>
    </row>
    <row r="14" spans="4:51" x14ac:dyDescent="0.25">
      <c r="D14" s="1">
        <v>9</v>
      </c>
      <c r="E14" s="1">
        <v>4912.1784010000001</v>
      </c>
      <c r="F14" s="1">
        <v>4413.0482019999999</v>
      </c>
      <c r="G14" s="1">
        <v>4919.4524940000001</v>
      </c>
      <c r="H14" s="1">
        <v>4981.7152070000002</v>
      </c>
      <c r="I14" s="1">
        <v>5064.6591159999998</v>
      </c>
      <c r="J14" s="1">
        <v>5040.1780580000004</v>
      </c>
      <c r="K14" s="1">
        <v>5014.0869279999997</v>
      </c>
      <c r="L14" s="1">
        <v>5111.0532670000002</v>
      </c>
      <c r="M14" s="1">
        <v>4967.5271549999998</v>
      </c>
      <c r="N14" s="1">
        <v>5031.0530040000003</v>
      </c>
      <c r="O14" s="1">
        <v>5027.4825490000003</v>
      </c>
      <c r="P14" s="1">
        <v>5026.3039223380101</v>
      </c>
      <c r="Q14" s="1">
        <v>5098.6732037884303</v>
      </c>
      <c r="S14" s="1">
        <v>9</v>
      </c>
      <c r="T14" s="39">
        <f t="shared" si="1"/>
        <v>5.0476891922959207E-3</v>
      </c>
      <c r="U14" s="39">
        <f t="shared" si="1"/>
        <v>-1.2198550417274317E-2</v>
      </c>
      <c r="V14" s="39">
        <f t="shared" si="1"/>
        <v>1.8727598224569124E-3</v>
      </c>
      <c r="W14" s="39">
        <f t="shared" si="1"/>
        <v>4.7050885427729469E-3</v>
      </c>
      <c r="X14" s="39">
        <f t="shared" si="1"/>
        <v>-1.4999687951261179E-2</v>
      </c>
      <c r="Y14" s="39">
        <f t="shared" si="1"/>
        <v>-3.0957455572107903E-4</v>
      </c>
      <c r="Z14" s="39">
        <f t="shared" si="1"/>
        <v>7.0051474942781477E-3</v>
      </c>
      <c r="AA14" s="39">
        <f t="shared" si="1"/>
        <v>-3.5914637574616282E-3</v>
      </c>
      <c r="AB14" s="39">
        <f t="shared" si="1"/>
        <v>2.566022272347574E-3</v>
      </c>
      <c r="AC14" s="39">
        <f t="shared" si="1"/>
        <v>5.4481879666435484E-3</v>
      </c>
      <c r="AD14" s="39">
        <f t="shared" si="1"/>
        <v>7.0402856834882622E-4</v>
      </c>
      <c r="AE14" s="39">
        <f t="shared" si="1"/>
        <v>4.8086789637576365E-3</v>
      </c>
      <c r="AF14" s="39">
        <f t="shared" si="1"/>
        <v>8.7021543532407875E-3</v>
      </c>
      <c r="AG14" s="21">
        <f t="shared" si="4"/>
        <v>7.5080619187877667E-4</v>
      </c>
      <c r="AI14" s="1">
        <v>9</v>
      </c>
      <c r="AJ14" s="10">
        <f t="shared" si="2"/>
        <v>5091.8893125847353</v>
      </c>
      <c r="AK14" s="10">
        <f t="shared" si="0"/>
        <v>4993.4131510174157</v>
      </c>
      <c r="AL14" s="10">
        <f t="shared" si="0"/>
        <v>4996.7015201939012</v>
      </c>
      <c r="AM14" s="10">
        <f t="shared" si="0"/>
        <v>5126.5213578686689</v>
      </c>
      <c r="AN14" s="10">
        <f t="shared" si="0"/>
        <v>5169.4600597039625</v>
      </c>
      <c r="AO14" s="10">
        <f t="shared" si="0"/>
        <v>5162.9738310503444</v>
      </c>
      <c r="AP14" s="10">
        <f t="shared" si="0"/>
        <v>5115.7549644060782</v>
      </c>
      <c r="AQ14" s="10">
        <f t="shared" si="0"/>
        <v>5171.9425286737624</v>
      </c>
      <c r="AR14" s="10">
        <f t="shared" si="0"/>
        <v>4974.592644696635</v>
      </c>
      <c r="AS14" s="10">
        <f t="shared" si="0"/>
        <v>5102.5146398469033</v>
      </c>
      <c r="AT14" s="10">
        <f t="shared" si="0"/>
        <v>5097.5882521381154</v>
      </c>
      <c r="AU14" s="10">
        <f t="shared" si="0"/>
        <v>5148.6371463603837</v>
      </c>
      <c r="AV14" s="10">
        <v>5098.6732037884303</v>
      </c>
      <c r="AW14" s="10">
        <f t="shared" si="3"/>
        <v>5095.9991173784083</v>
      </c>
      <c r="AX14" s="42"/>
      <c r="AY14" s="10"/>
    </row>
    <row r="15" spans="4:51" x14ac:dyDescent="0.25">
      <c r="D15" s="1">
        <v>10</v>
      </c>
      <c r="E15" s="1">
        <v>4842.987298</v>
      </c>
      <c r="F15" s="1">
        <v>4318.8245379999998</v>
      </c>
      <c r="G15" s="1">
        <v>4876.0353150000001</v>
      </c>
      <c r="H15" s="1">
        <v>4946.2462640000003</v>
      </c>
      <c r="I15" s="1">
        <v>5044.0698940000002</v>
      </c>
      <c r="J15" s="1">
        <v>5075.8696090000003</v>
      </c>
      <c r="K15" s="1">
        <v>4997.612349</v>
      </c>
      <c r="L15" s="1">
        <v>5103.5683520000002</v>
      </c>
      <c r="M15" s="1">
        <v>4999.1155319999998</v>
      </c>
      <c r="N15" s="1">
        <v>5047.3628470000003</v>
      </c>
      <c r="O15" s="1">
        <v>4990.4668410000004</v>
      </c>
      <c r="P15" s="1">
        <v>5036.2981643305302</v>
      </c>
      <c r="Q15" s="1">
        <v>5091.1065435186301</v>
      </c>
      <c r="S15" s="1">
        <v>10</v>
      </c>
      <c r="T15" s="39">
        <f t="shared" si="1"/>
        <v>1.4085625022477703E-2</v>
      </c>
      <c r="U15" s="39">
        <f t="shared" si="1"/>
        <v>2.1351152239238582E-2</v>
      </c>
      <c r="V15" s="39">
        <f t="shared" si="1"/>
        <v>8.8256120072210693E-3</v>
      </c>
      <c r="W15" s="39">
        <f t="shared" si="1"/>
        <v>7.1198255071187279E-3</v>
      </c>
      <c r="X15" s="39">
        <f t="shared" si="1"/>
        <v>4.0652730081981708E-3</v>
      </c>
      <c r="Y15" s="39">
        <f t="shared" si="1"/>
        <v>-7.0814067656496046E-3</v>
      </c>
      <c r="Z15" s="39">
        <f t="shared" si="1"/>
        <v>3.2856588321198174E-3</v>
      </c>
      <c r="AA15" s="39">
        <f t="shared" si="1"/>
        <v>1.4644564650357029E-3</v>
      </c>
      <c r="AB15" s="39">
        <f t="shared" si="1"/>
        <v>-6.358974196689628E-3</v>
      </c>
      <c r="AC15" s="39">
        <f t="shared" si="1"/>
        <v>-3.2418348578384408E-3</v>
      </c>
      <c r="AD15" s="39">
        <f t="shared" si="1"/>
        <v>7.3626725979113695E-3</v>
      </c>
      <c r="AE15" s="39">
        <f t="shared" si="1"/>
        <v>-1.988387918228232E-3</v>
      </c>
      <c r="AF15" s="39">
        <f t="shared" si="1"/>
        <v>1.4840449598099354E-3</v>
      </c>
      <c r="AG15" s="21">
        <f t="shared" si="4"/>
        <v>3.8749013000557819E-3</v>
      </c>
      <c r="AI15" s="1">
        <v>10</v>
      </c>
      <c r="AJ15" s="10">
        <f t="shared" si="2"/>
        <v>5020.1668690717052</v>
      </c>
      <c r="AK15" s="10">
        <f t="shared" si="0"/>
        <v>4886.7980266366258</v>
      </c>
      <c r="AL15" s="10">
        <f t="shared" si="0"/>
        <v>4952.6025712607779</v>
      </c>
      <c r="AM15" s="10">
        <f t="shared" si="0"/>
        <v>5090.0214203421265</v>
      </c>
      <c r="AN15" s="10">
        <f t="shared" si="0"/>
        <v>5148.4447932562898</v>
      </c>
      <c r="AO15" s="10">
        <f t="shared" si="0"/>
        <v>5199.5349488684151</v>
      </c>
      <c r="AP15" s="10">
        <f t="shared" si="0"/>
        <v>5098.9463389243165</v>
      </c>
      <c r="AQ15" s="10">
        <f t="shared" si="0"/>
        <v>5164.3684440008528</v>
      </c>
      <c r="AR15" s="10">
        <f t="shared" si="0"/>
        <v>5006.2259509633022</v>
      </c>
      <c r="AS15" s="10">
        <f t="shared" si="0"/>
        <v>5119.0561496689888</v>
      </c>
      <c r="AT15" s="10">
        <f t="shared" si="0"/>
        <v>5060.056378798663</v>
      </c>
      <c r="AU15" s="10">
        <f t="shared" si="0"/>
        <v>5158.8746342575478</v>
      </c>
      <c r="AV15" s="10">
        <v>5091.1065435186301</v>
      </c>
      <c r="AW15" s="10">
        <f t="shared" si="3"/>
        <v>5075.4247105041341</v>
      </c>
      <c r="AX15" s="42"/>
      <c r="AY15" s="10"/>
    </row>
    <row r="16" spans="4:51" x14ac:dyDescent="0.25">
      <c r="D16" s="1">
        <v>11</v>
      </c>
      <c r="E16" s="1">
        <v>4831.7556269999995</v>
      </c>
      <c r="F16" s="1">
        <v>4280.8688430000002</v>
      </c>
      <c r="G16" s="1">
        <v>4850.4397220000001</v>
      </c>
      <c r="H16" s="1">
        <v>4952.9596289999999</v>
      </c>
      <c r="I16" s="1">
        <v>5001.1849169999996</v>
      </c>
      <c r="J16" s="1">
        <v>5064.3686690000004</v>
      </c>
      <c r="K16" s="1">
        <v>5012.4107629999999</v>
      </c>
      <c r="L16" s="1">
        <v>5076.2167129999998</v>
      </c>
      <c r="M16" s="1">
        <v>4999.5807940000004</v>
      </c>
      <c r="N16" s="1">
        <v>5024.9029780000001</v>
      </c>
      <c r="O16" s="1">
        <v>4985.6399860000001</v>
      </c>
      <c r="P16" s="1">
        <v>5005.2179826113497</v>
      </c>
      <c r="Q16" s="1">
        <v>5086.1168392797499</v>
      </c>
      <c r="S16" s="1">
        <v>11</v>
      </c>
      <c r="T16" s="39">
        <f t="shared" si="1"/>
        <v>2.3191617712148005E-3</v>
      </c>
      <c r="U16" s="39">
        <f t="shared" si="1"/>
        <v>8.7884318212141394E-3</v>
      </c>
      <c r="V16" s="39">
        <f t="shared" si="1"/>
        <v>5.2492632531313012E-3</v>
      </c>
      <c r="W16" s="39">
        <f t="shared" si="1"/>
        <v>-1.3572646086914713E-3</v>
      </c>
      <c r="X16" s="39">
        <f t="shared" si="1"/>
        <v>8.5020584371784703E-3</v>
      </c>
      <c r="Y16" s="39">
        <f t="shared" si="1"/>
        <v>2.2658068244321402E-3</v>
      </c>
      <c r="Z16" s="39">
        <f t="shared" si="1"/>
        <v>-2.9610968131533778E-3</v>
      </c>
      <c r="AA16" s="39">
        <f t="shared" si="1"/>
        <v>5.3593166807067057E-3</v>
      </c>
      <c r="AB16" s="39">
        <f t="shared" si="1"/>
        <v>-9.3068863286398826E-5</v>
      </c>
      <c r="AC16" s="39">
        <f t="shared" si="1"/>
        <v>4.4498225471049143E-3</v>
      </c>
      <c r="AD16" s="39">
        <f t="shared" si="1"/>
        <v>9.672151231112148E-4</v>
      </c>
      <c r="AE16" s="39">
        <f t="shared" si="1"/>
        <v>6.1712354402098683E-3</v>
      </c>
      <c r="AF16" s="39">
        <f t="shared" si="1"/>
        <v>9.8008246266865096E-4</v>
      </c>
      <c r="AG16" s="21">
        <f t="shared" si="4"/>
        <v>3.1262280058339201E-3</v>
      </c>
      <c r="AI16" s="1">
        <v>11</v>
      </c>
      <c r="AJ16" s="10">
        <f t="shared" si="2"/>
        <v>5008.5242899838349</v>
      </c>
      <c r="AK16" s="10">
        <f t="shared" si="0"/>
        <v>4843.850735355486</v>
      </c>
      <c r="AL16" s="10">
        <f t="shared" si="0"/>
        <v>4926.6050565760952</v>
      </c>
      <c r="AM16" s="10">
        <f t="shared" si="0"/>
        <v>5096.9299262734385</v>
      </c>
      <c r="AN16" s="10">
        <f t="shared" si="0"/>
        <v>5104.6724147634377</v>
      </c>
      <c r="AO16" s="10">
        <f t="shared" si="0"/>
        <v>5187.753807097396</v>
      </c>
      <c r="AP16" s="10">
        <f t="shared" si="0"/>
        <v>5114.0448126789452</v>
      </c>
      <c r="AQ16" s="10">
        <f t="shared" si="0"/>
        <v>5136.6909580536039</v>
      </c>
      <c r="AR16" s="10">
        <f t="shared" si="0"/>
        <v>5006.6918747219133</v>
      </c>
      <c r="AS16" s="10">
        <f t="shared" si="0"/>
        <v>5096.2772581942963</v>
      </c>
      <c r="AT16" s="10">
        <f t="shared" si="0"/>
        <v>5055.162215745293</v>
      </c>
      <c r="AU16" s="10">
        <f t="shared" si="0"/>
        <v>5127.0380042830175</v>
      </c>
      <c r="AV16" s="10">
        <v>5086.1168392797499</v>
      </c>
      <c r="AW16" s="10">
        <f t="shared" si="3"/>
        <v>5058.6867794772306</v>
      </c>
      <c r="AX16" s="42"/>
      <c r="AY16" s="10"/>
    </row>
    <row r="17" spans="2:51" x14ac:dyDescent="0.25">
      <c r="D17" s="1">
        <v>12</v>
      </c>
      <c r="E17" s="1">
        <v>4798.2469719999999</v>
      </c>
      <c r="F17" s="1">
        <v>4304.3889349999999</v>
      </c>
      <c r="G17" s="1">
        <v>4899.2443149999999</v>
      </c>
      <c r="H17" s="1">
        <v>4861.6808659999997</v>
      </c>
      <c r="I17" s="1">
        <v>5015.0621810000002</v>
      </c>
      <c r="J17" s="1">
        <v>5043.0316039999998</v>
      </c>
      <c r="K17" s="1">
        <v>4990.1439129999999</v>
      </c>
      <c r="L17" s="1">
        <v>5116.4680500000004</v>
      </c>
      <c r="M17" s="1">
        <v>4950.7370950000004</v>
      </c>
      <c r="N17" s="1">
        <v>5034.6903119999997</v>
      </c>
      <c r="O17" s="1">
        <v>4963.6624380000003</v>
      </c>
      <c r="P17" s="1">
        <v>5033.4372284819801</v>
      </c>
      <c r="Q17" s="1">
        <v>5085.2176219892399</v>
      </c>
      <c r="S17" s="1">
        <v>12</v>
      </c>
      <c r="T17" s="39">
        <f t="shared" si="1"/>
        <v>6.9350889380150431E-3</v>
      </c>
      <c r="U17" s="39">
        <f t="shared" si="1"/>
        <v>-5.4942332649269045E-3</v>
      </c>
      <c r="V17" s="39">
        <f t="shared" si="1"/>
        <v>-1.0061890425859381E-2</v>
      </c>
      <c r="W17" s="39">
        <f t="shared" si="1"/>
        <v>1.8429135272081631E-2</v>
      </c>
      <c r="X17" s="39">
        <f t="shared" si="1"/>
        <v>-2.7747952195946871E-3</v>
      </c>
      <c r="Y17" s="39">
        <f t="shared" si="1"/>
        <v>4.2131737230365956E-3</v>
      </c>
      <c r="Z17" s="39">
        <f t="shared" si="1"/>
        <v>4.4423434257157618E-3</v>
      </c>
      <c r="AA17" s="39">
        <f t="shared" si="1"/>
        <v>-7.9293968866456094E-3</v>
      </c>
      <c r="AB17" s="39">
        <f t="shared" si="1"/>
        <v>9.7695588915409394E-3</v>
      </c>
      <c r="AC17" s="39">
        <f t="shared" si="1"/>
        <v>-1.9477657663939966E-3</v>
      </c>
      <c r="AD17" s="39">
        <f t="shared" si="1"/>
        <v>4.4081698762273693E-3</v>
      </c>
      <c r="AE17" s="39">
        <f t="shared" si="1"/>
        <v>-5.6379654130283658E-3</v>
      </c>
      <c r="AF17" s="39">
        <f t="shared" si="1"/>
        <v>1.7679839432028509E-4</v>
      </c>
      <c r="AG17" s="21">
        <f t="shared" si="4"/>
        <v>1.1175555034222062E-3</v>
      </c>
      <c r="AI17" s="1">
        <v>12</v>
      </c>
      <c r="AJ17" s="10">
        <f t="shared" si="2"/>
        <v>4973.7897285845875</v>
      </c>
      <c r="AK17" s="10">
        <f t="shared" si="0"/>
        <v>4870.4639811960178</v>
      </c>
      <c r="AL17" s="10">
        <f t="shared" si="0"/>
        <v>4976.1760168268484</v>
      </c>
      <c r="AM17" s="10">
        <f t="shared" si="0"/>
        <v>5002.9979151898242</v>
      </c>
      <c r="AN17" s="10">
        <f t="shared" si="0"/>
        <v>5118.8368353775204</v>
      </c>
      <c r="AO17" s="10">
        <f t="shared" si="0"/>
        <v>5165.8968990757503</v>
      </c>
      <c r="AP17" s="10">
        <f t="shared" si="0"/>
        <v>5091.3264693265246</v>
      </c>
      <c r="AQ17" s="10">
        <f t="shared" si="0"/>
        <v>5177.4218193440547</v>
      </c>
      <c r="AR17" s="10">
        <f t="shared" si="0"/>
        <v>4957.7787036000182</v>
      </c>
      <c r="AS17" s="10">
        <f t="shared" si="0"/>
        <v>5106.2036125738596</v>
      </c>
      <c r="AT17" s="10">
        <f t="shared" si="0"/>
        <v>5032.8782019464024</v>
      </c>
      <c r="AU17" s="10">
        <f t="shared" si="0"/>
        <v>5155.9440672224473</v>
      </c>
      <c r="AV17" s="10">
        <v>5085.2176219892399</v>
      </c>
      <c r="AW17" s="10">
        <f t="shared" si="3"/>
        <v>5052.4761875219874</v>
      </c>
      <c r="AX17" s="42"/>
      <c r="AY17" s="10"/>
    </row>
    <row r="18" spans="2:51" x14ac:dyDescent="0.25">
      <c r="D18" s="1">
        <v>13</v>
      </c>
      <c r="E18" s="1">
        <v>4785.3706689999999</v>
      </c>
      <c r="F18" s="1">
        <v>4303.9763149999999</v>
      </c>
      <c r="G18" s="1">
        <v>4838.63814</v>
      </c>
      <c r="H18" s="1">
        <v>4952.7868680000001</v>
      </c>
      <c r="I18" s="1">
        <v>5036.645775</v>
      </c>
      <c r="J18" s="1">
        <v>5041.4321410000002</v>
      </c>
      <c r="K18" s="1">
        <v>4863.5882849999998</v>
      </c>
      <c r="L18" s="1">
        <v>5109.488601</v>
      </c>
      <c r="M18" s="1">
        <v>4991.3515520000001</v>
      </c>
      <c r="N18" s="1">
        <v>5040.0740150000001</v>
      </c>
      <c r="O18" s="1">
        <v>4965.06322</v>
      </c>
      <c r="P18" s="1">
        <v>4998.3595510002497</v>
      </c>
      <c r="Q18" s="1">
        <v>5192.6191004902403</v>
      </c>
      <c r="S18" s="1">
        <v>13</v>
      </c>
      <c r="T18" s="39">
        <f t="shared" si="1"/>
        <v>2.6835431929909436E-3</v>
      </c>
      <c r="U18" s="39">
        <f t="shared" si="1"/>
        <v>9.5860296602137985E-5</v>
      </c>
      <c r="V18" s="39">
        <f t="shared" si="1"/>
        <v>1.237051494134354E-2</v>
      </c>
      <c r="W18" s="39">
        <f t="shared" si="1"/>
        <v>-1.8739609717525307E-2</v>
      </c>
      <c r="X18" s="39">
        <f t="shared" si="1"/>
        <v>-4.3037540156074328E-3</v>
      </c>
      <c r="Y18" s="39">
        <f t="shared" si="1"/>
        <v>3.1716299353168987E-4</v>
      </c>
      <c r="Z18" s="39">
        <f t="shared" si="1"/>
        <v>2.5361117876842296E-2</v>
      </c>
      <c r="AA18" s="39">
        <f t="shared" si="1"/>
        <v>1.364114645453593E-3</v>
      </c>
      <c r="AB18" s="39">
        <f t="shared" si="1"/>
        <v>-8.2037192079979903E-3</v>
      </c>
      <c r="AC18" s="39">
        <f t="shared" si="1"/>
        <v>-1.0693215801513283E-3</v>
      </c>
      <c r="AD18" s="39">
        <f t="shared" si="1"/>
        <v>-2.8220734538187547E-4</v>
      </c>
      <c r="AE18" s="39">
        <f t="shared" si="1"/>
        <v>6.9689311477337005E-3</v>
      </c>
      <c r="AF18" s="39">
        <f t="shared" si="1"/>
        <v>-2.1120330826468539E-2</v>
      </c>
      <c r="AG18" s="21">
        <f t="shared" si="4"/>
        <v>-3.5059212297189015E-4</v>
      </c>
      <c r="AI18" s="1">
        <v>13</v>
      </c>
      <c r="AJ18" s="10">
        <f t="shared" si="2"/>
        <v>4960.4423490150757</v>
      </c>
      <c r="AK18" s="10">
        <f t="shared" si="0"/>
        <v>4869.9970970741897</v>
      </c>
      <c r="AL18" s="10">
        <f t="shared" si="0"/>
        <v>4914.6181570599374</v>
      </c>
      <c r="AM18" s="10">
        <f t="shared" si="0"/>
        <v>5096.7521435380741</v>
      </c>
      <c r="AN18" s="10">
        <f t="shared" si="0"/>
        <v>5140.8670499630152</v>
      </c>
      <c r="AO18" s="10">
        <f t="shared" si="0"/>
        <v>5164.2584677509631</v>
      </c>
      <c r="AP18" s="10">
        <f t="shared" si="0"/>
        <v>4962.204738588448</v>
      </c>
      <c r="AQ18" s="10">
        <f t="shared" si="0"/>
        <v>5170.3592224145968</v>
      </c>
      <c r="AR18" s="10">
        <f t="shared" si="0"/>
        <v>4998.4509279797448</v>
      </c>
      <c r="AS18" s="10">
        <f t="shared" si="0"/>
        <v>5111.6637862894313</v>
      </c>
      <c r="AT18" s="10">
        <f t="shared" si="0"/>
        <v>5034.2985171434038</v>
      </c>
      <c r="AU18" s="10">
        <f t="shared" si="0"/>
        <v>5120.0126480164081</v>
      </c>
      <c r="AV18" s="10">
        <v>5192.6191004902403</v>
      </c>
      <c r="AW18" s="10">
        <f t="shared" si="3"/>
        <v>5045.3270920694404</v>
      </c>
      <c r="AX18" s="42"/>
      <c r="AY18" s="10"/>
    </row>
    <row r="19" spans="2:51" x14ac:dyDescent="0.25">
      <c r="D19" s="1">
        <v>14</v>
      </c>
      <c r="E19" s="1">
        <v>4795.6879900000004</v>
      </c>
      <c r="F19" s="1">
        <v>4337.8945249999997</v>
      </c>
      <c r="G19" s="1">
        <v>4907.7649719999999</v>
      </c>
      <c r="H19" s="1">
        <v>4931.434088</v>
      </c>
      <c r="I19" s="1">
        <v>5069.8789550000001</v>
      </c>
      <c r="J19" s="1">
        <v>5082.8721089999999</v>
      </c>
      <c r="K19" s="1">
        <v>4938.657948</v>
      </c>
      <c r="L19" s="1">
        <v>5111.2029339999999</v>
      </c>
      <c r="M19" s="1">
        <v>4954.2867829999996</v>
      </c>
      <c r="N19" s="1">
        <v>5062.9197640000002</v>
      </c>
      <c r="O19" s="1">
        <v>4975.2626449999998</v>
      </c>
      <c r="P19" s="1">
        <v>5175.7624298415503</v>
      </c>
      <c r="Q19" s="1">
        <v>5093.62</v>
      </c>
      <c r="S19" s="1">
        <v>14</v>
      </c>
      <c r="T19" s="39">
        <f t="shared" si="1"/>
        <v>-2.1560129222249905E-3</v>
      </c>
      <c r="U19" s="39">
        <f t="shared" si="1"/>
        <v>-7.8806683674791135E-3</v>
      </c>
      <c r="V19" s="39">
        <f t="shared" si="1"/>
        <v>-1.4286423162861259E-2</v>
      </c>
      <c r="W19" s="39">
        <f t="shared" si="1"/>
        <v>4.3112656710428358E-3</v>
      </c>
      <c r="X19" s="39">
        <f t="shared" si="1"/>
        <v>-6.5982762109174087E-3</v>
      </c>
      <c r="Y19" s="39">
        <f t="shared" si="1"/>
        <v>-8.2198801532970354E-3</v>
      </c>
      <c r="Z19" s="39">
        <f t="shared" si="1"/>
        <v>-1.5435036561693713E-2</v>
      </c>
      <c r="AA19" s="39">
        <f t="shared" si="1"/>
        <v>-3.3551948812732008E-4</v>
      </c>
      <c r="AB19" s="39">
        <f t="shared" si="1"/>
        <v>7.4257981257899834E-3</v>
      </c>
      <c r="AC19" s="39">
        <f t="shared" si="1"/>
        <v>-4.5328201395471108E-3</v>
      </c>
      <c r="AD19" s="39">
        <f t="shared" si="1"/>
        <v>-2.0542386970854708E-3</v>
      </c>
      <c r="AE19" s="39">
        <f t="shared" si="1"/>
        <v>-3.5492220403752182E-2</v>
      </c>
      <c r="AF19" s="39">
        <f t="shared" si="1"/>
        <v>1.9065349985115176E-2</v>
      </c>
      <c r="AG19" s="21">
        <f t="shared" si="4"/>
        <v>-5.0914371019259701E-3</v>
      </c>
      <c r="AI19" s="1">
        <v>14</v>
      </c>
      <c r="AJ19" s="10">
        <f t="shared" si="2"/>
        <v>4971.1371268195053</v>
      </c>
      <c r="AK19" s="10">
        <f t="shared" si="0"/>
        <v>4908.3759291468168</v>
      </c>
      <c r="AL19" s="10">
        <f t="shared" si="0"/>
        <v>4984.8304717355759</v>
      </c>
      <c r="AM19" s="10">
        <f t="shared" si="0"/>
        <v>5074.778690987825</v>
      </c>
      <c r="AN19" s="10">
        <f t="shared" si="0"/>
        <v>5174.7879107222761</v>
      </c>
      <c r="AO19" s="10">
        <f t="shared" si="0"/>
        <v>5206.7080534365259</v>
      </c>
      <c r="AP19" s="10">
        <f t="shared" si="0"/>
        <v>5038.7965501551698</v>
      </c>
      <c r="AQ19" s="10">
        <f t="shared" si="0"/>
        <v>5172.0939786943354</v>
      </c>
      <c r="AR19" s="10">
        <f t="shared" si="0"/>
        <v>4961.3334404468997</v>
      </c>
      <c r="AS19" s="10">
        <f t="shared" si="0"/>
        <v>5134.8340388465176</v>
      </c>
      <c r="AT19" s="10">
        <f t="shared" si="0"/>
        <v>5044.6401679699993</v>
      </c>
      <c r="AU19" s="10">
        <f t="shared" si="0"/>
        <v>5301.7332653898047</v>
      </c>
      <c r="AV19" s="10">
        <v>5093.62</v>
      </c>
      <c r="AW19" s="10">
        <f t="shared" si="3"/>
        <v>5081.1708020292708</v>
      </c>
      <c r="AX19" s="42"/>
      <c r="AY19" s="10"/>
    </row>
    <row r="20" spans="2:51" x14ac:dyDescent="0.25">
      <c r="D20" s="1">
        <v>15</v>
      </c>
      <c r="E20" s="1">
        <v>4821.1943529999999</v>
      </c>
      <c r="F20" s="1">
        <v>4288.4567969999998</v>
      </c>
      <c r="G20" s="1">
        <v>4874.0576650000003</v>
      </c>
      <c r="H20" s="1">
        <v>4896.2038060000004</v>
      </c>
      <c r="I20" s="1">
        <v>5044.3580860000002</v>
      </c>
      <c r="J20" s="1">
        <v>5074.7084670000004</v>
      </c>
      <c r="K20" s="1">
        <v>5004.5649149999999</v>
      </c>
      <c r="L20" s="1">
        <v>5045.0732109999999</v>
      </c>
      <c r="M20" s="1">
        <v>4899.7694289999999</v>
      </c>
      <c r="N20" s="1">
        <v>5063.8992029999999</v>
      </c>
      <c r="O20" s="1">
        <v>4997.4369770000003</v>
      </c>
      <c r="P20" s="1">
        <v>5094.7094818403903</v>
      </c>
      <c r="Q20" s="1">
        <v>5113.8500000000004</v>
      </c>
      <c r="S20" s="1">
        <v>15</v>
      </c>
      <c r="T20" s="39">
        <f t="shared" si="1"/>
        <v>-5.3186035149045442E-3</v>
      </c>
      <c r="U20" s="39">
        <f t="shared" si="1"/>
        <v>1.1396710481336537E-2</v>
      </c>
      <c r="V20" s="39">
        <f t="shared" si="1"/>
        <v>6.8681583556482653E-3</v>
      </c>
      <c r="W20" s="39">
        <f t="shared" si="1"/>
        <v>7.1440237000688737E-3</v>
      </c>
      <c r="X20" s="39">
        <f t="shared" si="1"/>
        <v>5.0338221536494155E-3</v>
      </c>
      <c r="Y20" s="39">
        <f t="shared" si="1"/>
        <v>1.6061080871077897E-3</v>
      </c>
      <c r="Z20" s="39">
        <f t="shared" si="1"/>
        <v>-1.3345116769362439E-2</v>
      </c>
      <c r="AA20" s="39">
        <f t="shared" si="1"/>
        <v>1.293819162610459E-2</v>
      </c>
      <c r="AB20" s="39">
        <f t="shared" si="1"/>
        <v>1.1004077153359174E-2</v>
      </c>
      <c r="AC20" s="39">
        <f t="shared" si="1"/>
        <v>-1.9345339165041707E-4</v>
      </c>
      <c r="AD20" s="39">
        <f t="shared" si="1"/>
        <v>-4.4569168669487411E-3</v>
      </c>
      <c r="AE20" s="39">
        <f t="shared" si="1"/>
        <v>1.5660098217383098E-2</v>
      </c>
      <c r="AF20" s="39">
        <f t="shared" si="1"/>
        <v>-3.9716351043070494E-3</v>
      </c>
      <c r="AG20" s="21">
        <f t="shared" si="4"/>
        <v>3.4127280098065044E-3</v>
      </c>
      <c r="AI20" s="1">
        <v>15</v>
      </c>
      <c r="AJ20" s="10">
        <f t="shared" si="2"/>
        <v>4997.5766342152792</v>
      </c>
      <c r="AK20" s="10">
        <f t="shared" si="0"/>
        <v>4852.4365897487696</v>
      </c>
      <c r="AL20" s="10">
        <f t="shared" si="0"/>
        <v>4950.5938666796355</v>
      </c>
      <c r="AM20" s="10">
        <f t="shared" si="0"/>
        <v>5038.5243517468025</v>
      </c>
      <c r="AN20" s="10">
        <f t="shared" si="0"/>
        <v>5148.738948696845</v>
      </c>
      <c r="AO20" s="10">
        <f t="shared" si="0"/>
        <v>5198.3455175246918</v>
      </c>
      <c r="AP20" s="10">
        <f t="shared" si="0"/>
        <v>5106.0398784940517</v>
      </c>
      <c r="AQ20" s="10">
        <f t="shared" si="0"/>
        <v>5105.1764356897656</v>
      </c>
      <c r="AR20" s="10">
        <f t="shared" si="0"/>
        <v>4906.7385444846814</v>
      </c>
      <c r="AS20" s="10">
        <f t="shared" si="0"/>
        <v>5135.8273899068945</v>
      </c>
      <c r="AT20" s="10">
        <f t="shared" si="0"/>
        <v>5067.1237098223128</v>
      </c>
      <c r="AU20" s="10">
        <f t="shared" si="0"/>
        <v>5218.7076017314339</v>
      </c>
      <c r="AV20" s="10">
        <v>5113.8500000000004</v>
      </c>
      <c r="AW20" s="10">
        <f t="shared" si="3"/>
        <v>5060.4857890617632</v>
      </c>
      <c r="AX20" s="42"/>
      <c r="AY20" s="10"/>
    </row>
    <row r="21" spans="2:51" x14ac:dyDescent="0.25">
      <c r="D21" s="1">
        <v>16</v>
      </c>
      <c r="E21" s="1">
        <v>4808.714328</v>
      </c>
      <c r="F21" s="1">
        <v>4303.980278</v>
      </c>
      <c r="G21" s="1">
        <v>4856.8171730000004</v>
      </c>
      <c r="H21" s="1">
        <v>4858.6393289999996</v>
      </c>
      <c r="I21" s="1">
        <v>5034.573523</v>
      </c>
      <c r="J21" s="1">
        <v>5060.6780140000001</v>
      </c>
      <c r="K21" s="1">
        <v>4970.6722609999997</v>
      </c>
      <c r="L21" s="1">
        <v>5036.4018669999996</v>
      </c>
      <c r="M21" s="1">
        <v>4896.2723470000001</v>
      </c>
      <c r="N21" s="1">
        <v>5058.9185340000004</v>
      </c>
      <c r="O21" s="1">
        <v>4968.0265769999996</v>
      </c>
      <c r="P21" s="1">
        <v>5116.9667953878197</v>
      </c>
      <c r="Q21" s="1">
        <v>5191.43</v>
      </c>
      <c r="S21" s="1">
        <v>16</v>
      </c>
      <c r="T21" s="39">
        <f t="shared" si="1"/>
        <v>2.5885753790933809E-3</v>
      </c>
      <c r="U21" s="39">
        <f t="shared" si="1"/>
        <v>-3.6198291681193251E-3</v>
      </c>
      <c r="V21" s="39">
        <f t="shared" si="1"/>
        <v>3.5371949174507569E-3</v>
      </c>
      <c r="W21" s="39">
        <f t="shared" si="1"/>
        <v>7.6721636779024235E-3</v>
      </c>
      <c r="X21" s="39">
        <f t="shared" si="1"/>
        <v>1.9397042860926194E-3</v>
      </c>
      <c r="Y21" s="39">
        <f t="shared" si="1"/>
        <v>2.764780103376982E-3</v>
      </c>
      <c r="Z21" s="39">
        <f t="shared" si="1"/>
        <v>6.7723477616235938E-3</v>
      </c>
      <c r="AA21" s="39">
        <f t="shared" si="1"/>
        <v>1.7187746614050706E-3</v>
      </c>
      <c r="AB21" s="39">
        <f t="shared" si="1"/>
        <v>7.137237885729631E-4</v>
      </c>
      <c r="AC21" s="39">
        <f t="shared" si="1"/>
        <v>9.835640087482167E-4</v>
      </c>
      <c r="AD21" s="39">
        <f t="shared" si="1"/>
        <v>5.8850967276541724E-3</v>
      </c>
      <c r="AE21" s="39">
        <f t="shared" si="1"/>
        <v>-4.368711037746816E-3</v>
      </c>
      <c r="AF21" s="39">
        <f t="shared" si="1"/>
        <v>-1.5170566207456207E-2</v>
      </c>
      <c r="AG21" s="21">
        <f t="shared" si="4"/>
        <v>8.7821683835367936E-4</v>
      </c>
      <c r="AI21" s="1">
        <v>16</v>
      </c>
      <c r="AJ21" s="10">
        <f t="shared" si="2"/>
        <v>4984.6400303848177</v>
      </c>
      <c r="AK21" s="10">
        <f t="shared" si="0"/>
        <v>4870.0015812527918</v>
      </c>
      <c r="AL21" s="10">
        <f t="shared" si="0"/>
        <v>4933.0826512160529</v>
      </c>
      <c r="AM21" s="10">
        <f t="shared" si="0"/>
        <v>4999.867968225105</v>
      </c>
      <c r="AN21" s="10">
        <f t="shared" si="0"/>
        <v>5138.751917690086</v>
      </c>
      <c r="AO21" s="10">
        <f t="shared" si="0"/>
        <v>5183.9732352673609</v>
      </c>
      <c r="AP21" s="10">
        <f t="shared" si="0"/>
        <v>5071.4600007521713</v>
      </c>
      <c r="AQ21" s="10">
        <f t="shared" si="0"/>
        <v>5096.4017877901006</v>
      </c>
      <c r="AR21" s="10">
        <f t="shared" si="0"/>
        <v>4903.2364884611752</v>
      </c>
      <c r="AS21" s="10">
        <f t="shared" si="0"/>
        <v>5130.7759749310389</v>
      </c>
      <c r="AT21" s="10">
        <f t="shared" si="0"/>
        <v>5037.3031966590179</v>
      </c>
      <c r="AU21" s="10">
        <f t="shared" si="0"/>
        <v>5241.5066272338909</v>
      </c>
      <c r="AV21" s="10">
        <v>5191.43</v>
      </c>
      <c r="AW21" s="10">
        <f t="shared" si="3"/>
        <v>5049.2501216553001</v>
      </c>
      <c r="AX21" s="42"/>
      <c r="AY21" s="10"/>
    </row>
    <row r="22" spans="2:51" x14ac:dyDescent="0.25">
      <c r="D22" s="1">
        <v>17</v>
      </c>
      <c r="E22" s="1">
        <v>4781.9195659999996</v>
      </c>
      <c r="F22" s="1">
        <v>4261.0288200000005</v>
      </c>
      <c r="G22" s="1">
        <v>4811.583893</v>
      </c>
      <c r="H22" s="1">
        <v>4834.8949769999999</v>
      </c>
      <c r="I22" s="1">
        <v>4994.3821529999996</v>
      </c>
      <c r="J22" s="1">
        <v>4951.9839140000004</v>
      </c>
      <c r="K22" s="1">
        <v>4905.0302570000003</v>
      </c>
      <c r="L22" s="1">
        <v>5026.8257409999997</v>
      </c>
      <c r="M22" s="1">
        <v>4913.764083</v>
      </c>
      <c r="N22" s="1">
        <v>5015.8233790000004</v>
      </c>
      <c r="O22" s="1">
        <v>4932.340502</v>
      </c>
      <c r="P22" s="1">
        <v>5059.94580405747</v>
      </c>
      <c r="Q22" s="1">
        <v>5150</v>
      </c>
      <c r="S22" s="1">
        <v>17</v>
      </c>
      <c r="T22" s="39">
        <f t="shared" si="1"/>
        <v>5.5721259722127632E-3</v>
      </c>
      <c r="U22" s="39">
        <f t="shared" si="1"/>
        <v>9.9794737024116887E-3</v>
      </c>
      <c r="V22" s="39">
        <f t="shared" si="1"/>
        <v>9.313358602720534E-3</v>
      </c>
      <c r="W22" s="39">
        <f t="shared" si="1"/>
        <v>4.8870373765501846E-3</v>
      </c>
      <c r="X22" s="39">
        <f t="shared" si="1"/>
        <v>7.9830734056002498E-3</v>
      </c>
      <c r="Y22" s="39">
        <f t="shared" si="1"/>
        <v>2.1478169466483607E-2</v>
      </c>
      <c r="Z22" s="39">
        <f t="shared" si="1"/>
        <v>1.3205860405448156E-2</v>
      </c>
      <c r="AA22" s="39">
        <f t="shared" si="1"/>
        <v>1.9013824259627794E-3</v>
      </c>
      <c r="AB22" s="39">
        <f t="shared" si="1"/>
        <v>-3.5724597735494281E-3</v>
      </c>
      <c r="AC22" s="39">
        <f t="shared" si="1"/>
        <v>8.5186497292585126E-3</v>
      </c>
      <c r="AD22" s="39">
        <f t="shared" si="1"/>
        <v>7.1831489721113908E-3</v>
      </c>
      <c r="AE22" s="39">
        <f t="shared" si="1"/>
        <v>1.1143514040729288E-2</v>
      </c>
      <c r="AF22" s="39">
        <f t="shared" si="1"/>
        <v>7.9804601044414138E-3</v>
      </c>
      <c r="AG22" s="21">
        <f t="shared" si="4"/>
        <v>8.1210611100293196E-3</v>
      </c>
      <c r="AI22" s="1">
        <v>17</v>
      </c>
      <c r="AJ22" s="10">
        <f t="shared" si="2"/>
        <v>4956.8649882093787</v>
      </c>
      <c r="AK22" s="10">
        <f t="shared" si="0"/>
        <v>4821.4015285419764</v>
      </c>
      <c r="AL22" s="10">
        <f t="shared" si="0"/>
        <v>4887.1390834684189</v>
      </c>
      <c r="AM22" s="10">
        <f t="shared" si="0"/>
        <v>4975.4334265865718</v>
      </c>
      <c r="AN22" s="10">
        <f t="shared" si="0"/>
        <v>5097.7288839179964</v>
      </c>
      <c r="AO22" s="10">
        <f t="shared" si="0"/>
        <v>5072.6309796105734</v>
      </c>
      <c r="AP22" s="10">
        <f t="shared" si="0"/>
        <v>5004.4870079304237</v>
      </c>
      <c r="AQ22" s="10">
        <f t="shared" si="0"/>
        <v>5086.7115789951513</v>
      </c>
      <c r="AR22" s="10">
        <f t="shared" si="0"/>
        <v>4920.7531035764023</v>
      </c>
      <c r="AS22" s="10">
        <f t="shared" si="0"/>
        <v>5087.068691561306</v>
      </c>
      <c r="AT22" s="10">
        <f t="shared" si="0"/>
        <v>5001.1194973797237</v>
      </c>
      <c r="AU22" s="10">
        <f t="shared" si="0"/>
        <v>5183.097824538735</v>
      </c>
      <c r="AV22" s="10">
        <v>5150</v>
      </c>
      <c r="AW22" s="10">
        <f t="shared" si="3"/>
        <v>5007.869716193055</v>
      </c>
      <c r="AX22" s="42"/>
      <c r="AY22" s="10"/>
    </row>
    <row r="23" spans="2:51" x14ac:dyDescent="0.25">
      <c r="D23" s="1">
        <v>18</v>
      </c>
      <c r="E23" s="1">
        <v>4770.499084</v>
      </c>
      <c r="F23" s="1">
        <v>4318.3399449999997</v>
      </c>
      <c r="G23" s="1">
        <v>4751.6385030000001</v>
      </c>
      <c r="H23" s="1">
        <v>4838.3198309999998</v>
      </c>
      <c r="I23" s="1">
        <v>4991.69859</v>
      </c>
      <c r="J23" s="1">
        <v>4964.0281150000001</v>
      </c>
      <c r="K23" s="1">
        <v>4871.2373829999997</v>
      </c>
      <c r="L23" s="1">
        <v>5004.6101740000004</v>
      </c>
      <c r="M23" s="1">
        <v>4895.6267710000002</v>
      </c>
      <c r="N23" s="1">
        <v>4996.9526519999999</v>
      </c>
      <c r="O23" s="1">
        <v>4937.0502749999996</v>
      </c>
      <c r="P23" s="1">
        <v>4997.6488840742604</v>
      </c>
      <c r="Q23" s="1">
        <v>5132.8321146323096</v>
      </c>
      <c r="S23" s="1">
        <v>18</v>
      </c>
      <c r="T23" s="39">
        <f t="shared" si="1"/>
        <v>2.3882630902452824E-3</v>
      </c>
      <c r="U23" s="39">
        <f t="shared" si="1"/>
        <v>-1.3450067441693404E-2</v>
      </c>
      <c r="V23" s="39">
        <f t="shared" si="1"/>
        <v>1.2458556544594339E-2</v>
      </c>
      <c r="W23" s="39">
        <f t="shared" si="1"/>
        <v>-7.0836161204993809E-4</v>
      </c>
      <c r="X23" s="39">
        <f t="shared" si="1"/>
        <v>5.3731631216638999E-4</v>
      </c>
      <c r="Y23" s="39">
        <f t="shared" si="1"/>
        <v>-2.4321971171895251E-3</v>
      </c>
      <c r="Z23" s="39">
        <f t="shared" si="1"/>
        <v>6.8894323234346289E-3</v>
      </c>
      <c r="AA23" s="39">
        <f t="shared" si="1"/>
        <v>4.4194026498280562E-3</v>
      </c>
      <c r="AB23" s="39">
        <f t="shared" si="1"/>
        <v>3.6911238906949043E-3</v>
      </c>
      <c r="AC23" s="39">
        <f t="shared" si="1"/>
        <v>3.7622391328625054E-3</v>
      </c>
      <c r="AD23" s="39">
        <f t="shared" si="1"/>
        <v>-9.5487588460079647E-4</v>
      </c>
      <c r="AE23" s="39">
        <f t="shared" si="1"/>
        <v>1.2311776132711724E-2</v>
      </c>
      <c r="AF23" s="39">
        <f t="shared" si="1"/>
        <v>3.3335699743088079E-3</v>
      </c>
      <c r="AG23" s="21">
        <f t="shared" si="4"/>
        <v>2.4804752304086902E-3</v>
      </c>
      <c r="AI23" s="1">
        <v>18</v>
      </c>
      <c r="AJ23" s="10">
        <f t="shared" si="2"/>
        <v>4945.0266905147091</v>
      </c>
      <c r="AK23" s="10">
        <f t="shared" si="0"/>
        <v>4886.2497042643499</v>
      </c>
      <c r="AL23" s="10">
        <f t="shared" si="0"/>
        <v>4826.2523848557303</v>
      </c>
      <c r="AM23" s="10">
        <f t="shared" si="0"/>
        <v>4978.9578326292758</v>
      </c>
      <c r="AN23" s="10">
        <f t="shared" si="0"/>
        <v>5094.9897910336658</v>
      </c>
      <c r="AO23" s="10">
        <f t="shared" si="0"/>
        <v>5084.9686180557483</v>
      </c>
      <c r="AP23" s="10">
        <f t="shared" si="0"/>
        <v>4970.0089333757796</v>
      </c>
      <c r="AQ23" s="10">
        <f t="shared" si="0"/>
        <v>5064.2313523640287</v>
      </c>
      <c r="AR23" s="10">
        <f t="shared" si="0"/>
        <v>4902.58999423558</v>
      </c>
      <c r="AS23" s="10">
        <f t="shared" si="0"/>
        <v>5067.9299226583553</v>
      </c>
      <c r="AT23" s="10">
        <f t="shared" si="0"/>
        <v>5005.894945783778</v>
      </c>
      <c r="AU23" s="10">
        <f t="shared" si="0"/>
        <v>5119.2846844490687</v>
      </c>
      <c r="AV23" s="10">
        <v>5132.8321146323096</v>
      </c>
      <c r="AW23" s="10">
        <f t="shared" si="3"/>
        <v>4995.5320711850063</v>
      </c>
      <c r="AX23" s="42"/>
      <c r="AY23" s="10"/>
    </row>
    <row r="24" spans="2:51" x14ac:dyDescent="0.25">
      <c r="D24" s="1">
        <v>19</v>
      </c>
      <c r="E24" s="1">
        <v>4763.2322439999998</v>
      </c>
      <c r="F24" s="1">
        <v>4280.2725149999997</v>
      </c>
      <c r="G24" s="1">
        <v>4749.4395050000003</v>
      </c>
      <c r="H24" s="1">
        <v>4845.3602419999997</v>
      </c>
      <c r="I24" s="1">
        <v>4999.0861020000002</v>
      </c>
      <c r="J24" s="1">
        <v>4954.5131449999999</v>
      </c>
      <c r="K24" s="1">
        <v>4851.0219740000002</v>
      </c>
      <c r="L24" s="1">
        <v>4992.8981320000003</v>
      </c>
      <c r="M24" s="1">
        <v>4896.2575740000002</v>
      </c>
      <c r="N24" s="1">
        <v>5005.1707150000002</v>
      </c>
      <c r="P24" s="1">
        <v>5061.0211195407001</v>
      </c>
      <c r="Q24" s="1">
        <v>5126</v>
      </c>
      <c r="S24" s="1">
        <v>19</v>
      </c>
      <c r="T24" s="39">
        <f t="shared" ref="T24:AC29" si="5">(E23-E24)/E23</f>
        <v>1.5232871596963142E-3</v>
      </c>
      <c r="U24" s="39">
        <f t="shared" si="5"/>
        <v>8.8152925626146048E-3</v>
      </c>
      <c r="V24" s="39">
        <f t="shared" si="5"/>
        <v>4.6278730981144395E-4</v>
      </c>
      <c r="W24" s="39">
        <f t="shared" si="5"/>
        <v>-1.4551355110695139E-3</v>
      </c>
      <c r="X24" s="39">
        <f t="shared" si="5"/>
        <v>-1.479959550201977E-3</v>
      </c>
      <c r="Y24" s="39">
        <f t="shared" si="5"/>
        <v>1.9167840672071165E-3</v>
      </c>
      <c r="Z24" s="39">
        <f t="shared" si="5"/>
        <v>4.1499535765899369E-3</v>
      </c>
      <c r="AA24" s="39">
        <f t="shared" si="5"/>
        <v>2.3402506074991867E-3</v>
      </c>
      <c r="AB24" s="39">
        <f t="shared" si="5"/>
        <v>-1.2885030446697311E-4</v>
      </c>
      <c r="AC24" s="39">
        <f t="shared" si="5"/>
        <v>-1.6446149428114005E-3</v>
      </c>
      <c r="AD24" s="39"/>
      <c r="AE24" s="39">
        <f t="shared" ref="AE24:AF28" si="6">(P23-P24)/P23</f>
        <v>-1.2680409715933533E-2</v>
      </c>
      <c r="AF24" s="39">
        <f t="shared" si="6"/>
        <v>1.3310613867212094E-3</v>
      </c>
      <c r="AG24" s="21">
        <f t="shared" si="4"/>
        <v>2.6253722047136786E-4</v>
      </c>
      <c r="AI24" s="1">
        <v>19</v>
      </c>
      <c r="AJ24" s="10">
        <f t="shared" si="2"/>
        <v>4937.4939948526926</v>
      </c>
      <c r="AK24" s="10">
        <f t="shared" si="0"/>
        <v>4843.1759835872708</v>
      </c>
      <c r="AL24" s="10">
        <f t="shared" si="0"/>
        <v>4824.0188564980726</v>
      </c>
      <c r="AM24" s="10">
        <f t="shared" si="0"/>
        <v>4986.2028909796527</v>
      </c>
      <c r="AN24" s="10">
        <f t="shared" si="0"/>
        <v>5102.5301698330877</v>
      </c>
      <c r="AO24" s="10">
        <f t="shared" si="0"/>
        <v>5075.2218312264113</v>
      </c>
      <c r="AP24" s="10">
        <f t="shared" si="0"/>
        <v>4949.3836270270331</v>
      </c>
      <c r="AQ24" s="10">
        <f t="shared" si="0"/>
        <v>5052.3797818651419</v>
      </c>
      <c r="AR24" s="10">
        <f t="shared" si="0"/>
        <v>4903.2216944490137</v>
      </c>
      <c r="AS24" s="10">
        <f t="shared" si="0"/>
        <v>5076.2647159382796</v>
      </c>
      <c r="AT24" s="10"/>
      <c r="AU24" s="10">
        <f t="shared" si="0"/>
        <v>5184.1993117003858</v>
      </c>
      <c r="AV24" s="10">
        <v>5126</v>
      </c>
      <c r="AW24" s="10">
        <f t="shared" si="3"/>
        <v>4994.0084416324589</v>
      </c>
      <c r="AX24" s="42"/>
      <c r="AY24" s="10"/>
    </row>
    <row r="25" spans="2:51" x14ac:dyDescent="0.25">
      <c r="D25" s="1">
        <v>20</v>
      </c>
      <c r="E25" s="1">
        <v>4715.6899350000003</v>
      </c>
      <c r="F25" s="1">
        <v>4293.2221090000003</v>
      </c>
      <c r="G25" s="1">
        <v>4747.2552059999998</v>
      </c>
      <c r="H25" s="1">
        <v>4835.8329960000001</v>
      </c>
      <c r="I25" s="1">
        <v>5007.658899</v>
      </c>
      <c r="J25" s="1">
        <v>4937.3110340000003</v>
      </c>
      <c r="K25" s="1">
        <v>4842.7247470000002</v>
      </c>
      <c r="L25" s="1">
        <v>4966.3232449999996</v>
      </c>
      <c r="M25" s="1">
        <v>4874.0944589999999</v>
      </c>
      <c r="N25" s="1">
        <v>4958.505975</v>
      </c>
      <c r="P25" s="1">
        <v>5029.6752982693097</v>
      </c>
      <c r="Q25" s="1">
        <v>5120.3771339061605</v>
      </c>
      <c r="S25" s="1">
        <v>20</v>
      </c>
      <c r="T25" s="39">
        <f t="shared" si="5"/>
        <v>9.9811024456945372E-3</v>
      </c>
      <c r="U25" s="39">
        <f t="shared" si="5"/>
        <v>-3.0254134414618265E-3</v>
      </c>
      <c r="V25" s="39">
        <f t="shared" si="5"/>
        <v>4.5990668955798493E-4</v>
      </c>
      <c r="W25" s="39">
        <f t="shared" si="5"/>
        <v>1.966261644989089E-3</v>
      </c>
      <c r="X25" s="39">
        <f t="shared" si="5"/>
        <v>-1.7148728437723973E-3</v>
      </c>
      <c r="Y25" s="39">
        <f t="shared" si="5"/>
        <v>3.4720083480572952E-3</v>
      </c>
      <c r="Z25" s="39">
        <f t="shared" si="5"/>
        <v>1.7104080427733845E-3</v>
      </c>
      <c r="AA25" s="39">
        <f t="shared" si="5"/>
        <v>5.32253739159617E-3</v>
      </c>
      <c r="AB25" s="39">
        <f t="shared" si="5"/>
        <v>4.5265418873570657E-3</v>
      </c>
      <c r="AC25" s="39">
        <f t="shared" si="5"/>
        <v>9.3233063679827276E-3</v>
      </c>
      <c r="AD25" s="39"/>
      <c r="AE25" s="39">
        <f t="shared" si="6"/>
        <v>6.1935764603636128E-3</v>
      </c>
      <c r="AF25" s="39">
        <f t="shared" si="6"/>
        <v>1.0969305684431425E-3</v>
      </c>
      <c r="AG25" s="21">
        <f t="shared" si="4"/>
        <v>3.2760244634650656E-3</v>
      </c>
      <c r="AI25" s="1">
        <v>20</v>
      </c>
      <c r="AJ25" s="10">
        <f t="shared" si="2"/>
        <v>4888.2123614650664</v>
      </c>
      <c r="AK25" s="10">
        <f t="shared" si="0"/>
        <v>4857.8285933073803</v>
      </c>
      <c r="AL25" s="10">
        <f t="shared" si="0"/>
        <v>4821.800257955415</v>
      </c>
      <c r="AM25" s="10">
        <f t="shared" si="0"/>
        <v>4976.3987114809861</v>
      </c>
      <c r="AN25" s="10">
        <f t="shared" si="0"/>
        <v>5111.2803602558633</v>
      </c>
      <c r="AO25" s="10">
        <f t="shared" si="0"/>
        <v>5057.6006186601498</v>
      </c>
      <c r="AP25" s="10">
        <f t="shared" si="0"/>
        <v>4940.918161464595</v>
      </c>
      <c r="AQ25" s="10">
        <f t="shared" si="0"/>
        <v>5025.4883015596206</v>
      </c>
      <c r="AR25" s="10">
        <f t="shared" si="0"/>
        <v>4881.0270560660929</v>
      </c>
      <c r="AS25" s="10">
        <f t="shared" si="0"/>
        <v>5028.937144786607</v>
      </c>
      <c r="AT25" s="10"/>
      <c r="AU25" s="10">
        <f t="shared" si="0"/>
        <v>5152.0905768776056</v>
      </c>
      <c r="AV25" s="10">
        <v>5120.3771339061605</v>
      </c>
      <c r="AW25" s="10">
        <f t="shared" si="3"/>
        <v>4976.507467625398</v>
      </c>
      <c r="AX25" s="42"/>
      <c r="AY25" s="10"/>
    </row>
    <row r="26" spans="2:51" x14ac:dyDescent="0.25">
      <c r="D26" s="1">
        <v>21</v>
      </c>
      <c r="E26" s="1">
        <v>4736.343543</v>
      </c>
      <c r="F26" s="1">
        <v>4319.4605670000001</v>
      </c>
      <c r="G26" s="1">
        <v>4791.784455</v>
      </c>
      <c r="H26" s="1">
        <v>4836.8636390000001</v>
      </c>
      <c r="I26" s="1">
        <v>5005.7119439999997</v>
      </c>
      <c r="J26" s="1">
        <v>4884.7074400000001</v>
      </c>
      <c r="K26" s="1">
        <v>4834.3878109999996</v>
      </c>
      <c r="L26" s="1">
        <v>4960.2934150000001</v>
      </c>
      <c r="M26" s="1">
        <v>4865.7196620000004</v>
      </c>
      <c r="N26" s="1">
        <v>4975.1919500000004</v>
      </c>
      <c r="P26" s="1">
        <v>5012.22255706546</v>
      </c>
      <c r="Q26" s="1">
        <v>5144.0180617999104</v>
      </c>
      <c r="S26" s="1">
        <v>21</v>
      </c>
      <c r="T26" s="39">
        <f t="shared" si="5"/>
        <v>-4.3797637852963757E-3</v>
      </c>
      <c r="U26" s="39">
        <f t="shared" si="5"/>
        <v>-6.1116004096306601E-3</v>
      </c>
      <c r="V26" s="39">
        <f t="shared" si="5"/>
        <v>-9.3799989820897295E-3</v>
      </c>
      <c r="W26" s="39">
        <f t="shared" si="5"/>
        <v>-2.1312625991273059E-4</v>
      </c>
      <c r="X26" s="39">
        <f t="shared" si="5"/>
        <v>3.8879545098192275E-4</v>
      </c>
      <c r="Y26" s="39">
        <f t="shared" si="5"/>
        <v>1.0654300212758311E-2</v>
      </c>
      <c r="Z26" s="39">
        <f t="shared" si="5"/>
        <v>1.7215382735029944E-3</v>
      </c>
      <c r="AA26" s="39">
        <f t="shared" si="5"/>
        <v>1.2141436838752314E-3</v>
      </c>
      <c r="AB26" s="39">
        <f t="shared" si="5"/>
        <v>1.7182262408836689E-3</v>
      </c>
      <c r="AC26" s="39">
        <f t="shared" si="5"/>
        <v>-3.3651214870221722E-3</v>
      </c>
      <c r="AD26" s="39"/>
      <c r="AE26" s="39">
        <f t="shared" si="6"/>
        <v>3.4699538576287558E-3</v>
      </c>
      <c r="AF26" s="39">
        <f t="shared" si="6"/>
        <v>-4.6170286436919249E-3</v>
      </c>
      <c r="AG26" s="21">
        <f t="shared" si="4"/>
        <v>-7.4164015400105898E-4</v>
      </c>
      <c r="AI26" s="1">
        <v>21</v>
      </c>
      <c r="AJ26" s="10">
        <f t="shared" si="2"/>
        <v>4909.6215769406499</v>
      </c>
      <c r="AK26" s="10">
        <f t="shared" si="0"/>
        <v>4887.517700528153</v>
      </c>
      <c r="AL26" s="10">
        <f t="shared" si="0"/>
        <v>4867.0287394668767</v>
      </c>
      <c r="AM26" s="10">
        <f t="shared" si="0"/>
        <v>4977.4593127261978</v>
      </c>
      <c r="AN26" s="10">
        <f t="shared" si="0"/>
        <v>5109.2931177031023</v>
      </c>
      <c r="AO26" s="10">
        <f t="shared" si="0"/>
        <v>5003.715423312713</v>
      </c>
      <c r="AP26" s="10">
        <f t="shared" si="0"/>
        <v>4932.4121817433879</v>
      </c>
      <c r="AQ26" s="10">
        <f t="shared" si="0"/>
        <v>5019.3866366798939</v>
      </c>
      <c r="AR26" s="10">
        <f t="shared" si="0"/>
        <v>4872.6403472958964</v>
      </c>
      <c r="AS26" s="10">
        <f t="shared" si="0"/>
        <v>5045.8601292294115</v>
      </c>
      <c r="AT26" s="10"/>
      <c r="AU26" s="10">
        <f t="shared" si="0"/>
        <v>5134.2130603055166</v>
      </c>
      <c r="AV26" s="10">
        <v>5144.0180617999104</v>
      </c>
      <c r="AW26" s="10">
        <f t="shared" si="3"/>
        <v>4978.1043841756191</v>
      </c>
      <c r="AX26" s="42"/>
      <c r="AY26" s="10"/>
    </row>
    <row r="27" spans="2:51" x14ac:dyDescent="0.25">
      <c r="D27" s="1">
        <v>22</v>
      </c>
      <c r="E27" s="1">
        <v>4694.6505740000002</v>
      </c>
      <c r="F27" s="1">
        <v>4365.9729289999996</v>
      </c>
      <c r="G27" s="1">
        <v>4749.8769460000003</v>
      </c>
      <c r="H27" s="1">
        <v>4837.2760060000001</v>
      </c>
      <c r="I27" s="1">
        <v>4934.3903110000001</v>
      </c>
      <c r="J27" s="1">
        <v>4888.720558</v>
      </c>
      <c r="K27" s="1">
        <v>4840.3257329999997</v>
      </c>
      <c r="L27" s="1">
        <v>4961.221278</v>
      </c>
      <c r="M27" s="1">
        <v>4846.3745049999998</v>
      </c>
      <c r="N27" s="1">
        <v>4968.6263570000001</v>
      </c>
      <c r="P27" s="1">
        <v>4955.63552502316</v>
      </c>
      <c r="Q27" s="1">
        <v>5133.4093384501102</v>
      </c>
      <c r="S27" s="1">
        <v>22</v>
      </c>
      <c r="T27" s="39">
        <f t="shared" si="5"/>
        <v>8.8027755211336281E-3</v>
      </c>
      <c r="U27" s="39">
        <f t="shared" si="5"/>
        <v>-1.0768095061533058E-2</v>
      </c>
      <c r="V27" s="39">
        <f t="shared" si="5"/>
        <v>8.7456999357037359E-3</v>
      </c>
      <c r="W27" s="39">
        <f t="shared" si="5"/>
        <v>-8.5255039376127382E-5</v>
      </c>
      <c r="X27" s="39">
        <f t="shared" si="5"/>
        <v>1.4248049787500831E-2</v>
      </c>
      <c r="Y27" s="39">
        <f t="shared" si="5"/>
        <v>-8.2156772934590522E-4</v>
      </c>
      <c r="Z27" s="39">
        <f t="shared" si="5"/>
        <v>-1.2282676177714019E-3</v>
      </c>
      <c r="AA27" s="39">
        <f t="shared" si="5"/>
        <v>-1.870580875707911E-4</v>
      </c>
      <c r="AB27" s="39">
        <f t="shared" si="5"/>
        <v>3.9758059123465904E-3</v>
      </c>
      <c r="AC27" s="39">
        <f t="shared" si="5"/>
        <v>1.3196662693587655E-3</v>
      </c>
      <c r="AD27" s="39"/>
      <c r="AE27" s="39">
        <f t="shared" si="6"/>
        <v>1.1289808343113647E-2</v>
      </c>
      <c r="AF27" s="39">
        <f t="shared" si="6"/>
        <v>2.0623417768653985E-3</v>
      </c>
      <c r="AG27" s="21">
        <f t="shared" si="4"/>
        <v>3.1128253342021096E-3</v>
      </c>
      <c r="AI27" s="1">
        <v>22</v>
      </c>
      <c r="AJ27" s="10">
        <f t="shared" si="2"/>
        <v>4866.4032803051268</v>
      </c>
      <c r="AK27" s="10">
        <f t="shared" si="0"/>
        <v>4940.1469557423661</v>
      </c>
      <c r="AL27" s="10">
        <f t="shared" si="0"/>
        <v>4824.4631665330526</v>
      </c>
      <c r="AM27" s="10">
        <f t="shared" si="0"/>
        <v>4977.8836662158974</v>
      </c>
      <c r="AN27" s="10">
        <f t="shared" si="0"/>
        <v>5036.495654983134</v>
      </c>
      <c r="AO27" s="10">
        <f t="shared" si="0"/>
        <v>5007.8263144313369</v>
      </c>
      <c r="AP27" s="10">
        <f t="shared" si="0"/>
        <v>4938.4705039037244</v>
      </c>
      <c r="AQ27" s="10">
        <f t="shared" si="0"/>
        <v>5020.3255535449289</v>
      </c>
      <c r="AR27" s="10">
        <f t="shared" si="0"/>
        <v>4853.2676749943794</v>
      </c>
      <c r="AS27" s="10">
        <f t="shared" si="0"/>
        <v>5039.2012778169656</v>
      </c>
      <c r="AT27" s="10"/>
      <c r="AU27" s="10">
        <f t="shared" si="0"/>
        <v>5076.2487788619555</v>
      </c>
      <c r="AV27" s="10">
        <v>5133.4093384501102</v>
      </c>
      <c r="AW27" s="10">
        <f t="shared" si="3"/>
        <v>4961.8848024848057</v>
      </c>
      <c r="AX27" s="42"/>
      <c r="AY27" s="10"/>
    </row>
    <row r="28" spans="2:51" x14ac:dyDescent="0.25">
      <c r="D28" s="1">
        <v>23</v>
      </c>
      <c r="F28" s="1">
        <v>4340.7581819999996</v>
      </c>
      <c r="G28" s="1">
        <v>4749.7363500000001</v>
      </c>
      <c r="H28" s="1">
        <v>4805.3848150000003</v>
      </c>
      <c r="I28" s="1">
        <v>4894.3143369999998</v>
      </c>
      <c r="J28" s="1">
        <v>4811.645348</v>
      </c>
      <c r="K28" s="1">
        <v>4845.6657420000001</v>
      </c>
      <c r="L28" s="1">
        <v>4974.0102379999998</v>
      </c>
      <c r="M28" s="1">
        <v>4839.412679</v>
      </c>
      <c r="N28" s="1">
        <v>4986.4188969999996</v>
      </c>
      <c r="P28" s="1">
        <v>4882.1440334359204</v>
      </c>
      <c r="S28" s="1">
        <v>23</v>
      </c>
      <c r="T28" s="39"/>
      <c r="U28" s="39">
        <f t="shared" si="5"/>
        <v>5.7752870688951522E-3</v>
      </c>
      <c r="V28" s="39">
        <f t="shared" si="5"/>
        <v>2.9599924713541598E-5</v>
      </c>
      <c r="W28" s="39">
        <f t="shared" si="5"/>
        <v>6.5927995343749062E-3</v>
      </c>
      <c r="X28" s="39">
        <f t="shared" si="5"/>
        <v>8.121768136310754E-3</v>
      </c>
      <c r="Y28" s="39">
        <f t="shared" si="5"/>
        <v>1.5765926705275178E-2</v>
      </c>
      <c r="Z28" s="39">
        <f t="shared" si="5"/>
        <v>-1.1032333967926501E-3</v>
      </c>
      <c r="AA28" s="39">
        <f t="shared" si="5"/>
        <v>-2.5777846387765695E-3</v>
      </c>
      <c r="AB28" s="39">
        <f t="shared" si="5"/>
        <v>1.4365018619211614E-3</v>
      </c>
      <c r="AC28" s="39">
        <f t="shared" si="5"/>
        <v>-3.5809776629576137E-3</v>
      </c>
      <c r="AD28" s="39"/>
      <c r="AE28" s="39">
        <f t="shared" si="6"/>
        <v>1.4829882305942206E-2</v>
      </c>
      <c r="AF28" s="39"/>
      <c r="AG28" s="21">
        <f t="shared" si="4"/>
        <v>4.5289769838906067E-3</v>
      </c>
      <c r="AI28" s="1">
        <v>23</v>
      </c>
      <c r="AJ28" s="10"/>
      <c r="AK28" s="10">
        <f t="shared" si="0"/>
        <v>4911.6161889104251</v>
      </c>
      <c r="AL28" s="10">
        <f t="shared" si="0"/>
        <v>4824.3203627865405</v>
      </c>
      <c r="AM28" s="10">
        <f t="shared" si="0"/>
        <v>4945.0654770990968</v>
      </c>
      <c r="AN28" s="10">
        <f t="shared" si="0"/>
        <v>4995.5904050538238</v>
      </c>
      <c r="AO28" s="10">
        <f t="shared" si="0"/>
        <v>4928.8732918052638</v>
      </c>
      <c r="AP28" s="10">
        <f t="shared" si="0"/>
        <v>4943.9187894927063</v>
      </c>
      <c r="AQ28" s="10">
        <f t="shared" ref="AQ28:AS28" si="7">(L28/L$5)*$AJ$2</f>
        <v>5033.2668716385142</v>
      </c>
      <c r="AR28" s="10">
        <f t="shared" si="7"/>
        <v>4846.2959469428479</v>
      </c>
      <c r="AS28" s="10">
        <f t="shared" si="7"/>
        <v>5057.2465450319751</v>
      </c>
      <c r="AT28" s="10"/>
      <c r="AU28" s="10">
        <f t="shared" ref="AU28" si="8">(P28/P$5)*$AJ$2</f>
        <v>5000.9686069157506</v>
      </c>
      <c r="AV28" s="10"/>
      <c r="AW28" s="10">
        <f t="shared" si="3"/>
        <v>4948.7162485676936</v>
      </c>
      <c r="AX28" s="14"/>
      <c r="AY28" s="10"/>
    </row>
    <row r="29" spans="2:51" x14ac:dyDescent="0.25">
      <c r="D29" s="1">
        <v>24</v>
      </c>
      <c r="F29" s="1">
        <v>4291.3091809999996</v>
      </c>
      <c r="S29" s="1">
        <v>24</v>
      </c>
      <c r="T29" s="39"/>
      <c r="U29" s="39">
        <f t="shared" si="5"/>
        <v>1.1391788928729584E-2</v>
      </c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21">
        <f t="shared" si="4"/>
        <v>1.1391788928729584E-2</v>
      </c>
      <c r="AI29" s="1">
        <v>24</v>
      </c>
      <c r="AJ29" s="10"/>
      <c r="AK29" s="10">
        <f t="shared" ref="AK29" si="9">(F29/F$5)*$AJ$2</f>
        <v>4855.664093987426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spans="2:51" x14ac:dyDescent="0.25">
      <c r="R30" s="20" t="s">
        <v>61</v>
      </c>
    </row>
    <row r="31" spans="2:51" x14ac:dyDescent="0.25">
      <c r="B31" s="40" t="s">
        <v>62</v>
      </c>
      <c r="C31" s="40"/>
      <c r="D31" s="40"/>
      <c r="E31" s="39">
        <f>1-(E27/E5)^(1/(COUNTA(E5:E29)-1))</f>
        <v>5.5956763030832191E-3</v>
      </c>
      <c r="F31" s="39">
        <f>1-(F29/F5)^(1/(COUNTA(F5:F29)-1))</f>
        <v>5.2221434767620867E-3</v>
      </c>
      <c r="G31" s="39">
        <f>1-(G28/G5)^(1/(COUNTA(G5:G29)-1))</f>
        <v>5.7285656665546636E-3</v>
      </c>
      <c r="H31" s="39">
        <f t="shared" ref="H31:N31" si="10">1-(H28/H5)^(1/(COUNTA(H5:H29)-1))</f>
        <v>4.6593508896987101E-3</v>
      </c>
      <c r="I31" s="39">
        <f t="shared" si="10"/>
        <v>4.2193391335219044E-3</v>
      </c>
      <c r="J31" s="39">
        <f t="shared" si="10"/>
        <v>4.8012757123843119E-3</v>
      </c>
      <c r="K31" s="39">
        <f t="shared" si="10"/>
        <v>4.6693869935233723E-3</v>
      </c>
      <c r="L31" s="39">
        <f t="shared" si="10"/>
        <v>3.8939840882059595E-3</v>
      </c>
      <c r="M31" s="39">
        <f t="shared" si="10"/>
        <v>5.5320772040593491E-3</v>
      </c>
      <c r="N31" s="39">
        <f t="shared" si="10"/>
        <v>3.6881186629784679E-3</v>
      </c>
      <c r="O31" s="39">
        <f>1-(O23/O5)^(1/(COUNTA(O5:O29)-1))</f>
        <v>5.2743474957174241E-3</v>
      </c>
      <c r="P31" s="39">
        <f t="shared" ref="P31" si="11">1-(P23/P5)^(1/(COUNTA(P5:P29)-1))</f>
        <v>3.1598231025680157E-3</v>
      </c>
      <c r="Q31" s="39">
        <f>1-(Q27/Q5)^(1/(COUNTA(Q5:Q29)-1))</f>
        <v>2.9240007976670812E-3</v>
      </c>
      <c r="R31" s="21">
        <f>AVERAGE(E31:Q31)</f>
        <v>4.5667761174403515E-3</v>
      </c>
    </row>
    <row r="32" spans="2:51" x14ac:dyDescent="0.25">
      <c r="B32" s="40" t="s">
        <v>63</v>
      </c>
      <c r="C32" s="40"/>
      <c r="D32" s="40"/>
      <c r="E32" s="39">
        <f>1-(E27/E6)^(1/(COUNTA(E6:E30)-1))</f>
        <v>3.1373192583824538E-3</v>
      </c>
      <c r="F32" s="39">
        <f>1-(F29/F6)^(1/(COUNTA(F6:F30)-1))</f>
        <v>2.83454874528144E-3</v>
      </c>
      <c r="G32" s="39">
        <f>1-(G28/G6)^(1/(COUNTA(G6:G30)-1))</f>
        <v>2.6261146104658017E-3</v>
      </c>
      <c r="H32" s="39">
        <f t="shared" ref="H32:N32" si="12">1-(H28/H6)^(1/(COUNTA(H6:H30)-1))</f>
        <v>3.1191890219872676E-3</v>
      </c>
      <c r="I32" s="39">
        <f t="shared" si="12"/>
        <v>2.1190577351928308E-3</v>
      </c>
      <c r="J32" s="39">
        <f t="shared" si="12"/>
        <v>3.6212279066865083E-3</v>
      </c>
      <c r="K32" s="39">
        <f t="shared" si="12"/>
        <v>3.0865890135611806E-3</v>
      </c>
      <c r="L32" s="39">
        <f t="shared" si="12"/>
        <v>2.0703898326169812E-3</v>
      </c>
      <c r="M32" s="39">
        <f t="shared" si="12"/>
        <v>3.1871835996525322E-3</v>
      </c>
      <c r="N32" s="39">
        <f t="shared" si="12"/>
        <v>1.7243101490898027E-3</v>
      </c>
      <c r="O32" s="39">
        <f>1-(O23/O6)^(1/(COUNTA(O6:O30)-1))</f>
        <v>3.6620291073247158E-3</v>
      </c>
      <c r="P32" s="39">
        <f>1-(P28/P6)^(1/(COUNTA(P6:P30)-1))</f>
        <v>2.5110732170648964E-3</v>
      </c>
      <c r="Q32" s="39">
        <f>1-(Q23/Q6)^(1/(COUNTA(Q6:Q30)-1))</f>
        <v>6.8603151170543164E-4</v>
      </c>
      <c r="R32" s="21">
        <f t="shared" ref="R32:R33" si="13">AVERAGE(E32:Q32)</f>
        <v>2.6450049006932186E-3</v>
      </c>
    </row>
    <row r="33" spans="2:18" x14ac:dyDescent="0.25">
      <c r="B33" s="40" t="s">
        <v>64</v>
      </c>
      <c r="C33" s="40"/>
      <c r="D33" s="40"/>
      <c r="E33" s="41">
        <f>(E5-E10)/E5</f>
        <v>7.744075741316013E-2</v>
      </c>
      <c r="F33" s="41">
        <f t="shared" ref="F33:P33" si="14">(F5-F10)/F5</f>
        <v>8.8373338128609272E-2</v>
      </c>
      <c r="G33" s="41">
        <f t="shared" si="14"/>
        <v>7.590294076410789E-2</v>
      </c>
      <c r="H33" s="41">
        <f t="shared" si="14"/>
        <v>5.8364337887595166E-2</v>
      </c>
      <c r="I33" s="41">
        <f t="shared" si="14"/>
        <v>8.3592447072781781E-2</v>
      </c>
      <c r="J33" s="41">
        <f t="shared" si="14"/>
        <v>6.7150332566182927E-2</v>
      </c>
      <c r="K33" s="41">
        <f t="shared" si="14"/>
        <v>5.0254591764880195E-2</v>
      </c>
      <c r="L33" s="41">
        <f t="shared" si="14"/>
        <v>5.5792687189854862E-2</v>
      </c>
      <c r="M33" s="41">
        <f t="shared" si="14"/>
        <v>6.7727761185885804E-2</v>
      </c>
      <c r="N33" s="41">
        <f t="shared" si="14"/>
        <v>4.7779179584100134E-2</v>
      </c>
      <c r="O33" s="41">
        <f t="shared" si="14"/>
        <v>4.5889582880609993E-2</v>
      </c>
      <c r="P33" s="41">
        <f t="shared" si="14"/>
        <v>4.6238677728413044E-2</v>
      </c>
      <c r="Q33" s="41">
        <f>(Q5-Q10)/Q5</f>
        <v>5.3192609147915959E-2</v>
      </c>
      <c r="R33" s="21">
        <f t="shared" si="13"/>
        <v>6.2899941793392075E-2</v>
      </c>
    </row>
  </sheetData>
  <sortState xmlns:xlrd2="http://schemas.microsoft.com/office/spreadsheetml/2017/richdata2" ref="W37:Y59">
    <sortCondition ref="W37:W59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FAB0-F796-4695-ABAF-EA779F66FE6B}">
  <dimension ref="B1:X29"/>
  <sheetViews>
    <sheetView zoomScale="90" zoomScaleNormal="90" workbookViewId="0">
      <selection activeCell="N30" sqref="N30"/>
    </sheetView>
  </sheetViews>
  <sheetFormatPr defaultColWidth="8.90625" defaultRowHeight="12.5" x14ac:dyDescent="0.25"/>
  <cols>
    <col min="1" max="13" width="8.90625" style="1"/>
    <col min="14" max="14" width="15.81640625" style="1" customWidth="1"/>
    <col min="15" max="21" width="8.90625" style="1"/>
    <col min="22" max="24" width="8.90625" style="2"/>
    <col min="25" max="16384" width="8.90625" style="1"/>
  </cols>
  <sheetData>
    <row r="1" spans="14:24" x14ac:dyDescent="0.25">
      <c r="N1" s="13"/>
      <c r="V1" s="1"/>
    </row>
    <row r="2" spans="14:24" x14ac:dyDescent="0.25">
      <c r="V2" s="37"/>
    </row>
    <row r="3" spans="14:24" x14ac:dyDescent="0.25">
      <c r="P3" s="2"/>
      <c r="Q3" s="2"/>
      <c r="R3" s="2"/>
      <c r="S3" s="2"/>
      <c r="T3" s="2"/>
      <c r="U3" s="2"/>
      <c r="V3" s="38"/>
      <c r="W3" s="38"/>
      <c r="X3" s="38"/>
    </row>
    <row r="4" spans="14:24" x14ac:dyDescent="0.25">
      <c r="P4" s="2"/>
      <c r="Q4" s="2"/>
      <c r="R4" s="2"/>
      <c r="S4" s="2"/>
      <c r="T4" s="2"/>
      <c r="U4" s="32"/>
      <c r="V4" s="36"/>
      <c r="W4" s="36"/>
      <c r="X4" s="36"/>
    </row>
    <row r="5" spans="14:24" x14ac:dyDescent="0.25">
      <c r="U5" s="32"/>
      <c r="V5" s="36"/>
      <c r="W5" s="36"/>
      <c r="X5" s="36"/>
    </row>
    <row r="6" spans="14:24" x14ac:dyDescent="0.25">
      <c r="Q6" s="2"/>
      <c r="R6" s="2"/>
      <c r="S6" s="2"/>
      <c r="T6" s="2"/>
      <c r="U6" s="32"/>
      <c r="V6" s="36"/>
      <c r="W6" s="36"/>
      <c r="X6" s="36"/>
    </row>
    <row r="7" spans="14:24" x14ac:dyDescent="0.25">
      <c r="Q7" s="2"/>
      <c r="R7" s="2"/>
      <c r="S7" s="2"/>
      <c r="T7" s="2"/>
      <c r="U7" s="32"/>
      <c r="V7" s="36"/>
      <c r="W7" s="36"/>
      <c r="X7" s="36"/>
    </row>
    <row r="8" spans="14:24" x14ac:dyDescent="0.25">
      <c r="Q8" s="2"/>
      <c r="R8" s="2"/>
      <c r="S8" s="2"/>
      <c r="T8" s="2"/>
      <c r="U8" s="32"/>
      <c r="V8" s="36"/>
      <c r="W8" s="36"/>
      <c r="X8" s="36"/>
    </row>
    <row r="9" spans="14:24" x14ac:dyDescent="0.25">
      <c r="Q9" s="2"/>
      <c r="U9" s="32"/>
      <c r="V9" s="36"/>
      <c r="W9" s="36"/>
      <c r="X9" s="36"/>
    </row>
    <row r="10" spans="14:24" x14ac:dyDescent="0.25">
      <c r="Q10" s="2"/>
      <c r="R10" s="2"/>
      <c r="S10" s="2"/>
      <c r="T10" s="2"/>
      <c r="U10" s="32"/>
      <c r="V10" s="36"/>
      <c r="W10" s="36"/>
      <c r="X10" s="36"/>
    </row>
    <row r="11" spans="14:24" x14ac:dyDescent="0.25">
      <c r="Q11" s="2"/>
      <c r="R11" s="2"/>
      <c r="S11" s="2"/>
      <c r="T11" s="2"/>
      <c r="U11" s="32"/>
      <c r="V11" s="36"/>
      <c r="W11" s="36"/>
      <c r="X11" s="36"/>
    </row>
    <row r="12" spans="14:24" x14ac:dyDescent="0.25">
      <c r="Q12" s="2"/>
      <c r="R12" s="2"/>
      <c r="S12" s="2"/>
      <c r="T12" s="2"/>
      <c r="U12" s="32"/>
      <c r="V12" s="36"/>
      <c r="W12" s="36"/>
      <c r="X12" s="36"/>
    </row>
    <row r="13" spans="14:24" x14ac:dyDescent="0.25">
      <c r="Q13" s="2"/>
      <c r="R13" s="2"/>
      <c r="S13" s="2"/>
      <c r="T13" s="2"/>
      <c r="U13" s="32"/>
      <c r="V13" s="36"/>
      <c r="W13" s="36"/>
      <c r="X13" s="36"/>
    </row>
    <row r="18" spans="2:14" x14ac:dyDescent="0.25">
      <c r="B18" s="1" t="s">
        <v>40</v>
      </c>
      <c r="C18" s="35" t="s">
        <v>41</v>
      </c>
    </row>
    <row r="29" spans="2:14" x14ac:dyDescent="0.25">
      <c r="N29" s="1" t="s">
        <v>68</v>
      </c>
    </row>
  </sheetData>
  <hyperlinks>
    <hyperlink ref="C18" r:id="rId1" xr:uid="{596C4DE7-E157-460E-87ED-59610F6DA65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Pre-R00 SC</vt:lpstr>
      <vt:lpstr>R00 SC</vt:lpstr>
      <vt:lpstr>R01 SC</vt:lpstr>
      <vt:lpstr>MagicNumber</vt:lpstr>
      <vt:lpstr>MN 2010-2022</vt:lpstr>
      <vt:lpstr>Pricing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Jack Matthewson</cp:lastModifiedBy>
  <dcterms:created xsi:type="dcterms:W3CDTF">2019-04-29T04:09:17Z</dcterms:created>
  <dcterms:modified xsi:type="dcterms:W3CDTF">2024-03-19T03:34:12Z</dcterms:modified>
</cp:coreProperties>
</file>